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01" windowWidth="12120" windowHeight="5775" tabRatio="929" firstSheet="6" activeTab="12"/>
  </bookViews>
  <sheets>
    <sheet name="ANEXOS" sheetId="1" r:id="rId1"/>
    <sheet name="INVERSION" sheetId="2" r:id="rId2"/>
    <sheet name="Cap Operac" sheetId="3" r:id="rId3"/>
    <sheet name="gastos publicid" sheetId="4" r:id="rId4"/>
    <sheet name="Ofert Reserv" sheetId="5" r:id="rId5"/>
    <sheet name="Result Encues" sheetId="6" r:id="rId6"/>
    <sheet name="% de Preferencia Senderos" sheetId="7" r:id="rId7"/>
    <sheet name="Ingresos" sheetId="8" r:id="rId8"/>
    <sheet name="Estad result y Fluj Caj" sheetId="9" r:id="rId9"/>
    <sheet name="Anal sensib y Period de Recuper" sheetId="10" r:id="rId10"/>
    <sheet name="Anex Est Result - Gast" sheetId="11" r:id="rId11"/>
    <sheet name="Balan Gener" sheetId="12" r:id="rId12"/>
    <sheet name="Punt Equil" sheetId="13" r:id="rId13"/>
  </sheets>
  <definedNames>
    <definedName name="_xlnm.Print_Area" localSheetId="8">'Estad result y Fluj Caj'!$A$1:$L$1010</definedName>
  </definedNames>
  <calcPr fullCalcOnLoad="1"/>
</workbook>
</file>

<file path=xl/comments11.xml><?xml version="1.0" encoding="utf-8"?>
<comments xmlns="http://schemas.openxmlformats.org/spreadsheetml/2006/main">
  <authors>
    <author>JOSUE PEREZ</author>
  </authors>
  <commentList>
    <comment ref="J88" authorId="0">
      <text>
        <r>
          <rPr>
            <b/>
            <sz val="8"/>
            <rFont val="Tahoma"/>
            <family val="0"/>
          </rPr>
          <t>aquí, le resto directamente de la hoja de inversiones la inversion total menos el capital propio</t>
        </r>
      </text>
    </comment>
    <comment ref="F128" authorId="0">
      <text>
        <r>
          <rPr>
            <b/>
            <sz val="8"/>
            <rFont val="Tahoma"/>
            <family val="0"/>
          </rPr>
          <t>aquí, le resto directamente de la hoja de inversiones la inversion total menos el capital propio</t>
        </r>
      </text>
    </comment>
  </commentList>
</comments>
</file>

<file path=xl/sharedStrings.xml><?xml version="1.0" encoding="utf-8"?>
<sst xmlns="http://schemas.openxmlformats.org/spreadsheetml/2006/main" count="2389" uniqueCount="898">
  <si>
    <t>a) VIA DE ACCESO Y PARQUEADERO</t>
  </si>
  <si>
    <t>CANTIDAD</t>
  </si>
  <si>
    <t>UNIDAD</t>
  </si>
  <si>
    <t>DESCRIPCION</t>
  </si>
  <si>
    <t>PRECIO x UNIDAD</t>
  </si>
  <si>
    <t>TOTAL</t>
  </si>
  <si>
    <t>Trabajos de Campo</t>
  </si>
  <si>
    <t>Limpieza y desbroce de terreno (incluye desalojo)</t>
  </si>
  <si>
    <t>Replanteo y Trazado</t>
  </si>
  <si>
    <t>Piedra de canto rodado (incluye transporte)</t>
  </si>
  <si>
    <t>Material Base clase 1 (incluye transporte)</t>
  </si>
  <si>
    <t>Material de mina de rio fino (incluye transporte)</t>
  </si>
  <si>
    <t>Doble tratamiento bituminosos superficial</t>
  </si>
  <si>
    <t>b) TRABAJOS GENERALES</t>
  </si>
  <si>
    <t>Caseta de Guardián y Bodega</t>
  </si>
  <si>
    <t>glb</t>
  </si>
  <si>
    <t>Instalación Provicional de Agua</t>
  </si>
  <si>
    <t>U</t>
  </si>
  <si>
    <t>Instalación Provicional de Luz</t>
  </si>
  <si>
    <t>Desalojo de Material / Volqueta</t>
  </si>
  <si>
    <t>Muros de Protección</t>
  </si>
  <si>
    <t>Muro de Hormigón ciclópeo</t>
  </si>
  <si>
    <t>Limpieza durante y final de la obra</t>
  </si>
  <si>
    <t>Puente Peatonal</t>
  </si>
  <si>
    <t>Vigas de hormigón armado</t>
  </si>
  <si>
    <t>Mojon de hormigón armado</t>
  </si>
  <si>
    <t>Muro de hormigón ciclopeo</t>
  </si>
  <si>
    <t>Plataforma de hormigón simple</t>
  </si>
  <si>
    <t>Pasamano y Barandas de seguridad</t>
  </si>
  <si>
    <t>Piso de madera</t>
  </si>
  <si>
    <t>Asiento de tronco de madera</t>
  </si>
  <si>
    <t>3.10</t>
  </si>
  <si>
    <t>Sistema de AA.PP</t>
  </si>
  <si>
    <t>Tub PVC presión roscable de 1 1/4" (inc accesorios)</t>
  </si>
  <si>
    <t>ML</t>
  </si>
  <si>
    <t>Tub PVC presión roscable de 1" (inc accesorios)</t>
  </si>
  <si>
    <t>Tub PVC presión roscable 3/4" (inc accesorios)</t>
  </si>
  <si>
    <t>Recubrimiento de arena de tubería</t>
  </si>
  <si>
    <t>Bomba de AA.PP de impulsión (inc instalación)</t>
  </si>
  <si>
    <t>GLB</t>
  </si>
  <si>
    <r>
      <t>Tanque de polyetileno capacidad 1m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(inc accesorios)</t>
    </r>
  </si>
  <si>
    <t>Sistema de AA.SS</t>
  </si>
  <si>
    <t>Tub PVC desagüe 6"</t>
  </si>
  <si>
    <t>Tub PVC desagüe 4"</t>
  </si>
  <si>
    <t>Caja de registro de H.S 40 x 40 con tapa de H.A. de marco y contramarco</t>
  </si>
  <si>
    <t>Caja de registro de H.A. 80 x 80 con tapa de H.A. de marco y contramarco</t>
  </si>
  <si>
    <t>Excavación a pulso y desalojo</t>
  </si>
  <si>
    <t>Replantillo de arena</t>
  </si>
  <si>
    <t>Replantillo y relleno de material del lugar</t>
  </si>
  <si>
    <t>Tanque séptico de H.A. Capacidad del lugar</t>
  </si>
  <si>
    <t xml:space="preserve">Pozo séptico de H.A. </t>
  </si>
  <si>
    <t>Sistema de AA.LL</t>
  </si>
  <si>
    <t>Limpieza y desbroce de terreno (inc desalojo)</t>
  </si>
  <si>
    <t>Canal abierto de AA.LL de piedra enchapada (a=50cm)</t>
  </si>
  <si>
    <t>c) VIVIENDA DE INFORMACIÓN DEL GUARDAPARQUE</t>
  </si>
  <si>
    <t>Limpieza y desbroce del terreno</t>
  </si>
  <si>
    <t>Movimiento de Tierra</t>
  </si>
  <si>
    <t>Excavasión a Pulso y Desalojo</t>
  </si>
  <si>
    <t>Relleno y Compactación</t>
  </si>
  <si>
    <t>Subtotal</t>
  </si>
  <si>
    <t>Cimentación</t>
  </si>
  <si>
    <t>Replantillo de piedra base</t>
  </si>
  <si>
    <t>Plintos</t>
  </si>
  <si>
    <t>Riostras y Vigas de apoyo</t>
  </si>
  <si>
    <t>Estructura</t>
  </si>
  <si>
    <t>Columnas de hormigon armado F'c=210 Kg/m</t>
  </si>
  <si>
    <r>
      <t>Losas de Piso F'c=210 Kg/cm</t>
    </r>
    <r>
      <rPr>
        <vertAlign val="superscript"/>
        <sz val="12"/>
        <rFont val="Times New Roman"/>
        <family val="1"/>
      </rPr>
      <t>2</t>
    </r>
  </si>
  <si>
    <r>
      <t>Losas de cubierta F'c=210 Kg/cm</t>
    </r>
    <r>
      <rPr>
        <vertAlign val="superscript"/>
        <sz val="12"/>
        <rFont val="Times New Roman"/>
        <family val="1"/>
      </rPr>
      <t>2</t>
    </r>
  </si>
  <si>
    <t>Escalera</t>
  </si>
  <si>
    <t>Viga en Planta Baja</t>
  </si>
  <si>
    <t>Pillaretes 0.1 x 0.2</t>
  </si>
  <si>
    <t>Loseta de cocina, closet, lavatorio y dormitorio</t>
  </si>
  <si>
    <t>Viga en Losa de Cubierta</t>
  </si>
  <si>
    <t>Viguetas de 0.2 x 0.1</t>
  </si>
  <si>
    <t>Mampostería</t>
  </si>
  <si>
    <t>Paredes Exteriores</t>
  </si>
  <si>
    <t>Paredes Interiores</t>
  </si>
  <si>
    <t>Paredes Dobles</t>
  </si>
  <si>
    <t>Dinteles</t>
  </si>
  <si>
    <t>Enlucidos</t>
  </si>
  <si>
    <t>Enlucidos Interiores</t>
  </si>
  <si>
    <t>Enlucidos Exteriores</t>
  </si>
  <si>
    <t>Enlucidos de Escalones</t>
  </si>
  <si>
    <t>Enlucidos de Tumbado</t>
  </si>
  <si>
    <t>Cuadrada de boquetes</t>
  </si>
  <si>
    <t>Filos</t>
  </si>
  <si>
    <t>Cubierta</t>
  </si>
  <si>
    <t>Cubierta de tejas</t>
  </si>
  <si>
    <t>Instalación Eléctrica</t>
  </si>
  <si>
    <t>Material de conexión de la red (inc. Tub. Y acces)</t>
  </si>
  <si>
    <t>Subtablero de distribución</t>
  </si>
  <si>
    <t>Caja de breacker</t>
  </si>
  <si>
    <t>Luminaria colgante con lámpara incandescente de 100 w - 120 v</t>
  </si>
  <si>
    <t>Punto de luz tipo aplique de pared con lámpara incandescente 60 w - 120 v</t>
  </si>
  <si>
    <t>Protección para la intemperie de lámpara incandescente</t>
  </si>
  <si>
    <t>Interruptor simple de 15 amp - 120 v</t>
  </si>
  <si>
    <t>Interruptor doble de 15 amp - 120 v</t>
  </si>
  <si>
    <t>Interruptor triple de 15 amp - 120 v</t>
  </si>
  <si>
    <t>8.10</t>
  </si>
  <si>
    <t>Tomacorriente doble de 15 amp - 120 v</t>
  </si>
  <si>
    <t>8.11</t>
  </si>
  <si>
    <t>Acometida interior a caja de breacker</t>
  </si>
  <si>
    <t>Instalación Sanitaria</t>
  </si>
  <si>
    <t>Tub de PVC presión 1/2 " roscable (inc acces)</t>
  </si>
  <si>
    <t>Tub de PVC presión 1 " roscable (inc accesorio)</t>
  </si>
  <si>
    <t>Válvula de control 1/2 "</t>
  </si>
  <si>
    <t>Punto de agua potable de 1/2 "</t>
  </si>
  <si>
    <t>Tub de PVC desagüe 4 " (inc accesorios)</t>
  </si>
  <si>
    <t>Tub de PVC desagüe 2 " (inc accesorios)</t>
  </si>
  <si>
    <t>Punto de desagüe de 4 "</t>
  </si>
  <si>
    <t>Punto de desagüe de 2 "</t>
  </si>
  <si>
    <t>Inodoro blanco</t>
  </si>
  <si>
    <t>9.10</t>
  </si>
  <si>
    <t>Lavamano Blanco</t>
  </si>
  <si>
    <t>9.11</t>
  </si>
  <si>
    <t>Ducha</t>
  </si>
  <si>
    <t>9.12</t>
  </si>
  <si>
    <t>Fregadero</t>
  </si>
  <si>
    <t>Revestimiento</t>
  </si>
  <si>
    <t>10.1</t>
  </si>
  <si>
    <t>Cerámica en piso de baño</t>
  </si>
  <si>
    <t>10.2</t>
  </si>
  <si>
    <t>Revestimiento de Marmetón</t>
  </si>
  <si>
    <t>10.3</t>
  </si>
  <si>
    <t>Muro de ducha</t>
  </si>
  <si>
    <t>11</t>
  </si>
  <si>
    <t>Pisos</t>
  </si>
  <si>
    <t>11.1</t>
  </si>
  <si>
    <t>Piso con baldosas (20 x 20 arcilla)</t>
  </si>
  <si>
    <t>12</t>
  </si>
  <si>
    <t>Carpintería</t>
  </si>
  <si>
    <t>12.1</t>
  </si>
  <si>
    <t>Sumin e Inst Puerta de Laurel (0.9 x 2.00)</t>
  </si>
  <si>
    <t>12.2</t>
  </si>
  <si>
    <t>Sumin e Inst Puerta de Laurel (0.8 x 2.00)</t>
  </si>
  <si>
    <t>12.3</t>
  </si>
  <si>
    <t>Sumin e Inst Puerta de Laurel (0.7 x 2.00)</t>
  </si>
  <si>
    <t>12.4</t>
  </si>
  <si>
    <t>Sumin e Inst Puerta de Laurel (0.6 x 2.00)</t>
  </si>
  <si>
    <t>12.5</t>
  </si>
  <si>
    <t>Pasamanos</t>
  </si>
  <si>
    <t>12.6</t>
  </si>
  <si>
    <t>Vigas de madera Chanul 0.30 x 0.15</t>
  </si>
  <si>
    <t>13</t>
  </si>
  <si>
    <t>Cerrajería</t>
  </si>
  <si>
    <t>13.1</t>
  </si>
  <si>
    <t>Rejas de Ventana</t>
  </si>
  <si>
    <t>13.2</t>
  </si>
  <si>
    <t>Cerradura de Puerta Principal</t>
  </si>
  <si>
    <t>13.3</t>
  </si>
  <si>
    <t>Cerradura de Puerta de Baño y dormitorios</t>
  </si>
  <si>
    <t>14</t>
  </si>
  <si>
    <t>Madera y Vidrio</t>
  </si>
  <si>
    <t>14.1</t>
  </si>
  <si>
    <t>Ventanas de Madera y Vidrio</t>
  </si>
  <si>
    <t>14.2</t>
  </si>
  <si>
    <t>Ventanas de Madera y Malla</t>
  </si>
  <si>
    <t>Pintura</t>
  </si>
  <si>
    <t>15</t>
  </si>
  <si>
    <t>Pintura Exteriores</t>
  </si>
  <si>
    <t>15.1</t>
  </si>
  <si>
    <t>Pintura Interior</t>
  </si>
  <si>
    <t>15.2</t>
  </si>
  <si>
    <t>15.3</t>
  </si>
  <si>
    <t>Pintura de Tumbado</t>
  </si>
  <si>
    <t>1</t>
  </si>
  <si>
    <t>Limpieza y Desbroce del Terreno</t>
  </si>
  <si>
    <t>2.</t>
  </si>
  <si>
    <t>1.1</t>
  </si>
  <si>
    <t>1.2</t>
  </si>
  <si>
    <t>1.3</t>
  </si>
  <si>
    <t>2.1</t>
  </si>
  <si>
    <t>2.2</t>
  </si>
  <si>
    <t>3</t>
  </si>
  <si>
    <t>3.1</t>
  </si>
  <si>
    <t>3.2</t>
  </si>
  <si>
    <t>3.3</t>
  </si>
  <si>
    <t>4</t>
  </si>
  <si>
    <t>4.1</t>
  </si>
  <si>
    <t>Columnas de Hormigón Armado F'c = 2</t>
  </si>
  <si>
    <t>4.2</t>
  </si>
  <si>
    <r>
      <t>Losas de Cubierta f'c = 210 Kg/cm</t>
    </r>
    <r>
      <rPr>
        <vertAlign val="superscript"/>
        <sz val="12"/>
        <rFont val="Times New Roman"/>
        <family val="1"/>
      </rPr>
      <t>2</t>
    </r>
  </si>
  <si>
    <t>4.3</t>
  </si>
  <si>
    <t>4.4</t>
  </si>
  <si>
    <t>Loseta de closet, lavatorio y dormitorio</t>
  </si>
  <si>
    <t>4.5</t>
  </si>
  <si>
    <t>Vigueta 0,2 x 0,1</t>
  </si>
  <si>
    <t>5</t>
  </si>
  <si>
    <t>5.1</t>
  </si>
  <si>
    <t>5.2</t>
  </si>
  <si>
    <t>5.3</t>
  </si>
  <si>
    <t>Paredes de (Muros de piedra)</t>
  </si>
  <si>
    <t>5.4</t>
  </si>
  <si>
    <t>Diteles</t>
  </si>
  <si>
    <t>6</t>
  </si>
  <si>
    <t>6.1</t>
  </si>
  <si>
    <t>Enlucidos interiores</t>
  </si>
  <si>
    <t>6.2</t>
  </si>
  <si>
    <t>6.3</t>
  </si>
  <si>
    <t>6.4</t>
  </si>
  <si>
    <t>6.5</t>
  </si>
  <si>
    <t>7</t>
  </si>
  <si>
    <t>Intalación Eléctrica</t>
  </si>
  <si>
    <t>7.1</t>
  </si>
  <si>
    <t>Material de conexión de la red (inc tablero)</t>
  </si>
  <si>
    <t>7.2</t>
  </si>
  <si>
    <t>7.3</t>
  </si>
  <si>
    <t>7.4</t>
  </si>
  <si>
    <t>Luminaria colgante con lámpara incadescente de 100 w - 120 v</t>
  </si>
  <si>
    <t>7.5</t>
  </si>
  <si>
    <t>7.6</t>
  </si>
  <si>
    <t>Protección para la intemperie de lámpara incadescente</t>
  </si>
  <si>
    <t>7.7</t>
  </si>
  <si>
    <t>7.8</t>
  </si>
  <si>
    <t>Interruptor dobre de 15 amp - 120 v</t>
  </si>
  <si>
    <t>7.9</t>
  </si>
  <si>
    <t>7.10</t>
  </si>
  <si>
    <t>Acometida interior a cada de breacker</t>
  </si>
  <si>
    <t>8</t>
  </si>
  <si>
    <t>8.1</t>
  </si>
  <si>
    <t>8.2</t>
  </si>
  <si>
    <t>Tub de PVC presión 3/4 " roscable (inc accesorio)</t>
  </si>
  <si>
    <t>8.3</t>
  </si>
  <si>
    <t xml:space="preserve">Válvula de control 1/2 " </t>
  </si>
  <si>
    <t>8.4</t>
  </si>
  <si>
    <t>8.5</t>
  </si>
  <si>
    <t>Tub PVC desagüe 4 " (inc accesorio)</t>
  </si>
  <si>
    <t>8.6</t>
  </si>
  <si>
    <t>Tub PVC desagüe 2 " (inc accesorio)</t>
  </si>
  <si>
    <t>8.7</t>
  </si>
  <si>
    <t>8.8</t>
  </si>
  <si>
    <t>8.9</t>
  </si>
  <si>
    <t>Inodoro Blanco</t>
  </si>
  <si>
    <t>9</t>
  </si>
  <si>
    <t>Tub de PVC presión 1/2 " roscable (inc accesorio)</t>
  </si>
  <si>
    <t>9.1</t>
  </si>
  <si>
    <t>Cerámica en baño</t>
  </si>
  <si>
    <t>9.2</t>
  </si>
  <si>
    <t>Revestimiento de Piedra de río</t>
  </si>
  <si>
    <t>9.3</t>
  </si>
  <si>
    <t>10</t>
  </si>
  <si>
    <t>Contrapiso e = 8 cm</t>
  </si>
  <si>
    <t>Sumin e Inst Puerta de Laurel (0,7 x 2,0)</t>
  </si>
  <si>
    <t>11.2</t>
  </si>
  <si>
    <t>Sumin e Inst Puerta de Laurel (0,7 x 1,4)</t>
  </si>
  <si>
    <t>Cerradura de Puerta Baño</t>
  </si>
  <si>
    <t>Aluminio y Vidrio</t>
  </si>
  <si>
    <t>Ventanas Celosia (Aluminio y Vidrio)</t>
  </si>
  <si>
    <t>14.3</t>
  </si>
  <si>
    <t>2</t>
  </si>
  <si>
    <t>Excavación a Pulso y Desalojo</t>
  </si>
  <si>
    <t>Descanso sobre durmiente Chanul 8" x 8"</t>
  </si>
  <si>
    <t>Columnas de Chanul 8" x 8"</t>
  </si>
  <si>
    <t>Loseta de mesón</t>
  </si>
  <si>
    <t>Paredes de (muros de piedra)</t>
  </si>
  <si>
    <t>Cubierta de Cade</t>
  </si>
  <si>
    <t>De piedra pequeña</t>
  </si>
  <si>
    <t>De piedras varias</t>
  </si>
  <si>
    <t>Piso de piedra</t>
  </si>
  <si>
    <t>Piso de material propio (compactado)</t>
  </si>
  <si>
    <t>Sumin e Inst Puerta movible (0,9 x 0,6)</t>
  </si>
  <si>
    <t>Sumin e Inst Puerta movible (0,5 x 0,6)</t>
  </si>
  <si>
    <t>Tapa de madera (recubierta con lata gal)</t>
  </si>
  <si>
    <t>TOTAL CENTRO DE INTERPRETACION</t>
  </si>
  <si>
    <t>Instalación Provisional de Agua</t>
  </si>
  <si>
    <t>Instalación Provisional de Luz</t>
  </si>
  <si>
    <t>1.4</t>
  </si>
  <si>
    <t>Muelle</t>
  </si>
  <si>
    <t>2.3</t>
  </si>
  <si>
    <t>Pilotes de H.A. D=30cm f'c=280kg/cm2 (inc incado)</t>
  </si>
  <si>
    <t>Rotura de Cabeza de pilote</t>
  </si>
  <si>
    <t>Losas de Piso f'c= 210 kg/cm2</t>
  </si>
  <si>
    <t>Hormigon A. De Viga</t>
  </si>
  <si>
    <t>Pasamanos metálico</t>
  </si>
  <si>
    <t>Pasamano y barandas de seguridad</t>
  </si>
  <si>
    <t>Pilarete de Madera (L=2.8 mts)</t>
  </si>
  <si>
    <t>Muelle Flotante</t>
  </si>
  <si>
    <t>Rampa de Madera</t>
  </si>
  <si>
    <t>Pilotes de H.A. D= 30 cm f'c = 280 kg/cm2 (inc incado)</t>
  </si>
  <si>
    <t>Pilote de H.A. 40 x 40 cm (inc incado)</t>
  </si>
  <si>
    <t>9.4</t>
  </si>
  <si>
    <t>9.5</t>
  </si>
  <si>
    <t>Flotadores de polietileno (0,80 x 1,60 mts)</t>
  </si>
  <si>
    <t>9.6</t>
  </si>
  <si>
    <t>Pasamano Metálico</t>
  </si>
  <si>
    <t>9.7</t>
  </si>
  <si>
    <t>Plataforma de Madera</t>
  </si>
  <si>
    <t>9.8</t>
  </si>
  <si>
    <t>Viga Metálica</t>
  </si>
  <si>
    <t>9.9</t>
  </si>
  <si>
    <t>Pilotes de Mangle d = 28 cm x 12 varas (inc incado)</t>
  </si>
  <si>
    <t>Amarradas con cables de acero d = 3/4" y grilletes (40m)</t>
  </si>
  <si>
    <t xml:space="preserve">    </t>
  </si>
  <si>
    <t>Sondeo Exploratorio</t>
  </si>
  <si>
    <t>Pilotes de H.A. d = 25 cm f'c = 280 kg/cm2 (incluye incado)</t>
  </si>
  <si>
    <t>Muro de piedra Base</t>
  </si>
  <si>
    <t>Suministro e Instalación de Viga Prefabricada (0,20 x 0,30) M. F'c = 210 kg/cm2 L = 2,20 M</t>
  </si>
  <si>
    <t>Suministro e Instalación de Viga Prefabricada (0,20 x 0,30) M. F'c = 210 kg/cm2 L = 4,50 M</t>
  </si>
  <si>
    <t>Señal Informativa</t>
  </si>
  <si>
    <t>Tablero Informativo</t>
  </si>
  <si>
    <t>Acabados</t>
  </si>
  <si>
    <t>Acabado de Obra básica existente</t>
  </si>
  <si>
    <t>Nivelación</t>
  </si>
  <si>
    <t>Base de Piedra (9 x 1,35 x 2)</t>
  </si>
  <si>
    <t>Plintos (0,8 x 1 x 0,3)</t>
  </si>
  <si>
    <t>1.5</t>
  </si>
  <si>
    <t>1.6</t>
  </si>
  <si>
    <t>1.7</t>
  </si>
  <si>
    <t>1.8</t>
  </si>
  <si>
    <t>Tiras Transversales para Cubierta</t>
  </si>
  <si>
    <t>1.9</t>
  </si>
  <si>
    <t>Cubierta tipo ondulado</t>
  </si>
  <si>
    <t>1.10</t>
  </si>
  <si>
    <t>Replantillo</t>
  </si>
  <si>
    <t>1.11</t>
  </si>
  <si>
    <t>Asiento de Madera</t>
  </si>
  <si>
    <t>Glorieta</t>
  </si>
  <si>
    <t>2.4</t>
  </si>
  <si>
    <t>2.5</t>
  </si>
  <si>
    <t>2.6</t>
  </si>
  <si>
    <t>2.7</t>
  </si>
  <si>
    <t>Pasamanos de Madera</t>
  </si>
  <si>
    <t>1.12</t>
  </si>
  <si>
    <t>Puentes Pequeños (3)</t>
  </si>
  <si>
    <t>Riostras (3 x .2 x .3)</t>
  </si>
  <si>
    <t>Pilares (2,3 x .2 x .2)</t>
  </si>
  <si>
    <t>Viga de Amarre ( 3 x .2 x .2)</t>
  </si>
  <si>
    <t>Viga de Cubierta (3,1 x .2 x .2)</t>
  </si>
  <si>
    <t>Viga Principal de Hormigon (25 x .25 x .25)</t>
  </si>
  <si>
    <t>Viguetas de Hormigon (10 x .2 x .2 x 14)</t>
  </si>
  <si>
    <t>Muro de Hormigon (1,5 x 1 x ,3)</t>
  </si>
  <si>
    <t>Zapata Corrida (1,5 x ,3 x 1)</t>
  </si>
  <si>
    <t>Tablones</t>
  </si>
  <si>
    <t>Tiras Transversales</t>
  </si>
  <si>
    <t>Barandas</t>
  </si>
  <si>
    <t>m</t>
  </si>
  <si>
    <t>Gradas</t>
  </si>
  <si>
    <t>Excavación y Desalojo</t>
  </si>
  <si>
    <t>Escalones</t>
  </si>
  <si>
    <t>Relleno de Ripio y Compactado</t>
  </si>
  <si>
    <t>Letrina de Pozo Seco</t>
  </si>
  <si>
    <t>Caseta y Pozo</t>
  </si>
  <si>
    <t>Inodoro de Madera</t>
  </si>
  <si>
    <t>Basureros</t>
  </si>
  <si>
    <t>Canastas de Caña Guadua</t>
  </si>
  <si>
    <t>Limpieza y Desalojo Total</t>
  </si>
  <si>
    <t>INVERSION TOTAL</t>
  </si>
  <si>
    <t>d) BAÑOS DE ÁREA DE CAMPING</t>
  </si>
  <si>
    <t>e) BAR PICNIC</t>
  </si>
  <si>
    <t>TOTAL MUELLE SOLEDAD GRANDE</t>
  </si>
  <si>
    <t>TOTAL SENDERO LA FLORA</t>
  </si>
  <si>
    <t>TOTAL SENDERO EL MATE</t>
  </si>
  <si>
    <t>TOTAL INVERSION</t>
  </si>
  <si>
    <t>PORCENTAJE (%)</t>
  </si>
  <si>
    <t>3. EQUIPOS DE OFICINA</t>
  </si>
  <si>
    <t>1. EDIFICACIONES EN EL AREA DE PICNIC (CENTRO DE INTERPRETACION) *</t>
  </si>
  <si>
    <t>2. OBRAS FISICAS **</t>
  </si>
  <si>
    <t>*.- Ver Anexo (De las edificaciones del Centro de Interpretacion)</t>
  </si>
  <si>
    <t>**.- Ver Anexo (del presupuesto de la adecuación de esos senderos)</t>
  </si>
  <si>
    <t>SUBTOTAL o CANT x UNID</t>
  </si>
  <si>
    <t>-</t>
  </si>
  <si>
    <t xml:space="preserve">    a) Vía de Acceso y Parquedero</t>
  </si>
  <si>
    <t xml:space="preserve">    b) Trabajos Generales</t>
  </si>
  <si>
    <t xml:space="preserve">    c) Vivienda de Información de Guardaparques</t>
  </si>
  <si>
    <t xml:space="preserve">    d) Baños de área de Camping</t>
  </si>
  <si>
    <t xml:space="preserve">    e) Bar Picnic</t>
  </si>
  <si>
    <t xml:space="preserve">    a) Camas</t>
  </si>
  <si>
    <t xml:space="preserve">    b) Sillas</t>
  </si>
  <si>
    <t xml:space="preserve">    c) Mesas</t>
  </si>
  <si>
    <t xml:space="preserve">    d) Refrigeradora</t>
  </si>
  <si>
    <t>PRECIO</t>
  </si>
  <si>
    <t>FOCOS</t>
  </si>
  <si>
    <t>SABANAS E IMPLEMENTOS DE DORMITORIOS</t>
  </si>
  <si>
    <t>COLCHONES</t>
  </si>
  <si>
    <t>LAMPARAS</t>
  </si>
  <si>
    <t>****.- Ver Anexo de Implementos de Limpieza y Mantenimiento</t>
  </si>
  <si>
    <t>ESCOBAS</t>
  </si>
  <si>
    <t>BASUREROS</t>
  </si>
  <si>
    <t>TOALLAS</t>
  </si>
  <si>
    <t>RECOJEDORES</t>
  </si>
  <si>
    <t>PALAS</t>
  </si>
  <si>
    <t>PICOS</t>
  </si>
  <si>
    <t>RASTRILLOS</t>
  </si>
  <si>
    <t>ARTICULOS DE BAÑO</t>
  </si>
  <si>
    <t>I. INVERSIÓN FIJA</t>
  </si>
  <si>
    <t xml:space="preserve">    f) Ventiladores</t>
  </si>
  <si>
    <t>CAPITAL DE OPERACIÓN</t>
  </si>
  <si>
    <t>CANITDAD</t>
  </si>
  <si>
    <t>COSTO</t>
  </si>
  <si>
    <t>Gastos Administrativos</t>
  </si>
  <si>
    <t>Promotor de la Reserva</t>
  </si>
  <si>
    <t>Jefe de Guardaparques y Guías</t>
  </si>
  <si>
    <t>Guardaparques</t>
  </si>
  <si>
    <t xml:space="preserve">Guías </t>
  </si>
  <si>
    <t>Gastos en Servicios Básicos</t>
  </si>
  <si>
    <t>Gastos en Publicidad</t>
  </si>
  <si>
    <t>Materiales Indirectos</t>
  </si>
  <si>
    <t>OBSERVACIÓN</t>
  </si>
  <si>
    <t>Suministros de oficina, materiales de mantenimiento y limpieza, y combustible.</t>
  </si>
  <si>
    <r>
      <t>Nota:</t>
    </r>
    <r>
      <rPr>
        <sz val="10"/>
        <rFont val="Arial"/>
        <family val="0"/>
      </rPr>
      <t xml:space="preserve"> Los Costos del Capital de Operación, estan evaluados para 2 meses de operación de la Reserva hasta que los flujos de Ingresos empieceen a cubrir los gastos.</t>
    </r>
  </si>
  <si>
    <t xml:space="preserve">Meses: </t>
  </si>
  <si>
    <t>Entraría en el análisis económico del proyecto, los gastos de los guardaparques ya contratados.</t>
  </si>
  <si>
    <t>IMPLEMENTOS DE MANTENIMIENTO Y LIMPIEZA</t>
  </si>
  <si>
    <t>GASTOS DE PUBLICIDAD</t>
  </si>
  <si>
    <t>AÑO 1</t>
  </si>
  <si>
    <t>Tripticos</t>
  </si>
  <si>
    <t>Volantes</t>
  </si>
  <si>
    <t>Webhosting</t>
  </si>
  <si>
    <t>Anuncio en Revista (1 pagina)</t>
  </si>
  <si>
    <t>Camisetas</t>
  </si>
  <si>
    <t>Gorras</t>
  </si>
  <si>
    <t>Llaveros</t>
  </si>
  <si>
    <t>Plumas</t>
  </si>
  <si>
    <t>Lápices</t>
  </si>
  <si>
    <t>Adhesivos</t>
  </si>
  <si>
    <t>Relaciones Públicas</t>
  </si>
  <si>
    <t>Afiches (Tabloide)</t>
  </si>
  <si>
    <t xml:space="preserve">Cantidad </t>
  </si>
  <si>
    <t>Precio</t>
  </si>
  <si>
    <t>Total</t>
  </si>
  <si>
    <t>Esto da un total de</t>
  </si>
  <si>
    <t>en Gastos de Publicidad de los primeros 2 meses.</t>
  </si>
  <si>
    <t>* En el primer año se están incluyendo los gastos en publicidad de los primeros meses, que se han incluido en el Capital de Operación</t>
  </si>
  <si>
    <t>Corresponden al 100% de afiches: $30; al 50% de tripticos y volantes: $30 + $60 + $80 y al costo de dos meses de los gastos de gorras, llaveros, plumas, lápices, plumas,   lápices y adhesivos: $20 + $20.83 +$12.5 + $8.33 + $25.</t>
  </si>
  <si>
    <t>Este gasto se producirá en el primer mes de operación.</t>
  </si>
  <si>
    <t>Recepcionista / Cajera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</si>
  <si>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</si>
  <si>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</si>
  <si>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</si>
  <si>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</si>
  <si>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</si>
  <si>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</si>
  <si>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</si>
  <si>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</si>
  <si>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</si>
  <si>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Incremento Anual de Gastos en Publicidad:</t>
  </si>
  <si>
    <t>Jefe Administrativo</t>
  </si>
  <si>
    <t>ESTADO DE RESULTADOS</t>
  </si>
  <si>
    <t>Descripcion</t>
  </si>
  <si>
    <t>Año 1</t>
  </si>
  <si>
    <t>INGRESOS</t>
  </si>
  <si>
    <t>Mano de Obra Directa</t>
  </si>
  <si>
    <t>Gastos de Publicidad</t>
  </si>
  <si>
    <t>UTILIDAD OPERACIONAL</t>
  </si>
  <si>
    <t>Gastos Financieros</t>
  </si>
  <si>
    <t>UTILIDAD NETA</t>
  </si>
  <si>
    <t>UTILIDAD ACUMULADA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</si>
  <si>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</si>
  <si>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</si>
  <si>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</si>
  <si>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</si>
  <si>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</si>
  <si>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</si>
  <si>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</si>
  <si>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</si>
  <si>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</si>
  <si>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(en dólares)</t>
  </si>
  <si>
    <t>GASTOS DE ADMINISTRACION</t>
  </si>
  <si>
    <t>Gastos de Comunicación</t>
  </si>
  <si>
    <t xml:space="preserve">Combustible </t>
  </si>
  <si>
    <t>MANO DE OBRA DIRECTA</t>
  </si>
  <si>
    <t>Incremento anual:</t>
  </si>
  <si>
    <t>MATERIALES INDIRECTOS DE OPERACIÓN</t>
  </si>
  <si>
    <t>Combustible de lanchas</t>
  </si>
  <si>
    <t>Materiales de Limpieza</t>
  </si>
  <si>
    <t>Accesorios y otros materiales</t>
  </si>
  <si>
    <t>Mantenimiento de Vehículos</t>
  </si>
  <si>
    <t>Sendero El Mate</t>
  </si>
  <si>
    <t>Sendero La Cascada</t>
  </si>
  <si>
    <t>Sendero La Flora</t>
  </si>
  <si>
    <t xml:space="preserve">    a) Muelle Soledad Grande (muelle del estero de Churute)</t>
  </si>
  <si>
    <t>CAPACIDAD DE OFERTA DE LOS SENDEROS Y CIRCUITOS DE LA RESERVA ECOLOGICA MANGLARES DE CHURUTE</t>
  </si>
  <si>
    <t>Sendero El Mirador</t>
  </si>
  <si>
    <t>1) Basada en la determinación de la capacidad de carga real, que cada sendero puede soportar; y la capacidad de manejo que la administración de la Reserva pueda atender de esta capacidad real, se determinan los siguientes flujos.</t>
  </si>
  <si>
    <t>2) La Capacidad de Carga Efeciva es la determinación de la Capacidad de Oferta que pueda ofrecer a los visitantes de la Reserva.</t>
  </si>
  <si>
    <t>CAPACIDAD DE OFERTA</t>
  </si>
  <si>
    <t>Junio a Diciembre</t>
  </si>
  <si>
    <t>Enero a Mayo</t>
  </si>
  <si>
    <t>Junio a Diciembre:</t>
  </si>
  <si>
    <t>Enero a Mayo:</t>
  </si>
  <si>
    <t>Periódos de Oferta</t>
  </si>
  <si>
    <t>Total días de Atención</t>
  </si>
  <si>
    <t>Total de Grupos por Año</t>
  </si>
  <si>
    <t>3) Se hace la división del Período de Oferta entre Junio y Diciembre; y entre Enero y Mayo, para diferenciar el período seco con la temporada de lluvias.</t>
  </si>
  <si>
    <t>No. De Grupos por día</t>
  </si>
  <si>
    <t>TOTAL ANUAL</t>
  </si>
  <si>
    <t>Senderos o Circuitos de Paseos   (Servicios de Oferta)</t>
  </si>
  <si>
    <t>Circuito Estero de Churute</t>
  </si>
  <si>
    <t>Tiempo de Duración (horas)</t>
  </si>
  <si>
    <t>Nota:</t>
  </si>
  <si>
    <t>No. De Grupos por día (Temporada Seca - Junio a Diciembre)</t>
  </si>
  <si>
    <t>No. De Grupos por día (Temporada Seca - Enero a Mayo)</t>
  </si>
  <si>
    <t>Cantidad de Personas por Dïa</t>
  </si>
  <si>
    <t>Número de persona por día:</t>
  </si>
  <si>
    <t>Ingreso en Temporada Seca por Día</t>
  </si>
  <si>
    <t>Ingreso en Temporada Lluviosa por Día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</si>
  <si>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</si>
  <si>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</si>
  <si>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</si>
  <si>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</si>
  <si>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</si>
  <si>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</si>
  <si>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</si>
  <si>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</si>
  <si>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</si>
  <si>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</si>
  <si>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</si>
  <si>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</si>
  <si>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a) Furgoneta</t>
  </si>
  <si>
    <t xml:space="preserve">    b) Bote</t>
  </si>
  <si>
    <t>DEMANDA POTENCIAL DEL TURISMO EXTRANJERO</t>
  </si>
  <si>
    <t>Llegadas de Turistas en el 2002:</t>
  </si>
  <si>
    <t>miles de personas</t>
  </si>
  <si>
    <t>*</t>
  </si>
  <si>
    <t>Promedio de Crecimiento desde 1996:</t>
  </si>
  <si>
    <t>Estimación de llegadas de turistas extranjeros, basados en el promedio histórico para el 2004:</t>
  </si>
  <si>
    <t>Porcentaje de Turistas que vienen por Vacaciones:</t>
  </si>
  <si>
    <t>Turistas que vienen por motivos Vacacionales:</t>
  </si>
  <si>
    <t>Porcentaje de Turistas que visitan la ciudad de Guayaquil:</t>
  </si>
  <si>
    <t>Turistas que visitan la ciudad de Guayaquil por Vacaciones:</t>
  </si>
  <si>
    <t>Porcentaje de turistas mayores de 18 años:</t>
  </si>
  <si>
    <t>Turistas mayores a 18 años que visitan la ciudad de Guayaquil por motivo de Vacaciones:</t>
  </si>
  <si>
    <t>Porcentaje de Turistas Extranjeros que gustan del Turismo Ecológico:</t>
  </si>
  <si>
    <t>Estimacion de los Turistas Extranjeros que gustan del Turismo Ecológico en Guayaquil:</t>
  </si>
  <si>
    <t>DEMANDA POTENCIAL DEL TURISMO NACIONAL</t>
  </si>
  <si>
    <t>Población de la Ciudad de Guayaquil al 2002:</t>
  </si>
  <si>
    <t>personas</t>
  </si>
  <si>
    <t>Porcentaje de la población que realizan viajes turísticos:</t>
  </si>
  <si>
    <t>Estimación de la Población de Guayaquil que realizan viajes turísticos:</t>
  </si>
  <si>
    <t>Porcentaje de los Turistas Nacionales gustan del Turismo Ecológico:</t>
  </si>
  <si>
    <t>Estimación de los turistas de la ciudad de Guayaquil que gustan del Turismo Ecológico:</t>
  </si>
  <si>
    <t>Grupos de 8 a 12 personas (promedio de 10) - Incluido el Guía</t>
  </si>
  <si>
    <t>Total de visitantes (promedio) - 9 personas más el guía</t>
  </si>
  <si>
    <t xml:space="preserve">INGRESOS POR TURISTAS NACIONALES </t>
  </si>
  <si>
    <t>INGRESO POR TURISTAS EXTRANJEROS</t>
  </si>
  <si>
    <t>Estimación o Meta de la Captación de la Demanda del Plan de Marketing::</t>
  </si>
  <si>
    <t>de la Demanda Potencial de los Turistas Extranjeros</t>
  </si>
  <si>
    <t>Meta de visitas de Turistas Extranjeros a la Reserva Manglares de Churute:</t>
  </si>
  <si>
    <t>DEMANDA POTENCIAL TOTAL DE TURISTAS EXTRANJEROS Y NACIONALES:</t>
  </si>
  <si>
    <t>Meta de visitas de Turistas Nacionale y Extranjeros:</t>
  </si>
  <si>
    <t>Turistas Extranjeros</t>
  </si>
  <si>
    <t>Turistas Nacionales</t>
  </si>
  <si>
    <t>TOTAL   (Turistas)</t>
  </si>
  <si>
    <t>Porcentaje</t>
  </si>
  <si>
    <t>Meta de visitas de Turistas Nacionales (Guayaquileños) a la Reserva Manglares de Churute:</t>
  </si>
  <si>
    <t>Porcentajes de Visitantes Extranjeros por Mes</t>
  </si>
  <si>
    <t>Visitantes Extranjeros por Mes - Estimados</t>
  </si>
  <si>
    <t>Capacidad total de visitantes (promedio) - 9 personas sin incluir guía - AÑO</t>
  </si>
  <si>
    <t>Total de Capacidad de Enero a Mayo - 9 personas</t>
  </si>
  <si>
    <t>Total de Capacidad de Junio a Diciembre - 9 personas</t>
  </si>
  <si>
    <t>Capacida de Oferta por Mes</t>
  </si>
  <si>
    <t xml:space="preserve">Junio a Diciembre </t>
  </si>
  <si>
    <t>Cantidad de Visitante x Mes</t>
  </si>
  <si>
    <t>Porcentajes de Visitantes Nacionales por Mes</t>
  </si>
  <si>
    <t>Visitantes Nacionales por Mes - Estimados</t>
  </si>
  <si>
    <t>Precio del Sendero o Paseo</t>
  </si>
  <si>
    <t>Porcentaje de Preferencias de los Senderos</t>
  </si>
  <si>
    <t>Característica de Recorrido</t>
  </si>
  <si>
    <t>Inclinación Media</t>
  </si>
  <si>
    <t>Inclinación Pronunciada</t>
  </si>
  <si>
    <t>Paseo en Bote</t>
  </si>
  <si>
    <t>Porcentaje de Preferencia de los Visitantes Nacionales</t>
  </si>
  <si>
    <t>Porcentaje de Preferencia de los Visitantes Extranjeros</t>
  </si>
  <si>
    <t>Total Visitantes Extranjeros por Año</t>
  </si>
  <si>
    <t>Total de Ingresos de Visitantes Extrajeros por año</t>
  </si>
  <si>
    <t>TOTAL DE VISITANTES NACIONALES Y EXTRANJEROS</t>
  </si>
  <si>
    <t>TOTAL DE INGRESOS NACIONALES Y EXTRANJEROS</t>
  </si>
  <si>
    <t>Precio de los Senderos o Paseos</t>
  </si>
  <si>
    <t>Total Visitantes Nacionales por Año</t>
  </si>
  <si>
    <t>Total de Ingresos de Visitantes Nacionales por año</t>
  </si>
  <si>
    <t>Total Visitantes por Año</t>
  </si>
  <si>
    <t xml:space="preserve">Total de Ingresos por Año </t>
  </si>
  <si>
    <t>Total de Ingresos</t>
  </si>
  <si>
    <t>PROGRAMAS DE CAPACITACION</t>
  </si>
  <si>
    <t>INGRESOS DEL PROYECTO</t>
  </si>
  <si>
    <t>Entre 30 min y 1 h</t>
  </si>
  <si>
    <t>Entre 1h y 1h30</t>
  </si>
  <si>
    <t>Entre 1h30 y 2h</t>
  </si>
  <si>
    <t>Entre 2h y 3h</t>
  </si>
  <si>
    <t>Mas de 3h</t>
  </si>
  <si>
    <t>Montaña pronunciada</t>
  </si>
  <si>
    <t>Count</t>
  </si>
  <si>
    <t>% of Total</t>
  </si>
  <si>
    <t>Montaña media</t>
  </si>
  <si>
    <t>Llanura</t>
  </si>
  <si>
    <t>Bote</t>
  </si>
  <si>
    <t>Montaña pronunciada y montaña media</t>
  </si>
  <si>
    <t>Montaña pronunciada y bote</t>
  </si>
  <si>
    <t>Montaña media y llanura</t>
  </si>
  <si>
    <t>Montaña media y bote</t>
  </si>
  <si>
    <t>Llanura y bote</t>
  </si>
  <si>
    <t>Montaña pronunciada, media y llanura</t>
  </si>
  <si>
    <t>Montaña pronunciada, media y bote</t>
  </si>
  <si>
    <t>Montaña media, llanura y bote</t>
  </si>
  <si>
    <t>todas</t>
  </si>
  <si>
    <t>TIPOS DE RECORRIDOS</t>
  </si>
  <si>
    <t>PERMANENCIA</t>
  </si>
  <si>
    <t>Porcentaje de Preferencia de los Visitantes Nacionales        %</t>
  </si>
  <si>
    <t>Porcentaje de Preferencia de los Visitantes Extranjeros  %</t>
  </si>
  <si>
    <t>TIEMPO RECORRIDO</t>
  </si>
  <si>
    <t>1H30 A 2H00</t>
  </si>
  <si>
    <t>1H00 A 1H30</t>
  </si>
  <si>
    <t>30 MIN A 1H00</t>
  </si>
  <si>
    <t>MÁS 3H00</t>
  </si>
  <si>
    <t>2H00 A 3H00 O MÁS</t>
  </si>
  <si>
    <t>Tipo de Recorridos * Permanencia * NAC Crosstabulation</t>
  </si>
  <si>
    <t>TIPOS DE RECORRIDOS - NACIONALES</t>
  </si>
  <si>
    <t>TIPOS DE RECORRIDOS - EXTRANJEROS</t>
  </si>
  <si>
    <t>%</t>
  </si>
  <si>
    <t>TOTALES DE RECORRIDOS</t>
  </si>
  <si>
    <t>TOTALES DE PERMANENCIA</t>
  </si>
  <si>
    <t>PERMANENCIA Y TIPO DE RECORRIDOS DE TURISTAS NACIONALES</t>
  </si>
  <si>
    <t>PERMANENCIA Y TIPO DE RECORRIDOS DE TURISTAS EXTRANJEROS</t>
  </si>
  <si>
    <t>Rango de Tiempo de Recorrido</t>
  </si>
  <si>
    <t>2H00 A 3H00</t>
  </si>
  <si>
    <t xml:space="preserve">Porcentaje de Preferencia de los Visitantes Nacionales        </t>
  </si>
  <si>
    <t xml:space="preserve">Porcentaje de Preferencia de los Visitantes Extranjeros         </t>
  </si>
  <si>
    <t xml:space="preserve">Totales </t>
  </si>
  <si>
    <t>Capacidad de Utilización en el 62%</t>
  </si>
  <si>
    <t>GASTOS DE DEPRECIACION</t>
  </si>
  <si>
    <t>GASTOS FINANCIEROS</t>
  </si>
  <si>
    <t>Vehículos</t>
  </si>
  <si>
    <t xml:space="preserve">    c) Archivador</t>
  </si>
  <si>
    <t xml:space="preserve">    d) Aires Acondicionado</t>
  </si>
  <si>
    <t xml:space="preserve">    e) Telefonos</t>
  </si>
  <si>
    <t xml:space="preserve">    f) Teléfonos Celulares</t>
  </si>
  <si>
    <t xml:space="preserve">    g) Equipos de fax</t>
  </si>
  <si>
    <t xml:space="preserve">    h) Intercomunicadores</t>
  </si>
  <si>
    <t xml:space="preserve">    a) Escritorios</t>
  </si>
  <si>
    <t>4. EQUIPOS DE COMPUTACION</t>
  </si>
  <si>
    <t xml:space="preserve">    a) Computadora e Impresora</t>
  </si>
  <si>
    <t>Edificaciones en el área de Picnic</t>
  </si>
  <si>
    <t>Otras Edificaciones (Obras Físicas)</t>
  </si>
  <si>
    <t>Valor Actual</t>
  </si>
  <si>
    <t>Vida Útil</t>
  </si>
  <si>
    <t>Equipos de Oficina</t>
  </si>
  <si>
    <t>Equipos de Computación</t>
  </si>
  <si>
    <t>Muebles y Enseres</t>
  </si>
  <si>
    <t xml:space="preserve">    d) Arreglo de la Valla de la entrada</t>
  </si>
  <si>
    <t>GASTOS DE PUESTA EN MARCHA</t>
  </si>
  <si>
    <t>Implementos de Mantenimiento y Limpieza</t>
  </si>
  <si>
    <t>MONTO</t>
  </si>
  <si>
    <t>Gastos Iniciales</t>
  </si>
  <si>
    <t>GASTOS INICIALES</t>
  </si>
  <si>
    <t>Otros Gastos de Puesta en Marcha</t>
  </si>
  <si>
    <t>II. INVERSION DIFERIDA</t>
  </si>
  <si>
    <t>***.- Ver Anexo de Gastos Iniciales</t>
  </si>
  <si>
    <t xml:space="preserve">    b) Implementos de mantenimiento y limpieza ****</t>
  </si>
  <si>
    <t xml:space="preserve">    a) Gastos Iniciales ***</t>
  </si>
  <si>
    <t xml:space="preserve">    c) Otros Gastos de Puesta en Marcha</t>
  </si>
  <si>
    <t>III. CAPITAL DE OPERACIÓN</t>
  </si>
  <si>
    <t>Metodo de Depreciación</t>
  </si>
  <si>
    <t>Línea Recta</t>
  </si>
  <si>
    <t>PERIODOS</t>
  </si>
  <si>
    <t>INTERES</t>
  </si>
  <si>
    <t>CAPITAL</t>
  </si>
  <si>
    <t>DIVIDENDOS</t>
  </si>
  <si>
    <t>SALDO CAPITAL</t>
  </si>
  <si>
    <t xml:space="preserve">Tasa de Interes: </t>
  </si>
  <si>
    <t>Depreciación (+)</t>
  </si>
  <si>
    <t>Pago de Capital (-)</t>
  </si>
  <si>
    <t>Amortización (+)</t>
  </si>
  <si>
    <t>FLUJO NETO DE CAJA</t>
  </si>
  <si>
    <t>GASTOS DE AMORTIZACION</t>
  </si>
  <si>
    <t>Depreaciación Acumulada</t>
  </si>
  <si>
    <t>Implementos de mantenimiento y limpieza</t>
  </si>
  <si>
    <t>Gastos de Constitución</t>
  </si>
  <si>
    <t>Valor</t>
  </si>
  <si>
    <t>Consultorias</t>
  </si>
  <si>
    <t>Tiempo a Amortizar:</t>
  </si>
  <si>
    <t>años</t>
  </si>
  <si>
    <t>Llegada de Visitantes (Turistas) a Cerro Blanco en el 2002</t>
  </si>
  <si>
    <t>Llegada de Visitantes (Turistas) a Parque Histórico en el 2002</t>
  </si>
  <si>
    <r>
      <t>Meta de visitantes Turistas Extranjeros y Nacionales a la Reserva Manglares de Churute</t>
    </r>
    <r>
      <rPr>
        <sz val="10"/>
        <rFont val="Arial"/>
        <family val="0"/>
      </rPr>
      <t xml:space="preserve"> = </t>
    </r>
    <r>
      <rPr>
        <sz val="14"/>
        <rFont val="Arial"/>
        <family val="2"/>
      </rPr>
      <t>Media del total de la suma de las visitas de Cerro Blanco y Parque Histórico</t>
    </r>
  </si>
  <si>
    <t>Meta de visitantes Turistas Extranjeros y Nacionales a la Reserva Manglares de Churute =</t>
  </si>
  <si>
    <t>ESTIMACION DE LAS VISITAS A LA RESERVA MANGLARES DE CHURUTE</t>
  </si>
  <si>
    <t>3.4</t>
  </si>
  <si>
    <t>3.5</t>
  </si>
  <si>
    <t>3.6</t>
  </si>
  <si>
    <t>3.7</t>
  </si>
  <si>
    <t>3.8</t>
  </si>
  <si>
    <t>3.9</t>
  </si>
  <si>
    <t>4.6</t>
  </si>
  <si>
    <t>5.5</t>
  </si>
  <si>
    <t>5.6</t>
  </si>
  <si>
    <t>5.7</t>
  </si>
  <si>
    <t>5.8</t>
  </si>
  <si>
    <t>5.9</t>
  </si>
  <si>
    <t>4.7</t>
  </si>
  <si>
    <t>4.8</t>
  </si>
  <si>
    <t>4.9</t>
  </si>
  <si>
    <t>6.6</t>
  </si>
  <si>
    <t>FLUJO DE CAJA</t>
  </si>
  <si>
    <t>TOTAL INVERSION FIJA Y DIFERIDA</t>
  </si>
  <si>
    <t>Detalle</t>
  </si>
  <si>
    <t>Año 0</t>
  </si>
  <si>
    <t>Inversión Inicial</t>
  </si>
  <si>
    <t>Ingresos Operacionales</t>
  </si>
  <si>
    <t>Ingresos por Servicios (Ventas)</t>
  </si>
  <si>
    <t>Gastos de Operación</t>
  </si>
  <si>
    <t xml:space="preserve">   Gastos de Administración</t>
  </si>
  <si>
    <t xml:space="preserve">   Mano de Obra Directa</t>
  </si>
  <si>
    <t xml:space="preserve">   Materiales Indirectos</t>
  </si>
  <si>
    <t>GASTOS (-)</t>
  </si>
  <si>
    <t>Total Gastos (-)</t>
  </si>
  <si>
    <t>Total Gastos Operacionales (-)</t>
  </si>
  <si>
    <t>Ingresos No Operacionales</t>
  </si>
  <si>
    <t>Gastos de Depreciación (-)</t>
  </si>
  <si>
    <t>Gastos de Amorzitación (-)</t>
  </si>
  <si>
    <t>Gastos Financieros (-)</t>
  </si>
  <si>
    <t>(a) Total Flujo Operacional</t>
  </si>
  <si>
    <t>(b) Total Flujo No Operacional</t>
  </si>
  <si>
    <t>Pago de Capital</t>
  </si>
  <si>
    <t>Flujo Neto de Efectivo (a + b)</t>
  </si>
  <si>
    <t>Egresos Operacionales (-)</t>
  </si>
  <si>
    <t>Egresos No Operacionales(-)</t>
  </si>
  <si>
    <t>TIR:</t>
  </si>
  <si>
    <t>VAN:</t>
  </si>
  <si>
    <t xml:space="preserve">Tasa de Rendimiento: </t>
  </si>
  <si>
    <t>BALANCE GENERAL</t>
  </si>
  <si>
    <t>Activo Corrientes</t>
  </si>
  <si>
    <t xml:space="preserve">Caja y Bancos </t>
  </si>
  <si>
    <t>Total Activos Corrientes</t>
  </si>
  <si>
    <t>Activos Fijos</t>
  </si>
  <si>
    <t>Edificaciones</t>
  </si>
  <si>
    <t>Obras Fïsicas</t>
  </si>
  <si>
    <t>Activos Diferidos</t>
  </si>
  <si>
    <t>Puesta en Marcha</t>
  </si>
  <si>
    <t>Consultorías</t>
  </si>
  <si>
    <t>Total Activos Diferidos</t>
  </si>
  <si>
    <t>Amortización Acumulada (-)</t>
  </si>
  <si>
    <t>Depreciación Acumulada (-)</t>
  </si>
  <si>
    <t>TOTAL ACTIVOS</t>
  </si>
  <si>
    <t>Pasivos</t>
  </si>
  <si>
    <t>Pasivo a Corto Plazo</t>
  </si>
  <si>
    <t>Pasivo a Larzo Plazo</t>
  </si>
  <si>
    <t>Patrimonio</t>
  </si>
  <si>
    <t>Capital Propio</t>
  </si>
  <si>
    <t>Utilidad o Perdida del Ejercicio</t>
  </si>
  <si>
    <t>Utilidad Acumulada</t>
  </si>
  <si>
    <t>Total Pasivos</t>
  </si>
  <si>
    <t>Total Patrimonio</t>
  </si>
  <si>
    <t>TOTAL PASIVOS +  PATRIMONIO</t>
  </si>
  <si>
    <t xml:space="preserve">Total Activos Fijos </t>
  </si>
  <si>
    <t>(en dolates)</t>
  </si>
  <si>
    <t>CAPITAL PROPIO</t>
  </si>
  <si>
    <t>Saldo Inicial de Efectivo</t>
  </si>
  <si>
    <t>SALDO FINAL DE EFECTIVO</t>
  </si>
  <si>
    <t>TOTAL ACUMUADO</t>
  </si>
  <si>
    <t>TOTAL ACUMULADO</t>
  </si>
  <si>
    <t>PUNTO DE EQUILIBRIO</t>
  </si>
  <si>
    <t>Concepto</t>
  </si>
  <si>
    <t>Costo Fijo (En dólares - USD)</t>
  </si>
  <si>
    <t>Papelería y materiales de oficina</t>
  </si>
  <si>
    <t>Costo Variables (En dólares - USD)</t>
  </si>
  <si>
    <t>Gastos de Depreciación</t>
  </si>
  <si>
    <t>Gastos de Amorzitación</t>
  </si>
  <si>
    <t>PUNTO DE EQUILIBRIO (En dólares - USD)</t>
  </si>
  <si>
    <t>Ingresos</t>
  </si>
  <si>
    <t>Para el Año 1:</t>
  </si>
  <si>
    <t>PUNTO DE EQUILIBRIO =</t>
  </si>
  <si>
    <t>X : Número de Personas que llegarían a la Reserva</t>
  </si>
  <si>
    <t>PUNTOS DE EQUILIBRIOS POR PERSONAS Y SENDEROS</t>
  </si>
  <si>
    <t>Nacionales - Porcentaje de Preferencias de los Senderos</t>
  </si>
  <si>
    <t>Precio por Sendero</t>
  </si>
  <si>
    <t>Sendero</t>
  </si>
  <si>
    <t>TOTAL DE PERSONAS PARA EL PUNTO DE EQUILIBRIO</t>
  </si>
  <si>
    <t xml:space="preserve">Promedio de Porcentaje de Llegadas de Turistas Extranjeros = </t>
  </si>
  <si>
    <t xml:space="preserve">Promedio de Porcentaje de Llegadas de Turistas Nacionales = </t>
  </si>
  <si>
    <r>
      <t>Observación:</t>
    </r>
    <r>
      <rPr>
        <sz val="12"/>
        <rFont val="Arial"/>
        <family val="2"/>
      </rPr>
      <t xml:space="preserve"> La proyección del Balance General es considerando al final del Año.  La deuda de Corto Plazo es la amortizacion del Capital que hay q realizar en el corto plazo (próximo año), y el Pasivo a Largo Plazo es el saldo que quedaría para los próximos años.</t>
    </r>
  </si>
  <si>
    <t>** Todos los gastos de publicidad se incrementan a una razón de 5% por año.</t>
  </si>
  <si>
    <t>ANALISIS DE SENSIBILIDAD DEL PROYECTO</t>
  </si>
  <si>
    <t>Factor</t>
  </si>
  <si>
    <t>VAN</t>
  </si>
  <si>
    <t>TIR</t>
  </si>
  <si>
    <t>TMAR</t>
  </si>
  <si>
    <t>de la Demanda Potencial de los Turistas Nacionales</t>
  </si>
  <si>
    <t>Numero de Visitantes</t>
  </si>
  <si>
    <t>PERIODO DE RECUPERACIÓN DE LA INVERSION</t>
  </si>
  <si>
    <t>Año</t>
  </si>
  <si>
    <t>Flujo Operacional</t>
  </si>
  <si>
    <t>Flujo Descontado</t>
  </si>
  <si>
    <t>Flujo Acumulado</t>
  </si>
  <si>
    <t>TABLA PARA DETERMINACION DE LA DEMANDA</t>
  </si>
  <si>
    <t>DEMANDA POTENCIAL TOTAL DEL TURISMO ECOLÓGICO</t>
  </si>
  <si>
    <t xml:space="preserve">    b) Sendero El Mate (mantenimiento y culminación)</t>
  </si>
  <si>
    <t>Gastos de Concesión</t>
  </si>
  <si>
    <t>UTILIDAD NETA DESPUES DE PARTICIPACION DE MINISTERIO</t>
  </si>
  <si>
    <t>Inversión Menos Flujo Acumulado</t>
  </si>
  <si>
    <t>Participación del Ministerio - 15% (-)</t>
  </si>
  <si>
    <t>Participación del Ministerio (15%)</t>
  </si>
  <si>
    <t xml:space="preserve">    c) Sendero El Mirador</t>
  </si>
  <si>
    <t>TOTAL SENDERO LA MIRADOR</t>
  </si>
  <si>
    <t>SUBTOTAL DE INVERSION FIJA (sin imprevistos)</t>
  </si>
  <si>
    <t>SUBTOTAL DE INVERSION DIFERIDA</t>
  </si>
  <si>
    <t>Gastos en Capacitación y Educación</t>
  </si>
  <si>
    <t>Capacitacion al Personal</t>
  </si>
  <si>
    <t>Educación a la Comunidad</t>
  </si>
  <si>
    <t>Disminución de los Precios  en 15%</t>
  </si>
  <si>
    <t>Disminución de los Precios en 20%</t>
  </si>
  <si>
    <t>Disminución de la Cantidad de Visitantes en 10%</t>
  </si>
  <si>
    <t>Disminución de la Cantidad de Visitantes en 15%</t>
  </si>
  <si>
    <t>Disminución de la Cantidad de Visitantes en 20%</t>
  </si>
  <si>
    <t>Disminución de los Precios y la Cantidad de Visitas en 10%</t>
  </si>
  <si>
    <t>Disminución de los Precios y la Cantidad de Visitas en 15%</t>
  </si>
  <si>
    <t>Variacion</t>
  </si>
  <si>
    <t>DISMINUCION DE LA CANTIDAD DE VISITANTES EN 10%</t>
  </si>
  <si>
    <t>Situación Actual</t>
  </si>
  <si>
    <t>Disminución de los Precios  en 10%</t>
  </si>
  <si>
    <t>Kd: Costo del Prestamo (tasa de interes)</t>
  </si>
  <si>
    <t>Ke: Rentabilidad exigida del capital propio</t>
  </si>
  <si>
    <t>D: Monto de la Deuda</t>
  </si>
  <si>
    <t>P: Monto del Capital Propio</t>
  </si>
  <si>
    <t>V: Valor de la Empresa (D+P)</t>
  </si>
  <si>
    <t>CALCULO DE LA TMAR: Ko</t>
  </si>
  <si>
    <t>Gastos de Capacitación y Educación</t>
  </si>
  <si>
    <t>Total Costos Fijos</t>
  </si>
  <si>
    <t>VALOR AGREGADO Y PARTICIPACION SOBRE LOS INGRESOS</t>
  </si>
  <si>
    <t>Gastos Financieros (b)</t>
  </si>
  <si>
    <t>TOTAL VALOR AGREGADO (a+b+c)</t>
  </si>
  <si>
    <t>INGRESOS NETOS</t>
  </si>
  <si>
    <t>PARTICIPACIÓN SOBRE INGRESOS</t>
  </si>
  <si>
    <t>Remuneraciones (a)</t>
  </si>
  <si>
    <t>VAN del 15% Estado:</t>
  </si>
  <si>
    <t>DETALLE</t>
  </si>
  <si>
    <t>CALCULO DEL TIR Y EL VAN</t>
  </si>
  <si>
    <t>VAN DEL PROYECTO (11,27%)</t>
  </si>
  <si>
    <t>Flujo Neto de Efectivo Anual - Proyecto</t>
  </si>
  <si>
    <t>VAN DE LA PARTICIPACION DEL (15%)</t>
  </si>
  <si>
    <t>RAZONES FINACIERAS</t>
  </si>
  <si>
    <t>R.I.T.</t>
  </si>
  <si>
    <t>R.S.V</t>
  </si>
  <si>
    <t>Cantidad de Disminución:</t>
  </si>
  <si>
    <t>FINANCIAMIENTO CON DEUDA DEL TOTAL DE LA INVERSIÓN</t>
  </si>
  <si>
    <t>IV. GASTOS DE INTERES DE FINANCIAMIENTO (Periodo de Puesta en Marcha)*****</t>
  </si>
  <si>
    <t>*****.- Ver Tabla de Amortización de la Deuda</t>
  </si>
  <si>
    <t>TOTAL DE FINANCIAMIENTO CON DEUDA PARA EL PROYECTO</t>
  </si>
  <si>
    <t>DIVIDENDOS SEMESTRALES</t>
  </si>
  <si>
    <t>TOTAL PAGO ANUAL</t>
  </si>
  <si>
    <t>1*</t>
  </si>
  <si>
    <t>*.- Los pagos que se consideran en los estados financieros son desde el pago 2 al 12, debido a que el período 1 se lo considera en la inverisión inicial, y ese rubro se lo amortiza con los activos diferidos.</t>
  </si>
  <si>
    <t>*.- El primer y segundo semestre sólo se pagan intereses (se lo considera dentro del periodo de gracia de un   año).</t>
  </si>
  <si>
    <t>Amortización de gastos de interes iniciales</t>
  </si>
  <si>
    <t>TOTAL PAGO ANUAL DE INTERES</t>
  </si>
  <si>
    <t>AÑO</t>
  </si>
  <si>
    <t>PERIODO SEMESTRAL</t>
  </si>
  <si>
    <t>TOTAL PAGO ANUAL DE CAPITAL</t>
  </si>
  <si>
    <t>Ko =</t>
  </si>
  <si>
    <t>UTILIDAD NETA (Antes de 15% Participación de Empleados)</t>
  </si>
  <si>
    <t>Participación del 15% Empleados (-)</t>
  </si>
  <si>
    <t>UITLIDAD NETA (Después de Participación del 15% Empleados)</t>
  </si>
  <si>
    <t>UTILIDAD NETA DESPUES DE PARTICIPACION DEL MINISTERIO</t>
  </si>
  <si>
    <t>Participación del 15% de Empleados (-)</t>
  </si>
  <si>
    <r>
      <t>1.</t>
    </r>
    <r>
      <rPr>
        <sz val="10"/>
        <rFont val="Times New Roman"/>
        <family val="1"/>
      </rPr>
      <t xml:space="preserve"> Caja y Bancos Iniciales; es la suma del capital de operación ($13.353,33), el monto de imprevistos determinado en los activos fijos de la inversión inicial ($2.669,32) y el monto para el pago de los intereses del primer semestre de puesta en marcha el proyecto.</t>
    </r>
  </si>
  <si>
    <t>Furgoneta</t>
  </si>
  <si>
    <t>Reposición de Activos (Vehículo)  (-)</t>
  </si>
  <si>
    <t>Reposición de Activos (Vehículo y Computa)</t>
  </si>
  <si>
    <t>Disminución de los Precios en 23%</t>
  </si>
  <si>
    <t>TOTAL CAPITAL DE INVERSION</t>
  </si>
  <si>
    <t>Participación del 15% a Empleados</t>
  </si>
  <si>
    <t xml:space="preserve">Utilidad antes de porcentaje de participación del estado (15%) </t>
  </si>
  <si>
    <t>Tabla 5.7</t>
  </si>
  <si>
    <t>Tabla 5.8</t>
  </si>
  <si>
    <t>Tabla 5.9</t>
  </si>
  <si>
    <t>Tabla 5.10</t>
  </si>
  <si>
    <t>Tabla 5.11</t>
  </si>
  <si>
    <t>Tabla 5.13</t>
  </si>
  <si>
    <t>Tabla 5.14</t>
  </si>
  <si>
    <t>Tabla 5.15</t>
  </si>
  <si>
    <t>Tabla 5.17</t>
  </si>
  <si>
    <t>Tabla 5.16</t>
  </si>
  <si>
    <t>Tabla 5.18</t>
  </si>
  <si>
    <t>Tabla 5.19</t>
  </si>
  <si>
    <t>Tabla 5.20</t>
  </si>
  <si>
    <t>Tabla 6.3</t>
  </si>
  <si>
    <t>Tabla 6.2</t>
  </si>
  <si>
    <t>Tabla 6.1</t>
  </si>
  <si>
    <t>Tabla 7.1</t>
  </si>
  <si>
    <t>Tabla 7.2</t>
  </si>
  <si>
    <t>Tabla 7.3</t>
  </si>
  <si>
    <t>Tabla 7.4</t>
  </si>
  <si>
    <t>Tabla 7.5</t>
  </si>
  <si>
    <t>Razon de Apalancamiento</t>
  </si>
  <si>
    <t>Razon de Cobertura</t>
  </si>
  <si>
    <t>CENTRO DE INTERPRETACION</t>
  </si>
  <si>
    <t>ANEXO 6</t>
  </si>
  <si>
    <t>5. MUEBLES Y ENSERES</t>
  </si>
  <si>
    <t>6. VEHICULOS</t>
  </si>
  <si>
    <t>7. IMPREVISTOS (1%)</t>
  </si>
  <si>
    <t>8. GASTOS DE PUESTA EN MARCHA</t>
  </si>
  <si>
    <t>9. CONSULTORÍAS</t>
  </si>
  <si>
    <t>10. GASTOS DE CONCESION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</si>
  <si>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</si>
  <si>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</si>
  <si>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t xml:space="preserve"> MUELLE SOLEDAD GRANDE</t>
  </si>
  <si>
    <t>SENDERO  EL MATE</t>
  </si>
  <si>
    <t>SENDERO LA FLORA</t>
  </si>
  <si>
    <t>SENDERO  EL MIRADOR</t>
  </si>
</sst>
</file>

<file path=xl/styles.xml><?xml version="1.0" encoding="utf-8"?>
<styleSheet xmlns="http://schemas.openxmlformats.org/spreadsheetml/2006/main">
  <numFmts count="6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&quot;$&quot;#,##0.00"/>
    <numFmt numFmtId="192" formatCode="0.000"/>
    <numFmt numFmtId="193" formatCode="0.0000"/>
    <numFmt numFmtId="194" formatCode="&quot;$&quot;\ #,##0.00"/>
    <numFmt numFmtId="195" formatCode="[$$-2C0A]\ #,##0.00"/>
    <numFmt numFmtId="196" formatCode="0.000000"/>
    <numFmt numFmtId="197" formatCode="0.00000"/>
    <numFmt numFmtId="198" formatCode="0.0"/>
    <numFmt numFmtId="199" formatCode="[$$-C09]#,##0.00"/>
    <numFmt numFmtId="200" formatCode="#,##0.00\ &quot;pta&quot;"/>
    <numFmt numFmtId="201" formatCode="[$$-1009]#,##0.00"/>
    <numFmt numFmtId="202" formatCode="[$$-C09]#,##0.00;[Red]\-[$$-C09]#,##0.00"/>
    <numFmt numFmtId="203" formatCode="[$$-409]#,##0.00"/>
    <numFmt numFmtId="204" formatCode="#,##0.00\ _p_t_a"/>
    <numFmt numFmtId="205" formatCode="#,##0.0000000000"/>
    <numFmt numFmtId="206" formatCode="[$$-C09]#,##0"/>
    <numFmt numFmtId="207" formatCode="0.000000%"/>
    <numFmt numFmtId="208" formatCode="[$$-C09]#,##0.0000"/>
    <numFmt numFmtId="209" formatCode="0.00000%"/>
    <numFmt numFmtId="210" formatCode="#,##0.000"/>
    <numFmt numFmtId="211" formatCode="#,##0.0000"/>
    <numFmt numFmtId="212" formatCode="#,##0.00000"/>
    <numFmt numFmtId="213" formatCode="#,##0.000000"/>
    <numFmt numFmtId="214" formatCode="#,##0\ [$$-C0C]"/>
    <numFmt numFmtId="215" formatCode="[$$-1009]#,##0"/>
  </numFmts>
  <fonts count="58">
    <font>
      <sz val="10"/>
      <name val="Arial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3"/>
      <name val="Times New Roman"/>
      <family val="1"/>
    </font>
    <font>
      <b/>
      <i/>
      <sz val="13"/>
      <name val="Arial"/>
      <family val="2"/>
    </font>
    <font>
      <i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sz val="1"/>
      <name val="Arial"/>
      <family val="0"/>
    </font>
    <font>
      <sz val="1.75"/>
      <name val="Arial"/>
      <family val="0"/>
    </font>
    <font>
      <b/>
      <u val="single"/>
      <sz val="1.75"/>
      <name val="Arial"/>
      <family val="2"/>
    </font>
    <font>
      <b/>
      <u val="single"/>
      <sz val="1.5"/>
      <name val="Arial"/>
      <family val="2"/>
    </font>
    <font>
      <sz val="1.5"/>
      <name val="Arial"/>
      <family val="0"/>
    </font>
    <font>
      <sz val="1.25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9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0" fillId="0" borderId="0" xfId="0" applyAlignment="1">
      <alignment horizontal="left" vertical="center"/>
    </xf>
    <xf numFmtId="191" fontId="0" fillId="0" borderId="1" xfId="0" applyNumberFormat="1" applyBorder="1" applyAlignment="1">
      <alignment horizontal="left"/>
    </xf>
    <xf numFmtId="191" fontId="7" fillId="0" borderId="1" xfId="0" applyNumberFormat="1" applyFont="1" applyBorder="1" applyAlignment="1">
      <alignment horizontal="left"/>
    </xf>
    <xf numFmtId="191" fontId="14" fillId="0" borderId="1" xfId="0" applyNumberFormat="1" applyFont="1" applyBorder="1" applyAlignment="1">
      <alignment horizontal="left"/>
    </xf>
    <xf numFmtId="10" fontId="14" fillId="0" borderId="1" xfId="0" applyNumberFormat="1" applyFont="1" applyBorder="1" applyAlignment="1">
      <alignment horizontal="left"/>
    </xf>
    <xf numFmtId="191" fontId="15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91" fontId="0" fillId="0" borderId="3" xfId="0" applyNumberForma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191" fontId="0" fillId="0" borderId="4" xfId="0" applyNumberFormat="1" applyBorder="1" applyAlignment="1">
      <alignment horizontal="left"/>
    </xf>
    <xf numFmtId="191" fontId="14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94" fontId="0" fillId="0" borderId="1" xfId="0" applyNumberFormat="1" applyBorder="1" applyAlignment="1">
      <alignment vertical="center"/>
    </xf>
    <xf numFmtId="191" fontId="0" fillId="0" borderId="0" xfId="0" applyNumberFormat="1" applyAlignment="1">
      <alignment/>
    </xf>
    <xf numFmtId="191" fontId="0" fillId="0" borderId="1" xfId="0" applyNumberFormat="1" applyBorder="1" applyAlignment="1">
      <alignment/>
    </xf>
    <xf numFmtId="191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191" fontId="3" fillId="0" borderId="0" xfId="0" applyNumberFormat="1" applyFont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24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20" fontId="0" fillId="0" borderId="1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9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2" fontId="28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2" fontId="28" fillId="0" borderId="0" xfId="0" applyNumberFormat="1" applyFont="1" applyAlignment="1">
      <alignment horizontal="right" vertical="center"/>
    </xf>
    <xf numFmtId="10" fontId="22" fillId="0" borderId="0" xfId="0" applyNumberFormat="1" applyFont="1" applyAlignment="1">
      <alignment horizontal="right" vertical="center"/>
    </xf>
    <xf numFmtId="2" fontId="22" fillId="0" borderId="0" xfId="0" applyNumberFormat="1" applyFont="1" applyAlignment="1">
      <alignment vertical="center"/>
    </xf>
    <xf numFmtId="2" fontId="28" fillId="0" borderId="0" xfId="0" applyNumberFormat="1" applyFont="1" applyAlignment="1">
      <alignment horizontal="left" vertical="center" wrapText="1"/>
    </xf>
    <xf numFmtId="9" fontId="3" fillId="0" borderId="0" xfId="0" applyNumberFormat="1" applyFont="1" applyAlignment="1">
      <alignment/>
    </xf>
    <xf numFmtId="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  <xf numFmtId="2" fontId="28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2" fontId="22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0" fontId="0" fillId="0" borderId="2" xfId="0" applyNumberFormat="1" applyBorder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0" fontId="9" fillId="0" borderId="0" xfId="0" applyNumberFormat="1" applyFont="1" applyAlignment="1">
      <alignment vertical="center"/>
    </xf>
    <xf numFmtId="0" fontId="29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15" fillId="0" borderId="1" xfId="0" applyFont="1" applyBorder="1" applyAlignment="1">
      <alignment/>
    </xf>
    <xf numFmtId="4" fontId="15" fillId="0" borderId="0" xfId="0" applyNumberFormat="1" applyFont="1" applyAlignment="1">
      <alignment horizontal="center" vertical="center" wrapText="1"/>
    </xf>
    <xf numFmtId="10" fontId="22" fillId="0" borderId="0" xfId="0" applyNumberFormat="1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10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2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2" fillId="0" borderId="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 wrapText="1"/>
    </xf>
    <xf numFmtId="3" fontId="15" fillId="0" borderId="1" xfId="0" applyNumberFormat="1" applyFont="1" applyBorder="1" applyAlignment="1">
      <alignment/>
    </xf>
    <xf numFmtId="10" fontId="0" fillId="0" borderId="0" xfId="0" applyNumberFormat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0" fontId="26" fillId="0" borderId="1" xfId="0" applyFont="1" applyFill="1" applyBorder="1" applyAlignment="1">
      <alignment horizontal="center" vertical="center" wrapText="1"/>
    </xf>
    <xf numFmtId="10" fontId="0" fillId="0" borderId="3" xfId="0" applyNumberFormat="1" applyBorder="1" applyAlignment="1">
      <alignment/>
    </xf>
    <xf numFmtId="10" fontId="0" fillId="0" borderId="1" xfId="0" applyNumberForma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3" fontId="7" fillId="0" borderId="2" xfId="0" applyNumberFormat="1" applyFont="1" applyFill="1" applyBorder="1" applyAlignment="1">
      <alignment/>
    </xf>
    <xf numFmtId="199" fontId="0" fillId="0" borderId="1" xfId="0" applyNumberFormat="1" applyBorder="1" applyAlignment="1">
      <alignment/>
    </xf>
    <xf numFmtId="0" fontId="3" fillId="0" borderId="0" xfId="0" applyFont="1" applyBorder="1" applyAlignment="1">
      <alignment/>
    </xf>
    <xf numFmtId="199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91" fontId="27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10" fontId="0" fillId="0" borderId="1" xfId="0" applyNumberForma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1" xfId="0" applyFont="1" applyBorder="1" applyAlignment="1">
      <alignment/>
    </xf>
    <xf numFmtId="2" fontId="27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27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6" fillId="0" borderId="3" xfId="0" applyFont="1" applyBorder="1" applyAlignment="1">
      <alignment horizontal="center" wrapText="1"/>
    </xf>
    <xf numFmtId="0" fontId="0" fillId="0" borderId="6" xfId="0" applyFont="1" applyBorder="1" applyAlignment="1">
      <alignment/>
    </xf>
    <xf numFmtId="2" fontId="24" fillId="0" borderId="6" xfId="0" applyNumberFormat="1" applyFont="1" applyBorder="1" applyAlignment="1">
      <alignment horizontal="right"/>
    </xf>
    <xf numFmtId="2" fontId="24" fillId="0" borderId="7" xfId="0" applyNumberFormat="1" applyFont="1" applyBorder="1" applyAlignment="1">
      <alignment horizontal="right"/>
    </xf>
    <xf numFmtId="2" fontId="0" fillId="3" borderId="1" xfId="0" applyNumberFormat="1" applyFill="1" applyBorder="1" applyAlignment="1">
      <alignment horizontal="center"/>
    </xf>
    <xf numFmtId="2" fontId="27" fillId="3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27" fillId="4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20" fontId="0" fillId="2" borderId="6" xfId="0" applyNumberFormat="1" applyFont="1" applyFill="1" applyBorder="1" applyAlignment="1">
      <alignment horizontal="right"/>
    </xf>
    <xf numFmtId="2" fontId="24" fillId="2" borderId="6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6" xfId="0" applyFont="1" applyFill="1" applyBorder="1" applyAlignment="1">
      <alignment/>
    </xf>
    <xf numFmtId="20" fontId="0" fillId="4" borderId="6" xfId="0" applyNumberFormat="1" applyFont="1" applyFill="1" applyBorder="1" applyAlignment="1">
      <alignment horizontal="right"/>
    </xf>
    <xf numFmtId="2" fontId="24" fillId="4" borderId="6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20" fontId="0" fillId="3" borderId="6" xfId="0" applyNumberFormat="1" applyFont="1" applyFill="1" applyBorder="1" applyAlignment="1">
      <alignment horizontal="right"/>
    </xf>
    <xf numFmtId="2" fontId="24" fillId="3" borderId="6" xfId="0" applyNumberFormat="1" applyFont="1" applyFill="1" applyBorder="1" applyAlignment="1">
      <alignment horizontal="right"/>
    </xf>
    <xf numFmtId="2" fontId="0" fillId="5" borderId="1" xfId="0" applyNumberFormat="1" applyFill="1" applyBorder="1" applyAlignment="1">
      <alignment horizontal="center"/>
    </xf>
    <xf numFmtId="2" fontId="27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6" xfId="0" applyFont="1" applyFill="1" applyBorder="1" applyAlignment="1">
      <alignment/>
    </xf>
    <xf numFmtId="20" fontId="0" fillId="5" borderId="6" xfId="0" applyNumberFormat="1" applyFont="1" applyFill="1" applyBorder="1" applyAlignment="1">
      <alignment horizontal="right"/>
    </xf>
    <xf numFmtId="2" fontId="24" fillId="5" borderId="6" xfId="0" applyNumberFormat="1" applyFont="1" applyFill="1" applyBorder="1" applyAlignment="1">
      <alignment horizontal="right"/>
    </xf>
    <xf numFmtId="2" fontId="0" fillId="6" borderId="1" xfId="0" applyNumberFormat="1" applyFill="1" applyBorder="1" applyAlignment="1">
      <alignment horizontal="center"/>
    </xf>
    <xf numFmtId="2" fontId="27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6" xfId="0" applyFont="1" applyFill="1" applyBorder="1" applyAlignment="1">
      <alignment/>
    </xf>
    <xf numFmtId="20" fontId="0" fillId="6" borderId="6" xfId="0" applyNumberFormat="1" applyFont="1" applyFill="1" applyBorder="1" applyAlignment="1">
      <alignment horizontal="right"/>
    </xf>
    <xf numFmtId="2" fontId="24" fillId="6" borderId="6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27" fillId="0" borderId="1" xfId="0" applyFont="1" applyFill="1" applyBorder="1" applyAlignment="1">
      <alignment/>
    </xf>
    <xf numFmtId="0" fontId="13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 horizontal="center" wrapText="1"/>
    </xf>
    <xf numFmtId="2" fontId="24" fillId="3" borderId="0" xfId="0" applyNumberFormat="1" applyFont="1" applyFill="1" applyBorder="1" applyAlignment="1">
      <alignment horizontal="right"/>
    </xf>
    <xf numFmtId="2" fontId="24" fillId="2" borderId="0" xfId="0" applyNumberFormat="1" applyFont="1" applyFill="1" applyBorder="1" applyAlignment="1">
      <alignment horizontal="right"/>
    </xf>
    <xf numFmtId="2" fontId="24" fillId="5" borderId="0" xfId="0" applyNumberFormat="1" applyFont="1" applyFill="1" applyBorder="1" applyAlignment="1">
      <alignment horizontal="right"/>
    </xf>
    <xf numFmtId="2" fontId="24" fillId="6" borderId="0" xfId="0" applyNumberFormat="1" applyFont="1" applyFill="1" applyBorder="1" applyAlignment="1">
      <alignment horizontal="right"/>
    </xf>
    <xf numFmtId="2" fontId="24" fillId="4" borderId="0" xfId="0" applyNumberFormat="1" applyFont="1" applyFill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10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6" borderId="1" xfId="0" applyFill="1" applyBorder="1" applyAlignment="1">
      <alignment/>
    </xf>
    <xf numFmtId="10" fontId="0" fillId="6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10" fontId="0" fillId="7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0" fontId="0" fillId="3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10" fontId="0" fillId="5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10" fontId="0" fillId="4" borderId="1" xfId="0" applyNumberFormat="1" applyFill="1" applyBorder="1" applyAlignment="1">
      <alignment/>
    </xf>
    <xf numFmtId="10" fontId="27" fillId="0" borderId="1" xfId="0" applyNumberFormat="1" applyFont="1" applyBorder="1" applyAlignment="1">
      <alignment/>
    </xf>
    <xf numFmtId="10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10" fontId="27" fillId="0" borderId="0" xfId="0" applyNumberFormat="1" applyFont="1" applyBorder="1" applyAlignment="1">
      <alignment/>
    </xf>
    <xf numFmtId="0" fontId="0" fillId="4" borderId="1" xfId="0" applyFont="1" applyFill="1" applyBorder="1" applyAlignment="1">
      <alignment/>
    </xf>
    <xf numFmtId="20" fontId="0" fillId="4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20" fontId="0" fillId="3" borderId="1" xfId="0" applyNumberFormat="1" applyFont="1" applyFill="1" applyBorder="1" applyAlignment="1">
      <alignment horizontal="right"/>
    </xf>
    <xf numFmtId="10" fontId="22" fillId="3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20" fontId="0" fillId="2" borderId="1" xfId="0" applyNumberFormat="1" applyFont="1" applyFill="1" applyBorder="1" applyAlignment="1">
      <alignment horizontal="right"/>
    </xf>
    <xf numFmtId="10" fontId="22" fillId="2" borderId="1" xfId="0" applyNumberFormat="1" applyFont="1" applyFill="1" applyBorder="1" applyAlignment="1">
      <alignment horizontal="right"/>
    </xf>
    <xf numFmtId="0" fontId="0" fillId="5" borderId="1" xfId="0" applyFont="1" applyFill="1" applyBorder="1" applyAlignment="1">
      <alignment/>
    </xf>
    <xf numFmtId="20" fontId="0" fillId="5" borderId="1" xfId="0" applyNumberFormat="1" applyFont="1" applyFill="1" applyBorder="1" applyAlignment="1">
      <alignment horizontal="right"/>
    </xf>
    <xf numFmtId="10" fontId="22" fillId="5" borderId="1" xfId="0" applyNumberFormat="1" applyFont="1" applyFill="1" applyBorder="1" applyAlignment="1">
      <alignment horizontal="right"/>
    </xf>
    <xf numFmtId="0" fontId="0" fillId="6" borderId="1" xfId="0" applyFont="1" applyFill="1" applyBorder="1" applyAlignment="1">
      <alignment/>
    </xf>
    <xf numFmtId="20" fontId="0" fillId="6" borderId="1" xfId="0" applyNumberFormat="1" applyFont="1" applyFill="1" applyBorder="1" applyAlignment="1">
      <alignment horizontal="right"/>
    </xf>
    <xf numFmtId="10" fontId="22" fillId="6" borderId="1" xfId="0" applyNumberFormat="1" applyFont="1" applyFill="1" applyBorder="1" applyAlignment="1">
      <alignment horizontal="right"/>
    </xf>
    <xf numFmtId="10" fontId="22" fillId="4" borderId="1" xfId="0" applyNumberFormat="1" applyFont="1" applyFill="1" applyBorder="1" applyAlignment="1">
      <alignment horizontal="right"/>
    </xf>
    <xf numFmtId="10" fontId="1" fillId="0" borderId="1" xfId="0" applyNumberFormat="1" applyFont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/>
    </xf>
    <xf numFmtId="2" fontId="39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20" fontId="0" fillId="0" borderId="1" xfId="0" applyNumberFormat="1" applyFont="1" applyFill="1" applyBorder="1" applyAlignment="1">
      <alignment horizontal="right"/>
    </xf>
    <xf numFmtId="10" fontId="22" fillId="0" borderId="1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/>
    </xf>
    <xf numFmtId="192" fontId="15" fillId="0" borderId="0" xfId="0" applyNumberFormat="1" applyFont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 wrapText="1"/>
    </xf>
    <xf numFmtId="199" fontId="0" fillId="0" borderId="1" xfId="0" applyNumberFormat="1" applyFill="1" applyBorder="1" applyAlignment="1">
      <alignment/>
    </xf>
    <xf numFmtId="199" fontId="0" fillId="0" borderId="1" xfId="0" applyNumberFormat="1" applyFill="1" applyBorder="1" applyAlignment="1">
      <alignment horizontal="center"/>
    </xf>
    <xf numFmtId="195" fontId="0" fillId="0" borderId="1" xfId="0" applyNumberFormat="1" applyFill="1" applyBorder="1" applyAlignment="1">
      <alignment/>
    </xf>
    <xf numFmtId="0" fontId="0" fillId="0" borderId="1" xfId="0" applyBorder="1" applyAlignment="1">
      <alignment horizontal="left" vertical="center" wrapText="1"/>
    </xf>
    <xf numFmtId="20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/>
    </xf>
    <xf numFmtId="201" fontId="0" fillId="0" borderId="1" xfId="0" applyNumberFormat="1" applyFont="1" applyBorder="1" applyAlignment="1">
      <alignment horizontal="right"/>
    </xf>
    <xf numFmtId="0" fontId="27" fillId="0" borderId="0" xfId="0" applyFont="1" applyAlignment="1">
      <alignment horizontal="left" vertical="center"/>
    </xf>
    <xf numFmtId="0" fontId="15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 wrapText="1"/>
    </xf>
    <xf numFmtId="191" fontId="13" fillId="0" borderId="1" xfId="0" applyNumberFormat="1" applyFont="1" applyBorder="1" applyAlignment="1">
      <alignment/>
    </xf>
    <xf numFmtId="0" fontId="0" fillId="0" borderId="1" xfId="0" applyBorder="1" applyAlignment="1">
      <alignment horizontal="left" vertical="center"/>
    </xf>
    <xf numFmtId="1" fontId="28" fillId="0" borderId="1" xfId="0" applyNumberFormat="1" applyFont="1" applyBorder="1" applyAlignment="1">
      <alignment horizontal="right" vertical="center"/>
    </xf>
    <xf numFmtId="1" fontId="1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91" fontId="0" fillId="0" borderId="11" xfId="0" applyNumberFormat="1" applyBorder="1" applyAlignment="1">
      <alignment horizontal="left"/>
    </xf>
    <xf numFmtId="191" fontId="14" fillId="0" borderId="11" xfId="0" applyNumberFormat="1" applyFont="1" applyBorder="1" applyAlignment="1">
      <alignment horizontal="left"/>
    </xf>
    <xf numFmtId="10" fontId="14" fillId="0" borderId="12" xfId="0" applyNumberFormat="1" applyFont="1" applyBorder="1" applyAlignment="1">
      <alignment horizontal="left"/>
    </xf>
    <xf numFmtId="191" fontId="0" fillId="0" borderId="1" xfId="0" applyNumberFormat="1" applyBorder="1" applyAlignment="1">
      <alignment horizontal="center"/>
    </xf>
    <xf numFmtId="191" fontId="14" fillId="0" borderId="13" xfId="0" applyNumberFormat="1" applyFont="1" applyBorder="1" applyAlignment="1">
      <alignment horizontal="left"/>
    </xf>
    <xf numFmtId="10" fontId="14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0" fontId="16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0" fontId="16" fillId="0" borderId="18" xfId="0" applyNumberFormat="1" applyFont="1" applyBorder="1" applyAlignment="1">
      <alignment horizontal="left"/>
    </xf>
    <xf numFmtId="0" fontId="0" fillId="0" borderId="19" xfId="0" applyBorder="1" applyAlignment="1">
      <alignment horizontal="center"/>
    </xf>
    <xf numFmtId="191" fontId="0" fillId="0" borderId="19" xfId="0" applyNumberFormat="1" applyBorder="1" applyAlignment="1">
      <alignment horizontal="left"/>
    </xf>
    <xf numFmtId="191" fontId="14" fillId="0" borderId="19" xfId="0" applyNumberFormat="1" applyFont="1" applyBorder="1" applyAlignment="1">
      <alignment horizontal="left"/>
    </xf>
    <xf numFmtId="10" fontId="14" fillId="0" borderId="16" xfId="0" applyNumberFormat="1" applyFont="1" applyBorder="1" applyAlignment="1">
      <alignment horizontal="left"/>
    </xf>
    <xf numFmtId="10" fontId="14" fillId="0" borderId="18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22" xfId="0" applyFont="1" applyBorder="1" applyAlignment="1">
      <alignment horizontal="left"/>
    </xf>
    <xf numFmtId="191" fontId="14" fillId="0" borderId="23" xfId="0" applyNumberFormat="1" applyFont="1" applyBorder="1" applyAlignment="1">
      <alignment horizontal="left"/>
    </xf>
    <xf numFmtId="191" fontId="14" fillId="0" borderId="24" xfId="0" applyNumberFormat="1" applyFont="1" applyBorder="1" applyAlignment="1">
      <alignment horizontal="left"/>
    </xf>
    <xf numFmtId="0" fontId="0" fillId="7" borderId="25" xfId="0" applyFill="1" applyBorder="1" applyAlignment="1">
      <alignment horizontal="center"/>
    </xf>
    <xf numFmtId="191" fontId="0" fillId="7" borderId="25" xfId="0" applyNumberFormat="1" applyFill="1" applyBorder="1" applyAlignment="1">
      <alignment horizontal="left"/>
    </xf>
    <xf numFmtId="191" fontId="14" fillId="7" borderId="25" xfId="0" applyNumberFormat="1" applyFont="1" applyFill="1" applyBorder="1" applyAlignment="1">
      <alignment horizontal="left"/>
    </xf>
    <xf numFmtId="0" fontId="2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202" fontId="15" fillId="7" borderId="1" xfId="0" applyNumberFormat="1" applyFont="1" applyFill="1" applyBorder="1" applyAlignment="1">
      <alignment/>
    </xf>
    <xf numFmtId="0" fontId="15" fillId="7" borderId="1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27" fillId="0" borderId="0" xfId="0" applyNumberFormat="1" applyFont="1" applyAlignment="1">
      <alignment/>
    </xf>
    <xf numFmtId="199" fontId="27" fillId="0" borderId="1" xfId="0" applyNumberFormat="1" applyFont="1" applyBorder="1" applyAlignment="1">
      <alignment/>
    </xf>
    <xf numFmtId="201" fontId="0" fillId="0" borderId="0" xfId="0" applyNumberFormat="1" applyAlignment="1">
      <alignment/>
    </xf>
    <xf numFmtId="199" fontId="0" fillId="0" borderId="0" xfId="0" applyNumberFormat="1" applyAlignment="1">
      <alignment/>
    </xf>
    <xf numFmtId="201" fontId="0" fillId="0" borderId="0" xfId="0" applyNumberFormat="1" applyFont="1" applyBorder="1" applyAlignment="1">
      <alignment horizontal="center"/>
    </xf>
    <xf numFmtId="0" fontId="15" fillId="0" borderId="7" xfId="0" applyFont="1" applyBorder="1" applyAlignment="1">
      <alignment/>
    </xf>
    <xf numFmtId="0" fontId="17" fillId="0" borderId="0" xfId="0" applyFont="1" applyBorder="1" applyAlignment="1">
      <alignment/>
    </xf>
    <xf numFmtId="0" fontId="43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91" fontId="7" fillId="0" borderId="0" xfId="0" applyNumberFormat="1" applyFont="1" applyBorder="1" applyAlignment="1">
      <alignment horizontal="left"/>
    </xf>
    <xf numFmtId="191" fontId="15" fillId="0" borderId="0" xfId="0" applyNumberFormat="1" applyFont="1" applyBorder="1" applyAlignment="1">
      <alignment horizontal="left"/>
    </xf>
    <xf numFmtId="10" fontId="14" fillId="0" borderId="0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191" fontId="7" fillId="0" borderId="8" xfId="0" applyNumberFormat="1" applyFont="1" applyBorder="1" applyAlignment="1">
      <alignment horizontal="left"/>
    </xf>
    <xf numFmtId="191" fontId="15" fillId="0" borderId="8" xfId="0" applyNumberFormat="1" applyFont="1" applyBorder="1" applyAlignment="1">
      <alignment horizontal="left"/>
    </xf>
    <xf numFmtId="10" fontId="14" fillId="0" borderId="3" xfId="0" applyNumberFormat="1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191" fontId="17" fillId="0" borderId="3" xfId="0" applyNumberFormat="1" applyFont="1" applyBorder="1" applyAlignment="1">
      <alignment horizontal="left"/>
    </xf>
    <xf numFmtId="191" fontId="17" fillId="0" borderId="1" xfId="0" applyNumberFormat="1" applyFont="1" applyBorder="1" applyAlignment="1">
      <alignment horizontal="left"/>
    </xf>
    <xf numFmtId="0" fontId="17" fillId="0" borderId="7" xfId="0" applyFont="1" applyBorder="1" applyAlignment="1">
      <alignment/>
    </xf>
    <xf numFmtId="0" fontId="40" fillId="0" borderId="0" xfId="0" applyFont="1" applyAlignment="1">
      <alignment/>
    </xf>
    <xf numFmtId="199" fontId="0" fillId="0" borderId="1" xfId="0" applyNumberFormat="1" applyBorder="1" applyAlignment="1">
      <alignment horizontal="center"/>
    </xf>
    <xf numFmtId="199" fontId="17" fillId="0" borderId="1" xfId="0" applyNumberFormat="1" applyFont="1" applyBorder="1" applyAlignment="1">
      <alignment/>
    </xf>
    <xf numFmtId="199" fontId="15" fillId="0" borderId="7" xfId="0" applyNumberFormat="1" applyFont="1" applyBorder="1" applyAlignment="1">
      <alignment/>
    </xf>
    <xf numFmtId="199" fontId="17" fillId="0" borderId="7" xfId="0" applyNumberFormat="1" applyFont="1" applyBorder="1" applyAlignment="1">
      <alignment/>
    </xf>
    <xf numFmtId="205" fontId="0" fillId="0" borderId="0" xfId="0" applyNumberForma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Fill="1" applyBorder="1" applyAlignment="1">
      <alignment/>
    </xf>
    <xf numFmtId="3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/>
    </xf>
    <xf numFmtId="207" fontId="0" fillId="0" borderId="0" xfId="0" applyNumberFormat="1" applyAlignment="1">
      <alignment/>
    </xf>
    <xf numFmtId="208" fontId="0" fillId="0" borderId="0" xfId="0" applyNumberFormat="1" applyAlignment="1">
      <alignment/>
    </xf>
    <xf numFmtId="209" fontId="0" fillId="0" borderId="0" xfId="0" applyNumberFormat="1" applyAlignment="1">
      <alignment/>
    </xf>
    <xf numFmtId="0" fontId="44" fillId="7" borderId="1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0" fillId="0" borderId="7" xfId="0" applyBorder="1" applyAlignment="1">
      <alignment/>
    </xf>
    <xf numFmtId="10" fontId="0" fillId="0" borderId="7" xfId="0" applyNumberFormat="1" applyBorder="1" applyAlignment="1">
      <alignment/>
    </xf>
    <xf numFmtId="199" fontId="0" fillId="0" borderId="7" xfId="0" applyNumberForma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206" fontId="0" fillId="0" borderId="0" xfId="0" applyNumberFormat="1" applyAlignment="1">
      <alignment/>
    </xf>
    <xf numFmtId="0" fontId="3" fillId="0" borderId="24" xfId="0" applyFont="1" applyFill="1" applyBorder="1" applyAlignment="1">
      <alignment horizontal="center"/>
    </xf>
    <xf numFmtId="10" fontId="15" fillId="7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192" fontId="0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vertical="center"/>
    </xf>
    <xf numFmtId="10" fontId="3" fillId="0" borderId="3" xfId="0" applyNumberFormat="1" applyFont="1" applyFill="1" applyBorder="1" applyAlignment="1">
      <alignment horizontal="center" vertical="center" wrapText="1"/>
    </xf>
    <xf numFmtId="10" fontId="26" fillId="0" borderId="1" xfId="0" applyNumberFormat="1" applyFont="1" applyFill="1" applyBorder="1" applyAlignment="1">
      <alignment horizontal="left" vertical="center" wrapText="1"/>
    </xf>
    <xf numFmtId="10" fontId="0" fillId="0" borderId="1" xfId="0" applyNumberFormat="1" applyFill="1" applyBorder="1" applyAlignment="1">
      <alignment horizontal="left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95" fontId="0" fillId="0" borderId="2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10" fontId="14" fillId="7" borderId="12" xfId="0" applyNumberFormat="1" applyFont="1" applyFill="1" applyBorder="1" applyAlignment="1">
      <alignment horizontal="left"/>
    </xf>
    <xf numFmtId="191" fontId="13" fillId="0" borderId="1" xfId="0" applyNumberFormat="1" applyFont="1" applyBorder="1" applyAlignment="1">
      <alignment vertical="center" wrapText="1"/>
    </xf>
    <xf numFmtId="0" fontId="0" fillId="0" borderId="26" xfId="0" applyBorder="1" applyAlignment="1">
      <alignment horizontal="center"/>
    </xf>
    <xf numFmtId="0" fontId="23" fillId="0" borderId="0" xfId="0" applyFont="1" applyAlignment="1">
      <alignment horizontal="center"/>
    </xf>
    <xf numFmtId="199" fontId="0" fillId="0" borderId="5" xfId="0" applyNumberForma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202" fontId="15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22" fillId="0" borderId="0" xfId="0" applyFont="1" applyAlignment="1">
      <alignment/>
    </xf>
    <xf numFmtId="0" fontId="45" fillId="0" borderId="0" xfId="0" applyFont="1" applyAlignment="1">
      <alignment/>
    </xf>
    <xf numFmtId="9" fontId="22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199" fontId="0" fillId="0" borderId="7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91" fontId="0" fillId="0" borderId="0" xfId="0" applyNumberFormat="1" applyBorder="1" applyAlignment="1">
      <alignment/>
    </xf>
    <xf numFmtId="191" fontId="42" fillId="0" borderId="1" xfId="0" applyNumberFormat="1" applyFont="1" applyBorder="1" applyAlignment="1">
      <alignment vertical="center"/>
    </xf>
    <xf numFmtId="191" fontId="17" fillId="0" borderId="1" xfId="0" applyNumberFormat="1" applyFont="1" applyBorder="1" applyAlignment="1">
      <alignment/>
    </xf>
    <xf numFmtId="191" fontId="42" fillId="0" borderId="1" xfId="0" applyNumberFormat="1" applyFont="1" applyBorder="1" applyAlignment="1">
      <alignment/>
    </xf>
    <xf numFmtId="0" fontId="3" fillId="8" borderId="25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191" fontId="14" fillId="0" borderId="28" xfId="0" applyNumberFormat="1" applyFont="1" applyBorder="1" applyAlignment="1">
      <alignment horizontal="left"/>
    </xf>
    <xf numFmtId="10" fontId="14" fillId="0" borderId="29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0" fontId="14" fillId="0" borderId="26" xfId="0" applyNumberFormat="1" applyFont="1" applyBorder="1" applyAlignment="1">
      <alignment horizontal="left"/>
    </xf>
    <xf numFmtId="191" fontId="3" fillId="7" borderId="25" xfId="0" applyNumberFormat="1" applyFont="1" applyFill="1" applyBorder="1" applyAlignment="1">
      <alignment horizontal="center" vertical="center" wrapText="1"/>
    </xf>
    <xf numFmtId="191" fontId="1" fillId="0" borderId="31" xfId="0" applyNumberFormat="1" applyFont="1" applyBorder="1" applyAlignment="1">
      <alignment horizontal="left"/>
    </xf>
    <xf numFmtId="10" fontId="14" fillId="0" borderId="32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191" fontId="0" fillId="0" borderId="0" xfId="0" applyNumberFormat="1" applyBorder="1" applyAlignment="1">
      <alignment horizontal="left"/>
    </xf>
    <xf numFmtId="191" fontId="14" fillId="0" borderId="0" xfId="0" applyNumberFormat="1" applyFont="1" applyBorder="1" applyAlignment="1">
      <alignment horizontal="left"/>
    </xf>
    <xf numFmtId="0" fontId="2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0" fillId="0" borderId="33" xfId="0" applyFont="1" applyBorder="1" applyAlignment="1">
      <alignment vertical="center"/>
    </xf>
    <xf numFmtId="0" fontId="0" fillId="0" borderId="11" xfId="0" applyBorder="1" applyAlignment="1">
      <alignment vertical="center"/>
    </xf>
    <xf numFmtId="194" fontId="0" fillId="0" borderId="11" xfId="0" applyNumberForma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7" borderId="27" xfId="0" applyFont="1" applyFill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left"/>
    </xf>
    <xf numFmtId="194" fontId="7" fillId="7" borderId="12" xfId="0" applyNumberFormat="1" applyFont="1" applyFill="1" applyBorder="1" applyAlignment="1">
      <alignment vertical="center"/>
    </xf>
    <xf numFmtId="9" fontId="0" fillId="0" borderId="27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191" fontId="0" fillId="0" borderId="7" xfId="0" applyNumberFormat="1" applyBorder="1" applyAlignment="1">
      <alignment/>
    </xf>
    <xf numFmtId="0" fontId="3" fillId="8" borderId="12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191" fontId="3" fillId="7" borderId="24" xfId="0" applyNumberFormat="1" applyFont="1" applyFill="1" applyBorder="1" applyAlignment="1">
      <alignment horizontal="center"/>
    </xf>
    <xf numFmtId="191" fontId="3" fillId="7" borderId="38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0" fontId="0" fillId="0" borderId="22" xfId="0" applyBorder="1" applyAlignment="1">
      <alignment/>
    </xf>
    <xf numFmtId="191" fontId="0" fillId="0" borderId="16" xfId="0" applyNumberFormat="1" applyBorder="1" applyAlignment="1">
      <alignment/>
    </xf>
    <xf numFmtId="0" fontId="0" fillId="0" borderId="22" xfId="0" applyBorder="1" applyAlignment="1">
      <alignment vertical="center" wrapText="1"/>
    </xf>
    <xf numFmtId="191" fontId="0" fillId="0" borderId="11" xfId="0" applyNumberFormat="1" applyBorder="1" applyAlignment="1">
      <alignment/>
    </xf>
    <xf numFmtId="191" fontId="0" fillId="0" borderId="11" xfId="0" applyNumberFormat="1" applyFill="1" applyBorder="1" applyAlignment="1">
      <alignment/>
    </xf>
    <xf numFmtId="191" fontId="0" fillId="0" borderId="18" xfId="0" applyNumberFormat="1" applyFill="1" applyBorder="1" applyAlignment="1">
      <alignment/>
    </xf>
    <xf numFmtId="0" fontId="0" fillId="0" borderId="22" xfId="0" applyBorder="1" applyAlignment="1">
      <alignment/>
    </xf>
    <xf numFmtId="20" fontId="0" fillId="0" borderId="16" xfId="0" applyNumberFormat="1" applyBorder="1" applyAlignment="1">
      <alignment/>
    </xf>
    <xf numFmtId="0" fontId="24" fillId="0" borderId="22" xfId="0" applyFont="1" applyBorder="1" applyAlignment="1">
      <alignment/>
    </xf>
    <xf numFmtId="0" fontId="0" fillId="0" borderId="34" xfId="0" applyBorder="1" applyAlignment="1">
      <alignment/>
    </xf>
    <xf numFmtId="1" fontId="0" fillId="0" borderId="7" xfId="0" applyNumberFormat="1" applyBorder="1" applyAlignment="1">
      <alignment/>
    </xf>
    <xf numFmtId="20" fontId="0" fillId="0" borderId="39" xfId="0" applyNumberFormat="1" applyBorder="1" applyAlignment="1">
      <alignment/>
    </xf>
    <xf numFmtId="0" fontId="3" fillId="7" borderId="12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1" fontId="0" fillId="0" borderId="5" xfId="0" applyNumberFormat="1" applyBorder="1" applyAlignment="1">
      <alignment/>
    </xf>
    <xf numFmtId="20" fontId="0" fillId="0" borderId="41" xfId="0" applyNumberFormat="1" applyBorder="1" applyAlignment="1">
      <alignment/>
    </xf>
    <xf numFmtId="0" fontId="0" fillId="0" borderId="27" xfId="0" applyFill="1" applyBorder="1" applyAlignment="1">
      <alignment/>
    </xf>
    <xf numFmtId="1" fontId="0" fillId="0" borderId="25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25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22" xfId="0" applyFont="1" applyBorder="1" applyAlignment="1">
      <alignment/>
    </xf>
    <xf numFmtId="20" fontId="0" fillId="0" borderId="5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43" xfId="0" applyBorder="1" applyAlignment="1">
      <alignment/>
    </xf>
    <xf numFmtId="1" fontId="0" fillId="0" borderId="41" xfId="0" applyNumberFormat="1" applyBorder="1" applyAlignment="1">
      <alignment/>
    </xf>
    <xf numFmtId="20" fontId="0" fillId="0" borderId="7" xfId="0" applyNumberFormat="1" applyBorder="1" applyAlignment="1">
      <alignment/>
    </xf>
    <xf numFmtId="0" fontId="0" fillId="0" borderId="25" xfId="0" applyFill="1" applyBorder="1" applyAlignment="1">
      <alignment/>
    </xf>
    <xf numFmtId="0" fontId="0" fillId="0" borderId="42" xfId="0" applyFill="1" applyBorder="1" applyAlignment="1">
      <alignment/>
    </xf>
    <xf numFmtId="10" fontId="0" fillId="0" borderId="25" xfId="0" applyNumberFormat="1" applyFill="1" applyBorder="1" applyAlignment="1">
      <alignment/>
    </xf>
    <xf numFmtId="1" fontId="0" fillId="0" borderId="44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0" fontId="3" fillId="0" borderId="22" xfId="0" applyFont="1" applyBorder="1" applyAlignment="1">
      <alignment/>
    </xf>
    <xf numFmtId="0" fontId="14" fillId="0" borderId="22" xfId="0" applyFont="1" applyBorder="1" applyAlignment="1">
      <alignment/>
    </xf>
    <xf numFmtId="191" fontId="27" fillId="0" borderId="16" xfId="0" applyNumberFormat="1" applyFont="1" applyBorder="1" applyAlignment="1">
      <alignment/>
    </xf>
    <xf numFmtId="191" fontId="13" fillId="0" borderId="16" xfId="0" applyNumberFormat="1" applyFont="1" applyBorder="1" applyAlignment="1">
      <alignment/>
    </xf>
    <xf numFmtId="0" fontId="3" fillId="0" borderId="22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27" fillId="0" borderId="22" xfId="0" applyFont="1" applyBorder="1" applyAlignment="1">
      <alignment/>
    </xf>
    <xf numFmtId="199" fontId="0" fillId="0" borderId="16" xfId="0" applyNumberFormat="1" applyBorder="1" applyAlignment="1">
      <alignment/>
    </xf>
    <xf numFmtId="0" fontId="2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199" fontId="17" fillId="0" borderId="16" xfId="0" applyNumberFormat="1" applyFont="1" applyBorder="1" applyAlignment="1">
      <alignment/>
    </xf>
    <xf numFmtId="0" fontId="15" fillId="0" borderId="34" xfId="0" applyFont="1" applyBorder="1" applyAlignment="1">
      <alignment/>
    </xf>
    <xf numFmtId="199" fontId="15" fillId="0" borderId="39" xfId="0" applyNumberFormat="1" applyFont="1" applyBorder="1" applyAlignment="1">
      <alignment/>
    </xf>
    <xf numFmtId="0" fontId="27" fillId="0" borderId="34" xfId="0" applyFont="1" applyBorder="1" applyAlignment="1">
      <alignment/>
    </xf>
    <xf numFmtId="199" fontId="0" fillId="0" borderId="39" xfId="0" applyNumberFormat="1" applyBorder="1" applyAlignment="1">
      <alignment horizontal="center"/>
    </xf>
    <xf numFmtId="0" fontId="3" fillId="0" borderId="40" xfId="0" applyFont="1" applyBorder="1" applyAlignment="1">
      <alignment/>
    </xf>
    <xf numFmtId="191" fontId="0" fillId="0" borderId="5" xfId="0" applyNumberFormat="1" applyBorder="1" applyAlignment="1">
      <alignment/>
    </xf>
    <xf numFmtId="191" fontId="0" fillId="0" borderId="41" xfId="0" applyNumberFormat="1" applyBorder="1" applyAlignment="1">
      <alignment/>
    </xf>
    <xf numFmtId="0" fontId="3" fillId="0" borderId="27" xfId="0" applyFont="1" applyBorder="1" applyAlignment="1">
      <alignment/>
    </xf>
    <xf numFmtId="191" fontId="13" fillId="0" borderId="25" xfId="0" applyNumberFormat="1" applyFont="1" applyBorder="1" applyAlignment="1">
      <alignment/>
    </xf>
    <xf numFmtId="191" fontId="13" fillId="0" borderId="12" xfId="0" applyNumberFormat="1" applyFont="1" applyBorder="1" applyAlignment="1">
      <alignment/>
    </xf>
    <xf numFmtId="0" fontId="17" fillId="0" borderId="37" xfId="0" applyFont="1" applyBorder="1" applyAlignment="1">
      <alignment/>
    </xf>
    <xf numFmtId="199" fontId="17" fillId="0" borderId="24" xfId="0" applyNumberFormat="1" applyFont="1" applyBorder="1" applyAlignment="1">
      <alignment/>
    </xf>
    <xf numFmtId="199" fontId="17" fillId="0" borderId="38" xfId="0" applyNumberFormat="1" applyFont="1" applyBorder="1" applyAlignment="1">
      <alignment/>
    </xf>
    <xf numFmtId="0" fontId="17" fillId="0" borderId="27" xfId="0" applyFont="1" applyBorder="1" applyAlignment="1">
      <alignment/>
    </xf>
    <xf numFmtId="199" fontId="17" fillId="0" borderId="25" xfId="0" applyNumberFormat="1" applyFont="1" applyBorder="1" applyAlignment="1">
      <alignment/>
    </xf>
    <xf numFmtId="199" fontId="17" fillId="0" borderId="12" xfId="0" applyNumberFormat="1" applyFont="1" applyBorder="1" applyAlignment="1">
      <alignment/>
    </xf>
    <xf numFmtId="191" fontId="13" fillId="0" borderId="16" xfId="0" applyNumberFormat="1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199" fontId="0" fillId="0" borderId="11" xfId="0" applyNumberFormat="1" applyBorder="1" applyAlignment="1">
      <alignment/>
    </xf>
    <xf numFmtId="199" fontId="0" fillId="0" borderId="18" xfId="0" applyNumberFormat="1" applyBorder="1" applyAlignment="1">
      <alignment/>
    </xf>
    <xf numFmtId="0" fontId="0" fillId="0" borderId="21" xfId="0" applyFont="1" applyBorder="1" applyAlignment="1">
      <alignment/>
    </xf>
    <xf numFmtId="202" fontId="3" fillId="0" borderId="14" xfId="0" applyNumberFormat="1" applyFont="1" applyBorder="1" applyAlignment="1">
      <alignment/>
    </xf>
    <xf numFmtId="202" fontId="3" fillId="0" borderId="16" xfId="0" applyNumberFormat="1" applyFont="1" applyBorder="1" applyAlignment="1">
      <alignment/>
    </xf>
    <xf numFmtId="0" fontId="0" fillId="0" borderId="33" xfId="0" applyFont="1" applyBorder="1" applyAlignment="1">
      <alignment/>
    </xf>
    <xf numFmtId="10" fontId="3" fillId="0" borderId="18" xfId="0" applyNumberFormat="1" applyFont="1" applyBorder="1" applyAlignment="1">
      <alignment/>
    </xf>
    <xf numFmtId="0" fontId="0" fillId="0" borderId="15" xfId="0" applyBorder="1" applyAlignment="1">
      <alignment horizontal="left"/>
    </xf>
    <xf numFmtId="199" fontId="0" fillId="0" borderId="39" xfId="0" applyNumberFormat="1" applyBorder="1" applyAlignment="1">
      <alignment/>
    </xf>
    <xf numFmtId="0" fontId="0" fillId="0" borderId="22" xfId="0" applyFill="1" applyBorder="1" applyAlignment="1">
      <alignment vertical="center"/>
    </xf>
    <xf numFmtId="199" fontId="14" fillId="0" borderId="11" xfId="0" applyNumberFormat="1" applyFont="1" applyBorder="1" applyAlignment="1">
      <alignment/>
    </xf>
    <xf numFmtId="9" fontId="0" fillId="0" borderId="35" xfId="0" applyNumberFormat="1" applyBorder="1" applyAlignment="1">
      <alignment/>
    </xf>
    <xf numFmtId="9" fontId="0" fillId="0" borderId="42" xfId="0" applyNumberFormat="1" applyBorder="1" applyAlignment="1">
      <alignment/>
    </xf>
    <xf numFmtId="9" fontId="0" fillId="0" borderId="36" xfId="0" applyNumberFormat="1" applyBorder="1" applyAlignment="1">
      <alignment/>
    </xf>
    <xf numFmtId="0" fontId="0" fillId="0" borderId="34" xfId="0" applyBorder="1" applyAlignment="1">
      <alignment vertical="center"/>
    </xf>
    <xf numFmtId="191" fontId="0" fillId="0" borderId="39" xfId="0" applyNumberFormat="1" applyBorder="1" applyAlignment="1">
      <alignment/>
    </xf>
    <xf numFmtId="0" fontId="0" fillId="0" borderId="34" xfId="0" applyFill="1" applyBorder="1" applyAlignment="1">
      <alignment vertical="center"/>
    </xf>
    <xf numFmtId="201" fontId="0" fillId="0" borderId="7" xfId="0" applyNumberFormat="1" applyFont="1" applyBorder="1" applyAlignment="1">
      <alignment horizontal="right"/>
    </xf>
    <xf numFmtId="191" fontId="3" fillId="7" borderId="25" xfId="0" applyNumberFormat="1" applyFont="1" applyFill="1" applyBorder="1" applyAlignment="1">
      <alignment horizontal="center"/>
    </xf>
    <xf numFmtId="0" fontId="26" fillId="7" borderId="25" xfId="0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191" fontId="3" fillId="7" borderId="27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left"/>
    </xf>
    <xf numFmtId="201" fontId="0" fillId="0" borderId="39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 vertical="center" wrapText="1"/>
    </xf>
    <xf numFmtId="201" fontId="0" fillId="0" borderId="16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40" xfId="0" applyFill="1" applyBorder="1" applyAlignment="1">
      <alignment vertical="center"/>
    </xf>
    <xf numFmtId="191" fontId="0" fillId="0" borderId="5" xfId="0" applyNumberFormat="1" applyBorder="1" applyAlignment="1">
      <alignment horizontal="right"/>
    </xf>
    <xf numFmtId="201" fontId="0" fillId="0" borderId="5" xfId="0" applyNumberFormat="1" applyFont="1" applyBorder="1" applyAlignment="1">
      <alignment horizontal="right"/>
    </xf>
    <xf numFmtId="199" fontId="14" fillId="0" borderId="28" xfId="0" applyNumberFormat="1" applyFont="1" applyBorder="1" applyAlignment="1">
      <alignment horizontal="right"/>
    </xf>
    <xf numFmtId="199" fontId="14" fillId="0" borderId="29" xfId="0" applyNumberFormat="1" applyFont="1" applyBorder="1" applyAlignment="1">
      <alignment horizontal="right"/>
    </xf>
    <xf numFmtId="191" fontId="3" fillId="0" borderId="25" xfId="0" applyNumberFormat="1" applyFont="1" applyBorder="1" applyAlignment="1">
      <alignment/>
    </xf>
    <xf numFmtId="191" fontId="3" fillId="0" borderId="12" xfId="0" applyNumberFormat="1" applyFont="1" applyBorder="1" applyAlignment="1">
      <alignment/>
    </xf>
    <xf numFmtId="1" fontId="3" fillId="0" borderId="45" xfId="0" applyNumberFormat="1" applyFont="1" applyBorder="1" applyAlignment="1">
      <alignment horizontal="center"/>
    </xf>
    <xf numFmtId="201" fontId="14" fillId="0" borderId="28" xfId="0" applyNumberFormat="1" applyFont="1" applyBorder="1" applyAlignment="1">
      <alignment horizontal="center"/>
    </xf>
    <xf numFmtId="201" fontId="14" fillId="0" borderId="29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201" fontId="0" fillId="0" borderId="13" xfId="0" applyNumberFormat="1" applyFont="1" applyBorder="1" applyAlignment="1">
      <alignment horizontal="center"/>
    </xf>
    <xf numFmtId="201" fontId="0" fillId="0" borderId="14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201" fontId="0" fillId="0" borderId="16" xfId="0" applyNumberFormat="1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201" fontId="0" fillId="0" borderId="11" xfId="0" applyNumberFormat="1" applyFont="1" applyBorder="1" applyAlignment="1">
      <alignment horizontal="center"/>
    </xf>
    <xf numFmtId="201" fontId="0" fillId="0" borderId="18" xfId="0" applyNumberFormat="1" applyFont="1" applyBorder="1" applyAlignment="1">
      <alignment horizontal="center"/>
    </xf>
    <xf numFmtId="191" fontId="17" fillId="0" borderId="5" xfId="0" applyNumberFormat="1" applyFont="1" applyBorder="1" applyAlignment="1">
      <alignment/>
    </xf>
    <xf numFmtId="10" fontId="0" fillId="0" borderId="25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42" fillId="0" borderId="46" xfId="0" applyFont="1" applyBorder="1" applyAlignment="1">
      <alignment horizontal="left"/>
    </xf>
    <xf numFmtId="191" fontId="42" fillId="0" borderId="13" xfId="0" applyNumberFormat="1" applyFont="1" applyBorder="1" applyAlignment="1">
      <alignment horizontal="center"/>
    </xf>
    <xf numFmtId="191" fontId="42" fillId="0" borderId="14" xfId="0" applyNumberFormat="1" applyFont="1" applyBorder="1" applyAlignment="1">
      <alignment horizontal="center"/>
    </xf>
    <xf numFmtId="0" fontId="0" fillId="0" borderId="15" xfId="0" applyBorder="1" applyAlignment="1">
      <alignment vertical="center"/>
    </xf>
    <xf numFmtId="0" fontId="42" fillId="0" borderId="22" xfId="0" applyFont="1" applyBorder="1" applyAlignment="1">
      <alignment/>
    </xf>
    <xf numFmtId="191" fontId="42" fillId="0" borderId="16" xfId="0" applyNumberFormat="1" applyFont="1" applyBorder="1" applyAlignment="1">
      <alignment/>
    </xf>
    <xf numFmtId="0" fontId="42" fillId="0" borderId="22" xfId="0" applyFont="1" applyBorder="1" applyAlignment="1">
      <alignment vertical="center" wrapText="1"/>
    </xf>
    <xf numFmtId="0" fontId="17" fillId="0" borderId="40" xfId="0" applyFont="1" applyBorder="1" applyAlignment="1">
      <alignment/>
    </xf>
    <xf numFmtId="191" fontId="17" fillId="0" borderId="41" xfId="0" applyNumberFormat="1" applyFont="1" applyBorder="1" applyAlignment="1">
      <alignment/>
    </xf>
    <xf numFmtId="191" fontId="3" fillId="0" borderId="13" xfId="0" applyNumberFormat="1" applyFont="1" applyBorder="1" applyAlignment="1">
      <alignment/>
    </xf>
    <xf numFmtId="191" fontId="3" fillId="0" borderId="21" xfId="0" applyNumberFormat="1" applyFont="1" applyBorder="1" applyAlignment="1">
      <alignment/>
    </xf>
    <xf numFmtId="191" fontId="3" fillId="0" borderId="14" xfId="0" applyNumberFormat="1" applyFont="1" applyBorder="1" applyAlignment="1">
      <alignment/>
    </xf>
    <xf numFmtId="199" fontId="14" fillId="0" borderId="33" xfId="0" applyNumberFormat="1" applyFont="1" applyBorder="1" applyAlignment="1">
      <alignment/>
    </xf>
    <xf numFmtId="199" fontId="14" fillId="0" borderId="18" xfId="0" applyNumberFormat="1" applyFont="1" applyBorder="1" applyAlignment="1">
      <alignment/>
    </xf>
    <xf numFmtId="0" fontId="0" fillId="0" borderId="40" xfId="0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23" fillId="0" borderId="21" xfId="0" applyFont="1" applyBorder="1" applyAlignment="1">
      <alignment/>
    </xf>
    <xf numFmtId="203" fontId="0" fillId="0" borderId="13" xfId="0" applyNumberFormat="1" applyBorder="1" applyAlignment="1">
      <alignment/>
    </xf>
    <xf numFmtId="20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7" fillId="0" borderId="22" xfId="0" applyNumberFormat="1" applyFont="1" applyBorder="1" applyAlignment="1">
      <alignment/>
    </xf>
    <xf numFmtId="199" fontId="27" fillId="0" borderId="16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7" fillId="0" borderId="40" xfId="0" applyNumberFormat="1" applyFont="1" applyBorder="1" applyAlignment="1">
      <alignment/>
    </xf>
    <xf numFmtId="199" fontId="27" fillId="0" borderId="5" xfId="0" applyNumberFormat="1" applyFont="1" applyBorder="1" applyAlignment="1">
      <alignment/>
    </xf>
    <xf numFmtId="199" fontId="27" fillId="0" borderId="41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13" fillId="7" borderId="27" xfId="0" applyNumberFormat="1" applyFont="1" applyFill="1" applyBorder="1" applyAlignment="1">
      <alignment/>
    </xf>
    <xf numFmtId="199" fontId="13" fillId="7" borderId="25" xfId="0" applyNumberFormat="1" applyFont="1" applyFill="1" applyBorder="1" applyAlignment="1">
      <alignment/>
    </xf>
    <xf numFmtId="199" fontId="13" fillId="7" borderId="12" xfId="0" applyNumberFormat="1" applyFont="1" applyFill="1" applyBorder="1" applyAlignment="1">
      <alignment/>
    </xf>
    <xf numFmtId="199" fontId="3" fillId="0" borderId="16" xfId="0" applyNumberFormat="1" applyFont="1" applyBorder="1" applyAlignment="1">
      <alignment/>
    </xf>
    <xf numFmtId="199" fontId="3" fillId="0" borderId="5" xfId="0" applyNumberFormat="1" applyFont="1" applyBorder="1" applyAlignment="1">
      <alignment/>
    </xf>
    <xf numFmtId="199" fontId="3" fillId="0" borderId="41" xfId="0" applyNumberFormat="1" applyFont="1" applyBorder="1" applyAlignment="1">
      <alignment/>
    </xf>
    <xf numFmtId="206" fontId="27" fillId="0" borderId="25" xfId="0" applyNumberFormat="1" applyFont="1" applyFill="1" applyBorder="1" applyAlignment="1">
      <alignment/>
    </xf>
    <xf numFmtId="206" fontId="27" fillId="0" borderId="12" xfId="0" applyNumberFormat="1" applyFont="1" applyFill="1" applyBorder="1" applyAlignment="1">
      <alignment/>
    </xf>
    <xf numFmtId="3" fontId="0" fillId="0" borderId="39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26" fillId="7" borderId="27" xfId="0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191" fontId="42" fillId="0" borderId="47" xfId="0" applyNumberFormat="1" applyFont="1" applyBorder="1" applyAlignment="1">
      <alignment horizontal="left"/>
    </xf>
    <xf numFmtId="10" fontId="14" fillId="0" borderId="48" xfId="0" applyNumberFormat="1" applyFont="1" applyBorder="1" applyAlignment="1">
      <alignment horizontal="left"/>
    </xf>
    <xf numFmtId="199" fontId="3" fillId="0" borderId="3" xfId="0" applyNumberFormat="1" applyFont="1" applyBorder="1" applyAlignment="1">
      <alignment horizontal="center"/>
    </xf>
    <xf numFmtId="0" fontId="18" fillId="7" borderId="35" xfId="0" applyFont="1" applyFill="1" applyBorder="1" applyAlignment="1">
      <alignment horizontal="left"/>
    </xf>
    <xf numFmtId="191" fontId="19" fillId="7" borderId="25" xfId="0" applyNumberFormat="1" applyFont="1" applyFill="1" applyBorder="1" applyAlignment="1">
      <alignment horizontal="left"/>
    </xf>
    <xf numFmtId="0" fontId="47" fillId="7" borderId="49" xfId="0" applyFont="1" applyFill="1" applyBorder="1" applyAlignment="1">
      <alignment horizontal="center" vertical="center" wrapText="1"/>
    </xf>
    <xf numFmtId="2" fontId="47" fillId="7" borderId="13" xfId="0" applyNumberFormat="1" applyFont="1" applyFill="1" applyBorder="1" applyAlignment="1">
      <alignment horizontal="center" vertical="center" wrapText="1"/>
    </xf>
    <xf numFmtId="191" fontId="47" fillId="7" borderId="13" xfId="0" applyNumberFormat="1" applyFont="1" applyFill="1" applyBorder="1" applyAlignment="1">
      <alignment horizontal="center" vertical="center" wrapText="1"/>
    </xf>
    <xf numFmtId="191" fontId="47" fillId="7" borderId="14" xfId="0" applyNumberFormat="1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horizontal="left"/>
    </xf>
    <xf numFmtId="0" fontId="17" fillId="0" borderId="9" xfId="0" applyFont="1" applyBorder="1" applyAlignment="1">
      <alignment horizontal="center"/>
    </xf>
    <xf numFmtId="191" fontId="17" fillId="0" borderId="43" xfId="0" applyNumberFormat="1" applyFont="1" applyBorder="1" applyAlignment="1">
      <alignment horizontal="left"/>
    </xf>
    <xf numFmtId="191" fontId="17" fillId="0" borderId="5" xfId="0" applyNumberFormat="1" applyFont="1" applyBorder="1" applyAlignment="1">
      <alignment horizontal="left"/>
    </xf>
    <xf numFmtId="10" fontId="14" fillId="0" borderId="5" xfId="0" applyNumberFormat="1" applyFont="1" applyBorder="1" applyAlignment="1">
      <alignment horizontal="left"/>
    </xf>
    <xf numFmtId="191" fontId="46" fillId="7" borderId="51" xfId="0" applyNumberFormat="1" applyFont="1" applyFill="1" applyBorder="1" applyAlignment="1">
      <alignment horizontal="center" vertical="center" wrapText="1"/>
    </xf>
    <xf numFmtId="0" fontId="46" fillId="7" borderId="52" xfId="0" applyFont="1" applyFill="1" applyBorder="1" applyAlignment="1">
      <alignment horizontal="center" vertical="center" wrapText="1"/>
    </xf>
    <xf numFmtId="0" fontId="46" fillId="7" borderId="32" xfId="0" applyFont="1" applyFill="1" applyBorder="1" applyAlignment="1">
      <alignment horizontal="center" vertical="center" wrapText="1"/>
    </xf>
    <xf numFmtId="0" fontId="48" fillId="7" borderId="52" xfId="0" applyFont="1" applyFill="1" applyBorder="1" applyAlignment="1">
      <alignment horizontal="center" vertical="center" wrapText="1"/>
    </xf>
    <xf numFmtId="201" fontId="0" fillId="0" borderId="52" xfId="0" applyNumberFormat="1" applyFont="1" applyBorder="1" applyAlignment="1">
      <alignment horizontal="center"/>
    </xf>
    <xf numFmtId="201" fontId="0" fillId="0" borderId="32" xfId="0" applyNumberFormat="1" applyFont="1" applyBorder="1" applyAlignment="1">
      <alignment horizontal="center"/>
    </xf>
    <xf numFmtId="201" fontId="0" fillId="0" borderId="29" xfId="0" applyNumberFormat="1" applyFont="1" applyBorder="1" applyAlignment="1">
      <alignment horizontal="center"/>
    </xf>
    <xf numFmtId="0" fontId="46" fillId="7" borderId="31" xfId="0" applyFont="1" applyFill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/>
    </xf>
    <xf numFmtId="201" fontId="14" fillId="0" borderId="25" xfId="0" applyNumberFormat="1" applyFont="1" applyBorder="1" applyAlignment="1">
      <alignment horizontal="center"/>
    </xf>
    <xf numFmtId="201" fontId="14" fillId="0" borderId="12" xfId="0" applyNumberFormat="1" applyFont="1" applyBorder="1" applyAlignment="1">
      <alignment horizontal="center"/>
    </xf>
    <xf numFmtId="201" fontId="0" fillId="0" borderId="25" xfId="0" applyNumberFormat="1" applyFont="1" applyBorder="1" applyAlignment="1">
      <alignment horizontal="center"/>
    </xf>
    <xf numFmtId="201" fontId="0" fillId="0" borderId="25" xfId="0" applyNumberFormat="1" applyFont="1" applyBorder="1" applyAlignment="1">
      <alignment horizontal="center" vertical="center"/>
    </xf>
    <xf numFmtId="201" fontId="0" fillId="0" borderId="12" xfId="0" applyNumberFormat="1" applyFont="1" applyBorder="1" applyAlignment="1">
      <alignment horizontal="center"/>
    </xf>
    <xf numFmtId="201" fontId="0" fillId="0" borderId="24" xfId="0" applyNumberFormat="1" applyFont="1" applyBorder="1" applyAlignment="1">
      <alignment horizontal="center"/>
    </xf>
    <xf numFmtId="201" fontId="0" fillId="0" borderId="24" xfId="0" applyNumberFormat="1" applyFont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191" fontId="0" fillId="0" borderId="24" xfId="0" applyNumberFormat="1" applyBorder="1" applyAlignment="1">
      <alignment horizontal="right"/>
    </xf>
    <xf numFmtId="201" fontId="0" fillId="0" borderId="25" xfId="0" applyNumberFormat="1" applyFont="1" applyBorder="1" applyAlignment="1">
      <alignment horizontal="center" vertical="center" wrapText="1"/>
    </xf>
    <xf numFmtId="201" fontId="0" fillId="0" borderId="24" xfId="0" applyNumberFormat="1" applyFon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right"/>
    </xf>
    <xf numFmtId="10" fontId="9" fillId="0" borderId="36" xfId="0" applyNumberFormat="1" applyFont="1" applyBorder="1" applyAlignment="1">
      <alignment horizontal="left"/>
    </xf>
    <xf numFmtId="19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191" fontId="13" fillId="0" borderId="1" xfId="0" applyNumberFormat="1" applyFont="1" applyBorder="1" applyAlignment="1">
      <alignment vertical="center"/>
    </xf>
    <xf numFmtId="191" fontId="13" fillId="0" borderId="16" xfId="0" applyNumberFormat="1" applyFont="1" applyBorder="1" applyAlignment="1">
      <alignment vertical="center"/>
    </xf>
    <xf numFmtId="0" fontId="46" fillId="0" borderId="0" xfId="0" applyFont="1" applyAlignment="1">
      <alignment/>
    </xf>
    <xf numFmtId="0" fontId="0" fillId="0" borderId="2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" fontId="0" fillId="0" borderId="13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3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" fontId="0" fillId="0" borderId="11" xfId="0" applyNumberFormat="1" applyBorder="1" applyAlignment="1">
      <alignment horizontal="center"/>
    </xf>
    <xf numFmtId="191" fontId="0" fillId="0" borderId="18" xfId="0" applyNumberFormat="1" applyBorder="1" applyAlignment="1">
      <alignment/>
    </xf>
    <xf numFmtId="191" fontId="3" fillId="0" borderId="57" xfId="0" applyNumberFormat="1" applyFont="1" applyBorder="1" applyAlignment="1">
      <alignment/>
    </xf>
    <xf numFmtId="0" fontId="3" fillId="0" borderId="21" xfId="0" applyFont="1" applyBorder="1" applyAlignment="1">
      <alignment/>
    </xf>
    <xf numFmtId="191" fontId="27" fillId="0" borderId="13" xfId="0" applyNumberFormat="1" applyFont="1" applyBorder="1" applyAlignment="1">
      <alignment/>
    </xf>
    <xf numFmtId="191" fontId="27" fillId="0" borderId="14" xfId="0" applyNumberFormat="1" applyFont="1" applyBorder="1" applyAlignment="1">
      <alignment/>
    </xf>
    <xf numFmtId="0" fontId="49" fillId="0" borderId="0" xfId="0" applyFont="1" applyAlignment="1">
      <alignment vertical="center" wrapText="1"/>
    </xf>
    <xf numFmtId="3" fontId="4" fillId="7" borderId="25" xfId="0" applyNumberFormat="1" applyFont="1" applyFill="1" applyBorder="1" applyAlignment="1">
      <alignment horizontal="center" vertical="center" wrapText="1"/>
    </xf>
    <xf numFmtId="199" fontId="4" fillId="7" borderId="25" xfId="0" applyNumberFormat="1" applyFont="1" applyFill="1" applyBorder="1" applyAlignment="1">
      <alignment horizontal="center" vertical="center" wrapText="1"/>
    </xf>
    <xf numFmtId="10" fontId="4" fillId="7" borderId="25" xfId="0" applyNumberFormat="1" applyFont="1" applyFill="1" applyBorder="1" applyAlignment="1">
      <alignment horizontal="center" vertical="center" wrapText="1"/>
    </xf>
    <xf numFmtId="10" fontId="4" fillId="7" borderId="12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202" fontId="50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9" fontId="49" fillId="0" borderId="0" xfId="0" applyNumberFormat="1" applyFont="1" applyFill="1" applyBorder="1" applyAlignment="1">
      <alignment horizontal="center"/>
    </xf>
    <xf numFmtId="3" fontId="50" fillId="0" borderId="54" xfId="0" applyNumberFormat="1" applyFont="1" applyBorder="1" applyAlignment="1">
      <alignment horizontal="center" vertical="center" wrapText="1"/>
    </xf>
    <xf numFmtId="199" fontId="50" fillId="0" borderId="13" xfId="0" applyNumberFormat="1" applyFont="1" applyBorder="1" applyAlignment="1">
      <alignment horizontal="center" vertical="center" wrapText="1"/>
    </xf>
    <xf numFmtId="10" fontId="50" fillId="0" borderId="13" xfId="0" applyNumberFormat="1" applyFont="1" applyBorder="1" applyAlignment="1">
      <alignment horizontal="center" vertical="center" wrapText="1"/>
    </xf>
    <xf numFmtId="10" fontId="46" fillId="0" borderId="14" xfId="0" applyNumberFormat="1" applyFont="1" applyBorder="1" applyAlignment="1">
      <alignment horizontal="center"/>
    </xf>
    <xf numFmtId="3" fontId="49" fillId="0" borderId="1" xfId="0" applyNumberFormat="1" applyFont="1" applyBorder="1" applyAlignment="1">
      <alignment horizontal="center"/>
    </xf>
    <xf numFmtId="199" fontId="49" fillId="0" borderId="1" xfId="0" applyNumberFormat="1" applyFont="1" applyBorder="1" applyAlignment="1">
      <alignment horizontal="center"/>
    </xf>
    <xf numFmtId="10" fontId="49" fillId="0" borderId="1" xfId="0" applyNumberFormat="1" applyFont="1" applyBorder="1" applyAlignment="1">
      <alignment horizontal="center"/>
    </xf>
    <xf numFmtId="10" fontId="49" fillId="0" borderId="16" xfId="0" applyNumberFormat="1" applyFont="1" applyBorder="1" applyAlignment="1">
      <alignment horizontal="center"/>
    </xf>
    <xf numFmtId="0" fontId="49" fillId="0" borderId="0" xfId="0" applyFont="1" applyAlignment="1">
      <alignment/>
    </xf>
    <xf numFmtId="3" fontId="49" fillId="0" borderId="5" xfId="0" applyNumberFormat="1" applyFont="1" applyBorder="1" applyAlignment="1">
      <alignment horizontal="center"/>
    </xf>
    <xf numFmtId="199" fontId="49" fillId="0" borderId="5" xfId="0" applyNumberFormat="1" applyFont="1" applyBorder="1" applyAlignment="1">
      <alignment horizontal="center"/>
    </xf>
    <xf numFmtId="10" fontId="49" fillId="0" borderId="5" xfId="0" applyNumberFormat="1" applyFont="1" applyBorder="1" applyAlignment="1">
      <alignment horizontal="center"/>
    </xf>
    <xf numFmtId="10" fontId="49" fillId="0" borderId="41" xfId="0" applyNumberFormat="1" applyFont="1" applyBorder="1" applyAlignment="1">
      <alignment horizontal="center"/>
    </xf>
    <xf numFmtId="0" fontId="46" fillId="8" borderId="35" xfId="0" applyFont="1" applyFill="1" applyBorder="1" applyAlignment="1">
      <alignment horizontal="left"/>
    </xf>
    <xf numFmtId="3" fontId="46" fillId="8" borderId="25" xfId="0" applyNumberFormat="1" applyFont="1" applyFill="1" applyBorder="1" applyAlignment="1">
      <alignment horizontal="center"/>
    </xf>
    <xf numFmtId="199" fontId="46" fillId="8" borderId="25" xfId="0" applyNumberFormat="1" applyFont="1" applyFill="1" applyBorder="1" applyAlignment="1">
      <alignment horizontal="center"/>
    </xf>
    <xf numFmtId="10" fontId="46" fillId="8" borderId="25" xfId="0" applyNumberFormat="1" applyFont="1" applyFill="1" applyBorder="1" applyAlignment="1">
      <alignment horizontal="center"/>
    </xf>
    <xf numFmtId="10" fontId="46" fillId="8" borderId="12" xfId="0" applyNumberFormat="1" applyFont="1" applyFill="1" applyBorder="1" applyAlignment="1">
      <alignment horizontal="center"/>
    </xf>
    <xf numFmtId="3" fontId="49" fillId="0" borderId="7" xfId="0" applyNumberFormat="1" applyFont="1" applyBorder="1" applyAlignment="1">
      <alignment horizontal="center"/>
    </xf>
    <xf numFmtId="199" fontId="49" fillId="0" borderId="7" xfId="0" applyNumberFormat="1" applyFont="1" applyBorder="1" applyAlignment="1">
      <alignment horizontal="center"/>
    </xf>
    <xf numFmtId="10" fontId="49" fillId="0" borderId="7" xfId="0" applyNumberFormat="1" applyFont="1" applyBorder="1" applyAlignment="1">
      <alignment horizontal="center"/>
    </xf>
    <xf numFmtId="10" fontId="49" fillId="0" borderId="39" xfId="0" applyNumberFormat="1" applyFont="1" applyBorder="1" applyAlignment="1">
      <alignment horizontal="center"/>
    </xf>
    <xf numFmtId="3" fontId="49" fillId="0" borderId="1" xfId="0" applyNumberFormat="1" applyFont="1" applyBorder="1" applyAlignment="1">
      <alignment horizontal="center" vertical="center"/>
    </xf>
    <xf numFmtId="199" fontId="49" fillId="0" borderId="1" xfId="0" applyNumberFormat="1" applyFont="1" applyBorder="1" applyAlignment="1">
      <alignment horizontal="center" vertical="center"/>
    </xf>
    <xf numFmtId="10" fontId="49" fillId="0" borderId="1" xfId="0" applyNumberFormat="1" applyFont="1" applyBorder="1" applyAlignment="1">
      <alignment horizontal="center" vertical="center"/>
    </xf>
    <xf numFmtId="10" fontId="49" fillId="0" borderId="16" xfId="0" applyNumberFormat="1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199" fontId="49" fillId="0" borderId="11" xfId="0" applyNumberFormat="1" applyFont="1" applyBorder="1" applyAlignment="1">
      <alignment horizontal="center" vertical="center"/>
    </xf>
    <xf numFmtId="10" fontId="49" fillId="0" borderId="11" xfId="0" applyNumberFormat="1" applyFont="1" applyBorder="1" applyAlignment="1">
      <alignment horizontal="center" vertical="center"/>
    </xf>
    <xf numFmtId="10" fontId="49" fillId="0" borderId="18" xfId="0" applyNumberFormat="1" applyFont="1" applyBorder="1" applyAlignment="1">
      <alignment horizontal="center" vertical="center"/>
    </xf>
    <xf numFmtId="10" fontId="49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10" fontId="46" fillId="0" borderId="12" xfId="0" applyNumberFormat="1" applyFont="1" applyBorder="1" applyAlignment="1">
      <alignment horizontal="center" vertical="center" wrapText="1"/>
    </xf>
    <xf numFmtId="199" fontId="49" fillId="0" borderId="13" xfId="0" applyNumberFormat="1" applyFont="1" applyBorder="1" applyAlignment="1">
      <alignment horizontal="center"/>
    </xf>
    <xf numFmtId="199" fontId="49" fillId="0" borderId="13" xfId="0" applyNumberFormat="1" applyFont="1" applyBorder="1" applyAlignment="1">
      <alignment/>
    </xf>
    <xf numFmtId="0" fontId="49" fillId="0" borderId="13" xfId="0" applyFont="1" applyBorder="1" applyAlignment="1">
      <alignment/>
    </xf>
    <xf numFmtId="199" fontId="49" fillId="0" borderId="14" xfId="0" applyNumberFormat="1" applyFont="1" applyBorder="1" applyAlignment="1">
      <alignment/>
    </xf>
    <xf numFmtId="199" fontId="49" fillId="0" borderId="1" xfId="0" applyNumberFormat="1" applyFont="1" applyBorder="1" applyAlignment="1">
      <alignment/>
    </xf>
    <xf numFmtId="199" fontId="49" fillId="0" borderId="16" xfId="0" applyNumberFormat="1" applyFont="1" applyBorder="1" applyAlignment="1">
      <alignment/>
    </xf>
    <xf numFmtId="199" fontId="49" fillId="0" borderId="5" xfId="0" applyNumberFormat="1" applyFont="1" applyBorder="1" applyAlignment="1">
      <alignment/>
    </xf>
    <xf numFmtId="199" fontId="49" fillId="0" borderId="41" xfId="0" applyNumberFormat="1" applyFont="1" applyBorder="1" applyAlignment="1">
      <alignment/>
    </xf>
    <xf numFmtId="199" fontId="49" fillId="0" borderId="0" xfId="0" applyNumberFormat="1" applyFont="1" applyAlignment="1">
      <alignment/>
    </xf>
    <xf numFmtId="199" fontId="49" fillId="0" borderId="5" xfId="0" applyNumberFormat="1" applyFont="1" applyFill="1" applyBorder="1" applyAlignment="1">
      <alignment horizontal="center"/>
    </xf>
    <xf numFmtId="199" fontId="49" fillId="0" borderId="5" xfId="0" applyNumberFormat="1" applyFont="1" applyFill="1" applyBorder="1" applyAlignment="1">
      <alignment/>
    </xf>
    <xf numFmtId="199" fontId="49" fillId="0" borderId="41" xfId="0" applyNumberFormat="1" applyFont="1" applyFill="1" applyBorder="1" applyAlignment="1">
      <alignment/>
    </xf>
    <xf numFmtId="199" fontId="49" fillId="7" borderId="25" xfId="0" applyNumberFormat="1" applyFont="1" applyFill="1" applyBorder="1" applyAlignment="1">
      <alignment horizontal="center"/>
    </xf>
    <xf numFmtId="199" fontId="49" fillId="7" borderId="25" xfId="0" applyNumberFormat="1" applyFont="1" applyFill="1" applyBorder="1" applyAlignment="1">
      <alignment/>
    </xf>
    <xf numFmtId="199" fontId="49" fillId="7" borderId="12" xfId="0" applyNumberFormat="1" applyFont="1" applyFill="1" applyBorder="1" applyAlignment="1">
      <alignment/>
    </xf>
    <xf numFmtId="199" fontId="49" fillId="0" borderId="7" xfId="0" applyNumberFormat="1" applyFont="1" applyBorder="1" applyAlignment="1">
      <alignment/>
    </xf>
    <xf numFmtId="199" fontId="49" fillId="9" borderId="7" xfId="0" applyNumberFormat="1" applyFont="1" applyFill="1" applyBorder="1" applyAlignment="1">
      <alignment/>
    </xf>
    <xf numFmtId="199" fontId="49" fillId="0" borderId="39" xfId="0" applyNumberFormat="1" applyFont="1" applyBorder="1" applyAlignment="1">
      <alignment/>
    </xf>
    <xf numFmtId="199" fontId="49" fillId="9" borderId="1" xfId="0" applyNumberFormat="1" applyFont="1" applyFill="1" applyBorder="1" applyAlignment="1">
      <alignment/>
    </xf>
    <xf numFmtId="199" fontId="49" fillId="0" borderId="11" xfId="0" applyNumberFormat="1" applyFont="1" applyBorder="1" applyAlignment="1">
      <alignment horizontal="center"/>
    </xf>
    <xf numFmtId="199" fontId="49" fillId="0" borderId="11" xfId="0" applyNumberFormat="1" applyFont="1" applyBorder="1" applyAlignment="1">
      <alignment/>
    </xf>
    <xf numFmtId="199" fontId="49" fillId="9" borderId="11" xfId="0" applyNumberFormat="1" applyFont="1" applyFill="1" applyBorder="1" applyAlignment="1">
      <alignment/>
    </xf>
    <xf numFmtId="199" fontId="49" fillId="0" borderId="18" xfId="0" applyNumberFormat="1" applyFont="1" applyBorder="1" applyAlignment="1">
      <alignment/>
    </xf>
    <xf numFmtId="191" fontId="27" fillId="7" borderId="52" xfId="0" applyNumberFormat="1" applyFont="1" applyFill="1" applyBorder="1" applyAlignment="1">
      <alignment horizontal="left"/>
    </xf>
    <xf numFmtId="10" fontId="27" fillId="7" borderId="32" xfId="0" applyNumberFormat="1" applyFont="1" applyFill="1" applyBorder="1" applyAlignment="1">
      <alignment horizontal="left"/>
    </xf>
    <xf numFmtId="0" fontId="8" fillId="8" borderId="27" xfId="0" applyFont="1" applyFill="1" applyBorder="1" applyAlignment="1">
      <alignment horizontal="left"/>
    </xf>
    <xf numFmtId="0" fontId="8" fillId="8" borderId="25" xfId="0" applyFont="1" applyFill="1" applyBorder="1" applyAlignment="1">
      <alignment horizontal="center"/>
    </xf>
    <xf numFmtId="191" fontId="8" fillId="8" borderId="25" xfId="0" applyNumberFormat="1" applyFont="1" applyFill="1" applyBorder="1" applyAlignment="1">
      <alignment horizontal="left"/>
    </xf>
    <xf numFmtId="191" fontId="53" fillId="8" borderId="25" xfId="0" applyNumberFormat="1" applyFont="1" applyFill="1" applyBorder="1" applyAlignment="1">
      <alignment horizontal="left"/>
    </xf>
    <xf numFmtId="10" fontId="54" fillId="8" borderId="12" xfId="0" applyNumberFormat="1" applyFont="1" applyFill="1" applyBorder="1" applyAlignment="1">
      <alignment horizontal="left"/>
    </xf>
    <xf numFmtId="191" fontId="17" fillId="0" borderId="25" xfId="0" applyNumberFormat="1" applyFont="1" applyBorder="1" applyAlignment="1">
      <alignment/>
    </xf>
    <xf numFmtId="10" fontId="0" fillId="0" borderId="16" xfId="0" applyNumberFormat="1" applyBorder="1" applyAlignment="1">
      <alignment horizontal="center" vertical="center" wrapText="1"/>
    </xf>
    <xf numFmtId="195" fontId="0" fillId="0" borderId="16" xfId="0" applyNumberFormat="1" applyBorder="1" applyAlignment="1">
      <alignment/>
    </xf>
    <xf numFmtId="3" fontId="3" fillId="0" borderId="11" xfId="0" applyNumberFormat="1" applyFont="1" applyFill="1" applyBorder="1" applyAlignment="1">
      <alignment/>
    </xf>
    <xf numFmtId="195" fontId="3" fillId="0" borderId="18" xfId="0" applyNumberFormat="1" applyFont="1" applyBorder="1" applyAlignment="1">
      <alignment/>
    </xf>
    <xf numFmtId="0" fontId="26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195" fontId="0" fillId="0" borderId="58" xfId="0" applyNumberFormat="1" applyBorder="1" applyAlignment="1">
      <alignment/>
    </xf>
    <xf numFmtId="10" fontId="3" fillId="0" borderId="11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0" fontId="3" fillId="0" borderId="60" xfId="0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95" fontId="3" fillId="0" borderId="18" xfId="0" applyNumberFormat="1" applyFont="1" applyFill="1" applyBorder="1" applyAlignment="1">
      <alignment/>
    </xf>
    <xf numFmtId="0" fontId="26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99" fontId="3" fillId="0" borderId="11" xfId="0" applyNumberFormat="1" applyFont="1" applyBorder="1" applyAlignment="1">
      <alignment/>
    </xf>
    <xf numFmtId="199" fontId="3" fillId="0" borderId="18" xfId="0" applyNumberFormat="1" applyFont="1" applyBorder="1" applyAlignment="1">
      <alignment/>
    </xf>
    <xf numFmtId="191" fontId="0" fillId="0" borderId="28" xfId="0" applyNumberFormat="1" applyFont="1" applyBorder="1" applyAlignment="1">
      <alignment/>
    </xf>
    <xf numFmtId="191" fontId="0" fillId="0" borderId="29" xfId="0" applyNumberFormat="1" applyFont="1" applyBorder="1" applyAlignment="1">
      <alignment/>
    </xf>
    <xf numFmtId="0" fontId="47" fillId="0" borderId="7" xfId="0" applyFont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10" fontId="46" fillId="0" borderId="3" xfId="0" applyNumberFormat="1" applyFont="1" applyBorder="1" applyAlignment="1">
      <alignment horizontal="center" vertical="center" wrapText="1"/>
    </xf>
    <xf numFmtId="10" fontId="47" fillId="0" borderId="1" xfId="0" applyNumberFormat="1" applyFont="1" applyBorder="1" applyAlignment="1">
      <alignment horizontal="center" vertical="center" wrapText="1"/>
    </xf>
    <xf numFmtId="10" fontId="47" fillId="0" borderId="1" xfId="0" applyNumberFormat="1" applyFont="1" applyFill="1" applyBorder="1" applyAlignment="1">
      <alignment horizontal="center" vertical="center" wrapText="1"/>
    </xf>
    <xf numFmtId="10" fontId="49" fillId="0" borderId="1" xfId="0" applyNumberFormat="1" applyFont="1" applyBorder="1" applyAlignment="1">
      <alignment horizontal="center" vertical="center" wrapText="1"/>
    </xf>
    <xf numFmtId="10" fontId="49" fillId="0" borderId="16" xfId="0" applyNumberFormat="1" applyFont="1" applyBorder="1" applyAlignment="1">
      <alignment horizontal="center" vertical="center" wrapText="1"/>
    </xf>
    <xf numFmtId="3" fontId="47" fillId="0" borderId="1" xfId="0" applyNumberFormat="1" applyFont="1" applyBorder="1" applyAlignment="1">
      <alignment horizontal="center" vertical="center" wrapText="1"/>
    </xf>
    <xf numFmtId="3" fontId="47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 wrapText="1"/>
    </xf>
    <xf numFmtId="10" fontId="49" fillId="0" borderId="3" xfId="0" applyNumberFormat="1" applyFont="1" applyBorder="1" applyAlignment="1">
      <alignment horizontal="left"/>
    </xf>
    <xf numFmtId="3" fontId="49" fillId="0" borderId="1" xfId="0" applyNumberFormat="1" applyFont="1" applyBorder="1" applyAlignment="1">
      <alignment/>
    </xf>
    <xf numFmtId="3" fontId="49" fillId="0" borderId="1" xfId="0" applyNumberFormat="1" applyFont="1" applyFill="1" applyBorder="1" applyAlignment="1">
      <alignment/>
    </xf>
    <xf numFmtId="195" fontId="49" fillId="0" borderId="1" xfId="0" applyNumberFormat="1" applyFont="1" applyBorder="1" applyAlignment="1">
      <alignment/>
    </xf>
    <xf numFmtId="195" fontId="49" fillId="0" borderId="16" xfId="0" applyNumberFormat="1" applyFont="1" applyBorder="1" applyAlignment="1">
      <alignment/>
    </xf>
    <xf numFmtId="10" fontId="46" fillId="0" borderId="55" xfId="0" applyNumberFormat="1" applyFont="1" applyBorder="1" applyAlignment="1">
      <alignment horizontal="left"/>
    </xf>
    <xf numFmtId="3" fontId="46" fillId="0" borderId="11" xfId="0" applyNumberFormat="1" applyFont="1" applyBorder="1" applyAlignment="1">
      <alignment/>
    </xf>
    <xf numFmtId="3" fontId="46" fillId="0" borderId="11" xfId="0" applyNumberFormat="1" applyFont="1" applyFill="1" applyBorder="1" applyAlignment="1">
      <alignment/>
    </xf>
    <xf numFmtId="0" fontId="46" fillId="0" borderId="60" xfId="0" applyFont="1" applyBorder="1" applyAlignment="1">
      <alignment/>
    </xf>
    <xf numFmtId="195" fontId="46" fillId="0" borderId="18" xfId="0" applyNumberFormat="1" applyFont="1" applyBorder="1" applyAlignment="1">
      <alignment/>
    </xf>
    <xf numFmtId="191" fontId="1" fillId="0" borderId="0" xfId="0" applyNumberFormat="1" applyFont="1" applyAlignment="1">
      <alignment horizontal="left" vertical="justify"/>
    </xf>
    <xf numFmtId="0" fontId="46" fillId="0" borderId="2" xfId="0" applyFont="1" applyBorder="1" applyAlignment="1">
      <alignment horizontal="right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46" xfId="0" applyFont="1" applyBorder="1" applyAlignment="1">
      <alignment horizontal="left" vertical="center" wrapText="1"/>
    </xf>
    <xf numFmtId="0" fontId="17" fillId="7" borderId="51" xfId="0" applyFont="1" applyFill="1" applyBorder="1" applyAlignment="1">
      <alignment horizontal="left" vertical="center" wrapText="1"/>
    </xf>
    <xf numFmtId="0" fontId="17" fillId="7" borderId="52" xfId="0" applyFont="1" applyFill="1" applyBorder="1" applyAlignment="1">
      <alignment horizontal="left" vertical="center" wrapText="1"/>
    </xf>
    <xf numFmtId="0" fontId="17" fillId="7" borderId="35" xfId="0" applyFont="1" applyFill="1" applyBorder="1" applyAlignment="1">
      <alignment horizontal="left" vertical="center" wrapText="1"/>
    </xf>
    <xf numFmtId="0" fontId="17" fillId="7" borderId="42" xfId="0" applyFont="1" applyFill="1" applyBorder="1" applyAlignment="1">
      <alignment horizontal="left" vertical="center" wrapText="1"/>
    </xf>
    <xf numFmtId="0" fontId="17" fillId="7" borderId="44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68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3" fillId="7" borderId="35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61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52" fillId="0" borderId="46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7" fillId="0" borderId="35" xfId="0" applyFont="1" applyFill="1" applyBorder="1" applyAlignment="1">
      <alignment horizontal="left"/>
    </xf>
    <xf numFmtId="0" fontId="27" fillId="0" borderId="46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49" fillId="0" borderId="3" xfId="0" applyFont="1" applyBorder="1" applyAlignment="1">
      <alignment horizontal="left"/>
    </xf>
    <xf numFmtId="0" fontId="49" fillId="0" borderId="1" xfId="0" applyFont="1" applyBorder="1" applyAlignment="1">
      <alignment horizontal="left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40" xfId="0" applyFont="1" applyFill="1" applyBorder="1" applyAlignment="1">
      <alignment horizontal="center"/>
    </xf>
    <xf numFmtId="0" fontId="49" fillId="7" borderId="27" xfId="0" applyFont="1" applyFill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0" fillId="0" borderId="7" xfId="0" applyBorder="1" applyAlignment="1">
      <alignment horizontal="center"/>
    </xf>
    <xf numFmtId="191" fontId="0" fillId="0" borderId="7" xfId="0" applyNumberFormat="1" applyBorder="1" applyAlignment="1">
      <alignment horizontal="left"/>
    </xf>
    <xf numFmtId="10" fontId="16" fillId="0" borderId="39" xfId="0" applyNumberFormat="1" applyFont="1" applyBorder="1" applyAlignment="1">
      <alignment horizontal="left"/>
    </xf>
    <xf numFmtId="191" fontId="14" fillId="0" borderId="25" xfId="0" applyNumberFormat="1" applyFont="1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2" fontId="46" fillId="0" borderId="0" xfId="0" applyNumberFormat="1" applyFont="1" applyAlignment="1">
      <alignment horizontal="left"/>
    </xf>
    <xf numFmtId="191" fontId="46" fillId="0" borderId="0" xfId="0" applyNumberFormat="1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2" fontId="49" fillId="0" borderId="0" xfId="0" applyNumberFormat="1" applyFont="1" applyAlignment="1">
      <alignment horizontal="left"/>
    </xf>
    <xf numFmtId="191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46" fillId="7" borderId="51" xfId="0" applyFont="1" applyFill="1" applyBorder="1" applyAlignment="1">
      <alignment horizontal="center" vertical="center" wrapText="1"/>
    </xf>
    <xf numFmtId="2" fontId="46" fillId="7" borderId="52" xfId="0" applyNumberFormat="1" applyFont="1" applyFill="1" applyBorder="1" applyAlignment="1">
      <alignment horizontal="center" vertical="center" wrapText="1"/>
    </xf>
    <xf numFmtId="191" fontId="46" fillId="7" borderId="52" xfId="0" applyNumberFormat="1" applyFont="1" applyFill="1" applyBorder="1" applyAlignment="1">
      <alignment horizontal="center" vertical="center" wrapText="1"/>
    </xf>
    <xf numFmtId="191" fontId="46" fillId="7" borderId="32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right"/>
    </xf>
    <xf numFmtId="0" fontId="46" fillId="0" borderId="69" xfId="0" applyFont="1" applyBorder="1" applyAlignment="1">
      <alignment horizontal="right"/>
    </xf>
    <xf numFmtId="0" fontId="46" fillId="0" borderId="13" xfId="0" applyFont="1" applyBorder="1" applyAlignment="1">
      <alignment horizontal="center"/>
    </xf>
    <xf numFmtId="2" fontId="46" fillId="0" borderId="13" xfId="0" applyNumberFormat="1" applyFont="1" applyBorder="1" applyAlignment="1">
      <alignment horizontal="left"/>
    </xf>
    <xf numFmtId="191" fontId="46" fillId="0" borderId="13" xfId="0" applyNumberFormat="1" applyFont="1" applyBorder="1" applyAlignment="1">
      <alignment horizontal="left"/>
    </xf>
    <xf numFmtId="191" fontId="46" fillId="0" borderId="14" xfId="0" applyNumberFormat="1" applyFont="1" applyBorder="1" applyAlignment="1">
      <alignment horizontal="left"/>
    </xf>
    <xf numFmtId="198" fontId="46" fillId="0" borderId="70" xfId="0" applyNumberFormat="1" applyFont="1" applyBorder="1" applyAlignment="1">
      <alignment horizontal="right"/>
    </xf>
    <xf numFmtId="0" fontId="49" fillId="0" borderId="1" xfId="0" applyFont="1" applyBorder="1" applyAlignment="1">
      <alignment horizontal="center"/>
    </xf>
    <xf numFmtId="2" fontId="49" fillId="0" borderId="1" xfId="0" applyNumberFormat="1" applyFont="1" applyBorder="1" applyAlignment="1">
      <alignment horizontal="left"/>
    </xf>
    <xf numFmtId="191" fontId="49" fillId="0" borderId="1" xfId="0" applyNumberFormat="1" applyFont="1" applyBorder="1" applyAlignment="1">
      <alignment horizontal="left"/>
    </xf>
    <xf numFmtId="191" fontId="49" fillId="0" borderId="16" xfId="0" applyNumberFormat="1" applyFont="1" applyBorder="1" applyAlignment="1">
      <alignment horizontal="left"/>
    </xf>
    <xf numFmtId="193" fontId="49" fillId="0" borderId="0" xfId="0" applyNumberFormat="1" applyFont="1" applyAlignment="1">
      <alignment horizontal="left"/>
    </xf>
    <xf numFmtId="0" fontId="46" fillId="0" borderId="70" xfId="0" applyFont="1" applyBorder="1" applyAlignment="1">
      <alignment horizontal="right"/>
    </xf>
    <xf numFmtId="0" fontId="46" fillId="0" borderId="71" xfId="0" applyFont="1" applyBorder="1" applyAlignment="1">
      <alignment horizontal="right"/>
    </xf>
    <xf numFmtId="0" fontId="49" fillId="0" borderId="11" xfId="0" applyFont="1" applyBorder="1" applyAlignment="1">
      <alignment horizontal="center"/>
    </xf>
    <xf numFmtId="2" fontId="49" fillId="0" borderId="11" xfId="0" applyNumberFormat="1" applyFont="1" applyBorder="1" applyAlignment="1">
      <alignment horizontal="left"/>
    </xf>
    <xf numFmtId="191" fontId="49" fillId="0" borderId="11" xfId="0" applyNumberFormat="1" applyFont="1" applyBorder="1" applyAlignment="1">
      <alignment horizontal="left"/>
    </xf>
    <xf numFmtId="191" fontId="49" fillId="0" borderId="18" xfId="0" applyNumberFormat="1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2" fontId="6" fillId="0" borderId="42" xfId="0" applyNumberFormat="1" applyFont="1" applyBorder="1" applyAlignment="1">
      <alignment horizontal="left"/>
    </xf>
    <xf numFmtId="191" fontId="6" fillId="0" borderId="42" xfId="0" applyNumberFormat="1" applyFont="1" applyBorder="1" applyAlignment="1">
      <alignment horizontal="left"/>
    </xf>
    <xf numFmtId="191" fontId="6" fillId="0" borderId="36" xfId="0" applyNumberFormat="1" applyFont="1" applyBorder="1" applyAlignment="1">
      <alignment horizontal="left"/>
    </xf>
    <xf numFmtId="49" fontId="46" fillId="0" borderId="0" xfId="0" applyNumberFormat="1" applyFont="1" applyAlignment="1">
      <alignment horizontal="right"/>
    </xf>
    <xf numFmtId="191" fontId="49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2" fontId="8" fillId="0" borderId="3" xfId="0" applyNumberFormat="1" applyFont="1" applyBorder="1" applyAlignment="1">
      <alignment horizontal="left"/>
    </xf>
    <xf numFmtId="0" fontId="46" fillId="10" borderId="0" xfId="0" applyFont="1" applyFill="1" applyAlignment="1">
      <alignment horizontal="right"/>
    </xf>
    <xf numFmtId="0" fontId="49" fillId="10" borderId="0" xfId="0" applyFont="1" applyFill="1" applyAlignment="1">
      <alignment horizontal="left"/>
    </xf>
    <xf numFmtId="0" fontId="49" fillId="10" borderId="0" xfId="0" applyFont="1" applyFill="1" applyAlignment="1">
      <alignment horizontal="center"/>
    </xf>
    <xf numFmtId="2" fontId="49" fillId="10" borderId="0" xfId="0" applyNumberFormat="1" applyFont="1" applyFill="1" applyAlignment="1">
      <alignment horizontal="left"/>
    </xf>
    <xf numFmtId="191" fontId="49" fillId="10" borderId="0" xfId="0" applyNumberFormat="1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6" fillId="0" borderId="1" xfId="0" applyFont="1" applyBorder="1" applyAlignment="1">
      <alignment horizontal="center"/>
    </xf>
    <xf numFmtId="2" fontId="46" fillId="0" borderId="1" xfId="0" applyNumberFormat="1" applyFont="1" applyBorder="1" applyAlignment="1">
      <alignment horizontal="center"/>
    </xf>
    <xf numFmtId="191" fontId="4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91" fontId="6" fillId="0" borderId="1" xfId="0" applyNumberFormat="1" applyFont="1" applyBorder="1" applyAlignment="1">
      <alignment horizontal="left"/>
    </xf>
    <xf numFmtId="0" fontId="46" fillId="0" borderId="0" xfId="0" applyFont="1" applyFill="1" applyAlignment="1">
      <alignment horizontal="right"/>
    </xf>
    <xf numFmtId="0" fontId="49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6" fillId="0" borderId="46" xfId="0" applyFont="1" applyBorder="1" applyAlignment="1">
      <alignment horizontal="right"/>
    </xf>
    <xf numFmtId="198" fontId="46" fillId="0" borderId="15" xfId="0" applyNumberFormat="1" applyFont="1" applyBorder="1" applyAlignment="1">
      <alignment horizontal="right"/>
    </xf>
    <xf numFmtId="0" fontId="49" fillId="0" borderId="13" xfId="0" applyFont="1" applyBorder="1" applyAlignment="1">
      <alignment horizontal="center"/>
    </xf>
    <xf numFmtId="2" fontId="49" fillId="0" borderId="13" xfId="0" applyNumberFormat="1" applyFont="1" applyBorder="1" applyAlignment="1">
      <alignment horizontal="left"/>
    </xf>
    <xf numFmtId="191" fontId="49" fillId="0" borderId="13" xfId="0" applyNumberFormat="1" applyFont="1" applyBorder="1" applyAlignment="1">
      <alignment horizontal="left"/>
    </xf>
    <xf numFmtId="191" fontId="49" fillId="0" borderId="14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49" fillId="0" borderId="42" xfId="0" applyFont="1" applyBorder="1" applyAlignment="1">
      <alignment horizontal="center"/>
    </xf>
    <xf numFmtId="2" fontId="49" fillId="0" borderId="42" xfId="0" applyNumberFormat="1" applyFont="1" applyBorder="1" applyAlignment="1">
      <alignment horizontal="left"/>
    </xf>
    <xf numFmtId="191" fontId="49" fillId="0" borderId="42" xfId="0" applyNumberFormat="1" applyFont="1" applyBorder="1" applyAlignment="1">
      <alignment horizontal="left"/>
    </xf>
    <xf numFmtId="191" fontId="46" fillId="0" borderId="36" xfId="0" applyNumberFormat="1" applyFont="1" applyBorder="1" applyAlignment="1">
      <alignment horizontal="left"/>
    </xf>
    <xf numFmtId="0" fontId="46" fillId="0" borderId="21" xfId="0" applyFont="1" applyBorder="1" applyAlignment="1">
      <alignment horizontal="right"/>
    </xf>
    <xf numFmtId="0" fontId="46" fillId="0" borderId="22" xfId="0" applyFont="1" applyBorder="1" applyAlignment="1">
      <alignment horizontal="right"/>
    </xf>
    <xf numFmtId="0" fontId="46" fillId="0" borderId="33" xfId="0" applyFont="1" applyBorder="1" applyAlignment="1">
      <alignment horizontal="right"/>
    </xf>
    <xf numFmtId="0" fontId="46" fillId="0" borderId="42" xfId="0" applyFont="1" applyBorder="1" applyAlignment="1">
      <alignment horizontal="center"/>
    </xf>
    <xf numFmtId="2" fontId="46" fillId="0" borderId="42" xfId="0" applyNumberFormat="1" applyFont="1" applyBorder="1" applyAlignment="1">
      <alignment horizontal="left"/>
    </xf>
    <xf numFmtId="191" fontId="46" fillId="0" borderId="42" xfId="0" applyNumberFormat="1" applyFont="1" applyBorder="1" applyAlignment="1">
      <alignment horizontal="left"/>
    </xf>
    <xf numFmtId="0" fontId="49" fillId="0" borderId="60" xfId="0" applyFont="1" applyBorder="1" applyAlignment="1">
      <alignment horizontal="center"/>
    </xf>
    <xf numFmtId="2" fontId="49" fillId="0" borderId="60" xfId="0" applyNumberFormat="1" applyFont="1" applyBorder="1" applyAlignment="1">
      <alignment horizontal="left"/>
    </xf>
    <xf numFmtId="191" fontId="49" fillId="0" borderId="60" xfId="0" applyNumberFormat="1" applyFont="1" applyBorder="1" applyAlignment="1">
      <alignment horizontal="left"/>
    </xf>
    <xf numFmtId="49" fontId="46" fillId="0" borderId="33" xfId="0" applyNumberFormat="1" applyFont="1" applyBorder="1" applyAlignment="1">
      <alignment horizontal="right"/>
    </xf>
    <xf numFmtId="49" fontId="46" fillId="0" borderId="71" xfId="0" applyNumberFormat="1" applyFont="1" applyBorder="1" applyAlignment="1">
      <alignment horizontal="right"/>
    </xf>
    <xf numFmtId="0" fontId="49" fillId="0" borderId="1" xfId="0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left" vertical="center" wrapText="1"/>
    </xf>
    <xf numFmtId="191" fontId="49" fillId="0" borderId="1" xfId="0" applyNumberFormat="1" applyFont="1" applyBorder="1" applyAlignment="1">
      <alignment horizontal="left" vertical="center" wrapText="1"/>
    </xf>
    <xf numFmtId="191" fontId="49" fillId="0" borderId="16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6" fillId="0" borderId="70" xfId="0" applyFont="1" applyBorder="1" applyAlignment="1">
      <alignment horizontal="right" vertical="center" wrapText="1"/>
    </xf>
    <xf numFmtId="191" fontId="46" fillId="0" borderId="18" xfId="0" applyNumberFormat="1" applyFont="1" applyBorder="1" applyAlignment="1">
      <alignment horizontal="left"/>
    </xf>
    <xf numFmtId="198" fontId="46" fillId="0" borderId="71" xfId="0" applyNumberFormat="1" applyFont="1" applyBorder="1" applyAlignment="1">
      <alignment horizontal="right"/>
    </xf>
    <xf numFmtId="49" fontId="46" fillId="0" borderId="22" xfId="0" applyNumberFormat="1" applyFont="1" applyBorder="1" applyAlignment="1">
      <alignment horizontal="right"/>
    </xf>
    <xf numFmtId="49" fontId="46" fillId="0" borderId="70" xfId="0" applyNumberFormat="1" applyFont="1" applyBorder="1" applyAlignment="1">
      <alignment horizontal="right"/>
    </xf>
    <xf numFmtId="0" fontId="1" fillId="0" borderId="43" xfId="0" applyFont="1" applyBorder="1" applyAlignment="1">
      <alignment horizontal="left"/>
    </xf>
    <xf numFmtId="0" fontId="49" fillId="0" borderId="5" xfId="0" applyFont="1" applyBorder="1" applyAlignment="1">
      <alignment horizontal="center"/>
    </xf>
    <xf numFmtId="2" fontId="49" fillId="0" borderId="5" xfId="0" applyNumberFormat="1" applyFont="1" applyBorder="1" applyAlignment="1">
      <alignment horizontal="left"/>
    </xf>
    <xf numFmtId="191" fontId="49" fillId="0" borderId="5" xfId="0" applyNumberFormat="1" applyFont="1" applyBorder="1" applyAlignment="1">
      <alignment horizontal="left"/>
    </xf>
    <xf numFmtId="191" fontId="49" fillId="0" borderId="41" xfId="0" applyNumberFormat="1" applyFont="1" applyBorder="1" applyAlignment="1">
      <alignment horizontal="left"/>
    </xf>
    <xf numFmtId="49" fontId="46" fillId="0" borderId="21" xfId="0" applyNumberFormat="1" applyFont="1" applyBorder="1" applyAlignment="1">
      <alignment horizontal="right"/>
    </xf>
    <xf numFmtId="49" fontId="46" fillId="0" borderId="69" xfId="0" applyNumberFormat="1" applyFont="1" applyBorder="1" applyAlignment="1">
      <alignment horizontal="right"/>
    </xf>
    <xf numFmtId="49" fontId="46" fillId="0" borderId="70" xfId="0" applyNumberFormat="1" applyFont="1" applyBorder="1" applyAlignment="1">
      <alignment horizontal="right" vertical="center" wrapText="1"/>
    </xf>
    <xf numFmtId="0" fontId="4" fillId="0" borderId="42" xfId="0" applyFont="1" applyBorder="1" applyAlignment="1">
      <alignment horizontal="center"/>
    </xf>
    <xf numFmtId="2" fontId="4" fillId="0" borderId="42" xfId="0" applyNumberFormat="1" applyFont="1" applyBorder="1" applyAlignment="1">
      <alignment horizontal="left"/>
    </xf>
    <xf numFmtId="191" fontId="4" fillId="0" borderId="42" xfId="0" applyNumberFormat="1" applyFont="1" applyBorder="1" applyAlignment="1">
      <alignment horizontal="left"/>
    </xf>
    <xf numFmtId="191" fontId="4" fillId="0" borderId="36" xfId="0" applyNumberFormat="1" applyFont="1" applyBorder="1" applyAlignment="1">
      <alignment horizontal="left"/>
    </xf>
    <xf numFmtId="0" fontId="8" fillId="7" borderId="35" xfId="0" applyFont="1" applyFill="1" applyBorder="1" applyAlignment="1">
      <alignment horizontal="left"/>
    </xf>
    <xf numFmtId="0" fontId="8" fillId="7" borderId="42" xfId="0" applyFont="1" applyFill="1" applyBorder="1" applyAlignment="1">
      <alignment horizontal="center"/>
    </xf>
    <xf numFmtId="2" fontId="8" fillId="7" borderId="42" xfId="0" applyNumberFormat="1" applyFont="1" applyFill="1" applyBorder="1" applyAlignment="1">
      <alignment horizontal="left"/>
    </xf>
    <xf numFmtId="0" fontId="49" fillId="0" borderId="25" xfId="0" applyFont="1" applyBorder="1" applyAlignment="1">
      <alignment horizontal="center"/>
    </xf>
    <xf numFmtId="2" fontId="49" fillId="0" borderId="25" xfId="0" applyNumberFormat="1" applyFont="1" applyBorder="1" applyAlignment="1">
      <alignment horizontal="left"/>
    </xf>
    <xf numFmtId="191" fontId="49" fillId="0" borderId="25" xfId="0" applyNumberFormat="1" applyFont="1" applyBorder="1" applyAlignment="1">
      <alignment horizontal="left"/>
    </xf>
    <xf numFmtId="191" fontId="49" fillId="0" borderId="12" xfId="0" applyNumberFormat="1" applyFont="1" applyBorder="1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left" vertical="center" wrapText="1"/>
    </xf>
    <xf numFmtId="191" fontId="49" fillId="0" borderId="11" xfId="0" applyNumberFormat="1" applyFont="1" applyBorder="1" applyAlignment="1">
      <alignment horizontal="left" vertical="center" wrapText="1"/>
    </xf>
    <xf numFmtId="191" fontId="49" fillId="0" borderId="18" xfId="0" applyNumberFormat="1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49" fontId="46" fillId="0" borderId="71" xfId="0" applyNumberFormat="1" applyFont="1" applyBorder="1" applyAlignment="1">
      <alignment horizontal="right" vertical="center" wrapText="1"/>
    </xf>
    <xf numFmtId="191" fontId="46" fillId="0" borderId="36" xfId="0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/>
    </xf>
    <xf numFmtId="191" fontId="46" fillId="0" borderId="72" xfId="0" applyNumberFormat="1" applyFont="1" applyBorder="1" applyAlignment="1">
      <alignment horizontal="left"/>
    </xf>
    <xf numFmtId="191" fontId="49" fillId="0" borderId="14" xfId="0" applyNumberFormat="1" applyFont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/>
    </xf>
    <xf numFmtId="2" fontId="49" fillId="0" borderId="1" xfId="0" applyNumberFormat="1" applyFont="1" applyBorder="1" applyAlignment="1">
      <alignment horizontal="left" vertical="center"/>
    </xf>
    <xf numFmtId="191" fontId="49" fillId="0" borderId="1" xfId="0" applyNumberFormat="1" applyFont="1" applyBorder="1" applyAlignment="1">
      <alignment horizontal="left" vertical="center"/>
    </xf>
    <xf numFmtId="191" fontId="49" fillId="0" borderId="16" xfId="0" applyNumberFormat="1" applyFont="1" applyBorder="1" applyAlignment="1">
      <alignment horizontal="left" vertical="center"/>
    </xf>
    <xf numFmtId="49" fontId="46" fillId="0" borderId="70" xfId="0" applyNumberFormat="1" applyFont="1" applyBorder="1" applyAlignment="1">
      <alignment horizontal="right" vertical="center"/>
    </xf>
    <xf numFmtId="0" fontId="46" fillId="0" borderId="54" xfId="0" applyFont="1" applyBorder="1" applyAlignment="1">
      <alignment horizontal="left"/>
    </xf>
    <xf numFmtId="0" fontId="49" fillId="0" borderId="55" xfId="0" applyFont="1" applyBorder="1" applyAlignment="1">
      <alignment horizontal="left"/>
    </xf>
    <xf numFmtId="0" fontId="46" fillId="0" borderId="42" xfId="0" applyFont="1" applyBorder="1" applyAlignment="1">
      <alignment horizontal="left"/>
    </xf>
    <xf numFmtId="0" fontId="46" fillId="0" borderId="73" xfId="0" applyFont="1" applyBorder="1" applyAlignment="1">
      <alignment horizontal="right"/>
    </xf>
    <xf numFmtId="49" fontId="46" fillId="0" borderId="17" xfId="0" applyNumberFormat="1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8" borderId="27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7" borderId="25" xfId="0" applyFont="1" applyFill="1" applyBorder="1" applyAlignment="1">
      <alignment horizontal="center"/>
    </xf>
    <xf numFmtId="0" fontId="57" fillId="0" borderId="0" xfId="0" applyFont="1" applyAlignment="1">
      <alignment horizontal="center" vertical="center" wrapText="1"/>
    </xf>
    <xf numFmtId="191" fontId="8" fillId="7" borderId="42" xfId="0" applyNumberFormat="1" applyFont="1" applyFill="1" applyBorder="1" applyAlignment="1">
      <alignment horizontal="center"/>
    </xf>
    <xf numFmtId="191" fontId="8" fillId="7" borderId="36" xfId="0" applyNumberFormat="1" applyFont="1" applyFill="1" applyBorder="1" applyAlignment="1">
      <alignment horizontal="center"/>
    </xf>
    <xf numFmtId="191" fontId="8" fillId="7" borderId="23" xfId="0" applyNumberFormat="1" applyFont="1" applyFill="1" applyBorder="1" applyAlignment="1">
      <alignment horizontal="center" vertical="center" wrapText="1"/>
    </xf>
    <xf numFmtId="191" fontId="8" fillId="7" borderId="36" xfId="0" applyNumberFormat="1" applyFont="1" applyFill="1" applyBorder="1" applyAlignment="1">
      <alignment horizontal="center" vertical="center" wrapText="1"/>
    </xf>
    <xf numFmtId="191" fontId="8" fillId="7" borderId="23" xfId="0" applyNumberFormat="1" applyFont="1" applyFill="1" applyBorder="1" applyAlignment="1">
      <alignment horizontal="center"/>
    </xf>
    <xf numFmtId="191" fontId="8" fillId="0" borderId="2" xfId="0" applyNumberFormat="1" applyFont="1" applyBorder="1" applyAlignment="1">
      <alignment horizontal="center"/>
    </xf>
    <xf numFmtId="191" fontId="8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7" borderId="35" xfId="0" applyFont="1" applyFill="1" applyBorder="1" applyAlignment="1">
      <alignment horizontal="left" vertical="center"/>
    </xf>
    <xf numFmtId="0" fontId="7" fillId="7" borderId="42" xfId="0" applyFont="1" applyFill="1" applyBorder="1" applyAlignment="1">
      <alignment horizontal="left" vertical="center"/>
    </xf>
    <xf numFmtId="0" fontId="7" fillId="7" borderId="44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2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" xfId="0" applyBorder="1" applyAlignment="1">
      <alignment horizontal="left" wrapText="1"/>
    </xf>
    <xf numFmtId="0" fontId="15" fillId="0" borderId="2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2" fontId="2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15" fillId="0" borderId="0" xfId="0" applyNumberFormat="1" applyFont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7" borderId="43" xfId="0" applyFont="1" applyFill="1" applyBorder="1" applyAlignment="1">
      <alignment horizontal="left" vertical="center" wrapText="1"/>
    </xf>
    <xf numFmtId="0" fontId="15" fillId="7" borderId="6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7" fillId="0" borderId="5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5" fillId="7" borderId="50" xfId="0" applyFont="1" applyFill="1" applyBorder="1" applyAlignment="1">
      <alignment horizontal="right" vertical="center" wrapText="1"/>
    </xf>
    <xf numFmtId="0" fontId="15" fillId="7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" fontId="0" fillId="0" borderId="0" xfId="0" applyNumberForma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10" fontId="3" fillId="0" borderId="3" xfId="0" applyNumberFormat="1" applyFont="1" applyFill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46" fillId="0" borderId="61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10" fontId="46" fillId="0" borderId="15" xfId="0" applyNumberFormat="1" applyFont="1" applyBorder="1" applyAlignment="1">
      <alignment horizontal="left" vertical="center" wrapText="1"/>
    </xf>
    <xf numFmtId="10" fontId="46" fillId="0" borderId="3" xfId="0" applyNumberFormat="1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/>
    </xf>
    <xf numFmtId="0" fontId="49" fillId="0" borderId="3" xfId="0" applyFont="1" applyBorder="1" applyAlignment="1">
      <alignment horizontal="left"/>
    </xf>
    <xf numFmtId="0" fontId="46" fillId="0" borderId="33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3" fillId="7" borderId="35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49" fillId="0" borderId="22" xfId="0" applyFont="1" applyBorder="1" applyAlignment="1">
      <alignment horizontal="left"/>
    </xf>
    <xf numFmtId="0" fontId="49" fillId="0" borderId="1" xfId="0" applyFont="1" applyBorder="1" applyAlignment="1">
      <alignment horizontal="left"/>
    </xf>
    <xf numFmtId="0" fontId="46" fillId="7" borderId="27" xfId="0" applyFont="1" applyFill="1" applyBorder="1" applyAlignment="1">
      <alignment horizontal="center"/>
    </xf>
    <xf numFmtId="0" fontId="46" fillId="7" borderId="25" xfId="0" applyFont="1" applyFill="1" applyBorder="1" applyAlignment="1">
      <alignment horizontal="center"/>
    </xf>
    <xf numFmtId="0" fontId="46" fillId="7" borderId="12" xfId="0" applyFont="1" applyFill="1" applyBorder="1" applyAlignment="1">
      <alignment horizontal="center"/>
    </xf>
    <xf numFmtId="10" fontId="3" fillId="0" borderId="15" xfId="0" applyNumberFormat="1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/>
    </xf>
    <xf numFmtId="0" fontId="3" fillId="7" borderId="44" xfId="0" applyFont="1" applyFill="1" applyBorder="1" applyAlignment="1">
      <alignment horizontal="center"/>
    </xf>
    <xf numFmtId="0" fontId="0" fillId="0" borderId="66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7" borderId="27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202" fontId="4" fillId="0" borderId="0" xfId="0" applyNumberFormat="1" applyFont="1" applyFill="1" applyBorder="1" applyAlignment="1">
      <alignment horizontal="center"/>
    </xf>
    <xf numFmtId="191" fontId="1" fillId="0" borderId="0" xfId="0" applyNumberFormat="1" applyFont="1" applyAlignment="1">
      <alignment horizontal="justify" vertical="center" wrapText="1"/>
    </xf>
    <xf numFmtId="191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01" fontId="0" fillId="0" borderId="52" xfId="0" applyNumberFormat="1" applyFont="1" applyBorder="1" applyAlignment="1">
      <alignment horizontal="center" vertical="center" wrapText="1"/>
    </xf>
    <xf numFmtId="201" fontId="0" fillId="0" borderId="28" xfId="0" applyNumberFormat="1" applyFont="1" applyBorder="1" applyAlignment="1">
      <alignment horizontal="center" vertical="center" wrapText="1"/>
    </xf>
    <xf numFmtId="201" fontId="0" fillId="0" borderId="52" xfId="0" applyNumberFormat="1" applyFont="1" applyBorder="1" applyAlignment="1">
      <alignment horizontal="center" vertical="center"/>
    </xf>
    <xf numFmtId="201" fontId="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5" xfId="0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3" fillId="0" borderId="6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55" fillId="0" borderId="0" xfId="0" applyFont="1" applyAlignment="1">
      <alignment horizontal="center"/>
    </xf>
    <xf numFmtId="191" fontId="3" fillId="0" borderId="2" xfId="0" applyNumberFormat="1" applyFont="1" applyBorder="1" applyAlignment="1">
      <alignment horizontal="right"/>
    </xf>
    <xf numFmtId="191" fontId="3" fillId="0" borderId="8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45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7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199" fontId="0" fillId="0" borderId="2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58" xfId="0" applyBorder="1" applyAlignment="1">
      <alignment/>
    </xf>
    <xf numFmtId="0" fontId="7" fillId="0" borderId="27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199" fontId="0" fillId="0" borderId="77" xfId="0" applyNumberFormat="1" applyBorder="1" applyAlignment="1">
      <alignment horizontal="center"/>
    </xf>
    <xf numFmtId="0" fontId="0" fillId="0" borderId="62" xfId="0" applyBorder="1" applyAlignment="1">
      <alignment/>
    </xf>
    <xf numFmtId="0" fontId="0" fillId="0" borderId="78" xfId="0" applyBorder="1" applyAlignment="1">
      <alignment/>
    </xf>
    <xf numFmtId="0" fontId="0" fillId="3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sng" baseline="0">
                <a:latin typeface="Arial"/>
                <a:ea typeface="Arial"/>
                <a:cs typeface="Arial"/>
              </a:rPr>
              <a:t>ACTIVIDADES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Actividades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'Result Encues'!#REF!</c:f>
              <c:strCache>
                <c:ptCount val="16"/>
                <c:pt idx="0">
                  <c:v>Leer</c:v>
                </c:pt>
                <c:pt idx="1">
                  <c:v>Leer y Observar naturaleza</c:v>
                </c:pt>
                <c:pt idx="2">
                  <c:v>Leer y picnic</c:v>
                </c:pt>
                <c:pt idx="3">
                  <c:v>Leer y practicar deportes</c:v>
                </c:pt>
                <c:pt idx="4">
                  <c:v>Leer, observar naturaleza y picnic</c:v>
                </c:pt>
                <c:pt idx="5">
                  <c:v>Leer, practicar deporte y observar naturaleza</c:v>
                </c:pt>
                <c:pt idx="6">
                  <c:v>Leer, praticar deporte y picnic</c:v>
                </c:pt>
                <c:pt idx="7">
                  <c:v>Observar natualeza y picnic</c:v>
                </c:pt>
                <c:pt idx="8">
                  <c:v>Observar naturaleza</c:v>
                </c:pt>
                <c:pt idx="9">
                  <c:v>Picnic</c:v>
                </c:pt>
                <c:pt idx="10">
                  <c:v>Practicar deortes y picnic</c:v>
                </c:pt>
                <c:pt idx="11">
                  <c:v>Practicar deportes</c:v>
                </c:pt>
                <c:pt idx="12">
                  <c:v>Practicar deportes y observar naturaleza</c:v>
                </c:pt>
                <c:pt idx="13">
                  <c:v>Praticar deporte, observar naturaleza y picnic</c:v>
                </c:pt>
                <c:pt idx="14">
                  <c:v>todos</c:v>
                </c:pt>
                <c:pt idx="15">
                  <c:v>No respondio</c:v>
                </c:pt>
              </c:strCache>
            </c:strRef>
          </c:cat>
          <c:val>
            <c:numRef>
              <c:f>'Result Encues'!#REF!</c:f>
              <c:numCache>
                <c:ptCount val="16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0.5</c:v>
                </c:pt>
                <c:pt idx="4">
                  <c:v>1</c:v>
                </c:pt>
                <c:pt idx="5">
                  <c:v>4.5</c:v>
                </c:pt>
                <c:pt idx="6">
                  <c:v>1</c:v>
                </c:pt>
                <c:pt idx="7">
                  <c:v>10</c:v>
                </c:pt>
                <c:pt idx="8">
                  <c:v>23.5</c:v>
                </c:pt>
                <c:pt idx="9">
                  <c:v>4.5</c:v>
                </c:pt>
                <c:pt idx="10">
                  <c:v>3.5</c:v>
                </c:pt>
                <c:pt idx="11">
                  <c:v>9</c:v>
                </c:pt>
                <c:pt idx="12">
                  <c:v>24</c:v>
                </c:pt>
                <c:pt idx="13">
                  <c:v>4.5</c:v>
                </c:pt>
                <c:pt idx="14">
                  <c:v>4</c:v>
                </c:pt>
                <c:pt idx="15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sng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FRECUENCIAS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6666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'Result Encues'!#REF!</c:f>
              <c:strCache>
                <c:ptCount val="5"/>
                <c:pt idx="0">
                  <c:v>Una vez por semana</c:v>
                </c:pt>
                <c:pt idx="1">
                  <c:v>Cada quince días</c:v>
                </c:pt>
                <c:pt idx="2">
                  <c:v>Una vez al mes</c:v>
                </c:pt>
                <c:pt idx="3">
                  <c:v>Cada tres meses</c:v>
                </c:pt>
                <c:pt idx="4">
                  <c:v>Una vez al año</c:v>
                </c:pt>
              </c:strCache>
            </c:strRef>
          </c:cat>
          <c:val>
            <c:numRef>
              <c:f>'Result Encues'!#REF!</c:f>
              <c:numCache>
                <c:ptCount val="5"/>
                <c:pt idx="0">
                  <c:v>11.5</c:v>
                </c:pt>
                <c:pt idx="1">
                  <c:v>11.5</c:v>
                </c:pt>
                <c:pt idx="2">
                  <c:v>31</c:v>
                </c:pt>
                <c:pt idx="3">
                  <c:v>26.5</c:v>
                </c:pt>
                <c:pt idx="4">
                  <c:v>19.5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sng" baseline="0">
              <a:latin typeface="Arial"/>
              <a:ea typeface="Arial"/>
              <a:cs typeface="Arial"/>
            </a:defRPr>
          </a:pPr>
        </a:p>
      </c:txPr>
    </c:title>
    <c:plotArea>
      <c:layout/>
      <c:doughnutChart>
        <c:varyColors val="1"/>
        <c:ser>
          <c:idx val="0"/>
          <c:order val="0"/>
          <c:tx>
            <c:v>VISITA O CONOCE OTRO LUGAR ECOTURISTICO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'Result Encues'!#REF!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'Result Encues'!#REF!</c:f>
              <c:numCache>
                <c:ptCount val="2"/>
                <c:pt idx="0">
                  <c:v>26.5</c:v>
                </c:pt>
                <c:pt idx="1">
                  <c:v>73.5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sng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COMPAÑÍA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'Result Encues'!#REF!</c:f>
              <c:strCache>
                <c:ptCount val="10"/>
                <c:pt idx="0">
                  <c:v>Amigos</c:v>
                </c:pt>
                <c:pt idx="1">
                  <c:v>Amigos y familiares</c:v>
                </c:pt>
                <c:pt idx="2">
                  <c:v>Amigos y otros</c:v>
                </c:pt>
                <c:pt idx="3">
                  <c:v>Amigos, familiares y otros</c:v>
                </c:pt>
                <c:pt idx="4">
                  <c:v>Amigos, familiares y solo</c:v>
                </c:pt>
                <c:pt idx="5">
                  <c:v>Familiares</c:v>
                </c:pt>
                <c:pt idx="6">
                  <c:v>Familiares y otros</c:v>
                </c:pt>
                <c:pt idx="7">
                  <c:v>Familiares, solo y otros</c:v>
                </c:pt>
                <c:pt idx="8">
                  <c:v>Otros</c:v>
                </c:pt>
                <c:pt idx="9">
                  <c:v>Solo</c:v>
                </c:pt>
              </c:strCache>
            </c:strRef>
          </c:cat>
          <c:val>
            <c:numRef>
              <c:f>'Result Encues'!#REF!</c:f>
              <c:numCache>
                <c:ptCount val="10"/>
                <c:pt idx="0">
                  <c:v>16.5</c:v>
                </c:pt>
                <c:pt idx="1">
                  <c:v>30</c:v>
                </c:pt>
                <c:pt idx="2">
                  <c:v>1</c:v>
                </c:pt>
                <c:pt idx="3">
                  <c:v>1</c:v>
                </c:pt>
                <c:pt idx="4">
                  <c:v>0.5</c:v>
                </c:pt>
                <c:pt idx="5">
                  <c:v>45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TIPO DE MOVILIZACIÓN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'Result Encues'!#REF!</c:f>
              <c:strCache>
                <c:ptCount val="2"/>
                <c:pt idx="0">
                  <c:v>Carro propio</c:v>
                </c:pt>
                <c:pt idx="1">
                  <c:v>Transporte publico</c:v>
                </c:pt>
              </c:strCache>
            </c:strRef>
          </c:cat>
          <c:val>
            <c:numRef>
              <c:f>'Result Encues'!#REF!</c:f>
              <c:numCache>
                <c:ptCount val="2"/>
                <c:pt idx="0">
                  <c:v>80.5</c:v>
                </c:pt>
                <c:pt idx="1">
                  <c:v>19.5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sng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DISPONIBILIDAD A VIAJAR</c:v>
          </c:tx>
          <c:spPr>
            <a:solidFill>
              <a:srgbClr val="9933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808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'Result Encues'!#REF!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'Result Encues'!#REF!</c:f>
              <c:numCache>
                <c:ptCount val="2"/>
                <c:pt idx="0">
                  <c:v>1.5</c:v>
                </c:pt>
                <c:pt idx="1">
                  <c:v>98.5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RANGO DE INGRESOS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 Encues'!#REF!</c:f>
              <c:strCache>
                <c:ptCount val="5"/>
                <c:pt idx="0">
                  <c:v>Menos de 200</c:v>
                </c:pt>
                <c:pt idx="1">
                  <c:v>Entre 200 y 400</c:v>
                </c:pt>
                <c:pt idx="2">
                  <c:v>Entre 401 y 600</c:v>
                </c:pt>
                <c:pt idx="3">
                  <c:v>Entre 601 y 800</c:v>
                </c:pt>
                <c:pt idx="4">
                  <c:v>Mas de 800</c:v>
                </c:pt>
              </c:strCache>
            </c:strRef>
          </c:cat>
          <c:val>
            <c:numRef>
              <c:f>'Result Encues'!#REF!</c:f>
              <c:numCache>
                <c:ptCount val="5"/>
                <c:pt idx="0">
                  <c:v>0.12</c:v>
                </c:pt>
                <c:pt idx="1">
                  <c:v>0.245</c:v>
                </c:pt>
                <c:pt idx="2">
                  <c:v>0.145</c:v>
                </c:pt>
                <c:pt idx="3">
                  <c:v>0.14</c:v>
                </c:pt>
                <c:pt idx="4">
                  <c:v>0.35</c:v>
                </c:pt>
              </c:numCache>
            </c:numRef>
          </c:val>
          <c:shape val="box"/>
        </c:ser>
        <c:shape val="box"/>
        <c:axId val="43001900"/>
        <c:axId val="51472781"/>
      </c:bar3DChart>
      <c:catAx>
        <c:axId val="4300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72781"/>
        <c:crosses val="autoZero"/>
        <c:auto val="1"/>
        <c:lblOffset val="100"/>
        <c:noMultiLvlLbl val="0"/>
      </c:catAx>
      <c:valAx>
        <c:axId val="51472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019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GASTO PROMEDIO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'Result Encues'!#REF!</c:f>
              <c:strCache>
                <c:ptCount val="5"/>
                <c:pt idx="0">
                  <c:v>Menos de 10</c:v>
                </c:pt>
                <c:pt idx="1">
                  <c:v>Entre 10 y 20</c:v>
                </c:pt>
                <c:pt idx="2">
                  <c:v>Entre 21 y 30</c:v>
                </c:pt>
                <c:pt idx="3">
                  <c:v>Entre 31 y 40</c:v>
                </c:pt>
                <c:pt idx="4">
                  <c:v>Mas de 40</c:v>
                </c:pt>
              </c:strCache>
            </c:strRef>
          </c:cat>
          <c:val>
            <c:numRef>
              <c:f>'Result Encues'!#REF!</c:f>
              <c:numCache>
                <c:ptCount val="5"/>
                <c:pt idx="0">
                  <c:v>21</c:v>
                </c:pt>
                <c:pt idx="1">
                  <c:v>40</c:v>
                </c:pt>
                <c:pt idx="2">
                  <c:v>24.5</c:v>
                </c:pt>
                <c:pt idx="3">
                  <c:v>11</c:v>
                </c:pt>
                <c:pt idx="4">
                  <c:v>3.5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0</xdr:col>
      <xdr:colOff>0</xdr:colOff>
      <xdr:row>43</xdr:row>
      <xdr:rowOff>85725</xdr:rowOff>
    </xdr:to>
    <xdr:graphicFrame>
      <xdr:nvGraphicFramePr>
        <xdr:cNvPr id="1" name="Chart 2"/>
        <xdr:cNvGraphicFramePr/>
      </xdr:nvGraphicFramePr>
      <xdr:xfrm>
        <a:off x="0" y="4086225"/>
        <a:ext cx="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32</xdr:row>
      <xdr:rowOff>57150</xdr:rowOff>
    </xdr:to>
    <xdr:graphicFrame>
      <xdr:nvGraphicFramePr>
        <xdr:cNvPr id="2" name="Chart 3"/>
        <xdr:cNvGraphicFramePr/>
      </xdr:nvGraphicFramePr>
      <xdr:xfrm>
        <a:off x="0" y="2743200"/>
        <a:ext cx="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95250</xdr:rowOff>
    </xdr:from>
    <xdr:to>
      <xdr:col>0</xdr:col>
      <xdr:colOff>0</xdr:colOff>
      <xdr:row>59</xdr:row>
      <xdr:rowOff>76200</xdr:rowOff>
    </xdr:to>
    <xdr:graphicFrame>
      <xdr:nvGraphicFramePr>
        <xdr:cNvPr id="3" name="Chart 4"/>
        <xdr:cNvGraphicFramePr/>
      </xdr:nvGraphicFramePr>
      <xdr:xfrm>
        <a:off x="0" y="8258175"/>
        <a:ext cx="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123825</xdr:rowOff>
    </xdr:from>
    <xdr:to>
      <xdr:col>0</xdr:col>
      <xdr:colOff>0</xdr:colOff>
      <xdr:row>80</xdr:row>
      <xdr:rowOff>76200</xdr:rowOff>
    </xdr:to>
    <xdr:graphicFrame>
      <xdr:nvGraphicFramePr>
        <xdr:cNvPr id="4" name="Chart 6"/>
        <xdr:cNvGraphicFramePr/>
      </xdr:nvGraphicFramePr>
      <xdr:xfrm>
        <a:off x="0" y="11877675"/>
        <a:ext cx="0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99</xdr:row>
      <xdr:rowOff>47625</xdr:rowOff>
    </xdr:from>
    <xdr:to>
      <xdr:col>0</xdr:col>
      <xdr:colOff>0</xdr:colOff>
      <xdr:row>118</xdr:row>
      <xdr:rowOff>57150</xdr:rowOff>
    </xdr:to>
    <xdr:graphicFrame>
      <xdr:nvGraphicFramePr>
        <xdr:cNvPr id="5" name="Chart 7"/>
        <xdr:cNvGraphicFramePr/>
      </xdr:nvGraphicFramePr>
      <xdr:xfrm>
        <a:off x="0" y="19831050"/>
        <a:ext cx="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99</xdr:row>
      <xdr:rowOff>152400</xdr:rowOff>
    </xdr:from>
    <xdr:to>
      <xdr:col>0</xdr:col>
      <xdr:colOff>0</xdr:colOff>
      <xdr:row>120</xdr:row>
      <xdr:rowOff>123825</xdr:rowOff>
    </xdr:to>
    <xdr:graphicFrame>
      <xdr:nvGraphicFramePr>
        <xdr:cNvPr id="6" name="Chart 8"/>
        <xdr:cNvGraphicFramePr/>
      </xdr:nvGraphicFramePr>
      <xdr:xfrm>
        <a:off x="0" y="19935825"/>
        <a:ext cx="0" cy="3371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129</xdr:row>
      <xdr:rowOff>133350</xdr:rowOff>
    </xdr:from>
    <xdr:to>
      <xdr:col>0</xdr:col>
      <xdr:colOff>0</xdr:colOff>
      <xdr:row>150</xdr:row>
      <xdr:rowOff>114300</xdr:rowOff>
    </xdr:to>
    <xdr:graphicFrame>
      <xdr:nvGraphicFramePr>
        <xdr:cNvPr id="7" name="Chart 9"/>
        <xdr:cNvGraphicFramePr/>
      </xdr:nvGraphicFramePr>
      <xdr:xfrm>
        <a:off x="0" y="24984075"/>
        <a:ext cx="0" cy="3381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130</xdr:row>
      <xdr:rowOff>28575</xdr:rowOff>
    </xdr:from>
    <xdr:to>
      <xdr:col>0</xdr:col>
      <xdr:colOff>0</xdr:colOff>
      <xdr:row>151</xdr:row>
      <xdr:rowOff>9525</xdr:rowOff>
    </xdr:to>
    <xdr:graphicFrame>
      <xdr:nvGraphicFramePr>
        <xdr:cNvPr id="8" name="Chart 10"/>
        <xdr:cNvGraphicFramePr/>
      </xdr:nvGraphicFramePr>
      <xdr:xfrm>
        <a:off x="0" y="25041225"/>
        <a:ext cx="0" cy="3381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32</xdr:row>
      <xdr:rowOff>114300</xdr:rowOff>
    </xdr:from>
    <xdr:ext cx="9896475" cy="409575"/>
    <xdr:sp>
      <xdr:nvSpPr>
        <xdr:cNvPr id="1" name="TextBox 3"/>
        <xdr:cNvSpPr txBox="1">
          <a:spLocks noChangeArrowheads="1"/>
        </xdr:cNvSpPr>
      </xdr:nvSpPr>
      <xdr:spPr>
        <a:xfrm>
          <a:off x="342900" y="5448300"/>
          <a:ext cx="9896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$113.653 =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{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* 40% [(41,86% * $4,00)+(11,63% * $4,50) + (4,65% * $2,00) + (41,86% * $6,00)] +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* 60% [(26,77% * $4,00) + (25,20% * $4,50) + (7,09% * $2,00) + (40,94% * $6,00)]}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N565"/>
  <sheetViews>
    <sheetView showGridLines="0" zoomScale="80" zoomScaleNormal="80" workbookViewId="0" topLeftCell="A445">
      <selection activeCell="B12" sqref="B12"/>
    </sheetView>
  </sheetViews>
  <sheetFormatPr defaultColWidth="11.421875" defaultRowHeight="15.75" customHeight="1"/>
  <cols>
    <col min="1" max="1" width="5.57421875" style="806" bestFit="1" customWidth="1"/>
    <col min="2" max="2" width="47.421875" style="814" customWidth="1"/>
    <col min="3" max="3" width="11.421875" style="811" customWidth="1"/>
    <col min="4" max="4" width="11.421875" style="812" customWidth="1"/>
    <col min="5" max="5" width="14.140625" style="813" customWidth="1"/>
    <col min="6" max="6" width="13.421875" style="813" customWidth="1"/>
    <col min="7" max="7" width="37.421875" style="814" bestFit="1" customWidth="1"/>
    <col min="8" max="8" width="11.00390625" style="814" bestFit="1" customWidth="1"/>
    <col min="9" max="16384" width="11.421875" style="814" customWidth="1"/>
  </cols>
  <sheetData>
    <row r="2" spans="1:6" s="810" customFormat="1" ht="15.75" customHeight="1">
      <c r="A2" s="806"/>
      <c r="B2" s="7"/>
      <c r="C2" s="807"/>
      <c r="D2" s="808"/>
      <c r="E2" s="809"/>
      <c r="F2" s="809"/>
    </row>
    <row r="3" spans="1:6" s="810" customFormat="1" ht="15.75" customHeight="1">
      <c r="A3" s="806"/>
      <c r="B3" s="7"/>
      <c r="C3" s="807"/>
      <c r="D3" s="808"/>
      <c r="E3" s="809"/>
      <c r="F3" s="809"/>
    </row>
    <row r="4" spans="1:6" s="810" customFormat="1" ht="15.75" customHeight="1">
      <c r="A4" s="806"/>
      <c r="B4" s="7" t="s">
        <v>885</v>
      </c>
      <c r="C4" s="807"/>
      <c r="D4" s="808"/>
      <c r="E4" s="809"/>
      <c r="F4" s="809"/>
    </row>
    <row r="5" spans="1:6" s="810" customFormat="1" ht="15.75" customHeight="1">
      <c r="A5" s="806"/>
      <c r="B5" s="7" t="s">
        <v>884</v>
      </c>
      <c r="C5" s="807"/>
      <c r="D5" s="808"/>
      <c r="E5" s="809"/>
      <c r="F5" s="809"/>
    </row>
    <row r="6" spans="1:6" s="810" customFormat="1" ht="15.75" customHeight="1">
      <c r="A6" s="806"/>
      <c r="B6" s="7" t="s">
        <v>0</v>
      </c>
      <c r="C6" s="807"/>
      <c r="D6" s="808"/>
      <c r="E6" s="809"/>
      <c r="F6" s="809"/>
    </row>
    <row r="7" ht="9.75" customHeight="1" thickBot="1">
      <c r="B7" s="2"/>
    </row>
    <row r="8" spans="2:6" ht="24.75" customHeight="1" thickBot="1">
      <c r="B8" s="815" t="s">
        <v>3</v>
      </c>
      <c r="C8" s="583" t="s">
        <v>2</v>
      </c>
      <c r="D8" s="816" t="s">
        <v>1</v>
      </c>
      <c r="E8" s="817" t="s">
        <v>4</v>
      </c>
      <c r="F8" s="818" t="s">
        <v>5</v>
      </c>
    </row>
    <row r="9" spans="1:6" s="810" customFormat="1" ht="15.75" customHeight="1">
      <c r="A9" s="820">
        <v>1</v>
      </c>
      <c r="B9" s="803" t="s">
        <v>6</v>
      </c>
      <c r="C9" s="821"/>
      <c r="D9" s="822"/>
      <c r="E9" s="823"/>
      <c r="F9" s="824"/>
    </row>
    <row r="10" spans="1:6" ht="15.75" customHeight="1">
      <c r="A10" s="825" t="s">
        <v>168</v>
      </c>
      <c r="B10" s="804" t="s">
        <v>7</v>
      </c>
      <c r="C10" s="826" t="s">
        <v>892</v>
      </c>
      <c r="D10" s="827">
        <v>126.5</v>
      </c>
      <c r="E10" s="828">
        <f>114.52/126.5</f>
        <v>0.905296442687747</v>
      </c>
      <c r="F10" s="829">
        <f>D10*E10</f>
        <v>114.52</v>
      </c>
    </row>
    <row r="11" spans="1:7" ht="15.75" customHeight="1">
      <c r="A11" s="825" t="s">
        <v>169</v>
      </c>
      <c r="B11" s="804" t="s">
        <v>8</v>
      </c>
      <c r="C11" s="826" t="s">
        <v>892</v>
      </c>
      <c r="D11" s="827">
        <v>126.5</v>
      </c>
      <c r="E11" s="828">
        <f>91.65/126.5</f>
        <v>0.724505928853755</v>
      </c>
      <c r="F11" s="829">
        <f>D11*E11</f>
        <v>91.65</v>
      </c>
      <c r="G11" s="813"/>
    </row>
    <row r="12" spans="1:7" ht="15.75" customHeight="1">
      <c r="A12" s="825" t="s">
        <v>170</v>
      </c>
      <c r="B12" s="804" t="s">
        <v>10</v>
      </c>
      <c r="C12" s="826" t="s">
        <v>893</v>
      </c>
      <c r="D12" s="827">
        <v>300</v>
      </c>
      <c r="E12" s="828">
        <f>3754.05/300</f>
        <v>12.5135</v>
      </c>
      <c r="F12" s="829">
        <f aca="true" t="shared" si="0" ref="F12:F111">D12*E12</f>
        <v>3754.05</v>
      </c>
      <c r="G12" s="830"/>
    </row>
    <row r="13" spans="1:6" ht="15.75" customHeight="1">
      <c r="A13" s="825" t="s">
        <v>266</v>
      </c>
      <c r="B13" s="804" t="s">
        <v>9</v>
      </c>
      <c r="C13" s="826" t="s">
        <v>893</v>
      </c>
      <c r="D13" s="827">
        <v>620</v>
      </c>
      <c r="E13" s="828">
        <f>7379.76/620</f>
        <v>11.90283870967742</v>
      </c>
      <c r="F13" s="829">
        <f t="shared" si="0"/>
        <v>7379.76</v>
      </c>
    </row>
    <row r="14" spans="1:6" ht="15.75" customHeight="1">
      <c r="A14" s="831" t="s">
        <v>305</v>
      </c>
      <c r="B14" s="804" t="s">
        <v>11</v>
      </c>
      <c r="C14" s="826" t="s">
        <v>893</v>
      </c>
      <c r="D14" s="827">
        <v>264</v>
      </c>
      <c r="E14" s="828">
        <f>3285.89/264</f>
        <v>12.44655303030303</v>
      </c>
      <c r="F14" s="829">
        <f t="shared" si="0"/>
        <v>3285.89</v>
      </c>
    </row>
    <row r="15" spans="1:6" ht="15.75" customHeight="1" thickBot="1">
      <c r="A15" s="832" t="s">
        <v>306</v>
      </c>
      <c r="B15" s="805" t="s">
        <v>12</v>
      </c>
      <c r="C15" s="833" t="s">
        <v>892</v>
      </c>
      <c r="D15" s="834">
        <v>1500</v>
      </c>
      <c r="E15" s="835">
        <f>17239.1/1500</f>
        <v>11.492733333333332</v>
      </c>
      <c r="F15" s="836">
        <f t="shared" si="0"/>
        <v>17239.1</v>
      </c>
    </row>
    <row r="16" spans="1:6" s="810" customFormat="1" ht="15.75" customHeight="1" thickBot="1">
      <c r="A16" s="806"/>
      <c r="B16" s="802" t="s">
        <v>5</v>
      </c>
      <c r="C16" s="837"/>
      <c r="D16" s="838"/>
      <c r="E16" s="839"/>
      <c r="F16" s="840">
        <f>SUM(F10:F15)</f>
        <v>31864.969999999998</v>
      </c>
    </row>
    <row r="17" ht="15.75" customHeight="1">
      <c r="B17" s="2"/>
    </row>
    <row r="18" ht="15.75" customHeight="1">
      <c r="B18" s="7" t="s">
        <v>13</v>
      </c>
    </row>
    <row r="19" ht="9.75" customHeight="1" thickBot="1">
      <c r="B19" s="7"/>
    </row>
    <row r="20" spans="2:6" ht="24.75" customHeight="1" thickBot="1">
      <c r="B20" s="815" t="s">
        <v>3</v>
      </c>
      <c r="C20" s="583" t="s">
        <v>2</v>
      </c>
      <c r="D20" s="816" t="s">
        <v>1</v>
      </c>
      <c r="E20" s="817" t="s">
        <v>4</v>
      </c>
      <c r="F20" s="818" t="s">
        <v>5</v>
      </c>
    </row>
    <row r="21" spans="1:6" ht="15.75" customHeight="1">
      <c r="A21" s="864">
        <v>1</v>
      </c>
      <c r="B21" s="266" t="s">
        <v>6</v>
      </c>
      <c r="C21" s="866"/>
      <c r="D21" s="867"/>
      <c r="E21" s="868"/>
      <c r="F21" s="869"/>
    </row>
    <row r="22" spans="1:6" ht="15.75" customHeight="1">
      <c r="A22" s="865" t="s">
        <v>168</v>
      </c>
      <c r="B22" s="870" t="s">
        <v>14</v>
      </c>
      <c r="C22" s="826" t="s">
        <v>15</v>
      </c>
      <c r="D22" s="827">
        <v>1</v>
      </c>
      <c r="E22" s="828">
        <v>620.45</v>
      </c>
      <c r="F22" s="829">
        <f t="shared" si="0"/>
        <v>620.45</v>
      </c>
    </row>
    <row r="23" spans="1:6" ht="15.75" customHeight="1">
      <c r="A23" s="865" t="s">
        <v>169</v>
      </c>
      <c r="B23" s="870" t="s">
        <v>16</v>
      </c>
      <c r="C23" s="826" t="s">
        <v>17</v>
      </c>
      <c r="D23" s="827">
        <v>1</v>
      </c>
      <c r="E23" s="828">
        <v>148.63</v>
      </c>
      <c r="F23" s="829">
        <f t="shared" si="0"/>
        <v>148.63</v>
      </c>
    </row>
    <row r="24" spans="1:6" ht="15.75" customHeight="1">
      <c r="A24" s="865" t="s">
        <v>170</v>
      </c>
      <c r="B24" s="870" t="s">
        <v>18</v>
      </c>
      <c r="C24" s="826" t="s">
        <v>17</v>
      </c>
      <c r="D24" s="827">
        <v>1</v>
      </c>
      <c r="E24" s="828">
        <v>131.33</v>
      </c>
      <c r="F24" s="829">
        <f t="shared" si="0"/>
        <v>131.33</v>
      </c>
    </row>
    <row r="25" spans="1:6" ht="15.75" customHeight="1" thickBot="1">
      <c r="A25" s="865" t="s">
        <v>266</v>
      </c>
      <c r="B25" s="871" t="s">
        <v>19</v>
      </c>
      <c r="C25" s="833" t="s">
        <v>893</v>
      </c>
      <c r="D25" s="834">
        <v>25</v>
      </c>
      <c r="E25" s="835">
        <f>104.56/25</f>
        <v>4.1824</v>
      </c>
      <c r="F25" s="836">
        <f t="shared" si="0"/>
        <v>104.56</v>
      </c>
    </row>
    <row r="26" spans="2:6" ht="15.75" customHeight="1" thickBot="1">
      <c r="B26" s="764" t="s">
        <v>59</v>
      </c>
      <c r="C26" s="872"/>
      <c r="D26" s="873"/>
      <c r="E26" s="874"/>
      <c r="F26" s="875">
        <f>SUM(F22:F25)</f>
        <v>1004.97</v>
      </c>
    </row>
    <row r="27" ht="11.25" customHeight="1" thickBot="1">
      <c r="B27" s="2"/>
    </row>
    <row r="28" spans="1:6" ht="15.75" customHeight="1">
      <c r="A28" s="820">
        <v>2</v>
      </c>
      <c r="B28" s="803" t="s">
        <v>20</v>
      </c>
      <c r="C28" s="866"/>
      <c r="D28" s="867"/>
      <c r="E28" s="868"/>
      <c r="F28" s="869"/>
    </row>
    <row r="29" spans="1:6" ht="15.75" customHeight="1">
      <c r="A29" s="831" t="s">
        <v>171</v>
      </c>
      <c r="B29" s="804" t="s">
        <v>7</v>
      </c>
      <c r="C29" s="826" t="s">
        <v>892</v>
      </c>
      <c r="D29" s="827">
        <v>50</v>
      </c>
      <c r="E29" s="828">
        <f>45.26/50</f>
        <v>0.9052</v>
      </c>
      <c r="F29" s="829">
        <f t="shared" si="0"/>
        <v>45.26</v>
      </c>
    </row>
    <row r="30" spans="1:6" ht="15.75" customHeight="1">
      <c r="A30" s="831" t="s">
        <v>172</v>
      </c>
      <c r="B30" s="804" t="s">
        <v>8</v>
      </c>
      <c r="C30" s="826" t="s">
        <v>892</v>
      </c>
      <c r="D30" s="827">
        <v>50</v>
      </c>
      <c r="E30" s="828">
        <f>36.23/50</f>
        <v>0.7245999999999999</v>
      </c>
      <c r="F30" s="829">
        <f t="shared" si="0"/>
        <v>36.23</v>
      </c>
    </row>
    <row r="31" spans="1:6" ht="15.75" customHeight="1">
      <c r="A31" s="831" t="s">
        <v>268</v>
      </c>
      <c r="B31" s="804" t="s">
        <v>21</v>
      </c>
      <c r="C31" s="826" t="s">
        <v>893</v>
      </c>
      <c r="D31" s="827">
        <v>10</v>
      </c>
      <c r="E31" s="828">
        <f>503.59/10</f>
        <v>50.358999999999995</v>
      </c>
      <c r="F31" s="829">
        <f t="shared" si="0"/>
        <v>503.5899999999999</v>
      </c>
    </row>
    <row r="32" spans="1:6" ht="15.75" customHeight="1" thickBot="1">
      <c r="A32" s="832" t="s">
        <v>317</v>
      </c>
      <c r="B32" s="805" t="s">
        <v>22</v>
      </c>
      <c r="C32" s="833" t="s">
        <v>892</v>
      </c>
      <c r="D32" s="834">
        <v>50</v>
      </c>
      <c r="E32" s="835">
        <f>16.31/50</f>
        <v>0.3262</v>
      </c>
      <c r="F32" s="836">
        <f t="shared" si="0"/>
        <v>16.31</v>
      </c>
    </row>
    <row r="33" spans="2:6" ht="15.75" customHeight="1" thickBot="1">
      <c r="B33" s="764" t="s">
        <v>59</v>
      </c>
      <c r="C33" s="879"/>
      <c r="D33" s="880"/>
      <c r="E33" s="881"/>
      <c r="F33" s="875">
        <f>SUM(F29:F32)</f>
        <v>601.3899999999999</v>
      </c>
    </row>
    <row r="34" ht="8.25" customHeight="1" thickBot="1">
      <c r="B34" s="2"/>
    </row>
    <row r="35" spans="1:6" ht="15.75" customHeight="1">
      <c r="A35" s="820">
        <v>3</v>
      </c>
      <c r="B35" s="803" t="s">
        <v>23</v>
      </c>
      <c r="C35" s="866"/>
      <c r="D35" s="867"/>
      <c r="E35" s="868"/>
      <c r="F35" s="869"/>
    </row>
    <row r="36" spans="1:6" ht="15.75" customHeight="1">
      <c r="A36" s="831" t="s">
        <v>174</v>
      </c>
      <c r="B36" s="804" t="s">
        <v>7</v>
      </c>
      <c r="C36" s="826" t="s">
        <v>892</v>
      </c>
      <c r="D36" s="827">
        <v>16</v>
      </c>
      <c r="E36" s="828">
        <f>14.48/16</f>
        <v>0.905</v>
      </c>
      <c r="F36" s="829">
        <f t="shared" si="0"/>
        <v>14.48</v>
      </c>
    </row>
    <row r="37" spans="1:6" ht="15.75" customHeight="1">
      <c r="A37" s="831" t="s">
        <v>175</v>
      </c>
      <c r="B37" s="804" t="s">
        <v>8</v>
      </c>
      <c r="C37" s="826" t="s">
        <v>892</v>
      </c>
      <c r="D37" s="827">
        <v>16</v>
      </c>
      <c r="E37" s="828">
        <f>11.59/16</f>
        <v>0.724375</v>
      </c>
      <c r="F37" s="829">
        <f t="shared" si="0"/>
        <v>11.59</v>
      </c>
    </row>
    <row r="38" spans="1:6" ht="15.75" customHeight="1">
      <c r="A38" s="831" t="s">
        <v>176</v>
      </c>
      <c r="B38" s="804" t="s">
        <v>22</v>
      </c>
      <c r="C38" s="826" t="s">
        <v>892</v>
      </c>
      <c r="D38" s="827">
        <v>16</v>
      </c>
      <c r="E38" s="828">
        <f>5.22/16</f>
        <v>0.32625</v>
      </c>
      <c r="F38" s="829">
        <f t="shared" si="0"/>
        <v>5.22</v>
      </c>
    </row>
    <row r="39" spans="1:6" ht="15.75" customHeight="1">
      <c r="A39" s="831" t="s">
        <v>676</v>
      </c>
      <c r="B39" s="804" t="s">
        <v>24</v>
      </c>
      <c r="C39" s="826" t="s">
        <v>893</v>
      </c>
      <c r="D39" s="827">
        <v>0.12</v>
      </c>
      <c r="E39" s="828">
        <f>26.95/0.12</f>
        <v>224.58333333333334</v>
      </c>
      <c r="F39" s="829">
        <f t="shared" si="0"/>
        <v>26.95</v>
      </c>
    </row>
    <row r="40" spans="1:6" ht="15.75" customHeight="1">
      <c r="A40" s="831" t="s">
        <v>677</v>
      </c>
      <c r="B40" s="804" t="s">
        <v>25</v>
      </c>
      <c r="C40" s="826" t="s">
        <v>893</v>
      </c>
      <c r="D40" s="827">
        <v>0.06</v>
      </c>
      <c r="E40" s="828">
        <f>13.59/0.06</f>
        <v>226.5</v>
      </c>
      <c r="F40" s="829">
        <f t="shared" si="0"/>
        <v>13.59</v>
      </c>
    </row>
    <row r="41" spans="1:6" ht="15.75" customHeight="1">
      <c r="A41" s="831" t="s">
        <v>678</v>
      </c>
      <c r="B41" s="804" t="s">
        <v>26</v>
      </c>
      <c r="C41" s="826" t="s">
        <v>893</v>
      </c>
      <c r="D41" s="827">
        <v>1.67</v>
      </c>
      <c r="E41" s="828">
        <f>84.1/1.67</f>
        <v>50.359281437125745</v>
      </c>
      <c r="F41" s="829">
        <f t="shared" si="0"/>
        <v>84.1</v>
      </c>
    </row>
    <row r="42" spans="1:6" ht="15.75" customHeight="1">
      <c r="A42" s="831" t="s">
        <v>679</v>
      </c>
      <c r="B42" s="804" t="s">
        <v>27</v>
      </c>
      <c r="C42" s="826" t="s">
        <v>893</v>
      </c>
      <c r="D42" s="827">
        <v>0.42</v>
      </c>
      <c r="E42" s="828">
        <f>43.45/0.42</f>
        <v>103.45238095238096</v>
      </c>
      <c r="F42" s="829">
        <f t="shared" si="0"/>
        <v>43.45</v>
      </c>
    </row>
    <row r="43" spans="1:6" ht="15.75" customHeight="1">
      <c r="A43" s="831" t="s">
        <v>680</v>
      </c>
      <c r="B43" s="804" t="s">
        <v>28</v>
      </c>
      <c r="C43" s="826" t="s">
        <v>17</v>
      </c>
      <c r="D43" s="827">
        <v>1</v>
      </c>
      <c r="E43" s="828">
        <v>43.13</v>
      </c>
      <c r="F43" s="829">
        <f t="shared" si="0"/>
        <v>43.13</v>
      </c>
    </row>
    <row r="44" spans="1:6" ht="15.75" customHeight="1">
      <c r="A44" s="831" t="s">
        <v>681</v>
      </c>
      <c r="B44" s="804" t="s">
        <v>29</v>
      </c>
      <c r="C44" s="826" t="s">
        <v>892</v>
      </c>
      <c r="D44" s="827">
        <v>2</v>
      </c>
      <c r="E44" s="828">
        <f>147.75/2</f>
        <v>73.875</v>
      </c>
      <c r="F44" s="829">
        <f t="shared" si="0"/>
        <v>147.75</v>
      </c>
    </row>
    <row r="45" spans="1:6" ht="15.75" customHeight="1" thickBot="1">
      <c r="A45" s="886" t="s">
        <v>31</v>
      </c>
      <c r="B45" s="805" t="s">
        <v>30</v>
      </c>
      <c r="C45" s="833" t="s">
        <v>17</v>
      </c>
      <c r="D45" s="834">
        <v>1</v>
      </c>
      <c r="E45" s="835">
        <v>62.13</v>
      </c>
      <c r="F45" s="836">
        <f t="shared" si="0"/>
        <v>62.13</v>
      </c>
    </row>
    <row r="46" spans="2:6" ht="15.75" customHeight="1" thickBot="1">
      <c r="B46" s="764" t="s">
        <v>59</v>
      </c>
      <c r="C46" s="879"/>
      <c r="D46" s="880"/>
      <c r="E46" s="881"/>
      <c r="F46" s="875">
        <f>SUM(F36:F45)</f>
        <v>452.39</v>
      </c>
    </row>
    <row r="47" ht="5.25" customHeight="1" thickBot="1">
      <c r="B47" s="2"/>
    </row>
    <row r="48" spans="1:6" ht="15.75" customHeight="1">
      <c r="A48" s="820">
        <v>4</v>
      </c>
      <c r="B48" s="803" t="s">
        <v>32</v>
      </c>
      <c r="C48" s="866"/>
      <c r="D48" s="867"/>
      <c r="E48" s="868"/>
      <c r="F48" s="869"/>
    </row>
    <row r="49" spans="1:6" ht="15.75" customHeight="1">
      <c r="A49" s="831" t="s">
        <v>178</v>
      </c>
      <c r="B49" s="804" t="s">
        <v>33</v>
      </c>
      <c r="C49" s="826" t="s">
        <v>34</v>
      </c>
      <c r="D49" s="827">
        <v>10</v>
      </c>
      <c r="E49" s="828">
        <v>8.85</v>
      </c>
      <c r="F49" s="829">
        <f t="shared" si="0"/>
        <v>88.5</v>
      </c>
    </row>
    <row r="50" spans="1:6" ht="15.75" customHeight="1">
      <c r="A50" s="831" t="s">
        <v>180</v>
      </c>
      <c r="B50" s="804" t="s">
        <v>35</v>
      </c>
      <c r="C50" s="826" t="s">
        <v>34</v>
      </c>
      <c r="D50" s="827">
        <v>240</v>
      </c>
      <c r="E50" s="828">
        <f>1865.95/240</f>
        <v>7.774791666666667</v>
      </c>
      <c r="F50" s="829">
        <f t="shared" si="0"/>
        <v>1865.95</v>
      </c>
    </row>
    <row r="51" spans="1:6" ht="15.75" customHeight="1">
      <c r="A51" s="831" t="s">
        <v>182</v>
      </c>
      <c r="B51" s="804" t="s">
        <v>36</v>
      </c>
      <c r="C51" s="826" t="s">
        <v>34</v>
      </c>
      <c r="D51" s="827">
        <v>20</v>
      </c>
      <c r="E51" s="828">
        <v>3.88</v>
      </c>
      <c r="F51" s="829">
        <f t="shared" si="0"/>
        <v>77.6</v>
      </c>
    </row>
    <row r="52" spans="1:6" ht="15.75" customHeight="1">
      <c r="A52" s="831" t="s">
        <v>183</v>
      </c>
      <c r="B52" s="804" t="s">
        <v>37</v>
      </c>
      <c r="C52" s="826" t="s">
        <v>34</v>
      </c>
      <c r="D52" s="827">
        <v>270</v>
      </c>
      <c r="E52" s="828">
        <f>444.22/270</f>
        <v>1.6452592592592594</v>
      </c>
      <c r="F52" s="829">
        <f t="shared" si="0"/>
        <v>444.22</v>
      </c>
    </row>
    <row r="53" spans="1:6" ht="15.75" customHeight="1">
      <c r="A53" s="831" t="s">
        <v>185</v>
      </c>
      <c r="B53" s="804" t="s">
        <v>38</v>
      </c>
      <c r="C53" s="826" t="s">
        <v>39</v>
      </c>
      <c r="D53" s="827">
        <v>1</v>
      </c>
      <c r="E53" s="828">
        <v>534.32</v>
      </c>
      <c r="F53" s="829">
        <f t="shared" si="0"/>
        <v>534.32</v>
      </c>
    </row>
    <row r="54" spans="1:6" ht="15.75" customHeight="1" thickBot="1">
      <c r="A54" s="832" t="s">
        <v>682</v>
      </c>
      <c r="B54" s="805" t="s">
        <v>40</v>
      </c>
      <c r="C54" s="833" t="s">
        <v>17</v>
      </c>
      <c r="D54" s="834">
        <v>2</v>
      </c>
      <c r="E54" s="835">
        <v>443.7</v>
      </c>
      <c r="F54" s="836">
        <f t="shared" si="0"/>
        <v>887.4</v>
      </c>
    </row>
    <row r="55" spans="2:6" ht="15.75" customHeight="1" thickBot="1">
      <c r="B55" s="764" t="s">
        <v>59</v>
      </c>
      <c r="C55" s="879"/>
      <c r="D55" s="880"/>
      <c r="E55" s="881"/>
      <c r="F55" s="875">
        <f>SUM(F49:F54)</f>
        <v>3897.9900000000002</v>
      </c>
    </row>
    <row r="56" ht="9.75" customHeight="1" thickBot="1">
      <c r="B56" s="2"/>
    </row>
    <row r="57" spans="1:6" ht="15.75" customHeight="1">
      <c r="A57" s="820">
        <v>5</v>
      </c>
      <c r="B57" s="803" t="s">
        <v>41</v>
      </c>
      <c r="C57" s="866"/>
      <c r="D57" s="867"/>
      <c r="E57" s="868"/>
      <c r="F57" s="869"/>
    </row>
    <row r="58" spans="1:6" ht="15.75" customHeight="1">
      <c r="A58" s="831" t="s">
        <v>188</v>
      </c>
      <c r="B58" s="804" t="s">
        <v>42</v>
      </c>
      <c r="C58" s="826" t="s">
        <v>34</v>
      </c>
      <c r="D58" s="827">
        <v>45</v>
      </c>
      <c r="E58" s="828">
        <f>783.27/45</f>
        <v>17.406</v>
      </c>
      <c r="F58" s="829">
        <f t="shared" si="0"/>
        <v>783.27</v>
      </c>
    </row>
    <row r="59" spans="1:6" ht="15.75" customHeight="1">
      <c r="A59" s="831" t="s">
        <v>189</v>
      </c>
      <c r="B59" s="804" t="s">
        <v>43</v>
      </c>
      <c r="C59" s="826" t="s">
        <v>34</v>
      </c>
      <c r="D59" s="827">
        <v>180</v>
      </c>
      <c r="E59" s="828">
        <f>2100.17/180</f>
        <v>11.667611111111112</v>
      </c>
      <c r="F59" s="829">
        <f t="shared" si="0"/>
        <v>2100.17</v>
      </c>
    </row>
    <row r="60" spans="1:6" s="843" customFormat="1" ht="33" customHeight="1">
      <c r="A60" s="892" t="s">
        <v>190</v>
      </c>
      <c r="B60" s="891" t="s">
        <v>44</v>
      </c>
      <c r="C60" s="887" t="s">
        <v>17</v>
      </c>
      <c r="D60" s="888">
        <v>6</v>
      </c>
      <c r="E60" s="889">
        <v>109.35</v>
      </c>
      <c r="F60" s="890">
        <f t="shared" si="0"/>
        <v>656.0999999999999</v>
      </c>
    </row>
    <row r="61" spans="1:6" ht="15.75" customHeight="1">
      <c r="A61" s="831" t="s">
        <v>192</v>
      </c>
      <c r="B61" s="804" t="s">
        <v>45</v>
      </c>
      <c r="C61" s="826" t="s">
        <v>17</v>
      </c>
      <c r="D61" s="827">
        <v>12</v>
      </c>
      <c r="E61" s="828">
        <f>1984.63/12</f>
        <v>165.38583333333335</v>
      </c>
      <c r="F61" s="829">
        <f t="shared" si="0"/>
        <v>1984.63</v>
      </c>
    </row>
    <row r="62" spans="1:6" ht="15.75" customHeight="1">
      <c r="A62" s="831" t="s">
        <v>683</v>
      </c>
      <c r="B62" s="804" t="s">
        <v>46</v>
      </c>
      <c r="C62" s="826" t="s">
        <v>893</v>
      </c>
      <c r="D62" s="827">
        <v>108</v>
      </c>
      <c r="E62" s="828">
        <f>272.5/108</f>
        <v>2.5231481481481484</v>
      </c>
      <c r="F62" s="829">
        <f t="shared" si="0"/>
        <v>272.5</v>
      </c>
    </row>
    <row r="63" spans="1:6" ht="15.75" customHeight="1">
      <c r="A63" s="831" t="s">
        <v>684</v>
      </c>
      <c r="B63" s="804" t="s">
        <v>47</v>
      </c>
      <c r="C63" s="826" t="s">
        <v>893</v>
      </c>
      <c r="D63" s="827">
        <v>43</v>
      </c>
      <c r="E63" s="828">
        <f>652.48/43</f>
        <v>15.173953488372094</v>
      </c>
      <c r="F63" s="829">
        <f t="shared" si="0"/>
        <v>652.48</v>
      </c>
    </row>
    <row r="64" spans="1:6" ht="15.75" customHeight="1">
      <c r="A64" s="831" t="s">
        <v>685</v>
      </c>
      <c r="B64" s="804" t="s">
        <v>48</v>
      </c>
      <c r="C64" s="826" t="s">
        <v>893</v>
      </c>
      <c r="D64" s="827">
        <v>60</v>
      </c>
      <c r="E64" s="828">
        <f>106.42/60</f>
        <v>1.7736666666666667</v>
      </c>
      <c r="F64" s="829">
        <f t="shared" si="0"/>
        <v>106.42</v>
      </c>
    </row>
    <row r="65" spans="1:6" ht="15.75" customHeight="1">
      <c r="A65" s="831" t="s">
        <v>686</v>
      </c>
      <c r="B65" s="804" t="s">
        <v>49</v>
      </c>
      <c r="C65" s="826" t="s">
        <v>17</v>
      </c>
      <c r="D65" s="827">
        <v>1</v>
      </c>
      <c r="E65" s="828">
        <v>1443.28</v>
      </c>
      <c r="F65" s="829">
        <f t="shared" si="0"/>
        <v>1443.28</v>
      </c>
    </row>
    <row r="66" spans="1:6" ht="15.75" customHeight="1" thickBot="1">
      <c r="A66" s="832" t="s">
        <v>687</v>
      </c>
      <c r="B66" s="805" t="s">
        <v>50</v>
      </c>
      <c r="C66" s="833" t="s">
        <v>17</v>
      </c>
      <c r="D66" s="834">
        <v>2</v>
      </c>
      <c r="E66" s="835">
        <v>366.27</v>
      </c>
      <c r="F66" s="836">
        <f t="shared" si="0"/>
        <v>732.54</v>
      </c>
    </row>
    <row r="67" spans="2:6" ht="15.75" customHeight="1" thickBot="1">
      <c r="B67" s="764" t="s">
        <v>59</v>
      </c>
      <c r="C67" s="879"/>
      <c r="D67" s="880"/>
      <c r="E67" s="881"/>
      <c r="F67" s="875">
        <f>SUM(F58:F66)</f>
        <v>8731.39</v>
      </c>
    </row>
    <row r="68" ht="9.75" customHeight="1" thickBot="1">
      <c r="B68" s="2"/>
    </row>
    <row r="69" spans="1:6" ht="15.75" customHeight="1">
      <c r="A69" s="820">
        <v>6</v>
      </c>
      <c r="B69" s="803" t="s">
        <v>51</v>
      </c>
      <c r="C69" s="866"/>
      <c r="D69" s="867"/>
      <c r="E69" s="868"/>
      <c r="F69" s="869"/>
    </row>
    <row r="70" spans="1:6" ht="15.75" customHeight="1">
      <c r="A70" s="831" t="s">
        <v>195</v>
      </c>
      <c r="B70" s="804" t="s">
        <v>52</v>
      </c>
      <c r="C70" s="826" t="s">
        <v>892</v>
      </c>
      <c r="D70" s="827">
        <v>105</v>
      </c>
      <c r="E70" s="828">
        <f>95.05/105</f>
        <v>0.9052380952380952</v>
      </c>
      <c r="F70" s="829">
        <f t="shared" si="0"/>
        <v>95.05</v>
      </c>
    </row>
    <row r="71" spans="1:6" ht="15.75" customHeight="1">
      <c r="A71" s="831" t="s">
        <v>197</v>
      </c>
      <c r="B71" s="804" t="s">
        <v>8</v>
      </c>
      <c r="C71" s="826" t="s">
        <v>892</v>
      </c>
      <c r="D71" s="827">
        <v>105</v>
      </c>
      <c r="E71" s="828">
        <f>76.08/105</f>
        <v>0.7245714285714285</v>
      </c>
      <c r="F71" s="829">
        <f t="shared" si="0"/>
        <v>76.08</v>
      </c>
    </row>
    <row r="72" spans="1:6" ht="15.75" customHeight="1">
      <c r="A72" s="831" t="s">
        <v>198</v>
      </c>
      <c r="B72" s="804" t="s">
        <v>53</v>
      </c>
      <c r="C72" s="826" t="s">
        <v>34</v>
      </c>
      <c r="D72" s="827">
        <v>210</v>
      </c>
      <c r="E72" s="828">
        <f>5699.95/210</f>
        <v>27.142619047619046</v>
      </c>
      <c r="F72" s="829">
        <f t="shared" si="0"/>
        <v>5699.95</v>
      </c>
    </row>
    <row r="73" spans="1:6" ht="15.75" customHeight="1" thickBot="1">
      <c r="A73" s="832" t="s">
        <v>199</v>
      </c>
      <c r="B73" s="805" t="s">
        <v>22</v>
      </c>
      <c r="C73" s="833" t="s">
        <v>892</v>
      </c>
      <c r="D73" s="834">
        <v>105</v>
      </c>
      <c r="E73" s="835">
        <f>34.26/105</f>
        <v>0.3262857142857143</v>
      </c>
      <c r="F73" s="836">
        <f t="shared" si="0"/>
        <v>34.26</v>
      </c>
    </row>
    <row r="74" spans="2:6" ht="15.75" customHeight="1" thickBot="1">
      <c r="B74" s="764" t="s">
        <v>59</v>
      </c>
      <c r="C74" s="879"/>
      <c r="D74" s="880"/>
      <c r="E74" s="881"/>
      <c r="F74" s="875">
        <f>SUM(F70:F73)</f>
        <v>5905.34</v>
      </c>
    </row>
    <row r="75" spans="2:6" ht="15" thickBot="1">
      <c r="B75" s="802" t="s">
        <v>5</v>
      </c>
      <c r="C75" s="837"/>
      <c r="D75" s="838"/>
      <c r="E75" s="839"/>
      <c r="F75" s="840">
        <f>F74+F67+F55+F46+F33+F26</f>
        <v>20593.47</v>
      </c>
    </row>
    <row r="76" ht="11.25" customHeight="1">
      <c r="B76" s="2"/>
    </row>
    <row r="77" ht="15.75" customHeight="1" thickBot="1">
      <c r="B77" s="7" t="s">
        <v>54</v>
      </c>
    </row>
    <row r="78" spans="2:6" ht="26.25" thickBot="1">
      <c r="B78" s="815" t="s">
        <v>3</v>
      </c>
      <c r="C78" s="583" t="s">
        <v>2</v>
      </c>
      <c r="D78" s="816" t="s">
        <v>1</v>
      </c>
      <c r="E78" s="817" t="s">
        <v>4</v>
      </c>
      <c r="F78" s="818" t="s">
        <v>5</v>
      </c>
    </row>
    <row r="79" spans="1:6" ht="15.75" customHeight="1">
      <c r="A79" s="820">
        <v>1</v>
      </c>
      <c r="B79" s="803" t="s">
        <v>6</v>
      </c>
      <c r="C79" s="866"/>
      <c r="D79" s="867"/>
      <c r="E79" s="868"/>
      <c r="F79" s="869"/>
    </row>
    <row r="80" spans="1:6" ht="15.75" customHeight="1">
      <c r="A80" s="825" t="s">
        <v>168</v>
      </c>
      <c r="B80" s="804" t="s">
        <v>55</v>
      </c>
      <c r="C80" s="826" t="s">
        <v>892</v>
      </c>
      <c r="D80" s="827">
        <v>99</v>
      </c>
      <c r="E80" s="828">
        <f>89.62/99</f>
        <v>0.9052525252525253</v>
      </c>
      <c r="F80" s="829">
        <f t="shared" si="0"/>
        <v>89.62</v>
      </c>
    </row>
    <row r="81" spans="1:6" ht="15.75" customHeight="1" thickBot="1">
      <c r="A81" s="894" t="s">
        <v>169</v>
      </c>
      <c r="B81" s="805" t="s">
        <v>8</v>
      </c>
      <c r="C81" s="833" t="s">
        <v>892</v>
      </c>
      <c r="D81" s="834">
        <v>99</v>
      </c>
      <c r="E81" s="835">
        <f>71.73/99</f>
        <v>0.7245454545454546</v>
      </c>
      <c r="F81" s="836">
        <f t="shared" si="0"/>
        <v>71.73</v>
      </c>
    </row>
    <row r="82" spans="2:6" ht="15.75" customHeight="1" thickBot="1">
      <c r="B82" s="764" t="s">
        <v>59</v>
      </c>
      <c r="C82" s="879"/>
      <c r="D82" s="880"/>
      <c r="E82" s="881"/>
      <c r="F82" s="875">
        <f>SUM(F80:F81)</f>
        <v>161.35000000000002</v>
      </c>
    </row>
    <row r="83" ht="11.25" customHeight="1" thickBot="1">
      <c r="B83" s="2"/>
    </row>
    <row r="84" spans="1:6" ht="15.75" customHeight="1">
      <c r="A84" s="876">
        <v>2</v>
      </c>
      <c r="B84" s="800" t="s">
        <v>56</v>
      </c>
      <c r="C84" s="866"/>
      <c r="D84" s="867"/>
      <c r="E84" s="868"/>
      <c r="F84" s="869"/>
    </row>
    <row r="85" spans="1:6" ht="15.75" customHeight="1">
      <c r="A85" s="877" t="s">
        <v>171</v>
      </c>
      <c r="B85" s="799" t="s">
        <v>57</v>
      </c>
      <c r="C85" s="826" t="s">
        <v>893</v>
      </c>
      <c r="D85" s="827">
        <v>18.52</v>
      </c>
      <c r="E85" s="828">
        <f>46.73/18.52</f>
        <v>2.523218142548596</v>
      </c>
      <c r="F85" s="829">
        <f t="shared" si="0"/>
        <v>46.73</v>
      </c>
    </row>
    <row r="86" spans="1:6" ht="15.75" customHeight="1" thickBot="1">
      <c r="A86" s="878" t="s">
        <v>172</v>
      </c>
      <c r="B86" s="801" t="s">
        <v>58</v>
      </c>
      <c r="C86" s="833" t="s">
        <v>893</v>
      </c>
      <c r="D86" s="834">
        <v>13.9</v>
      </c>
      <c r="E86" s="835">
        <f>57.97/13.9</f>
        <v>4.170503597122302</v>
      </c>
      <c r="F86" s="836">
        <f t="shared" si="0"/>
        <v>57.97</v>
      </c>
    </row>
    <row r="87" spans="2:6" ht="15.75" customHeight="1" thickBot="1">
      <c r="B87" s="764" t="s">
        <v>59</v>
      </c>
      <c r="C87" s="872"/>
      <c r="D87" s="873"/>
      <c r="E87" s="874"/>
      <c r="F87" s="875">
        <f>SUM(F85:F86)</f>
        <v>104.69999999999999</v>
      </c>
    </row>
    <row r="88" ht="9" customHeight="1" thickBot="1">
      <c r="B88" s="2"/>
    </row>
    <row r="89" spans="1:6" ht="15.75" customHeight="1">
      <c r="A89" s="876">
        <v>3</v>
      </c>
      <c r="B89" s="800" t="s">
        <v>60</v>
      </c>
      <c r="C89" s="866"/>
      <c r="D89" s="867"/>
      <c r="E89" s="868"/>
      <c r="F89" s="869"/>
    </row>
    <row r="90" spans="1:6" ht="15.75" customHeight="1">
      <c r="A90" s="877" t="s">
        <v>174</v>
      </c>
      <c r="B90" s="799" t="s">
        <v>61</v>
      </c>
      <c r="C90" s="826" t="s">
        <v>893</v>
      </c>
      <c r="D90" s="827">
        <v>3.05</v>
      </c>
      <c r="E90" s="828">
        <f>105.76/3.05</f>
        <v>34.675409836065576</v>
      </c>
      <c r="F90" s="829">
        <f t="shared" si="0"/>
        <v>105.76</v>
      </c>
    </row>
    <row r="91" spans="1:6" ht="15.75" customHeight="1">
      <c r="A91" s="877" t="s">
        <v>175</v>
      </c>
      <c r="B91" s="799" t="s">
        <v>62</v>
      </c>
      <c r="C91" s="826" t="s">
        <v>893</v>
      </c>
      <c r="D91" s="827">
        <v>2.82</v>
      </c>
      <c r="E91" s="828">
        <v>128.87</v>
      </c>
      <c r="F91" s="829">
        <f t="shared" si="0"/>
        <v>363.41339999999997</v>
      </c>
    </row>
    <row r="92" spans="1:6" ht="15.75" customHeight="1" thickBot="1">
      <c r="A92" s="878" t="s">
        <v>176</v>
      </c>
      <c r="B92" s="801" t="s">
        <v>63</v>
      </c>
      <c r="C92" s="833" t="s">
        <v>893</v>
      </c>
      <c r="D92" s="834">
        <v>1.5</v>
      </c>
      <c r="E92" s="835">
        <v>190.23</v>
      </c>
      <c r="F92" s="836">
        <f t="shared" si="0"/>
        <v>285.34499999999997</v>
      </c>
    </row>
    <row r="93" spans="2:6" ht="15" customHeight="1" thickBot="1">
      <c r="B93" s="764" t="s">
        <v>59</v>
      </c>
      <c r="C93" s="872"/>
      <c r="D93" s="873"/>
      <c r="E93" s="874"/>
      <c r="F93" s="875">
        <f>SUM(F90:F92)</f>
        <v>754.5183999999999</v>
      </c>
    </row>
    <row r="94" ht="9" customHeight="1" thickBot="1">
      <c r="B94" s="2"/>
    </row>
    <row r="95" spans="1:6" ht="15.75" customHeight="1">
      <c r="A95" s="876">
        <v>4</v>
      </c>
      <c r="B95" s="800" t="s">
        <v>64</v>
      </c>
      <c r="C95" s="866"/>
      <c r="D95" s="867"/>
      <c r="E95" s="868"/>
      <c r="F95" s="869"/>
    </row>
    <row r="96" spans="1:6" ht="15.75" customHeight="1">
      <c r="A96" s="877" t="s">
        <v>178</v>
      </c>
      <c r="B96" s="799" t="s">
        <v>65</v>
      </c>
      <c r="C96" s="826" t="s">
        <v>893</v>
      </c>
      <c r="D96" s="827">
        <v>1.02</v>
      </c>
      <c r="E96" s="828">
        <v>255.25</v>
      </c>
      <c r="F96" s="829">
        <f t="shared" si="0"/>
        <v>260.355</v>
      </c>
    </row>
    <row r="97" spans="1:6" ht="15.75" customHeight="1">
      <c r="A97" s="877" t="s">
        <v>180</v>
      </c>
      <c r="B97" s="799" t="s">
        <v>66</v>
      </c>
      <c r="C97" s="826" t="s">
        <v>893</v>
      </c>
      <c r="D97" s="827">
        <v>6.15</v>
      </c>
      <c r="E97" s="828">
        <v>263.63</v>
      </c>
      <c r="F97" s="829">
        <f t="shared" si="0"/>
        <v>1621.3245000000002</v>
      </c>
    </row>
    <row r="98" spans="1:6" ht="15.75" customHeight="1">
      <c r="A98" s="877" t="s">
        <v>182</v>
      </c>
      <c r="B98" s="799" t="s">
        <v>67</v>
      </c>
      <c r="C98" s="826" t="s">
        <v>893</v>
      </c>
      <c r="D98" s="827">
        <v>5.48</v>
      </c>
      <c r="E98" s="828">
        <v>239.3</v>
      </c>
      <c r="F98" s="829">
        <f t="shared" si="0"/>
        <v>1311.3640000000003</v>
      </c>
    </row>
    <row r="99" spans="1:6" ht="15.75" customHeight="1">
      <c r="A99" s="877" t="s">
        <v>183</v>
      </c>
      <c r="B99" s="799" t="s">
        <v>68</v>
      </c>
      <c r="C99" s="826" t="s">
        <v>893</v>
      </c>
      <c r="D99" s="827">
        <v>1.05</v>
      </c>
      <c r="E99" s="828">
        <v>241.37</v>
      </c>
      <c r="F99" s="829">
        <f t="shared" si="0"/>
        <v>253.4385</v>
      </c>
    </row>
    <row r="100" spans="1:6" ht="15.75" customHeight="1">
      <c r="A100" s="877" t="s">
        <v>185</v>
      </c>
      <c r="B100" s="799" t="s">
        <v>69</v>
      </c>
      <c r="C100" s="826" t="s">
        <v>893</v>
      </c>
      <c r="D100" s="827">
        <v>4.48</v>
      </c>
      <c r="E100" s="828">
        <v>226.8</v>
      </c>
      <c r="F100" s="829">
        <f t="shared" si="0"/>
        <v>1016.0640000000002</v>
      </c>
    </row>
    <row r="101" spans="1:6" ht="15.75" customHeight="1">
      <c r="A101" s="877" t="s">
        <v>682</v>
      </c>
      <c r="B101" s="799" t="s">
        <v>72</v>
      </c>
      <c r="C101" s="826" t="s">
        <v>893</v>
      </c>
      <c r="D101" s="827">
        <v>2.9</v>
      </c>
      <c r="E101" s="828">
        <v>223.77</v>
      </c>
      <c r="F101" s="829">
        <f t="shared" si="0"/>
        <v>648.933</v>
      </c>
    </row>
    <row r="102" spans="1:6" ht="15.75" customHeight="1">
      <c r="A102" s="877" t="s">
        <v>688</v>
      </c>
      <c r="B102" s="799" t="s">
        <v>70</v>
      </c>
      <c r="C102" s="826" t="s">
        <v>34</v>
      </c>
      <c r="D102" s="827">
        <v>13</v>
      </c>
      <c r="E102" s="828">
        <f>84.83/13</f>
        <v>6.525384615384615</v>
      </c>
      <c r="F102" s="829">
        <f t="shared" si="0"/>
        <v>84.83</v>
      </c>
    </row>
    <row r="103" spans="1:6" ht="15.75" customHeight="1">
      <c r="A103" s="877" t="s">
        <v>689</v>
      </c>
      <c r="B103" s="799" t="s">
        <v>71</v>
      </c>
      <c r="C103" s="826" t="s">
        <v>892</v>
      </c>
      <c r="D103" s="827">
        <v>3.8</v>
      </c>
      <c r="E103" s="828">
        <v>25.63</v>
      </c>
      <c r="F103" s="829">
        <f t="shared" si="0"/>
        <v>97.39399999999999</v>
      </c>
    </row>
    <row r="104" spans="1:6" ht="15.75" customHeight="1" thickBot="1">
      <c r="A104" s="878" t="s">
        <v>690</v>
      </c>
      <c r="B104" s="801" t="s">
        <v>73</v>
      </c>
      <c r="C104" s="833" t="s">
        <v>34</v>
      </c>
      <c r="D104" s="834">
        <v>20</v>
      </c>
      <c r="E104" s="835">
        <v>7</v>
      </c>
      <c r="F104" s="836">
        <f t="shared" si="0"/>
        <v>140</v>
      </c>
    </row>
    <row r="105" spans="2:6" ht="15.75" customHeight="1" thickBot="1">
      <c r="B105" s="764" t="s">
        <v>59</v>
      </c>
      <c r="C105" s="872"/>
      <c r="D105" s="873"/>
      <c r="E105" s="874"/>
      <c r="F105" s="875">
        <f>SUM(F96:F104)</f>
        <v>5433.703000000001</v>
      </c>
    </row>
    <row r="106" ht="8.25" customHeight="1" thickBot="1">
      <c r="B106" s="2"/>
    </row>
    <row r="107" spans="1:6" ht="15.75" customHeight="1">
      <c r="A107" s="876">
        <v>5</v>
      </c>
      <c r="B107" s="800" t="s">
        <v>74</v>
      </c>
      <c r="C107" s="866"/>
      <c r="D107" s="867"/>
      <c r="E107" s="868"/>
      <c r="F107" s="869"/>
    </row>
    <row r="108" spans="1:6" ht="15.75" customHeight="1">
      <c r="A108" s="877" t="s">
        <v>188</v>
      </c>
      <c r="B108" s="799" t="s">
        <v>75</v>
      </c>
      <c r="C108" s="826" t="s">
        <v>892</v>
      </c>
      <c r="D108" s="827">
        <v>55.35</v>
      </c>
      <c r="E108" s="828">
        <v>10.7</v>
      </c>
      <c r="F108" s="829">
        <f t="shared" si="0"/>
        <v>592.245</v>
      </c>
    </row>
    <row r="109" spans="1:6" ht="15.75" customHeight="1">
      <c r="A109" s="877" t="s">
        <v>189</v>
      </c>
      <c r="B109" s="799" t="s">
        <v>76</v>
      </c>
      <c r="C109" s="826" t="s">
        <v>892</v>
      </c>
      <c r="D109" s="827">
        <v>65.85</v>
      </c>
      <c r="E109" s="828">
        <v>8.86</v>
      </c>
      <c r="F109" s="829">
        <f t="shared" si="0"/>
        <v>583.4309999999999</v>
      </c>
    </row>
    <row r="110" spans="1:6" ht="15.75" customHeight="1">
      <c r="A110" s="877" t="s">
        <v>190</v>
      </c>
      <c r="B110" s="799" t="s">
        <v>77</v>
      </c>
      <c r="C110" s="826" t="s">
        <v>892</v>
      </c>
      <c r="D110" s="827">
        <v>5.6</v>
      </c>
      <c r="E110" s="828">
        <v>15.54</v>
      </c>
      <c r="F110" s="829">
        <f t="shared" si="0"/>
        <v>87.02399999999999</v>
      </c>
    </row>
    <row r="111" spans="1:6" ht="15.75" customHeight="1" thickBot="1">
      <c r="A111" s="878" t="s">
        <v>192</v>
      </c>
      <c r="B111" s="801" t="s">
        <v>78</v>
      </c>
      <c r="C111" s="833" t="s">
        <v>34</v>
      </c>
      <c r="D111" s="834">
        <v>10</v>
      </c>
      <c r="E111" s="835">
        <v>6.86</v>
      </c>
      <c r="F111" s="836">
        <f t="shared" si="0"/>
        <v>68.60000000000001</v>
      </c>
    </row>
    <row r="112" spans="2:6" ht="15.75" customHeight="1" thickBot="1">
      <c r="B112" s="764" t="s">
        <v>59</v>
      </c>
      <c r="C112" s="872"/>
      <c r="D112" s="873"/>
      <c r="E112" s="874"/>
      <c r="F112" s="875">
        <f>SUM(F108:F111)</f>
        <v>1331.2999999999997</v>
      </c>
    </row>
    <row r="113" ht="9.75" customHeight="1" thickBot="1">
      <c r="B113" s="2"/>
    </row>
    <row r="114" spans="1:6" ht="15.75" customHeight="1">
      <c r="A114" s="876">
        <v>6</v>
      </c>
      <c r="B114" s="800" t="s">
        <v>79</v>
      </c>
      <c r="C114" s="866"/>
      <c r="D114" s="867"/>
      <c r="E114" s="868"/>
      <c r="F114" s="869"/>
    </row>
    <row r="115" spans="1:6" ht="15.75" customHeight="1">
      <c r="A115" s="877" t="s">
        <v>195</v>
      </c>
      <c r="B115" s="799" t="s">
        <v>80</v>
      </c>
      <c r="C115" s="826" t="s">
        <v>892</v>
      </c>
      <c r="D115" s="827">
        <v>132.4</v>
      </c>
      <c r="E115" s="828">
        <f>451.89/132.4</f>
        <v>3.4130664652567972</v>
      </c>
      <c r="F115" s="829">
        <f>D115*E115</f>
        <v>451.89</v>
      </c>
    </row>
    <row r="116" spans="1:6" ht="15.75" customHeight="1">
      <c r="A116" s="877" t="s">
        <v>197</v>
      </c>
      <c r="B116" s="799" t="s">
        <v>81</v>
      </c>
      <c r="C116" s="826" t="s">
        <v>892</v>
      </c>
      <c r="D116" s="827">
        <v>65.9</v>
      </c>
      <c r="E116" s="828">
        <f>313.98/65.9</f>
        <v>4.764491654021244</v>
      </c>
      <c r="F116" s="829">
        <f aca="true" t="shared" si="1" ref="F116:F185">D116*E116</f>
        <v>313.98</v>
      </c>
    </row>
    <row r="117" spans="1:6" ht="15.75" customHeight="1">
      <c r="A117" s="877" t="s">
        <v>198</v>
      </c>
      <c r="B117" s="799" t="s">
        <v>82</v>
      </c>
      <c r="C117" s="826" t="s">
        <v>892</v>
      </c>
      <c r="D117" s="827">
        <v>3.4</v>
      </c>
      <c r="E117" s="828">
        <v>9.02</v>
      </c>
      <c r="F117" s="829">
        <f t="shared" si="1"/>
        <v>30.668</v>
      </c>
    </row>
    <row r="118" spans="1:6" ht="15.75" customHeight="1">
      <c r="A118" s="877" t="s">
        <v>199</v>
      </c>
      <c r="B118" s="799" t="s">
        <v>83</v>
      </c>
      <c r="C118" s="826" t="s">
        <v>892</v>
      </c>
      <c r="D118" s="827">
        <v>69.3</v>
      </c>
      <c r="E118" s="828">
        <f>495.89/69.3</f>
        <v>7.155699855699856</v>
      </c>
      <c r="F118" s="829">
        <f t="shared" si="1"/>
        <v>495.89</v>
      </c>
    </row>
    <row r="119" spans="1:6" ht="15.75" customHeight="1">
      <c r="A119" s="877" t="s">
        <v>200</v>
      </c>
      <c r="B119" s="799" t="s">
        <v>84</v>
      </c>
      <c r="C119" s="826" t="s">
        <v>34</v>
      </c>
      <c r="D119" s="827">
        <v>87.6</v>
      </c>
      <c r="E119" s="828">
        <f>269.18/87.6</f>
        <v>3.0728310502283107</v>
      </c>
      <c r="F119" s="829">
        <f t="shared" si="1"/>
        <v>269.18</v>
      </c>
    </row>
    <row r="120" spans="1:6" ht="15.75" customHeight="1" thickBot="1">
      <c r="A120" s="878" t="s">
        <v>691</v>
      </c>
      <c r="B120" s="801" t="s">
        <v>85</v>
      </c>
      <c r="C120" s="833" t="s">
        <v>34</v>
      </c>
      <c r="D120" s="834">
        <v>35</v>
      </c>
      <c r="E120" s="835">
        <v>1.3</v>
      </c>
      <c r="F120" s="836">
        <f t="shared" si="1"/>
        <v>45.5</v>
      </c>
    </row>
    <row r="121" spans="2:6" ht="15.75" customHeight="1" thickBot="1">
      <c r="B121" s="764" t="s">
        <v>59</v>
      </c>
      <c r="C121" s="872"/>
      <c r="D121" s="873"/>
      <c r="E121" s="874"/>
      <c r="F121" s="875">
        <f>SUM(F115:F120)</f>
        <v>1607.108</v>
      </c>
    </row>
    <row r="122" ht="9.75" customHeight="1" thickBot="1">
      <c r="B122" s="2"/>
    </row>
    <row r="123" spans="1:6" ht="15.75" customHeight="1">
      <c r="A123" s="820">
        <v>7</v>
      </c>
      <c r="B123" s="803" t="s">
        <v>86</v>
      </c>
      <c r="C123" s="866"/>
      <c r="D123" s="867"/>
      <c r="E123" s="868"/>
      <c r="F123" s="869"/>
    </row>
    <row r="124" spans="1:6" ht="15.75" customHeight="1" thickBot="1">
      <c r="A124" s="832" t="s">
        <v>203</v>
      </c>
      <c r="B124" s="805" t="s">
        <v>87</v>
      </c>
      <c r="C124" s="833" t="s">
        <v>892</v>
      </c>
      <c r="D124" s="834">
        <v>72.5</v>
      </c>
      <c r="E124" s="835">
        <f>963.84/72.5</f>
        <v>13.294344827586208</v>
      </c>
      <c r="F124" s="836">
        <f t="shared" si="1"/>
        <v>963.8400000000001</v>
      </c>
    </row>
    <row r="125" ht="9" customHeight="1" thickBot="1">
      <c r="B125" s="2"/>
    </row>
    <row r="126" spans="1:6" ht="15.75" customHeight="1">
      <c r="A126" s="820">
        <v>8</v>
      </c>
      <c r="B126" s="803" t="s">
        <v>88</v>
      </c>
      <c r="C126" s="866"/>
      <c r="D126" s="867"/>
      <c r="E126" s="868"/>
      <c r="F126" s="869"/>
    </row>
    <row r="127" spans="1:6" ht="15.75" customHeight="1">
      <c r="A127" s="831" t="s">
        <v>219</v>
      </c>
      <c r="B127" s="804" t="s">
        <v>89</v>
      </c>
      <c r="C127" s="826" t="s">
        <v>39</v>
      </c>
      <c r="D127" s="827">
        <v>1</v>
      </c>
      <c r="E127" s="828">
        <v>494.52</v>
      </c>
      <c r="F127" s="829">
        <f t="shared" si="1"/>
        <v>494.52</v>
      </c>
    </row>
    <row r="128" spans="1:6" ht="15.75" customHeight="1">
      <c r="A128" s="831" t="s">
        <v>220</v>
      </c>
      <c r="B128" s="804" t="s">
        <v>90</v>
      </c>
      <c r="C128" s="826" t="s">
        <v>17</v>
      </c>
      <c r="D128" s="827">
        <v>1</v>
      </c>
      <c r="E128" s="828">
        <v>40.49</v>
      </c>
      <c r="F128" s="829">
        <f t="shared" si="1"/>
        <v>40.49</v>
      </c>
    </row>
    <row r="129" spans="1:6" ht="15.75" customHeight="1">
      <c r="A129" s="831" t="s">
        <v>222</v>
      </c>
      <c r="B129" s="804" t="s">
        <v>91</v>
      </c>
      <c r="C129" s="826" t="s">
        <v>17</v>
      </c>
      <c r="D129" s="827">
        <v>1</v>
      </c>
      <c r="E129" s="828">
        <v>75.09</v>
      </c>
      <c r="F129" s="829">
        <f t="shared" si="1"/>
        <v>75.09</v>
      </c>
    </row>
    <row r="130" spans="1:6" s="843" customFormat="1" ht="31.5" customHeight="1">
      <c r="A130" s="892" t="s">
        <v>224</v>
      </c>
      <c r="B130" s="891" t="s">
        <v>92</v>
      </c>
      <c r="C130" s="887" t="s">
        <v>17</v>
      </c>
      <c r="D130" s="888">
        <v>9</v>
      </c>
      <c r="E130" s="889">
        <v>27.14</v>
      </c>
      <c r="F130" s="890">
        <f t="shared" si="1"/>
        <v>244.26</v>
      </c>
    </row>
    <row r="131" spans="1:6" s="843" customFormat="1" ht="31.5" customHeight="1">
      <c r="A131" s="892" t="s">
        <v>225</v>
      </c>
      <c r="B131" s="891" t="s">
        <v>93</v>
      </c>
      <c r="C131" s="887" t="s">
        <v>17</v>
      </c>
      <c r="D131" s="888">
        <v>1</v>
      </c>
      <c r="E131" s="889">
        <v>24.32</v>
      </c>
      <c r="F131" s="890">
        <f t="shared" si="1"/>
        <v>24.32</v>
      </c>
    </row>
    <row r="132" spans="1:6" s="843" customFormat="1" ht="31.5" customHeight="1">
      <c r="A132" s="892" t="s">
        <v>227</v>
      </c>
      <c r="B132" s="891" t="s">
        <v>94</v>
      </c>
      <c r="C132" s="887" t="s">
        <v>17</v>
      </c>
      <c r="D132" s="888">
        <v>1</v>
      </c>
      <c r="E132" s="889">
        <v>5.55</v>
      </c>
      <c r="F132" s="890">
        <f t="shared" si="1"/>
        <v>5.55</v>
      </c>
    </row>
    <row r="133" spans="1:6" ht="15.75" customHeight="1">
      <c r="A133" s="831" t="s">
        <v>229</v>
      </c>
      <c r="B133" s="804" t="s">
        <v>95</v>
      </c>
      <c r="C133" s="826" t="s">
        <v>17</v>
      </c>
      <c r="D133" s="827">
        <v>5</v>
      </c>
      <c r="E133" s="828">
        <v>14.04</v>
      </c>
      <c r="F133" s="829">
        <f t="shared" si="1"/>
        <v>70.19999999999999</v>
      </c>
    </row>
    <row r="134" spans="1:6" ht="15.75" customHeight="1">
      <c r="A134" s="831" t="s">
        <v>230</v>
      </c>
      <c r="B134" s="804" t="s">
        <v>96</v>
      </c>
      <c r="C134" s="826" t="s">
        <v>17</v>
      </c>
      <c r="D134" s="827">
        <v>1</v>
      </c>
      <c r="E134" s="828">
        <v>14.63</v>
      </c>
      <c r="F134" s="829">
        <f t="shared" si="1"/>
        <v>14.63</v>
      </c>
    </row>
    <row r="135" spans="1:6" ht="15.75" customHeight="1">
      <c r="A135" s="831" t="s">
        <v>231</v>
      </c>
      <c r="B135" s="804" t="s">
        <v>97</v>
      </c>
      <c r="C135" s="826" t="s">
        <v>17</v>
      </c>
      <c r="D135" s="827">
        <v>1</v>
      </c>
      <c r="E135" s="828">
        <v>16.57</v>
      </c>
      <c r="F135" s="829">
        <f t="shared" si="1"/>
        <v>16.57</v>
      </c>
    </row>
    <row r="136" spans="1:6" ht="15.75" customHeight="1">
      <c r="A136" s="896" t="s">
        <v>98</v>
      </c>
      <c r="B136" s="804" t="s">
        <v>99</v>
      </c>
      <c r="C136" s="826" t="s">
        <v>17</v>
      </c>
      <c r="D136" s="827">
        <v>7</v>
      </c>
      <c r="E136" s="828">
        <f>107.83/7</f>
        <v>15.404285714285715</v>
      </c>
      <c r="F136" s="829">
        <f t="shared" si="1"/>
        <v>107.83</v>
      </c>
    </row>
    <row r="137" spans="1:6" ht="15.75" customHeight="1" thickBot="1">
      <c r="A137" s="886" t="s">
        <v>100</v>
      </c>
      <c r="B137" s="805" t="s">
        <v>101</v>
      </c>
      <c r="C137" s="833" t="s">
        <v>39</v>
      </c>
      <c r="D137" s="834">
        <v>1</v>
      </c>
      <c r="E137" s="835">
        <v>21.7</v>
      </c>
      <c r="F137" s="836">
        <f t="shared" si="1"/>
        <v>21.7</v>
      </c>
    </row>
    <row r="138" spans="1:6" ht="15.75" customHeight="1" thickBot="1">
      <c r="A138" s="841"/>
      <c r="B138" s="764" t="s">
        <v>59</v>
      </c>
      <c r="C138" s="872"/>
      <c r="D138" s="873"/>
      <c r="E138" s="874"/>
      <c r="F138" s="875">
        <f>SUM(F127:F137)</f>
        <v>1115.16</v>
      </c>
    </row>
    <row r="139" ht="9.75" customHeight="1" thickBot="1">
      <c r="B139" s="2"/>
    </row>
    <row r="140" spans="1:6" ht="15.75" customHeight="1">
      <c r="A140" s="820">
        <v>9</v>
      </c>
      <c r="B140" s="803" t="s">
        <v>102</v>
      </c>
      <c r="C140" s="866"/>
      <c r="D140" s="867"/>
      <c r="E140" s="868"/>
      <c r="F140" s="869"/>
    </row>
    <row r="141" spans="1:6" ht="15.75" customHeight="1">
      <c r="A141" s="831" t="s">
        <v>235</v>
      </c>
      <c r="B141" s="804" t="s">
        <v>103</v>
      </c>
      <c r="C141" s="826" t="s">
        <v>34</v>
      </c>
      <c r="D141" s="827">
        <v>6</v>
      </c>
      <c r="E141" s="828">
        <v>4.37</v>
      </c>
      <c r="F141" s="829">
        <f t="shared" si="1"/>
        <v>26.22</v>
      </c>
    </row>
    <row r="142" spans="1:6" ht="15.75" customHeight="1">
      <c r="A142" s="831" t="s">
        <v>237</v>
      </c>
      <c r="B142" s="804" t="s">
        <v>104</v>
      </c>
      <c r="C142" s="826" t="s">
        <v>34</v>
      </c>
      <c r="D142" s="827">
        <v>6</v>
      </c>
      <c r="E142" s="828">
        <f>45.51/6</f>
        <v>7.585</v>
      </c>
      <c r="F142" s="829">
        <f t="shared" si="1"/>
        <v>45.51</v>
      </c>
    </row>
    <row r="143" spans="1:6" ht="15.75" customHeight="1">
      <c r="A143" s="831" t="s">
        <v>239</v>
      </c>
      <c r="B143" s="804" t="s">
        <v>105</v>
      </c>
      <c r="C143" s="826" t="s">
        <v>17</v>
      </c>
      <c r="D143" s="827">
        <v>2</v>
      </c>
      <c r="E143" s="828">
        <v>10.15</v>
      </c>
      <c r="F143" s="829">
        <f t="shared" si="1"/>
        <v>20.3</v>
      </c>
    </row>
    <row r="144" spans="1:6" ht="15.75" customHeight="1">
      <c r="A144" s="831" t="s">
        <v>280</v>
      </c>
      <c r="B144" s="804" t="s">
        <v>106</v>
      </c>
      <c r="C144" s="826" t="s">
        <v>17</v>
      </c>
      <c r="D144" s="827">
        <v>4</v>
      </c>
      <c r="E144" s="828">
        <v>13.48</v>
      </c>
      <c r="F144" s="829">
        <f t="shared" si="1"/>
        <v>53.92</v>
      </c>
    </row>
    <row r="145" spans="1:6" ht="15.75" customHeight="1">
      <c r="A145" s="831" t="s">
        <v>281</v>
      </c>
      <c r="B145" s="804" t="s">
        <v>107</v>
      </c>
      <c r="C145" s="826" t="s">
        <v>34</v>
      </c>
      <c r="D145" s="827">
        <v>4</v>
      </c>
      <c r="E145" s="828">
        <v>10.02</v>
      </c>
      <c r="F145" s="829">
        <f t="shared" si="1"/>
        <v>40.08</v>
      </c>
    </row>
    <row r="146" spans="1:6" ht="15.75" customHeight="1">
      <c r="A146" s="831" t="s">
        <v>283</v>
      </c>
      <c r="B146" s="804" t="s">
        <v>108</v>
      </c>
      <c r="C146" s="826" t="s">
        <v>34</v>
      </c>
      <c r="D146" s="827">
        <v>10</v>
      </c>
      <c r="E146" s="828">
        <v>7.25</v>
      </c>
      <c r="F146" s="829">
        <f t="shared" si="1"/>
        <v>72.5</v>
      </c>
    </row>
    <row r="147" spans="1:6" ht="15.75" customHeight="1">
      <c r="A147" s="831" t="s">
        <v>285</v>
      </c>
      <c r="B147" s="804" t="s">
        <v>109</v>
      </c>
      <c r="C147" s="826" t="s">
        <v>17</v>
      </c>
      <c r="D147" s="827">
        <v>1</v>
      </c>
      <c r="E147" s="828">
        <v>19.79</v>
      </c>
      <c r="F147" s="829">
        <f t="shared" si="1"/>
        <v>19.79</v>
      </c>
    </row>
    <row r="148" spans="1:6" ht="15.75" customHeight="1">
      <c r="A148" s="831" t="s">
        <v>287</v>
      </c>
      <c r="B148" s="804" t="s">
        <v>110</v>
      </c>
      <c r="C148" s="826" t="s">
        <v>17</v>
      </c>
      <c r="D148" s="827">
        <v>3</v>
      </c>
      <c r="E148" s="828">
        <v>15.31</v>
      </c>
      <c r="F148" s="829">
        <f t="shared" si="1"/>
        <v>45.93</v>
      </c>
    </row>
    <row r="149" spans="1:6" ht="15.75" customHeight="1">
      <c r="A149" s="831" t="s">
        <v>289</v>
      </c>
      <c r="B149" s="804" t="s">
        <v>111</v>
      </c>
      <c r="C149" s="826" t="s">
        <v>17</v>
      </c>
      <c r="D149" s="827">
        <v>1</v>
      </c>
      <c r="E149" s="828">
        <v>125.96</v>
      </c>
      <c r="F149" s="829">
        <f t="shared" si="1"/>
        <v>125.96</v>
      </c>
    </row>
    <row r="150" spans="1:6" ht="15.75" customHeight="1">
      <c r="A150" s="896" t="s">
        <v>112</v>
      </c>
      <c r="B150" s="804" t="s">
        <v>113</v>
      </c>
      <c r="C150" s="826" t="s">
        <v>17</v>
      </c>
      <c r="D150" s="827">
        <v>1</v>
      </c>
      <c r="E150" s="828">
        <v>68.99</v>
      </c>
      <c r="F150" s="829">
        <f t="shared" si="1"/>
        <v>68.99</v>
      </c>
    </row>
    <row r="151" spans="1:6" ht="15.75" customHeight="1">
      <c r="A151" s="896" t="s">
        <v>114</v>
      </c>
      <c r="B151" s="804" t="s">
        <v>115</v>
      </c>
      <c r="C151" s="826" t="s">
        <v>17</v>
      </c>
      <c r="D151" s="827">
        <v>1</v>
      </c>
      <c r="E151" s="828">
        <v>25.57</v>
      </c>
      <c r="F151" s="829">
        <f t="shared" si="1"/>
        <v>25.57</v>
      </c>
    </row>
    <row r="152" spans="1:6" ht="15.75" customHeight="1" thickBot="1">
      <c r="A152" s="886" t="s">
        <v>116</v>
      </c>
      <c r="B152" s="805" t="s">
        <v>117</v>
      </c>
      <c r="C152" s="833" t="s">
        <v>17</v>
      </c>
      <c r="D152" s="834">
        <v>1</v>
      </c>
      <c r="E152" s="835">
        <v>67.94</v>
      </c>
      <c r="F152" s="836">
        <f t="shared" si="1"/>
        <v>67.94</v>
      </c>
    </row>
    <row r="153" spans="2:6" ht="15.75" customHeight="1">
      <c r="B153" s="7" t="s">
        <v>59</v>
      </c>
      <c r="F153" s="809">
        <f>SUM(F141:F152)</f>
        <v>612.71</v>
      </c>
    </row>
    <row r="154" ht="9.75" customHeight="1" thickBot="1">
      <c r="B154" s="2"/>
    </row>
    <row r="155" spans="1:6" ht="15.75" customHeight="1">
      <c r="A155" s="820">
        <v>10</v>
      </c>
      <c r="B155" s="803" t="s">
        <v>118</v>
      </c>
      <c r="C155" s="866"/>
      <c r="D155" s="867"/>
      <c r="E155" s="868"/>
      <c r="F155" s="869"/>
    </row>
    <row r="156" spans="1:6" ht="15.75" customHeight="1">
      <c r="A156" s="831" t="s">
        <v>119</v>
      </c>
      <c r="B156" s="804" t="s">
        <v>120</v>
      </c>
      <c r="C156" s="826" t="s">
        <v>892</v>
      </c>
      <c r="D156" s="827">
        <v>6.6</v>
      </c>
      <c r="E156" s="828">
        <v>31.3</v>
      </c>
      <c r="F156" s="829">
        <f t="shared" si="1"/>
        <v>206.57999999999998</v>
      </c>
    </row>
    <row r="157" spans="1:6" ht="15.75" customHeight="1">
      <c r="A157" s="831" t="s">
        <v>121</v>
      </c>
      <c r="B157" s="804" t="s">
        <v>122</v>
      </c>
      <c r="C157" s="826" t="s">
        <v>892</v>
      </c>
      <c r="D157" s="827">
        <v>0.7</v>
      </c>
      <c r="E157" s="828">
        <v>19.34</v>
      </c>
      <c r="F157" s="829">
        <f t="shared" si="1"/>
        <v>13.537999999999998</v>
      </c>
    </row>
    <row r="158" spans="1:6" ht="15.75" customHeight="1" thickBot="1">
      <c r="A158" s="832" t="s">
        <v>123</v>
      </c>
      <c r="B158" s="897" t="s">
        <v>124</v>
      </c>
      <c r="C158" s="898" t="s">
        <v>34</v>
      </c>
      <c r="D158" s="899">
        <v>1.6</v>
      </c>
      <c r="E158" s="900">
        <v>10.35</v>
      </c>
      <c r="F158" s="901">
        <f t="shared" si="1"/>
        <v>16.56</v>
      </c>
    </row>
    <row r="159" spans="1:6" ht="15.75" customHeight="1" thickBot="1">
      <c r="A159" s="841"/>
      <c r="B159" s="764" t="s">
        <v>59</v>
      </c>
      <c r="C159" s="872"/>
      <c r="D159" s="873"/>
      <c r="E159" s="874"/>
      <c r="F159" s="875">
        <f>SUM(F156:F158)</f>
        <v>236.678</v>
      </c>
    </row>
    <row r="160" spans="1:2" ht="15.75" customHeight="1" thickBot="1">
      <c r="A160" s="841"/>
      <c r="B160" s="2"/>
    </row>
    <row r="161" spans="1:6" ht="15.75" customHeight="1">
      <c r="A161" s="903" t="s">
        <v>125</v>
      </c>
      <c r="B161" s="803" t="s">
        <v>126</v>
      </c>
      <c r="C161" s="866"/>
      <c r="D161" s="867"/>
      <c r="E161" s="868"/>
      <c r="F161" s="869"/>
    </row>
    <row r="162" spans="1:6" ht="15.75" customHeight="1" thickBot="1">
      <c r="A162" s="886" t="s">
        <v>127</v>
      </c>
      <c r="B162" s="805" t="s">
        <v>128</v>
      </c>
      <c r="C162" s="833" t="s">
        <v>892</v>
      </c>
      <c r="D162" s="834">
        <v>43.5</v>
      </c>
      <c r="E162" s="835">
        <v>19.54</v>
      </c>
      <c r="F162" s="836">
        <f t="shared" si="1"/>
        <v>849.99</v>
      </c>
    </row>
    <row r="163" spans="1:2" ht="9.75" customHeight="1" thickBot="1">
      <c r="A163" s="841"/>
      <c r="B163" s="2"/>
    </row>
    <row r="164" spans="1:6" ht="15.75" customHeight="1">
      <c r="A164" s="903" t="s">
        <v>129</v>
      </c>
      <c r="B164" s="803" t="s">
        <v>130</v>
      </c>
      <c r="C164" s="866"/>
      <c r="D164" s="867"/>
      <c r="E164" s="868"/>
      <c r="F164" s="869"/>
    </row>
    <row r="165" spans="1:6" ht="15.75" customHeight="1">
      <c r="A165" s="896" t="s">
        <v>131</v>
      </c>
      <c r="B165" s="804" t="s">
        <v>132</v>
      </c>
      <c r="C165" s="826" t="s">
        <v>17</v>
      </c>
      <c r="D165" s="827">
        <v>1</v>
      </c>
      <c r="E165" s="828">
        <v>127.38</v>
      </c>
      <c r="F165" s="829">
        <f t="shared" si="1"/>
        <v>127.38</v>
      </c>
    </row>
    <row r="166" spans="1:6" ht="15.75" customHeight="1">
      <c r="A166" s="896" t="s">
        <v>133</v>
      </c>
      <c r="B166" s="804" t="s">
        <v>134</v>
      </c>
      <c r="C166" s="826" t="s">
        <v>17</v>
      </c>
      <c r="D166" s="827">
        <v>2</v>
      </c>
      <c r="E166" s="828">
        <v>127.38</v>
      </c>
      <c r="F166" s="829">
        <f t="shared" si="1"/>
        <v>254.76</v>
      </c>
    </row>
    <row r="167" spans="1:6" ht="15.75" customHeight="1">
      <c r="A167" s="896" t="s">
        <v>135</v>
      </c>
      <c r="B167" s="804" t="s">
        <v>136</v>
      </c>
      <c r="C167" s="826" t="s">
        <v>17</v>
      </c>
      <c r="D167" s="827">
        <v>1</v>
      </c>
      <c r="E167" s="828">
        <v>130.31</v>
      </c>
      <c r="F167" s="829">
        <f t="shared" si="1"/>
        <v>130.31</v>
      </c>
    </row>
    <row r="168" spans="1:6" ht="15.75" customHeight="1">
      <c r="A168" s="896" t="s">
        <v>137</v>
      </c>
      <c r="B168" s="804" t="s">
        <v>138</v>
      </c>
      <c r="C168" s="826" t="s">
        <v>17</v>
      </c>
      <c r="D168" s="827">
        <v>2</v>
      </c>
      <c r="E168" s="828">
        <v>124.46</v>
      </c>
      <c r="F168" s="829">
        <f t="shared" si="1"/>
        <v>248.92</v>
      </c>
    </row>
    <row r="169" spans="1:6" ht="15.75" customHeight="1">
      <c r="A169" s="896" t="s">
        <v>139</v>
      </c>
      <c r="B169" s="804" t="s">
        <v>140</v>
      </c>
      <c r="C169" s="826" t="s">
        <v>39</v>
      </c>
      <c r="D169" s="827">
        <v>1</v>
      </c>
      <c r="E169" s="828">
        <v>164</v>
      </c>
      <c r="F169" s="829">
        <f t="shared" si="1"/>
        <v>164</v>
      </c>
    </row>
    <row r="170" spans="1:6" ht="15.75" customHeight="1" thickBot="1">
      <c r="A170" s="886" t="s">
        <v>141</v>
      </c>
      <c r="B170" s="805" t="s">
        <v>142</v>
      </c>
      <c r="C170" s="833" t="s">
        <v>34</v>
      </c>
      <c r="D170" s="834">
        <v>7.2</v>
      </c>
      <c r="E170" s="835">
        <f>196.97/7.2</f>
        <v>27.356944444444444</v>
      </c>
      <c r="F170" s="836">
        <f t="shared" si="1"/>
        <v>196.97</v>
      </c>
    </row>
    <row r="171" spans="1:6" ht="15.75" customHeight="1">
      <c r="A171" s="841"/>
      <c r="B171" s="7" t="s">
        <v>59</v>
      </c>
      <c r="F171" s="809">
        <f>SUM(F165:F170)</f>
        <v>1122.34</v>
      </c>
    </row>
    <row r="172" spans="1:2" ht="9" customHeight="1" thickBot="1">
      <c r="A172" s="841"/>
      <c r="B172" s="2"/>
    </row>
    <row r="173" spans="1:6" ht="15.75" customHeight="1">
      <c r="A173" s="903" t="s">
        <v>143</v>
      </c>
      <c r="B173" s="803" t="s">
        <v>144</v>
      </c>
      <c r="C173" s="866"/>
      <c r="D173" s="867"/>
      <c r="E173" s="868"/>
      <c r="F173" s="869"/>
    </row>
    <row r="174" spans="1:6" ht="15.75" customHeight="1">
      <c r="A174" s="896" t="s">
        <v>145</v>
      </c>
      <c r="B174" s="804" t="s">
        <v>146</v>
      </c>
      <c r="C174" s="826" t="s">
        <v>892</v>
      </c>
      <c r="D174" s="827">
        <v>10.6</v>
      </c>
      <c r="E174" s="828">
        <f>219.9/10.6</f>
        <v>20.745283018867926</v>
      </c>
      <c r="F174" s="829">
        <f t="shared" si="1"/>
        <v>219.9</v>
      </c>
    </row>
    <row r="175" spans="1:6" ht="15.75" customHeight="1">
      <c r="A175" s="896" t="s">
        <v>147</v>
      </c>
      <c r="B175" s="804" t="s">
        <v>148</v>
      </c>
      <c r="C175" s="826" t="s">
        <v>17</v>
      </c>
      <c r="D175" s="827">
        <v>1</v>
      </c>
      <c r="E175" s="828">
        <v>23.16</v>
      </c>
      <c r="F175" s="829">
        <f t="shared" si="1"/>
        <v>23.16</v>
      </c>
    </row>
    <row r="176" spans="1:6" ht="15.75" customHeight="1" thickBot="1">
      <c r="A176" s="886" t="s">
        <v>149</v>
      </c>
      <c r="B176" s="805" t="s">
        <v>150</v>
      </c>
      <c r="C176" s="833" t="s">
        <v>17</v>
      </c>
      <c r="D176" s="834">
        <v>4</v>
      </c>
      <c r="E176" s="835">
        <v>17.09</v>
      </c>
      <c r="F176" s="836">
        <f t="shared" si="1"/>
        <v>68.36</v>
      </c>
    </row>
    <row r="177" spans="1:6" ht="15.75" customHeight="1" thickBot="1">
      <c r="A177" s="841"/>
      <c r="B177" s="764" t="s">
        <v>59</v>
      </c>
      <c r="C177" s="872"/>
      <c r="D177" s="873"/>
      <c r="E177" s="874"/>
      <c r="F177" s="875">
        <f>SUM(F174:F176)</f>
        <v>311.42</v>
      </c>
    </row>
    <row r="178" spans="1:2" ht="11.25" customHeight="1" thickBot="1">
      <c r="A178" s="841"/>
      <c r="B178" s="2"/>
    </row>
    <row r="179" spans="1:6" ht="15.75" customHeight="1">
      <c r="A179" s="903" t="s">
        <v>151</v>
      </c>
      <c r="B179" s="803" t="s">
        <v>152</v>
      </c>
      <c r="C179" s="866"/>
      <c r="D179" s="867"/>
      <c r="E179" s="868"/>
      <c r="F179" s="869"/>
    </row>
    <row r="180" spans="1:6" ht="15.75" customHeight="1">
      <c r="A180" s="896" t="s">
        <v>153</v>
      </c>
      <c r="B180" s="804" t="s">
        <v>154</v>
      </c>
      <c r="C180" s="826" t="s">
        <v>892</v>
      </c>
      <c r="D180" s="827">
        <v>8.4</v>
      </c>
      <c r="E180" s="828">
        <f>290.42/8.4</f>
        <v>34.57380952380952</v>
      </c>
      <c r="F180" s="829">
        <f t="shared" si="1"/>
        <v>290.42</v>
      </c>
    </row>
    <row r="181" spans="1:6" ht="15.75" customHeight="1" thickBot="1">
      <c r="A181" s="886" t="s">
        <v>155</v>
      </c>
      <c r="B181" s="805" t="s">
        <v>156</v>
      </c>
      <c r="C181" s="833" t="s">
        <v>892</v>
      </c>
      <c r="D181" s="834">
        <v>2.2</v>
      </c>
      <c r="E181" s="835">
        <v>50</v>
      </c>
      <c r="F181" s="836">
        <f t="shared" si="1"/>
        <v>110.00000000000001</v>
      </c>
    </row>
    <row r="182" spans="1:6" ht="15.75" customHeight="1" thickBot="1">
      <c r="A182" s="841"/>
      <c r="B182" s="764" t="s">
        <v>59</v>
      </c>
      <c r="C182" s="872"/>
      <c r="D182" s="873"/>
      <c r="E182" s="874"/>
      <c r="F182" s="875">
        <f>SUM(F180:F181)</f>
        <v>400.42</v>
      </c>
    </row>
    <row r="183" spans="1:2" ht="11.25" customHeight="1" thickBot="1">
      <c r="A183" s="841"/>
      <c r="B183" s="2"/>
    </row>
    <row r="184" spans="1:6" ht="15.75" customHeight="1">
      <c r="A184" s="903" t="s">
        <v>158</v>
      </c>
      <c r="B184" s="803" t="s">
        <v>157</v>
      </c>
      <c r="C184" s="866"/>
      <c r="D184" s="867"/>
      <c r="E184" s="868"/>
      <c r="F184" s="869"/>
    </row>
    <row r="185" spans="1:6" ht="15.75" customHeight="1">
      <c r="A185" s="896" t="s">
        <v>160</v>
      </c>
      <c r="B185" s="804" t="s">
        <v>159</v>
      </c>
      <c r="C185" s="826" t="s">
        <v>892</v>
      </c>
      <c r="D185" s="827">
        <v>65.9</v>
      </c>
      <c r="E185" s="828">
        <f>239.68/65.9</f>
        <v>3.637025796661608</v>
      </c>
      <c r="F185" s="829">
        <f t="shared" si="1"/>
        <v>239.68</v>
      </c>
    </row>
    <row r="186" spans="1:6" ht="15.75" customHeight="1">
      <c r="A186" s="896" t="s">
        <v>162</v>
      </c>
      <c r="B186" s="804" t="s">
        <v>161</v>
      </c>
      <c r="C186" s="826" t="s">
        <v>892</v>
      </c>
      <c r="D186" s="827">
        <v>188</v>
      </c>
      <c r="E186" s="828">
        <f>682.14/188</f>
        <v>3.6284042553191487</v>
      </c>
      <c r="F186" s="829">
        <f>D186*E186</f>
        <v>682.14</v>
      </c>
    </row>
    <row r="187" spans="1:6" ht="15.75" customHeight="1" thickBot="1">
      <c r="A187" s="886" t="s">
        <v>163</v>
      </c>
      <c r="B187" s="805" t="s">
        <v>164</v>
      </c>
      <c r="C187" s="833" t="s">
        <v>892</v>
      </c>
      <c r="D187" s="834">
        <v>69.3</v>
      </c>
      <c r="E187" s="835">
        <f>248.04/69.3</f>
        <v>3.5792207792207793</v>
      </c>
      <c r="F187" s="836">
        <f>D187*E187</f>
        <v>248.04</v>
      </c>
    </row>
    <row r="188" spans="1:6" ht="15.75" customHeight="1" thickBot="1">
      <c r="A188" s="841"/>
      <c r="B188" s="764" t="s">
        <v>59</v>
      </c>
      <c r="C188" s="872"/>
      <c r="D188" s="873"/>
      <c r="E188" s="874"/>
      <c r="F188" s="875">
        <f>SUM(F185:F187)</f>
        <v>1169.86</v>
      </c>
    </row>
    <row r="189" spans="1:6" ht="15.75" customHeight="1" thickBot="1">
      <c r="A189" s="841"/>
      <c r="B189" s="802" t="s">
        <v>5</v>
      </c>
      <c r="C189" s="837"/>
      <c r="D189" s="838"/>
      <c r="E189" s="839"/>
      <c r="F189" s="840">
        <f>F188+F182+F177+F162+F159+F153+F138+F124+F121+F112+F105+F93+F87+F82+F171</f>
        <v>16175.097400000004</v>
      </c>
    </row>
    <row r="190" spans="1:6" ht="15.75" customHeight="1">
      <c r="A190" s="841"/>
      <c r="B190" s="2"/>
      <c r="F190" s="809"/>
    </row>
    <row r="191" ht="15.75" customHeight="1" thickBot="1">
      <c r="B191" s="7" t="s">
        <v>347</v>
      </c>
    </row>
    <row r="192" spans="2:6" ht="26.25" thickBot="1">
      <c r="B192" s="815" t="s">
        <v>3</v>
      </c>
      <c r="C192" s="583" t="s">
        <v>2</v>
      </c>
      <c r="D192" s="816" t="s">
        <v>1</v>
      </c>
      <c r="E192" s="817" t="s">
        <v>4</v>
      </c>
      <c r="F192" s="818" t="s">
        <v>5</v>
      </c>
    </row>
    <row r="193" spans="1:6" ht="15.75" customHeight="1">
      <c r="A193" s="903" t="s">
        <v>165</v>
      </c>
      <c r="B193" s="803" t="s">
        <v>6</v>
      </c>
      <c r="C193" s="866"/>
      <c r="D193" s="867"/>
      <c r="E193" s="868"/>
      <c r="F193" s="824"/>
    </row>
    <row r="194" spans="1:6" ht="15.75" customHeight="1">
      <c r="A194" s="896" t="s">
        <v>168</v>
      </c>
      <c r="B194" s="804" t="s">
        <v>166</v>
      </c>
      <c r="C194" s="826" t="s">
        <v>892</v>
      </c>
      <c r="D194" s="827">
        <v>25</v>
      </c>
      <c r="E194" s="828">
        <f>22.63/25</f>
        <v>0.9052</v>
      </c>
      <c r="F194" s="829">
        <f>E194*D194</f>
        <v>22.63</v>
      </c>
    </row>
    <row r="195" spans="1:6" ht="15.75" customHeight="1">
      <c r="A195" s="896" t="s">
        <v>169</v>
      </c>
      <c r="B195" s="804" t="s">
        <v>8</v>
      </c>
      <c r="C195" s="826" t="s">
        <v>892</v>
      </c>
      <c r="D195" s="827">
        <v>25</v>
      </c>
      <c r="E195" s="828">
        <f>18.11/25</f>
        <v>0.7243999999999999</v>
      </c>
      <c r="F195" s="829">
        <f aca="true" t="shared" si="2" ref="F195:F222">E195*D195</f>
        <v>18.11</v>
      </c>
    </row>
    <row r="196" spans="1:6" ht="15.75" customHeight="1" thickBot="1">
      <c r="A196" s="886" t="s">
        <v>170</v>
      </c>
      <c r="B196" s="805" t="s">
        <v>22</v>
      </c>
      <c r="C196" s="833" t="s">
        <v>892</v>
      </c>
      <c r="D196" s="834">
        <v>25</v>
      </c>
      <c r="E196" s="835">
        <f>8.16/25</f>
        <v>0.3264</v>
      </c>
      <c r="F196" s="836">
        <f t="shared" si="2"/>
        <v>8.16</v>
      </c>
    </row>
    <row r="197" spans="1:6" ht="15.75" customHeight="1" thickBot="1">
      <c r="A197" s="841"/>
      <c r="B197" s="764" t="s">
        <v>59</v>
      </c>
      <c r="C197" s="872"/>
      <c r="D197" s="873"/>
      <c r="E197" s="874"/>
      <c r="F197" s="875">
        <f>SUM(F194:F196)</f>
        <v>48.89999999999999</v>
      </c>
    </row>
    <row r="198" spans="1:2" ht="9" customHeight="1" thickBot="1">
      <c r="A198" s="841"/>
      <c r="B198" s="7"/>
    </row>
    <row r="199" spans="1:6" ht="15.75" customHeight="1">
      <c r="A199" s="903" t="s">
        <v>167</v>
      </c>
      <c r="B199" s="803" t="s">
        <v>56</v>
      </c>
      <c r="C199" s="866"/>
      <c r="D199" s="867"/>
      <c r="E199" s="868"/>
      <c r="F199" s="869"/>
    </row>
    <row r="200" spans="1:6" ht="15.75" customHeight="1">
      <c r="A200" s="896" t="s">
        <v>171</v>
      </c>
      <c r="B200" s="804" t="s">
        <v>57</v>
      </c>
      <c r="C200" s="826" t="s">
        <v>893</v>
      </c>
      <c r="D200" s="827">
        <v>4.6</v>
      </c>
      <c r="E200" s="828">
        <f>11.61/4.6</f>
        <v>2.523913043478261</v>
      </c>
      <c r="F200" s="829">
        <f t="shared" si="2"/>
        <v>11.61</v>
      </c>
    </row>
    <row r="201" spans="1:6" ht="15.75" customHeight="1" thickBot="1">
      <c r="A201" s="886" t="s">
        <v>172</v>
      </c>
      <c r="B201" s="805" t="s">
        <v>58</v>
      </c>
      <c r="C201" s="833" t="s">
        <v>893</v>
      </c>
      <c r="D201" s="834">
        <v>9.9</v>
      </c>
      <c r="E201" s="835">
        <v>4.17</v>
      </c>
      <c r="F201" s="836">
        <f t="shared" si="2"/>
        <v>41.283</v>
      </c>
    </row>
    <row r="202" spans="1:6" ht="15.75" customHeight="1" thickBot="1">
      <c r="A202" s="841"/>
      <c r="B202" s="764" t="s">
        <v>59</v>
      </c>
      <c r="C202" s="872"/>
      <c r="D202" s="873"/>
      <c r="E202" s="874"/>
      <c r="F202" s="875">
        <f>SUM(F200:F201)</f>
        <v>52.893</v>
      </c>
    </row>
    <row r="203" spans="1:2" ht="9" customHeight="1" thickBot="1">
      <c r="A203" s="841"/>
      <c r="B203" s="2"/>
    </row>
    <row r="204" spans="1:6" ht="15.75" customHeight="1">
      <c r="A204" s="903" t="s">
        <v>173</v>
      </c>
      <c r="B204" s="803" t="s">
        <v>60</v>
      </c>
      <c r="C204" s="866"/>
      <c r="D204" s="867"/>
      <c r="E204" s="868"/>
      <c r="F204" s="869"/>
    </row>
    <row r="205" spans="1:6" ht="15.75" customHeight="1">
      <c r="A205" s="896" t="s">
        <v>174</v>
      </c>
      <c r="B205" s="804" t="s">
        <v>61</v>
      </c>
      <c r="C205" s="826" t="s">
        <v>893</v>
      </c>
      <c r="D205" s="827">
        <v>0.15</v>
      </c>
      <c r="E205" s="828">
        <v>34.67</v>
      </c>
      <c r="F205" s="829">
        <f t="shared" si="2"/>
        <v>5.2005</v>
      </c>
    </row>
    <row r="206" spans="1:6" ht="15.75" customHeight="1">
      <c r="A206" s="896" t="s">
        <v>175</v>
      </c>
      <c r="B206" s="804" t="s">
        <v>62</v>
      </c>
      <c r="C206" s="826" t="s">
        <v>893</v>
      </c>
      <c r="D206" s="827">
        <v>0.45</v>
      </c>
      <c r="E206" s="828">
        <v>128.87</v>
      </c>
      <c r="F206" s="829">
        <f t="shared" si="2"/>
        <v>57.9915</v>
      </c>
    </row>
    <row r="207" spans="1:6" ht="15.75" customHeight="1" thickBot="1">
      <c r="A207" s="886" t="s">
        <v>176</v>
      </c>
      <c r="B207" s="805" t="s">
        <v>63</v>
      </c>
      <c r="C207" s="833" t="s">
        <v>893</v>
      </c>
      <c r="D207" s="834">
        <v>0.2</v>
      </c>
      <c r="E207" s="835">
        <v>190.23</v>
      </c>
      <c r="F207" s="836">
        <f t="shared" si="2"/>
        <v>38.046</v>
      </c>
    </row>
    <row r="208" spans="1:6" ht="15.75" customHeight="1">
      <c r="A208" s="841"/>
      <c r="B208" s="7" t="s">
        <v>59</v>
      </c>
      <c r="F208" s="809">
        <f>SUM(F205:F207)</f>
        <v>101.238</v>
      </c>
    </row>
    <row r="209" spans="1:2" ht="8.25" customHeight="1" thickBot="1">
      <c r="A209" s="841"/>
      <c r="B209" s="2"/>
    </row>
    <row r="210" spans="1:6" ht="15.75" customHeight="1">
      <c r="A210" s="903" t="s">
        <v>177</v>
      </c>
      <c r="B210" s="803" t="s">
        <v>64</v>
      </c>
      <c r="C210" s="866"/>
      <c r="D210" s="867"/>
      <c r="E210" s="868"/>
      <c r="F210" s="869"/>
    </row>
    <row r="211" spans="1:6" ht="15.75" customHeight="1">
      <c r="A211" s="896" t="s">
        <v>178</v>
      </c>
      <c r="B211" s="804" t="s">
        <v>179</v>
      </c>
      <c r="C211" s="826" t="s">
        <v>893</v>
      </c>
      <c r="D211" s="827">
        <v>0.37</v>
      </c>
      <c r="E211" s="828">
        <v>255.25</v>
      </c>
      <c r="F211" s="829">
        <f t="shared" si="2"/>
        <v>94.4425</v>
      </c>
    </row>
    <row r="212" spans="1:6" ht="15.75" customHeight="1">
      <c r="A212" s="896" t="s">
        <v>180</v>
      </c>
      <c r="B212" s="804" t="s">
        <v>181</v>
      </c>
      <c r="C212" s="826" t="s">
        <v>893</v>
      </c>
      <c r="D212" s="827">
        <v>1.28</v>
      </c>
      <c r="E212" s="828">
        <v>239.3</v>
      </c>
      <c r="F212" s="829">
        <f t="shared" si="2"/>
        <v>306.30400000000003</v>
      </c>
    </row>
    <row r="213" spans="1:6" ht="15.75" customHeight="1">
      <c r="A213" s="896" t="s">
        <v>182</v>
      </c>
      <c r="B213" s="804" t="s">
        <v>72</v>
      </c>
      <c r="C213" s="826" t="s">
        <v>893</v>
      </c>
      <c r="D213" s="827">
        <v>0.54</v>
      </c>
      <c r="E213" s="828">
        <v>223.77</v>
      </c>
      <c r="F213" s="829">
        <f t="shared" si="2"/>
        <v>120.83580000000002</v>
      </c>
    </row>
    <row r="214" spans="1:6" ht="15.75" customHeight="1">
      <c r="A214" s="896" t="s">
        <v>183</v>
      </c>
      <c r="B214" s="804" t="s">
        <v>184</v>
      </c>
      <c r="C214" s="826" t="s">
        <v>892</v>
      </c>
      <c r="D214" s="827">
        <v>1.8</v>
      </c>
      <c r="E214" s="828">
        <v>25.63</v>
      </c>
      <c r="F214" s="829">
        <f t="shared" si="2"/>
        <v>46.134</v>
      </c>
    </row>
    <row r="215" spans="1:6" ht="15.75" customHeight="1" thickBot="1">
      <c r="A215" s="886" t="s">
        <v>185</v>
      </c>
      <c r="B215" s="805" t="s">
        <v>186</v>
      </c>
      <c r="C215" s="833" t="s">
        <v>34</v>
      </c>
      <c r="D215" s="834">
        <v>4.5</v>
      </c>
      <c r="E215" s="835">
        <v>7</v>
      </c>
      <c r="F215" s="836">
        <f t="shared" si="2"/>
        <v>31.5</v>
      </c>
    </row>
    <row r="216" spans="1:6" ht="15.75" customHeight="1" thickBot="1">
      <c r="A216" s="841"/>
      <c r="B216" s="764" t="s">
        <v>59</v>
      </c>
      <c r="C216" s="872"/>
      <c r="D216" s="873"/>
      <c r="E216" s="874"/>
      <c r="F216" s="875">
        <f>SUM(F211:F215)</f>
        <v>599.2163</v>
      </c>
    </row>
    <row r="217" spans="1:2" ht="8.25" customHeight="1" thickBot="1">
      <c r="A217" s="841"/>
      <c r="B217" s="2"/>
    </row>
    <row r="218" spans="1:6" ht="15.75" customHeight="1">
      <c r="A218" s="902" t="s">
        <v>187</v>
      </c>
      <c r="B218" s="800" t="s">
        <v>74</v>
      </c>
      <c r="C218" s="866"/>
      <c r="D218" s="867"/>
      <c r="E218" s="868"/>
      <c r="F218" s="869"/>
    </row>
    <row r="219" spans="1:6" ht="15.75" customHeight="1">
      <c r="A219" s="895" t="s">
        <v>188</v>
      </c>
      <c r="B219" s="799" t="s">
        <v>75</v>
      </c>
      <c r="C219" s="826" t="s">
        <v>892</v>
      </c>
      <c r="D219" s="827">
        <v>16.5</v>
      </c>
      <c r="E219" s="828">
        <v>10.7</v>
      </c>
      <c r="F219" s="829">
        <f t="shared" si="2"/>
        <v>176.54999999999998</v>
      </c>
    </row>
    <row r="220" spans="1:6" ht="15.75" customHeight="1">
      <c r="A220" s="895" t="s">
        <v>189</v>
      </c>
      <c r="B220" s="799" t="s">
        <v>76</v>
      </c>
      <c r="C220" s="826" t="s">
        <v>892</v>
      </c>
      <c r="D220" s="827">
        <v>3.85</v>
      </c>
      <c r="E220" s="828">
        <v>8.86</v>
      </c>
      <c r="F220" s="829">
        <f t="shared" si="2"/>
        <v>34.111</v>
      </c>
    </row>
    <row r="221" spans="1:6" ht="15.75" customHeight="1">
      <c r="A221" s="895" t="s">
        <v>190</v>
      </c>
      <c r="B221" s="799" t="s">
        <v>191</v>
      </c>
      <c r="C221" s="826" t="s">
        <v>892</v>
      </c>
      <c r="D221" s="827">
        <v>12.2</v>
      </c>
      <c r="E221" s="828">
        <v>15.86</v>
      </c>
      <c r="F221" s="829">
        <f t="shared" si="2"/>
        <v>193.492</v>
      </c>
    </row>
    <row r="222" spans="1:6" ht="15.75" customHeight="1" thickBot="1">
      <c r="A222" s="885" t="s">
        <v>192</v>
      </c>
      <c r="B222" s="801" t="s">
        <v>193</v>
      </c>
      <c r="C222" s="833" t="s">
        <v>34</v>
      </c>
      <c r="D222" s="834">
        <v>0.7</v>
      </c>
      <c r="E222" s="835">
        <v>6.86</v>
      </c>
      <c r="F222" s="836">
        <f t="shared" si="2"/>
        <v>4.802</v>
      </c>
    </row>
    <row r="223" spans="1:6" ht="15.75" customHeight="1" thickBot="1">
      <c r="A223" s="841"/>
      <c r="B223" s="764" t="s">
        <v>59</v>
      </c>
      <c r="C223" s="872"/>
      <c r="D223" s="873"/>
      <c r="E223" s="874"/>
      <c r="F223" s="875">
        <f>SUM(F219:F222)</f>
        <v>408.955</v>
      </c>
    </row>
    <row r="224" spans="1:6" ht="7.5" customHeight="1" thickBot="1">
      <c r="A224" s="841"/>
      <c r="B224" s="2"/>
      <c r="F224" s="809"/>
    </row>
    <row r="225" spans="1:6" ht="15.75" customHeight="1">
      <c r="A225" s="903" t="s">
        <v>194</v>
      </c>
      <c r="B225" s="803" t="s">
        <v>79</v>
      </c>
      <c r="C225" s="866"/>
      <c r="D225" s="867"/>
      <c r="E225" s="868"/>
      <c r="F225" s="824"/>
    </row>
    <row r="226" spans="1:6" ht="15.75" customHeight="1">
      <c r="A226" s="896" t="s">
        <v>195</v>
      </c>
      <c r="B226" s="804" t="s">
        <v>196</v>
      </c>
      <c r="C226" s="826" t="s">
        <v>892</v>
      </c>
      <c r="D226" s="827">
        <v>19.3</v>
      </c>
      <c r="E226" s="828">
        <f>65.87/19.3</f>
        <v>3.4129533678756476</v>
      </c>
      <c r="F226" s="829">
        <f>E226*D226</f>
        <v>65.87</v>
      </c>
    </row>
    <row r="227" spans="1:6" ht="15.75" customHeight="1">
      <c r="A227" s="896" t="s">
        <v>197</v>
      </c>
      <c r="B227" s="804" t="s">
        <v>81</v>
      </c>
      <c r="C227" s="826" t="s">
        <v>892</v>
      </c>
      <c r="D227" s="827">
        <v>18.7</v>
      </c>
      <c r="E227" s="828">
        <f>89.1/18.7</f>
        <v>4.764705882352941</v>
      </c>
      <c r="F227" s="829">
        <f>E227*D227</f>
        <v>89.1</v>
      </c>
    </row>
    <row r="228" spans="1:6" ht="15.75" customHeight="1">
      <c r="A228" s="896" t="s">
        <v>198</v>
      </c>
      <c r="B228" s="804" t="s">
        <v>83</v>
      </c>
      <c r="C228" s="826" t="s">
        <v>892</v>
      </c>
      <c r="D228" s="827">
        <v>16</v>
      </c>
      <c r="E228" s="828">
        <f>114.49/16</f>
        <v>7.155625</v>
      </c>
      <c r="F228" s="829">
        <f>E228*D228</f>
        <v>114.49</v>
      </c>
    </row>
    <row r="229" spans="1:6" ht="15.75" customHeight="1">
      <c r="A229" s="896" t="s">
        <v>199</v>
      </c>
      <c r="B229" s="804" t="s">
        <v>84</v>
      </c>
      <c r="C229" s="826" t="s">
        <v>34</v>
      </c>
      <c r="D229" s="827">
        <v>12.4</v>
      </c>
      <c r="E229" s="828">
        <f>38.1/12.4</f>
        <v>3.0725806451612905</v>
      </c>
      <c r="F229" s="829">
        <f>E229*D229</f>
        <v>38.1</v>
      </c>
    </row>
    <row r="230" spans="1:6" ht="15.75" customHeight="1" thickBot="1">
      <c r="A230" s="886" t="s">
        <v>200</v>
      </c>
      <c r="B230" s="805" t="s">
        <v>85</v>
      </c>
      <c r="C230" s="833" t="s">
        <v>34</v>
      </c>
      <c r="D230" s="834">
        <v>16</v>
      </c>
      <c r="E230" s="835">
        <v>1.3</v>
      </c>
      <c r="F230" s="836">
        <f>E230*D230</f>
        <v>20.8</v>
      </c>
    </row>
    <row r="231" spans="1:6" ht="15.75" customHeight="1" thickBot="1">
      <c r="A231" s="841"/>
      <c r="B231" s="764" t="s">
        <v>59</v>
      </c>
      <c r="C231" s="872"/>
      <c r="D231" s="873"/>
      <c r="E231" s="874"/>
      <c r="F231" s="875">
        <f>SUM(F226:F230)</f>
        <v>328.36</v>
      </c>
    </row>
    <row r="232" spans="1:2" ht="9" customHeight="1" thickBot="1">
      <c r="A232" s="841"/>
      <c r="B232" s="2"/>
    </row>
    <row r="233" spans="1:6" ht="15.75" customHeight="1">
      <c r="A233" s="903" t="s">
        <v>201</v>
      </c>
      <c r="B233" s="803" t="s">
        <v>202</v>
      </c>
      <c r="C233" s="866"/>
      <c r="D233" s="867"/>
      <c r="E233" s="868"/>
      <c r="F233" s="869"/>
    </row>
    <row r="234" spans="1:6" ht="15.75" customHeight="1">
      <c r="A234" s="896" t="s">
        <v>203</v>
      </c>
      <c r="B234" s="804" t="s">
        <v>204</v>
      </c>
      <c r="C234" s="826" t="s">
        <v>39</v>
      </c>
      <c r="D234" s="827">
        <v>1</v>
      </c>
      <c r="E234" s="828">
        <v>494.52</v>
      </c>
      <c r="F234" s="829">
        <f aca="true" t="shared" si="3" ref="F234:F239">E234*D234</f>
        <v>494.52</v>
      </c>
    </row>
    <row r="235" spans="1:6" ht="15.75" customHeight="1">
      <c r="A235" s="896" t="s">
        <v>205</v>
      </c>
      <c r="B235" s="804" t="s">
        <v>90</v>
      </c>
      <c r="C235" s="826" t="s">
        <v>17</v>
      </c>
      <c r="D235" s="827">
        <v>1</v>
      </c>
      <c r="E235" s="828">
        <v>40.49</v>
      </c>
      <c r="F235" s="829">
        <f t="shared" si="3"/>
        <v>40.49</v>
      </c>
    </row>
    <row r="236" spans="1:6" ht="15.75" customHeight="1">
      <c r="A236" s="896" t="s">
        <v>206</v>
      </c>
      <c r="B236" s="804" t="s">
        <v>91</v>
      </c>
      <c r="C236" s="826" t="s">
        <v>17</v>
      </c>
      <c r="D236" s="827">
        <v>1</v>
      </c>
      <c r="E236" s="828">
        <v>75.09</v>
      </c>
      <c r="F236" s="829">
        <f t="shared" si="3"/>
        <v>75.09</v>
      </c>
    </row>
    <row r="237" spans="1:6" s="843" customFormat="1" ht="27.75" customHeight="1">
      <c r="A237" s="904" t="s">
        <v>207</v>
      </c>
      <c r="B237" s="891" t="s">
        <v>208</v>
      </c>
      <c r="C237" s="887" t="s">
        <v>17</v>
      </c>
      <c r="D237" s="888">
        <v>2</v>
      </c>
      <c r="E237" s="889">
        <v>27.14</v>
      </c>
      <c r="F237" s="890">
        <f t="shared" si="3"/>
        <v>54.28</v>
      </c>
    </row>
    <row r="238" spans="1:6" s="843" customFormat="1" ht="27.75" customHeight="1">
      <c r="A238" s="904" t="s">
        <v>209</v>
      </c>
      <c r="B238" s="891" t="s">
        <v>93</v>
      </c>
      <c r="C238" s="887" t="s">
        <v>17</v>
      </c>
      <c r="D238" s="888">
        <v>4</v>
      </c>
      <c r="E238" s="889">
        <v>24.32</v>
      </c>
      <c r="F238" s="890">
        <f t="shared" si="3"/>
        <v>97.28</v>
      </c>
    </row>
    <row r="239" spans="1:6" ht="15.75" customHeight="1">
      <c r="A239" s="896" t="s">
        <v>210</v>
      </c>
      <c r="B239" s="804" t="s">
        <v>211</v>
      </c>
      <c r="C239" s="826" t="s">
        <v>17</v>
      </c>
      <c r="D239" s="827">
        <v>2</v>
      </c>
      <c r="E239" s="828">
        <v>5.55</v>
      </c>
      <c r="F239" s="829">
        <f t="shared" si="3"/>
        <v>11.1</v>
      </c>
    </row>
    <row r="240" spans="1:6" ht="15.75" customHeight="1">
      <c r="A240" s="896" t="s">
        <v>212</v>
      </c>
      <c r="B240" s="804" t="s">
        <v>95</v>
      </c>
      <c r="C240" s="826" t="s">
        <v>17</v>
      </c>
      <c r="D240" s="827">
        <v>2</v>
      </c>
      <c r="E240" s="828">
        <v>14.04</v>
      </c>
      <c r="F240" s="829">
        <v>28.08</v>
      </c>
    </row>
    <row r="241" spans="1:6" ht="15.75" customHeight="1">
      <c r="A241" s="896" t="s">
        <v>213</v>
      </c>
      <c r="B241" s="804" t="s">
        <v>214</v>
      </c>
      <c r="C241" s="826" t="s">
        <v>17</v>
      </c>
      <c r="D241" s="827">
        <v>1</v>
      </c>
      <c r="E241" s="828">
        <v>14.63</v>
      </c>
      <c r="F241" s="829">
        <f>E241*D241</f>
        <v>14.63</v>
      </c>
    </row>
    <row r="242" spans="1:6" ht="15.75" customHeight="1">
      <c r="A242" s="896" t="s">
        <v>215</v>
      </c>
      <c r="B242" s="804" t="s">
        <v>99</v>
      </c>
      <c r="C242" s="826" t="s">
        <v>17</v>
      </c>
      <c r="D242" s="827">
        <v>1</v>
      </c>
      <c r="E242" s="828">
        <v>15.4</v>
      </c>
      <c r="F242" s="829">
        <f>E242*D242</f>
        <v>15.4</v>
      </c>
    </row>
    <row r="243" spans="1:6" ht="15.75" customHeight="1" thickBot="1">
      <c r="A243" s="886" t="s">
        <v>216</v>
      </c>
      <c r="B243" s="805" t="s">
        <v>217</v>
      </c>
      <c r="C243" s="833" t="s">
        <v>39</v>
      </c>
      <c r="D243" s="834">
        <v>1</v>
      </c>
      <c r="E243" s="835">
        <v>21.7</v>
      </c>
      <c r="F243" s="836">
        <f>E243*D243</f>
        <v>21.7</v>
      </c>
    </row>
    <row r="244" spans="1:6" ht="15.75" customHeight="1">
      <c r="A244" s="841"/>
      <c r="B244" s="7" t="s">
        <v>59</v>
      </c>
      <c r="F244" s="809">
        <f>SUM(F234:F243)</f>
        <v>852.57</v>
      </c>
    </row>
    <row r="245" spans="1:2" ht="9.75" customHeight="1" thickBot="1">
      <c r="A245" s="841"/>
      <c r="B245" s="2"/>
    </row>
    <row r="246" spans="1:6" ht="15.75" customHeight="1">
      <c r="A246" s="903" t="s">
        <v>218</v>
      </c>
      <c r="B246" s="803" t="s">
        <v>102</v>
      </c>
      <c r="C246" s="866"/>
      <c r="D246" s="867"/>
      <c r="E246" s="868"/>
      <c r="F246" s="869"/>
    </row>
    <row r="247" spans="1:6" ht="15.75" customHeight="1">
      <c r="A247" s="896" t="s">
        <v>219</v>
      </c>
      <c r="B247" s="804" t="s">
        <v>234</v>
      </c>
      <c r="C247" s="826" t="s">
        <v>34</v>
      </c>
      <c r="D247" s="827">
        <v>4</v>
      </c>
      <c r="E247" s="828">
        <v>4.37</v>
      </c>
      <c r="F247" s="829">
        <f aca="true" t="shared" si="4" ref="F247:F256">E247*D247</f>
        <v>17.48</v>
      </c>
    </row>
    <row r="248" spans="1:6" ht="15.75" customHeight="1">
      <c r="A248" s="896" t="s">
        <v>220</v>
      </c>
      <c r="B248" s="804" t="s">
        <v>221</v>
      </c>
      <c r="C248" s="826" t="s">
        <v>34</v>
      </c>
      <c r="D248" s="827">
        <v>6</v>
      </c>
      <c r="E248" s="828">
        <v>4.83</v>
      </c>
      <c r="F248" s="829">
        <f t="shared" si="4"/>
        <v>28.98</v>
      </c>
    </row>
    <row r="249" spans="1:6" ht="15.75" customHeight="1">
      <c r="A249" s="896" t="s">
        <v>222</v>
      </c>
      <c r="B249" s="804" t="s">
        <v>223</v>
      </c>
      <c r="C249" s="826" t="s">
        <v>17</v>
      </c>
      <c r="D249" s="827">
        <v>1</v>
      </c>
      <c r="E249" s="828">
        <v>10.15</v>
      </c>
      <c r="F249" s="829">
        <f t="shared" si="4"/>
        <v>10.15</v>
      </c>
    </row>
    <row r="250" spans="1:6" ht="15.75" customHeight="1">
      <c r="A250" s="896" t="s">
        <v>224</v>
      </c>
      <c r="B250" s="804" t="s">
        <v>106</v>
      </c>
      <c r="C250" s="826" t="s">
        <v>17</v>
      </c>
      <c r="D250" s="827">
        <v>4</v>
      </c>
      <c r="E250" s="828">
        <v>13.48</v>
      </c>
      <c r="F250" s="829">
        <f t="shared" si="4"/>
        <v>53.92</v>
      </c>
    </row>
    <row r="251" spans="1:6" ht="15.75" customHeight="1">
      <c r="A251" s="896" t="s">
        <v>225</v>
      </c>
      <c r="B251" s="804" t="s">
        <v>226</v>
      </c>
      <c r="C251" s="826" t="s">
        <v>34</v>
      </c>
      <c r="D251" s="827">
        <v>4</v>
      </c>
      <c r="E251" s="828">
        <v>10.02</v>
      </c>
      <c r="F251" s="829">
        <f t="shared" si="4"/>
        <v>40.08</v>
      </c>
    </row>
    <row r="252" spans="1:6" ht="15.75" customHeight="1">
      <c r="A252" s="896" t="s">
        <v>227</v>
      </c>
      <c r="B252" s="804" t="s">
        <v>228</v>
      </c>
      <c r="C252" s="826" t="s">
        <v>34</v>
      </c>
      <c r="D252" s="827">
        <v>3</v>
      </c>
      <c r="E252" s="828">
        <v>7.25</v>
      </c>
      <c r="F252" s="829">
        <f t="shared" si="4"/>
        <v>21.75</v>
      </c>
    </row>
    <row r="253" spans="1:6" ht="15.75" customHeight="1">
      <c r="A253" s="896" t="s">
        <v>229</v>
      </c>
      <c r="B253" s="804" t="s">
        <v>109</v>
      </c>
      <c r="C253" s="826" t="s">
        <v>17</v>
      </c>
      <c r="D253" s="827">
        <v>1</v>
      </c>
      <c r="E253" s="828">
        <v>19.79</v>
      </c>
      <c r="F253" s="829">
        <f t="shared" si="4"/>
        <v>19.79</v>
      </c>
    </row>
    <row r="254" spans="1:6" ht="15.75" customHeight="1">
      <c r="A254" s="896" t="s">
        <v>230</v>
      </c>
      <c r="B254" s="804" t="s">
        <v>110</v>
      </c>
      <c r="C254" s="826" t="s">
        <v>17</v>
      </c>
      <c r="D254" s="827">
        <v>2</v>
      </c>
      <c r="E254" s="828">
        <v>16.39</v>
      </c>
      <c r="F254" s="829">
        <f t="shared" si="4"/>
        <v>32.78</v>
      </c>
    </row>
    <row r="255" spans="1:6" ht="15.75" customHeight="1">
      <c r="A255" s="896" t="s">
        <v>231</v>
      </c>
      <c r="B255" s="804" t="s">
        <v>232</v>
      </c>
      <c r="C255" s="826" t="s">
        <v>17</v>
      </c>
      <c r="D255" s="827">
        <v>1</v>
      </c>
      <c r="E255" s="828">
        <v>125.96</v>
      </c>
      <c r="F255" s="829">
        <f t="shared" si="4"/>
        <v>125.96</v>
      </c>
    </row>
    <row r="256" spans="1:6" ht="15.75" customHeight="1" thickBot="1">
      <c r="A256" s="886" t="s">
        <v>98</v>
      </c>
      <c r="B256" s="805" t="s">
        <v>115</v>
      </c>
      <c r="C256" s="833" t="s">
        <v>17</v>
      </c>
      <c r="D256" s="834">
        <v>1</v>
      </c>
      <c r="E256" s="835">
        <v>25.57</v>
      </c>
      <c r="F256" s="836">
        <f t="shared" si="4"/>
        <v>25.57</v>
      </c>
    </row>
    <row r="257" spans="1:6" ht="15.75" customHeight="1" thickBot="1">
      <c r="A257" s="841"/>
      <c r="B257" s="764" t="s">
        <v>59</v>
      </c>
      <c r="C257" s="872"/>
      <c r="D257" s="873"/>
      <c r="E257" s="874"/>
      <c r="F257" s="875">
        <f>SUM(F247:F256)</f>
        <v>376.46</v>
      </c>
    </row>
    <row r="258" spans="1:2" ht="9.75" customHeight="1" thickBot="1">
      <c r="A258" s="841"/>
      <c r="B258" s="2"/>
    </row>
    <row r="259" spans="1:6" ht="15.75" customHeight="1">
      <c r="A259" s="903" t="s">
        <v>233</v>
      </c>
      <c r="B259" s="803" t="s">
        <v>118</v>
      </c>
      <c r="C259" s="866"/>
      <c r="D259" s="867"/>
      <c r="E259" s="868"/>
      <c r="F259" s="869"/>
    </row>
    <row r="260" spans="1:6" ht="15.75" customHeight="1">
      <c r="A260" s="896" t="s">
        <v>235</v>
      </c>
      <c r="B260" s="804" t="s">
        <v>236</v>
      </c>
      <c r="C260" s="826" t="s">
        <v>892</v>
      </c>
      <c r="D260" s="827">
        <v>5.4</v>
      </c>
      <c r="E260" s="828">
        <v>31.3</v>
      </c>
      <c r="F260" s="829">
        <f>E260*D260</f>
        <v>169.02</v>
      </c>
    </row>
    <row r="261" spans="1:6" ht="15.75" customHeight="1">
      <c r="A261" s="896" t="s">
        <v>237</v>
      </c>
      <c r="B261" s="804" t="s">
        <v>238</v>
      </c>
      <c r="C261" s="826" t="s">
        <v>892</v>
      </c>
      <c r="D261" s="827">
        <v>3.4</v>
      </c>
      <c r="E261" s="828">
        <v>16.02</v>
      </c>
      <c r="F261" s="829">
        <f>E261*D261</f>
        <v>54.467999999999996</v>
      </c>
    </row>
    <row r="262" spans="1:6" ht="15.75" customHeight="1" thickBot="1">
      <c r="A262" s="886" t="s">
        <v>239</v>
      </c>
      <c r="B262" s="805" t="s">
        <v>124</v>
      </c>
      <c r="C262" s="833" t="s">
        <v>34</v>
      </c>
      <c r="D262" s="834">
        <v>1.2</v>
      </c>
      <c r="E262" s="835">
        <v>10.35</v>
      </c>
      <c r="F262" s="836">
        <f>E262*D262</f>
        <v>12.42</v>
      </c>
    </row>
    <row r="263" spans="1:6" ht="15.75" customHeight="1" thickBot="1">
      <c r="A263" s="841"/>
      <c r="B263" s="764" t="s">
        <v>59</v>
      </c>
      <c r="C263" s="872"/>
      <c r="D263" s="873"/>
      <c r="E263" s="874"/>
      <c r="F263" s="875">
        <f>SUM(F260:F262)</f>
        <v>235.908</v>
      </c>
    </row>
    <row r="264" spans="1:2" ht="11.25" customHeight="1" thickBot="1">
      <c r="A264" s="841"/>
      <c r="B264" s="2"/>
    </row>
    <row r="265" spans="1:6" ht="15.75" customHeight="1">
      <c r="A265" s="902" t="s">
        <v>240</v>
      </c>
      <c r="B265" s="800" t="s">
        <v>126</v>
      </c>
      <c r="C265" s="866"/>
      <c r="D265" s="867"/>
      <c r="E265" s="868"/>
      <c r="F265" s="869"/>
    </row>
    <row r="266" spans="1:6" ht="15.75" customHeight="1">
      <c r="A266" s="895" t="s">
        <v>119</v>
      </c>
      <c r="B266" s="799" t="s">
        <v>128</v>
      </c>
      <c r="C266" s="826" t="s">
        <v>892</v>
      </c>
      <c r="D266" s="827">
        <v>23</v>
      </c>
      <c r="E266" s="828">
        <v>19.54</v>
      </c>
      <c r="F266" s="829">
        <f>E266*D266</f>
        <v>449.41999999999996</v>
      </c>
    </row>
    <row r="267" spans="1:6" ht="15.75" customHeight="1" thickBot="1">
      <c r="A267" s="885" t="s">
        <v>121</v>
      </c>
      <c r="B267" s="801" t="s">
        <v>241</v>
      </c>
      <c r="C267" s="833" t="s">
        <v>892</v>
      </c>
      <c r="D267" s="834">
        <v>25</v>
      </c>
      <c r="E267" s="835">
        <v>10</v>
      </c>
      <c r="F267" s="836">
        <f>E267*D267</f>
        <v>250</v>
      </c>
    </row>
    <row r="268" spans="1:6" ht="15.75" customHeight="1" thickBot="1">
      <c r="A268" s="841"/>
      <c r="B268" s="764" t="s">
        <v>59</v>
      </c>
      <c r="C268" s="872"/>
      <c r="D268" s="873"/>
      <c r="E268" s="874"/>
      <c r="F268" s="875">
        <f>SUM(F266:F267)</f>
        <v>699.42</v>
      </c>
    </row>
    <row r="269" spans="1:2" ht="11.25" customHeight="1" thickBot="1">
      <c r="A269" s="841"/>
      <c r="B269" s="2"/>
    </row>
    <row r="270" spans="1:6" ht="15.75" customHeight="1">
      <c r="A270" s="902" t="s">
        <v>125</v>
      </c>
      <c r="B270" s="800" t="s">
        <v>130</v>
      </c>
      <c r="C270" s="866"/>
      <c r="D270" s="867"/>
      <c r="E270" s="868"/>
      <c r="F270" s="869"/>
    </row>
    <row r="271" spans="1:6" ht="15.75" customHeight="1">
      <c r="A271" s="895" t="s">
        <v>127</v>
      </c>
      <c r="B271" s="799" t="s">
        <v>242</v>
      </c>
      <c r="C271" s="826" t="s">
        <v>17</v>
      </c>
      <c r="D271" s="827">
        <v>1</v>
      </c>
      <c r="E271" s="828">
        <v>130.31</v>
      </c>
      <c r="F271" s="829">
        <f>E271*D271</f>
        <v>130.31</v>
      </c>
    </row>
    <row r="272" spans="1:6" ht="15.75" customHeight="1" thickBot="1">
      <c r="A272" s="885" t="s">
        <v>243</v>
      </c>
      <c r="B272" s="801" t="s">
        <v>244</v>
      </c>
      <c r="C272" s="833" t="s">
        <v>17</v>
      </c>
      <c r="D272" s="834">
        <v>1</v>
      </c>
      <c r="E272" s="835">
        <v>121.35</v>
      </c>
      <c r="F272" s="836">
        <f>E272*D272</f>
        <v>121.35</v>
      </c>
    </row>
    <row r="273" spans="1:6" ht="15.75" customHeight="1" thickBot="1">
      <c r="A273" s="841"/>
      <c r="B273" s="764" t="s">
        <v>59</v>
      </c>
      <c r="C273" s="872"/>
      <c r="D273" s="873"/>
      <c r="E273" s="874"/>
      <c r="F273" s="875">
        <f>SUM(F271:F272)</f>
        <v>251.66</v>
      </c>
    </row>
    <row r="274" spans="1:2" ht="9" customHeight="1" thickBot="1">
      <c r="A274" s="841"/>
      <c r="B274" s="2"/>
    </row>
    <row r="275" spans="1:6" ht="15.75" customHeight="1">
      <c r="A275" s="903" t="s">
        <v>129</v>
      </c>
      <c r="B275" s="803" t="s">
        <v>144</v>
      </c>
      <c r="C275" s="866"/>
      <c r="D275" s="867"/>
      <c r="E275" s="868"/>
      <c r="F275" s="869"/>
    </row>
    <row r="276" spans="1:6" ht="15.75" customHeight="1" thickBot="1">
      <c r="A276" s="886" t="s">
        <v>131</v>
      </c>
      <c r="B276" s="805" t="s">
        <v>245</v>
      </c>
      <c r="C276" s="833" t="s">
        <v>17</v>
      </c>
      <c r="D276" s="834">
        <v>2</v>
      </c>
      <c r="E276" s="835">
        <v>17.09</v>
      </c>
      <c r="F276" s="836">
        <f>E276*D276</f>
        <v>34.18</v>
      </c>
    </row>
    <row r="277" spans="1:2" ht="9" customHeight="1" thickBot="1">
      <c r="A277" s="841"/>
      <c r="B277" s="2"/>
    </row>
    <row r="278" spans="1:6" ht="15.75" customHeight="1">
      <c r="A278" s="903" t="s">
        <v>143</v>
      </c>
      <c r="B278" s="803" t="s">
        <v>246</v>
      </c>
      <c r="C278" s="866"/>
      <c r="D278" s="867"/>
      <c r="E278" s="868"/>
      <c r="F278" s="869"/>
    </row>
    <row r="279" spans="1:6" ht="15.75" customHeight="1" thickBot="1">
      <c r="A279" s="886" t="s">
        <v>145</v>
      </c>
      <c r="B279" s="805" t="s">
        <v>247</v>
      </c>
      <c r="C279" s="833" t="s">
        <v>892</v>
      </c>
      <c r="D279" s="834">
        <v>1.25</v>
      </c>
      <c r="E279" s="835">
        <v>65.73</v>
      </c>
      <c r="F279" s="836">
        <f>E279*D279</f>
        <v>82.16250000000001</v>
      </c>
    </row>
    <row r="280" spans="1:2" ht="8.25" customHeight="1" thickBot="1">
      <c r="A280" s="841"/>
      <c r="B280" s="2"/>
    </row>
    <row r="281" spans="1:6" ht="15.75" customHeight="1">
      <c r="A281" s="903" t="s">
        <v>151</v>
      </c>
      <c r="B281" s="803" t="s">
        <v>157</v>
      </c>
      <c r="C281" s="866"/>
      <c r="D281" s="867"/>
      <c r="E281" s="868"/>
      <c r="F281" s="869"/>
    </row>
    <row r="282" spans="1:6" ht="15.75" customHeight="1">
      <c r="A282" s="896" t="s">
        <v>153</v>
      </c>
      <c r="B282" s="804" t="s">
        <v>159</v>
      </c>
      <c r="C282" s="826" t="s">
        <v>892</v>
      </c>
      <c r="D282" s="827">
        <v>18.7</v>
      </c>
      <c r="E282" s="828">
        <f>68.01/18.7</f>
        <v>3.6368983957219254</v>
      </c>
      <c r="F282" s="829">
        <f>E282*D282</f>
        <v>68.01</v>
      </c>
    </row>
    <row r="283" spans="1:6" ht="15.75" customHeight="1">
      <c r="A283" s="896" t="s">
        <v>155</v>
      </c>
      <c r="B283" s="804" t="s">
        <v>161</v>
      </c>
      <c r="C283" s="826" t="s">
        <v>892</v>
      </c>
      <c r="D283" s="827">
        <v>57.3</v>
      </c>
      <c r="E283" s="828">
        <f>207.91/57.3</f>
        <v>3.6284467713787087</v>
      </c>
      <c r="F283" s="829">
        <f>E283*D283</f>
        <v>207.91</v>
      </c>
    </row>
    <row r="284" spans="1:6" ht="15.75" customHeight="1" thickBot="1">
      <c r="A284" s="886" t="s">
        <v>248</v>
      </c>
      <c r="B284" s="805" t="s">
        <v>164</v>
      </c>
      <c r="C284" s="833" t="s">
        <v>892</v>
      </c>
      <c r="D284" s="834">
        <v>16</v>
      </c>
      <c r="E284" s="835">
        <v>3.58</v>
      </c>
      <c r="F284" s="836">
        <f>E284*D284</f>
        <v>57.28</v>
      </c>
    </row>
    <row r="285" spans="1:6" ht="15.75" customHeight="1" thickBot="1">
      <c r="A285" s="841"/>
      <c r="B285" s="764" t="s">
        <v>59</v>
      </c>
      <c r="C285" s="872"/>
      <c r="D285" s="873"/>
      <c r="E285" s="874"/>
      <c r="F285" s="875">
        <f>SUM(F282:F284)</f>
        <v>333.20000000000005</v>
      </c>
    </row>
    <row r="286" spans="1:6" ht="15.75" customHeight="1" thickBot="1">
      <c r="A286" s="841"/>
      <c r="B286" s="764" t="s">
        <v>5</v>
      </c>
      <c r="C286" s="905"/>
      <c r="D286" s="906"/>
      <c r="E286" s="907"/>
      <c r="F286" s="908">
        <f>F285+F279+F276+F273+F268+F263+F257+F244+F231+F216+F208+F202+F197+F223</f>
        <v>4405.1228</v>
      </c>
    </row>
    <row r="287" spans="1:2" ht="15.75" customHeight="1">
      <c r="A287" s="841"/>
      <c r="B287" s="7"/>
    </row>
    <row r="288" spans="1:2" ht="15.75" customHeight="1" thickBot="1">
      <c r="A288" s="841"/>
      <c r="B288" s="7" t="s">
        <v>348</v>
      </c>
    </row>
    <row r="289" spans="1:6" ht="26.25" thickBot="1">
      <c r="A289" s="841"/>
      <c r="B289" s="815" t="s">
        <v>3</v>
      </c>
      <c r="C289" s="583" t="s">
        <v>2</v>
      </c>
      <c r="D289" s="816" t="s">
        <v>1</v>
      </c>
      <c r="E289" s="817" t="s">
        <v>4</v>
      </c>
      <c r="F289" s="818" t="s">
        <v>5</v>
      </c>
    </row>
    <row r="290" spans="1:6" ht="15.75" customHeight="1">
      <c r="A290" s="903" t="s">
        <v>165</v>
      </c>
      <c r="B290" s="803" t="s">
        <v>6</v>
      </c>
      <c r="C290" s="866"/>
      <c r="D290" s="867"/>
      <c r="E290" s="868"/>
      <c r="F290" s="869"/>
    </row>
    <row r="291" spans="1:6" ht="15.75" customHeight="1">
      <c r="A291" s="896" t="s">
        <v>168</v>
      </c>
      <c r="B291" s="804" t="s">
        <v>166</v>
      </c>
      <c r="C291" s="826" t="s">
        <v>892</v>
      </c>
      <c r="D291" s="827">
        <v>13.8</v>
      </c>
      <c r="E291" s="828">
        <f>12.49/13.8</f>
        <v>0.9050724637681159</v>
      </c>
      <c r="F291" s="829">
        <f>E291*D291</f>
        <v>12.49</v>
      </c>
    </row>
    <row r="292" spans="1:6" ht="15.75" customHeight="1">
      <c r="A292" s="896" t="s">
        <v>169</v>
      </c>
      <c r="B292" s="804" t="s">
        <v>8</v>
      </c>
      <c r="C292" s="826" t="s">
        <v>892</v>
      </c>
      <c r="D292" s="827">
        <v>13.8</v>
      </c>
      <c r="E292" s="828">
        <f>10/13.8</f>
        <v>0.7246376811594203</v>
      </c>
      <c r="F292" s="829">
        <f>E292*D292</f>
        <v>10</v>
      </c>
    </row>
    <row r="293" spans="1:6" ht="15.75" customHeight="1" thickBot="1">
      <c r="A293" s="886" t="s">
        <v>170</v>
      </c>
      <c r="B293" s="805" t="s">
        <v>22</v>
      </c>
      <c r="C293" s="833" t="s">
        <v>892</v>
      </c>
      <c r="D293" s="834">
        <v>105</v>
      </c>
      <c r="E293" s="835">
        <f>34.26/105</f>
        <v>0.3262857142857143</v>
      </c>
      <c r="F293" s="836">
        <f>E293*D293</f>
        <v>34.26</v>
      </c>
    </row>
    <row r="294" spans="1:6" ht="15.75" customHeight="1" thickBot="1">
      <c r="A294" s="841"/>
      <c r="B294" s="764" t="s">
        <v>59</v>
      </c>
      <c r="C294" s="872"/>
      <c r="D294" s="873"/>
      <c r="E294" s="874"/>
      <c r="F294" s="875">
        <f>SUM(F291:F293)</f>
        <v>56.75</v>
      </c>
    </row>
    <row r="295" spans="1:2" ht="8.25" customHeight="1" thickBot="1">
      <c r="A295" s="841"/>
      <c r="B295" s="2"/>
    </row>
    <row r="296" spans="1:6" ht="15.75" customHeight="1">
      <c r="A296" s="902" t="s">
        <v>249</v>
      </c>
      <c r="B296" s="800" t="s">
        <v>56</v>
      </c>
      <c r="C296" s="866"/>
      <c r="D296" s="867"/>
      <c r="E296" s="868"/>
      <c r="F296" s="869"/>
    </row>
    <row r="297" spans="1:6" ht="15.75" customHeight="1">
      <c r="A297" s="895" t="s">
        <v>171</v>
      </c>
      <c r="B297" s="799" t="s">
        <v>250</v>
      </c>
      <c r="C297" s="826" t="s">
        <v>893</v>
      </c>
      <c r="D297" s="827">
        <v>0.4</v>
      </c>
      <c r="E297" s="828">
        <v>2.52</v>
      </c>
      <c r="F297" s="829">
        <f>E297*D297</f>
        <v>1.008</v>
      </c>
    </row>
    <row r="298" spans="1:6" ht="15.75" customHeight="1" thickBot="1">
      <c r="A298" s="885" t="s">
        <v>172</v>
      </c>
      <c r="B298" s="801" t="s">
        <v>58</v>
      </c>
      <c r="C298" s="833" t="s">
        <v>893</v>
      </c>
      <c r="D298" s="834">
        <v>0.2</v>
      </c>
      <c r="E298" s="835">
        <v>4.17</v>
      </c>
      <c r="F298" s="836">
        <f>E298*D298</f>
        <v>0.8340000000000001</v>
      </c>
    </row>
    <row r="299" spans="1:6" ht="15.75" customHeight="1" thickBot="1">
      <c r="A299" s="841"/>
      <c r="B299" s="764" t="s">
        <v>59</v>
      </c>
      <c r="C299" s="872"/>
      <c r="D299" s="873"/>
      <c r="E299" s="874"/>
      <c r="F299" s="875">
        <f>SUM(F297:F298)</f>
        <v>1.842</v>
      </c>
    </row>
    <row r="300" spans="1:2" ht="9.75" customHeight="1" thickBot="1">
      <c r="A300" s="841"/>
      <c r="B300" s="2"/>
    </row>
    <row r="301" spans="1:6" ht="15.75" customHeight="1">
      <c r="A301" s="903" t="s">
        <v>173</v>
      </c>
      <c r="B301" s="803" t="s">
        <v>60</v>
      </c>
      <c r="C301" s="866"/>
      <c r="D301" s="867"/>
      <c r="E301" s="868"/>
      <c r="F301" s="869"/>
    </row>
    <row r="302" spans="1:6" ht="15.75" customHeight="1" thickBot="1">
      <c r="A302" s="886" t="s">
        <v>174</v>
      </c>
      <c r="B302" s="805" t="s">
        <v>251</v>
      </c>
      <c r="C302" s="833" t="s">
        <v>17</v>
      </c>
      <c r="D302" s="834">
        <v>4</v>
      </c>
      <c r="E302" s="835">
        <f>96.27/4</f>
        <v>24.0675</v>
      </c>
      <c r="F302" s="893">
        <f>E302*D302</f>
        <v>96.27</v>
      </c>
    </row>
    <row r="303" spans="1:2" ht="15.75" customHeight="1" thickBot="1">
      <c r="A303" s="841"/>
      <c r="B303" s="2"/>
    </row>
    <row r="304" spans="1:6" ht="15.75" customHeight="1">
      <c r="A304" s="903" t="s">
        <v>177</v>
      </c>
      <c r="B304" s="803" t="s">
        <v>64</v>
      </c>
      <c r="C304" s="866"/>
      <c r="D304" s="867"/>
      <c r="E304" s="868"/>
      <c r="F304" s="869"/>
    </row>
    <row r="305" spans="1:6" ht="15.75" customHeight="1">
      <c r="A305" s="896" t="s">
        <v>178</v>
      </c>
      <c r="B305" s="804" t="s">
        <v>252</v>
      </c>
      <c r="C305" s="826" t="s">
        <v>34</v>
      </c>
      <c r="D305" s="827">
        <v>10.8</v>
      </c>
      <c r="E305" s="828">
        <f>640.33/10.8</f>
        <v>59.28981481481482</v>
      </c>
      <c r="F305" s="829">
        <f>E305*D305</f>
        <v>640.33</v>
      </c>
    </row>
    <row r="306" spans="1:6" ht="15.75" customHeight="1" thickBot="1">
      <c r="A306" s="886" t="s">
        <v>180</v>
      </c>
      <c r="B306" s="805" t="s">
        <v>253</v>
      </c>
      <c r="C306" s="833" t="s">
        <v>892</v>
      </c>
      <c r="D306" s="834">
        <v>25.63</v>
      </c>
      <c r="E306" s="835">
        <f>704.13/25.63</f>
        <v>27.47288333983613</v>
      </c>
      <c r="F306" s="836">
        <f>E306*D306</f>
        <v>704.13</v>
      </c>
    </row>
    <row r="307" spans="1:6" ht="15.75" customHeight="1" thickBot="1">
      <c r="A307" s="841"/>
      <c r="B307" s="764" t="s">
        <v>59</v>
      </c>
      <c r="C307" s="872"/>
      <c r="D307" s="873"/>
      <c r="E307" s="874"/>
      <c r="F307" s="875">
        <f>SUM(F305:F306)</f>
        <v>1344.46</v>
      </c>
    </row>
    <row r="308" spans="1:2" ht="15.75" customHeight="1" thickBot="1">
      <c r="A308" s="841"/>
      <c r="B308" s="2"/>
    </row>
    <row r="309" spans="1:6" ht="15.75" customHeight="1">
      <c r="A309" s="903" t="s">
        <v>187</v>
      </c>
      <c r="B309" s="803" t="s">
        <v>74</v>
      </c>
      <c r="C309" s="866"/>
      <c r="D309" s="867"/>
      <c r="E309" s="868"/>
      <c r="F309" s="869"/>
    </row>
    <row r="310" spans="1:6" ht="15.75" customHeight="1" thickBot="1">
      <c r="A310" s="886" t="s">
        <v>188</v>
      </c>
      <c r="B310" s="805" t="s">
        <v>254</v>
      </c>
      <c r="C310" s="833" t="s">
        <v>892</v>
      </c>
      <c r="D310" s="834">
        <v>12</v>
      </c>
      <c r="E310" s="835">
        <v>15.86</v>
      </c>
      <c r="F310" s="893">
        <f>E310*D310</f>
        <v>190.32</v>
      </c>
    </row>
    <row r="311" spans="1:2" ht="15.75" customHeight="1" thickBot="1">
      <c r="A311" s="841"/>
      <c r="B311" s="2"/>
    </row>
    <row r="312" spans="1:6" ht="15.75" customHeight="1">
      <c r="A312" s="903" t="s">
        <v>194</v>
      </c>
      <c r="B312" s="803" t="s">
        <v>79</v>
      </c>
      <c r="C312" s="866"/>
      <c r="D312" s="867"/>
      <c r="E312" s="868"/>
      <c r="F312" s="869"/>
    </row>
    <row r="313" spans="1:6" ht="15.75" customHeight="1">
      <c r="A313" s="896" t="s">
        <v>195</v>
      </c>
      <c r="B313" s="804" t="s">
        <v>80</v>
      </c>
      <c r="C313" s="826" t="s">
        <v>892</v>
      </c>
      <c r="D313" s="827">
        <v>3.41</v>
      </c>
      <c r="E313" s="828">
        <f>12.66/3.41</f>
        <v>3.7126099706744866</v>
      </c>
      <c r="F313" s="829">
        <f>E313*D313</f>
        <v>12.66</v>
      </c>
    </row>
    <row r="314" spans="1:6" ht="15.75" customHeight="1" thickBot="1">
      <c r="A314" s="886" t="s">
        <v>197</v>
      </c>
      <c r="B314" s="805" t="s">
        <v>81</v>
      </c>
      <c r="C314" s="833" t="s">
        <v>892</v>
      </c>
      <c r="D314" s="834">
        <v>4.76</v>
      </c>
      <c r="E314" s="835">
        <f>23.49/4.76</f>
        <v>4.934873949579832</v>
      </c>
      <c r="F314" s="836">
        <f>E314*D314</f>
        <v>23.49</v>
      </c>
    </row>
    <row r="315" spans="1:6" ht="15.75" customHeight="1" thickBot="1">
      <c r="A315" s="841"/>
      <c r="B315" s="764" t="s">
        <v>59</v>
      </c>
      <c r="C315" s="872"/>
      <c r="D315" s="873"/>
      <c r="E315" s="874"/>
      <c r="F315" s="875">
        <f>SUM(F313:F314)</f>
        <v>36.15</v>
      </c>
    </row>
    <row r="316" spans="1:2" ht="15.75" customHeight="1" thickBot="1">
      <c r="A316" s="841"/>
      <c r="B316" s="2"/>
    </row>
    <row r="317" spans="1:6" ht="15.75" customHeight="1">
      <c r="A317" s="903" t="s">
        <v>201</v>
      </c>
      <c r="B317" s="803" t="s">
        <v>86</v>
      </c>
      <c r="C317" s="866"/>
      <c r="D317" s="867"/>
      <c r="E317" s="868"/>
      <c r="F317" s="869"/>
    </row>
    <row r="318" spans="1:6" ht="15.75" customHeight="1" thickBot="1">
      <c r="A318" s="886" t="s">
        <v>203</v>
      </c>
      <c r="B318" s="805" t="s">
        <v>255</v>
      </c>
      <c r="C318" s="833" t="s">
        <v>892</v>
      </c>
      <c r="D318" s="834">
        <v>12.25</v>
      </c>
      <c r="E318" s="835">
        <f>558.97/12.25</f>
        <v>45.630204081632655</v>
      </c>
      <c r="F318" s="893">
        <f>E318*D318</f>
        <v>558.97</v>
      </c>
    </row>
    <row r="319" spans="1:2" ht="15.75" customHeight="1" thickBot="1">
      <c r="A319" s="841"/>
      <c r="B319" s="2"/>
    </row>
    <row r="320" spans="1:6" ht="15.75" customHeight="1">
      <c r="A320" s="903" t="s">
        <v>218</v>
      </c>
      <c r="B320" s="803" t="s">
        <v>118</v>
      </c>
      <c r="C320" s="866"/>
      <c r="D320" s="867"/>
      <c r="E320" s="868"/>
      <c r="F320" s="869"/>
    </row>
    <row r="321" spans="1:6" ht="15.75" customHeight="1">
      <c r="A321" s="896" t="s">
        <v>219</v>
      </c>
      <c r="B321" s="804" t="s">
        <v>256</v>
      </c>
      <c r="C321" s="826" t="s">
        <v>892</v>
      </c>
      <c r="D321" s="827">
        <v>2.8</v>
      </c>
      <c r="E321" s="828">
        <v>16.02</v>
      </c>
      <c r="F321" s="829">
        <f>E321*D321</f>
        <v>44.855999999999995</v>
      </c>
    </row>
    <row r="322" spans="1:6" ht="15.75" customHeight="1" thickBot="1">
      <c r="A322" s="886" t="s">
        <v>220</v>
      </c>
      <c r="B322" s="805" t="s">
        <v>257</v>
      </c>
      <c r="C322" s="833" t="s">
        <v>892</v>
      </c>
      <c r="D322" s="834">
        <v>4</v>
      </c>
      <c r="E322" s="835">
        <v>16</v>
      </c>
      <c r="F322" s="836">
        <f>E322*D322</f>
        <v>64</v>
      </c>
    </row>
    <row r="323" spans="1:6" ht="15.75" customHeight="1" thickBot="1">
      <c r="A323" s="841"/>
      <c r="B323" s="764" t="s">
        <v>59</v>
      </c>
      <c r="C323" s="872"/>
      <c r="D323" s="873"/>
      <c r="E323" s="874"/>
      <c r="F323" s="875">
        <f>SUM(F321:F322)</f>
        <v>108.856</v>
      </c>
    </row>
    <row r="324" spans="1:2" ht="15.75" customHeight="1" thickBot="1">
      <c r="A324" s="841"/>
      <c r="B324" s="2"/>
    </row>
    <row r="325" spans="1:6" ht="15.75" customHeight="1">
      <c r="A325" s="903" t="s">
        <v>233</v>
      </c>
      <c r="B325" s="803" t="s">
        <v>126</v>
      </c>
      <c r="C325" s="866"/>
      <c r="D325" s="867"/>
      <c r="E325" s="868"/>
      <c r="F325" s="869"/>
    </row>
    <row r="326" spans="1:6" ht="15.75" customHeight="1">
      <c r="A326" s="896" t="s">
        <v>235</v>
      </c>
      <c r="B326" s="804" t="s">
        <v>258</v>
      </c>
      <c r="C326" s="826" t="s">
        <v>892</v>
      </c>
      <c r="D326" s="827">
        <v>6</v>
      </c>
      <c r="E326" s="828">
        <v>16.49</v>
      </c>
      <c r="F326" s="829">
        <f>E326*D326</f>
        <v>98.94</v>
      </c>
    </row>
    <row r="327" spans="1:6" ht="15.75" customHeight="1" thickBot="1">
      <c r="A327" s="886" t="s">
        <v>237</v>
      </c>
      <c r="B327" s="805" t="s">
        <v>259</v>
      </c>
      <c r="C327" s="833" t="s">
        <v>893</v>
      </c>
      <c r="D327" s="834">
        <v>0.95</v>
      </c>
      <c r="E327" s="835">
        <v>4.56</v>
      </c>
      <c r="F327" s="836">
        <f>E327*D327</f>
        <v>4.332</v>
      </c>
    </row>
    <row r="328" spans="1:6" ht="15.75" customHeight="1" thickBot="1">
      <c r="A328" s="841"/>
      <c r="B328" s="764" t="s">
        <v>59</v>
      </c>
      <c r="C328" s="872"/>
      <c r="D328" s="873"/>
      <c r="E328" s="874"/>
      <c r="F328" s="875">
        <f>SUM(F326:F327)</f>
        <v>103.27199999999999</v>
      </c>
    </row>
    <row r="329" spans="1:2" ht="15.75" customHeight="1" thickBot="1">
      <c r="A329" s="841"/>
      <c r="B329" s="2"/>
    </row>
    <row r="330" spans="1:6" ht="15.75" customHeight="1">
      <c r="A330" s="903" t="s">
        <v>240</v>
      </c>
      <c r="B330" s="803" t="s">
        <v>130</v>
      </c>
      <c r="C330" s="866"/>
      <c r="D330" s="867"/>
      <c r="E330" s="868"/>
      <c r="F330" s="869"/>
    </row>
    <row r="331" spans="1:6" ht="15.75" customHeight="1">
      <c r="A331" s="896" t="s">
        <v>119</v>
      </c>
      <c r="B331" s="804" t="s">
        <v>260</v>
      </c>
      <c r="C331" s="826" t="s">
        <v>17</v>
      </c>
      <c r="D331" s="827">
        <v>1</v>
      </c>
      <c r="E331" s="828">
        <v>80.91</v>
      </c>
      <c r="F331" s="829">
        <f>E331*D331</f>
        <v>80.91</v>
      </c>
    </row>
    <row r="332" spans="1:6" ht="15.75" customHeight="1">
      <c r="A332" s="896" t="s">
        <v>121</v>
      </c>
      <c r="B332" s="804" t="s">
        <v>261</v>
      </c>
      <c r="C332" s="826" t="s">
        <v>17</v>
      </c>
      <c r="D332" s="827">
        <v>1</v>
      </c>
      <c r="E332" s="828">
        <v>75.47</v>
      </c>
      <c r="F332" s="829">
        <f>E332*D332</f>
        <v>75.47</v>
      </c>
    </row>
    <row r="333" spans="1:6" ht="15.75" customHeight="1" thickBot="1">
      <c r="A333" s="886" t="s">
        <v>123</v>
      </c>
      <c r="B333" s="805" t="s">
        <v>262</v>
      </c>
      <c r="C333" s="833" t="s">
        <v>17</v>
      </c>
      <c r="D333" s="834">
        <v>1</v>
      </c>
      <c r="E333" s="835">
        <v>41.59</v>
      </c>
      <c r="F333" s="836">
        <f>E333*D333</f>
        <v>41.59</v>
      </c>
    </row>
    <row r="334" spans="1:6" ht="15.75" customHeight="1" thickBot="1">
      <c r="A334" s="841"/>
      <c r="B334" s="764" t="s">
        <v>59</v>
      </c>
      <c r="C334" s="872"/>
      <c r="D334" s="873"/>
      <c r="E334" s="874"/>
      <c r="F334" s="875">
        <f>SUM(F331:F333)</f>
        <v>197.97</v>
      </c>
    </row>
    <row r="335" spans="1:6" ht="15.75" customHeight="1" thickBot="1">
      <c r="A335" s="841"/>
      <c r="B335" s="764" t="s">
        <v>5</v>
      </c>
      <c r="C335" s="905"/>
      <c r="D335" s="906"/>
      <c r="E335" s="907"/>
      <c r="F335" s="908">
        <f>F334+F328+F323+F318+F315+F310+F307+F302+F299+F294</f>
        <v>2694.86</v>
      </c>
    </row>
    <row r="336" spans="1:2" ht="15.75" customHeight="1" thickBot="1">
      <c r="A336" s="841"/>
      <c r="B336" s="2"/>
    </row>
    <row r="337" spans="1:6" ht="15.75" customHeight="1" thickBot="1">
      <c r="A337" s="841"/>
      <c r="B337" s="909" t="s">
        <v>263</v>
      </c>
      <c r="C337" s="910"/>
      <c r="D337" s="911"/>
      <c r="E337" s="961">
        <f>F335+F286+F189+F75+F16</f>
        <v>75733.5202</v>
      </c>
      <c r="F337" s="962"/>
    </row>
    <row r="338" spans="1:2" ht="15.75" customHeight="1">
      <c r="A338" s="841"/>
      <c r="B338" s="2"/>
    </row>
    <row r="339" spans="1:2" ht="15.75" customHeight="1">
      <c r="A339" s="841"/>
      <c r="B339" s="7" t="s">
        <v>894</v>
      </c>
    </row>
    <row r="340" spans="1:2" ht="15.75" customHeight="1" thickBot="1">
      <c r="A340" s="841"/>
      <c r="B340" s="2"/>
    </row>
    <row r="341" spans="1:6" ht="26.25" thickBot="1">
      <c r="A341" s="841"/>
      <c r="B341" s="815" t="s">
        <v>3</v>
      </c>
      <c r="C341" s="583" t="s">
        <v>2</v>
      </c>
      <c r="D341" s="816" t="s">
        <v>1</v>
      </c>
      <c r="E341" s="817" t="s">
        <v>4</v>
      </c>
      <c r="F341" s="818" t="s">
        <v>5</v>
      </c>
    </row>
    <row r="342" spans="1:6" ht="15.75" customHeight="1">
      <c r="A342" s="903" t="s">
        <v>165</v>
      </c>
      <c r="B342" s="803" t="s">
        <v>6</v>
      </c>
      <c r="C342" s="866"/>
      <c r="D342" s="867"/>
      <c r="E342" s="868"/>
      <c r="F342" s="869"/>
    </row>
    <row r="343" spans="1:6" ht="15.75" customHeight="1">
      <c r="A343" s="896" t="s">
        <v>168</v>
      </c>
      <c r="B343" s="804" t="s">
        <v>14</v>
      </c>
      <c r="C343" s="826" t="s">
        <v>39</v>
      </c>
      <c r="D343" s="827">
        <v>1</v>
      </c>
      <c r="E343" s="828">
        <v>620.45</v>
      </c>
      <c r="F343" s="829">
        <f>E343*D343</f>
        <v>620.45</v>
      </c>
    </row>
    <row r="344" spans="1:6" ht="15.75" customHeight="1">
      <c r="A344" s="896" t="s">
        <v>169</v>
      </c>
      <c r="B344" s="804" t="s">
        <v>264</v>
      </c>
      <c r="C344" s="826" t="s">
        <v>17</v>
      </c>
      <c r="D344" s="827">
        <v>1</v>
      </c>
      <c r="E344" s="828">
        <v>148.63</v>
      </c>
      <c r="F344" s="829">
        <f aca="true" t="shared" si="5" ref="F344:F382">E344*D344</f>
        <v>148.63</v>
      </c>
    </row>
    <row r="345" spans="1:6" ht="15.75" customHeight="1">
      <c r="A345" s="896" t="s">
        <v>170</v>
      </c>
      <c r="B345" s="804" t="s">
        <v>265</v>
      </c>
      <c r="C345" s="826" t="s">
        <v>17</v>
      </c>
      <c r="D345" s="827">
        <v>1</v>
      </c>
      <c r="E345" s="828">
        <v>131.33</v>
      </c>
      <c r="F345" s="829">
        <f t="shared" si="5"/>
        <v>131.33</v>
      </c>
    </row>
    <row r="346" spans="1:6" ht="15.75" customHeight="1" thickBot="1">
      <c r="A346" s="886" t="s">
        <v>266</v>
      </c>
      <c r="B346" s="805" t="s">
        <v>19</v>
      </c>
      <c r="C346" s="833" t="s">
        <v>893</v>
      </c>
      <c r="D346" s="834">
        <v>25</v>
      </c>
      <c r="E346" s="835">
        <f>104.56/25</f>
        <v>4.1824</v>
      </c>
      <c r="F346" s="836">
        <f t="shared" si="5"/>
        <v>104.56</v>
      </c>
    </row>
    <row r="347" spans="1:6" ht="15.75" customHeight="1" thickBot="1">
      <c r="A347" s="841"/>
      <c r="B347" s="764" t="s">
        <v>59</v>
      </c>
      <c r="C347" s="872"/>
      <c r="D347" s="873"/>
      <c r="E347" s="874"/>
      <c r="F347" s="875">
        <f>SUM(F343:F346)</f>
        <v>1004.97</v>
      </c>
    </row>
    <row r="348" spans="1:2" ht="11.25" customHeight="1" thickBot="1">
      <c r="A348" s="841"/>
      <c r="B348" s="2"/>
    </row>
    <row r="349" spans="1:6" ht="15.75" customHeight="1">
      <c r="A349" s="903" t="s">
        <v>249</v>
      </c>
      <c r="B349" s="803" t="s">
        <v>267</v>
      </c>
      <c r="C349" s="866"/>
      <c r="D349" s="867"/>
      <c r="E349" s="868"/>
      <c r="F349" s="869"/>
    </row>
    <row r="350" spans="1:6" ht="15.75" customHeight="1">
      <c r="A350" s="896" t="s">
        <v>171</v>
      </c>
      <c r="B350" s="804" t="s">
        <v>7</v>
      </c>
      <c r="C350" s="826" t="s">
        <v>892</v>
      </c>
      <c r="D350" s="827">
        <v>40</v>
      </c>
      <c r="E350" s="828">
        <f>36.21/40</f>
        <v>0.90525</v>
      </c>
      <c r="F350" s="829">
        <f t="shared" si="5"/>
        <v>36.21</v>
      </c>
    </row>
    <row r="351" spans="1:6" ht="15.75" customHeight="1">
      <c r="A351" s="896" t="s">
        <v>172</v>
      </c>
      <c r="B351" s="804" t="s">
        <v>8</v>
      </c>
      <c r="C351" s="826" t="s">
        <v>892</v>
      </c>
      <c r="D351" s="827">
        <v>40</v>
      </c>
      <c r="E351" s="828">
        <f>28.98/40</f>
        <v>0.7245</v>
      </c>
      <c r="F351" s="829">
        <f t="shared" si="5"/>
        <v>28.98</v>
      </c>
    </row>
    <row r="352" spans="1:6" ht="15.75" customHeight="1" thickBot="1">
      <c r="A352" s="886" t="s">
        <v>268</v>
      </c>
      <c r="B352" s="805" t="s">
        <v>22</v>
      </c>
      <c r="C352" s="833" t="s">
        <v>892</v>
      </c>
      <c r="D352" s="834">
        <v>40</v>
      </c>
      <c r="E352" s="835">
        <f>13.05/40</f>
        <v>0.32625000000000004</v>
      </c>
      <c r="F352" s="836">
        <f t="shared" si="5"/>
        <v>13.05</v>
      </c>
    </row>
    <row r="353" spans="1:6" ht="15.75" customHeight="1" thickBot="1">
      <c r="A353" s="841"/>
      <c r="B353" s="764" t="s">
        <v>59</v>
      </c>
      <c r="C353" s="872"/>
      <c r="D353" s="873"/>
      <c r="E353" s="874"/>
      <c r="F353" s="875">
        <f>SUM(F350:F352)</f>
        <v>78.24</v>
      </c>
    </row>
    <row r="354" spans="1:2" ht="11.25" customHeight="1" thickBot="1">
      <c r="A354" s="841"/>
      <c r="B354" s="2"/>
    </row>
    <row r="355" spans="1:6" ht="15.75" customHeight="1">
      <c r="A355" s="903" t="s">
        <v>173</v>
      </c>
      <c r="B355" s="803" t="s">
        <v>56</v>
      </c>
      <c r="C355" s="866"/>
      <c r="D355" s="867"/>
      <c r="E355" s="868"/>
      <c r="F355" s="869"/>
    </row>
    <row r="356" spans="1:6" ht="15.75" customHeight="1">
      <c r="A356" s="896" t="s">
        <v>174</v>
      </c>
      <c r="B356" s="804" t="s">
        <v>250</v>
      </c>
      <c r="C356" s="826" t="s">
        <v>893</v>
      </c>
      <c r="D356" s="827">
        <v>7</v>
      </c>
      <c r="E356" s="828">
        <f>17.66/7</f>
        <v>2.5228571428571427</v>
      </c>
      <c r="F356" s="829">
        <f t="shared" si="5"/>
        <v>17.66</v>
      </c>
    </row>
    <row r="357" spans="1:6" ht="15.75" customHeight="1" thickBot="1">
      <c r="A357" s="886" t="s">
        <v>175</v>
      </c>
      <c r="B357" s="805" t="s">
        <v>58</v>
      </c>
      <c r="C357" s="833" t="s">
        <v>893</v>
      </c>
      <c r="D357" s="834">
        <v>6</v>
      </c>
      <c r="E357" s="835">
        <v>4.17</v>
      </c>
      <c r="F357" s="836">
        <f t="shared" si="5"/>
        <v>25.02</v>
      </c>
    </row>
    <row r="358" spans="1:6" ht="15.75" customHeight="1" thickBot="1">
      <c r="A358" s="841"/>
      <c r="B358" s="764" t="s">
        <v>59</v>
      </c>
      <c r="C358" s="872"/>
      <c r="D358" s="873"/>
      <c r="E358" s="874"/>
      <c r="F358" s="875">
        <f>SUM(F356:F357)</f>
        <v>42.68</v>
      </c>
    </row>
    <row r="359" spans="1:6" ht="8.25" customHeight="1" thickBot="1">
      <c r="A359" s="841"/>
      <c r="B359" s="2"/>
      <c r="F359" s="809"/>
    </row>
    <row r="360" spans="1:6" s="923" customFormat="1" ht="15.75" customHeight="1">
      <c r="A360" s="903" t="s">
        <v>177</v>
      </c>
      <c r="B360" s="803" t="s">
        <v>60</v>
      </c>
      <c r="C360" s="866"/>
      <c r="D360" s="867"/>
      <c r="E360" s="868"/>
      <c r="F360" s="869"/>
    </row>
    <row r="361" spans="1:6" ht="15.75" customHeight="1">
      <c r="A361" s="896" t="s">
        <v>178</v>
      </c>
      <c r="B361" s="804" t="s">
        <v>8</v>
      </c>
      <c r="C361" s="826" t="s">
        <v>892</v>
      </c>
      <c r="D361" s="827">
        <v>6</v>
      </c>
      <c r="E361" s="828">
        <f>4.35/6</f>
        <v>0.725</v>
      </c>
      <c r="F361" s="829">
        <f t="shared" si="5"/>
        <v>4.35</v>
      </c>
    </row>
    <row r="362" spans="1:6" ht="15.75" customHeight="1">
      <c r="A362" s="896" t="s">
        <v>180</v>
      </c>
      <c r="B362" s="804" t="s">
        <v>269</v>
      </c>
      <c r="C362" s="826" t="s">
        <v>34</v>
      </c>
      <c r="D362" s="827">
        <v>24</v>
      </c>
      <c r="E362" s="828">
        <f>2140.71/24</f>
        <v>89.19625</v>
      </c>
      <c r="F362" s="829">
        <f t="shared" si="5"/>
        <v>2140.71</v>
      </c>
    </row>
    <row r="363" spans="1:6" ht="15.75" customHeight="1">
      <c r="A363" s="896" t="s">
        <v>182</v>
      </c>
      <c r="B363" s="804" t="s">
        <v>270</v>
      </c>
      <c r="C363" s="826" t="s">
        <v>17</v>
      </c>
      <c r="D363" s="827">
        <v>12</v>
      </c>
      <c r="E363" s="828">
        <v>10.26</v>
      </c>
      <c r="F363" s="829">
        <f t="shared" si="5"/>
        <v>123.12</v>
      </c>
    </row>
    <row r="364" spans="1:6" ht="15.75" customHeight="1">
      <c r="A364" s="896" t="s">
        <v>183</v>
      </c>
      <c r="B364" s="804" t="s">
        <v>62</v>
      </c>
      <c r="C364" s="826" t="s">
        <v>893</v>
      </c>
      <c r="D364" s="827">
        <v>0.8</v>
      </c>
      <c r="E364" s="828">
        <v>128.87</v>
      </c>
      <c r="F364" s="829">
        <f t="shared" si="5"/>
        <v>103.096</v>
      </c>
    </row>
    <row r="365" spans="1:6" ht="15.75" customHeight="1" thickBot="1">
      <c r="A365" s="886" t="s">
        <v>185</v>
      </c>
      <c r="B365" s="805" t="s">
        <v>21</v>
      </c>
      <c r="C365" s="833" t="s">
        <v>893</v>
      </c>
      <c r="D365" s="834">
        <v>1</v>
      </c>
      <c r="E365" s="835">
        <v>50.36</v>
      </c>
      <c r="F365" s="836">
        <f t="shared" si="5"/>
        <v>50.36</v>
      </c>
    </row>
    <row r="366" spans="1:6" ht="15.75" customHeight="1" thickBot="1">
      <c r="A366" s="841"/>
      <c r="B366" s="761" t="s">
        <v>59</v>
      </c>
      <c r="C366" s="882"/>
      <c r="D366" s="883"/>
      <c r="E366" s="884"/>
      <c r="F366" s="924">
        <f>SUM(F361:F365)</f>
        <v>2421.636</v>
      </c>
    </row>
    <row r="367" spans="1:2" ht="9.75" customHeight="1" thickBot="1">
      <c r="A367" s="841"/>
      <c r="B367" s="2"/>
    </row>
    <row r="368" spans="1:6" ht="15.75" customHeight="1">
      <c r="A368" s="903" t="s">
        <v>187</v>
      </c>
      <c r="B368" s="803" t="s">
        <v>64</v>
      </c>
      <c r="C368" s="866"/>
      <c r="D368" s="867"/>
      <c r="E368" s="868"/>
      <c r="F368" s="869"/>
    </row>
    <row r="369" spans="1:6" ht="15.75" customHeight="1">
      <c r="A369" s="896" t="s">
        <v>188</v>
      </c>
      <c r="B369" s="804" t="s">
        <v>271</v>
      </c>
      <c r="C369" s="826" t="s">
        <v>893</v>
      </c>
      <c r="D369" s="827">
        <v>2</v>
      </c>
      <c r="E369" s="828">
        <v>263.63</v>
      </c>
      <c r="F369" s="829">
        <f t="shared" si="5"/>
        <v>527.26</v>
      </c>
    </row>
    <row r="370" spans="1:6" ht="15.75" customHeight="1" thickBot="1">
      <c r="A370" s="886" t="s">
        <v>189</v>
      </c>
      <c r="B370" s="805" t="s">
        <v>272</v>
      </c>
      <c r="C370" s="833" t="s">
        <v>893</v>
      </c>
      <c r="D370" s="834">
        <v>2</v>
      </c>
      <c r="E370" s="835">
        <v>226.8</v>
      </c>
      <c r="F370" s="836">
        <f t="shared" si="5"/>
        <v>453.6</v>
      </c>
    </row>
    <row r="371" spans="1:6" ht="15.75" customHeight="1" thickBot="1">
      <c r="A371" s="841"/>
      <c r="B371" s="764" t="s">
        <v>59</v>
      </c>
      <c r="C371" s="872"/>
      <c r="D371" s="873"/>
      <c r="E371" s="874"/>
      <c r="F371" s="875">
        <f>SUM(F369:F370)</f>
        <v>980.86</v>
      </c>
    </row>
    <row r="372" spans="1:2" ht="9" customHeight="1" thickBot="1">
      <c r="A372" s="841"/>
      <c r="B372" s="2"/>
    </row>
    <row r="373" spans="1:6" ht="15.75" customHeight="1">
      <c r="A373" s="903" t="s">
        <v>194</v>
      </c>
      <c r="B373" s="803" t="s">
        <v>86</v>
      </c>
      <c r="C373" s="866"/>
      <c r="D373" s="867"/>
      <c r="E373" s="868"/>
      <c r="F373" s="869"/>
    </row>
    <row r="374" spans="1:6" ht="15.75" customHeight="1" thickBot="1">
      <c r="A374" s="886" t="s">
        <v>195</v>
      </c>
      <c r="B374" s="805" t="s">
        <v>255</v>
      </c>
      <c r="C374" s="833" t="s">
        <v>892</v>
      </c>
      <c r="D374" s="834">
        <v>26</v>
      </c>
      <c r="E374" s="835">
        <v>49.1</v>
      </c>
      <c r="F374" s="893">
        <f t="shared" si="5"/>
        <v>1276.6000000000001</v>
      </c>
    </row>
    <row r="375" spans="1:2" ht="9" customHeight="1" thickBot="1">
      <c r="A375" s="841"/>
      <c r="B375" s="2"/>
    </row>
    <row r="376" spans="1:6" ht="15.75" customHeight="1">
      <c r="A376" s="903" t="s">
        <v>201</v>
      </c>
      <c r="B376" s="803" t="s">
        <v>144</v>
      </c>
      <c r="C376" s="866"/>
      <c r="D376" s="867"/>
      <c r="E376" s="868"/>
      <c r="F376" s="869"/>
    </row>
    <row r="377" spans="1:6" ht="15.75" customHeight="1" thickBot="1">
      <c r="A377" s="886" t="s">
        <v>203</v>
      </c>
      <c r="B377" s="805" t="s">
        <v>273</v>
      </c>
      <c r="C377" s="833" t="s">
        <v>892</v>
      </c>
      <c r="D377" s="834">
        <v>8</v>
      </c>
      <c r="E377" s="835">
        <f>473.97/8</f>
        <v>59.24625</v>
      </c>
      <c r="F377" s="893">
        <f t="shared" si="5"/>
        <v>473.97</v>
      </c>
    </row>
    <row r="378" spans="1:2" ht="9.75" customHeight="1" thickBot="1">
      <c r="A378" s="841"/>
      <c r="B378" s="2"/>
    </row>
    <row r="379" spans="1:6" ht="15.75" customHeight="1">
      <c r="A379" s="902" t="s">
        <v>218</v>
      </c>
      <c r="B379" s="800" t="s">
        <v>130</v>
      </c>
      <c r="C379" s="866"/>
      <c r="D379" s="867"/>
      <c r="E379" s="868"/>
      <c r="F379" s="869"/>
    </row>
    <row r="380" spans="1:6" ht="15.75" customHeight="1">
      <c r="A380" s="895" t="s">
        <v>219</v>
      </c>
      <c r="B380" s="799" t="s">
        <v>274</v>
      </c>
      <c r="C380" s="826" t="s">
        <v>34</v>
      </c>
      <c r="D380" s="827">
        <v>14</v>
      </c>
      <c r="E380" s="828">
        <v>64.05</v>
      </c>
      <c r="F380" s="829">
        <f t="shared" si="5"/>
        <v>896.6999999999999</v>
      </c>
    </row>
    <row r="381" spans="1:6" ht="15.75" customHeight="1">
      <c r="A381" s="895" t="s">
        <v>220</v>
      </c>
      <c r="B381" s="799" t="s">
        <v>275</v>
      </c>
      <c r="C381" s="826" t="s">
        <v>34</v>
      </c>
      <c r="D381" s="827">
        <v>28</v>
      </c>
      <c r="E381" s="828">
        <f>1762.65/28</f>
        <v>62.95178571428572</v>
      </c>
      <c r="F381" s="829">
        <f t="shared" si="5"/>
        <v>1762.65</v>
      </c>
    </row>
    <row r="382" spans="1:6" ht="15.75" customHeight="1" thickBot="1">
      <c r="A382" s="885" t="s">
        <v>222</v>
      </c>
      <c r="B382" s="801" t="s">
        <v>29</v>
      </c>
      <c r="C382" s="833" t="s">
        <v>892</v>
      </c>
      <c r="D382" s="834">
        <v>20</v>
      </c>
      <c r="E382" s="835">
        <v>52.57</v>
      </c>
      <c r="F382" s="836">
        <f t="shared" si="5"/>
        <v>1051.4</v>
      </c>
    </row>
    <row r="383" spans="1:6" ht="15.75" customHeight="1" thickBot="1">
      <c r="A383" s="841"/>
      <c r="B383" s="764" t="s">
        <v>59</v>
      </c>
      <c r="C383" s="872"/>
      <c r="D383" s="873"/>
      <c r="E383" s="874"/>
      <c r="F383" s="875">
        <f>SUM(F380:F382)</f>
        <v>3710.75</v>
      </c>
    </row>
    <row r="384" spans="1:2" ht="15.75" customHeight="1" thickBot="1">
      <c r="A384" s="841"/>
      <c r="B384" s="2"/>
    </row>
    <row r="385" spans="1:6" ht="15.75" customHeight="1">
      <c r="A385" s="903" t="s">
        <v>233</v>
      </c>
      <c r="B385" s="803" t="s">
        <v>276</v>
      </c>
      <c r="C385" s="866"/>
      <c r="D385" s="867"/>
      <c r="E385" s="868"/>
      <c r="F385" s="869"/>
    </row>
    <row r="386" spans="1:6" ht="15.75" customHeight="1">
      <c r="A386" s="896" t="s">
        <v>235</v>
      </c>
      <c r="B386" s="804" t="s">
        <v>277</v>
      </c>
      <c r="C386" s="826" t="s">
        <v>892</v>
      </c>
      <c r="D386" s="827">
        <v>9</v>
      </c>
      <c r="E386" s="828">
        <f>772.05/9</f>
        <v>85.78333333333333</v>
      </c>
      <c r="F386" s="829">
        <f aca="true" t="shared" si="6" ref="F386:F395">E386*D386</f>
        <v>772.05</v>
      </c>
    </row>
    <row r="387" spans="1:6" s="843" customFormat="1" ht="31.5" customHeight="1">
      <c r="A387" s="904" t="s">
        <v>237</v>
      </c>
      <c r="B387" s="891" t="s">
        <v>278</v>
      </c>
      <c r="C387" s="887" t="s">
        <v>34</v>
      </c>
      <c r="D387" s="888">
        <v>60</v>
      </c>
      <c r="E387" s="889">
        <f>5351.77/60</f>
        <v>89.19616666666667</v>
      </c>
      <c r="F387" s="890">
        <f t="shared" si="6"/>
        <v>5351.77</v>
      </c>
    </row>
    <row r="388" spans="1:6" ht="15.75" customHeight="1">
      <c r="A388" s="896" t="s">
        <v>239</v>
      </c>
      <c r="B388" s="804" t="s">
        <v>279</v>
      </c>
      <c r="C388" s="826" t="s">
        <v>34</v>
      </c>
      <c r="D388" s="827">
        <v>15</v>
      </c>
      <c r="E388" s="828">
        <v>187.5</v>
      </c>
      <c r="F388" s="890">
        <f t="shared" si="6"/>
        <v>2812.5</v>
      </c>
    </row>
    <row r="389" spans="1:6" ht="15.75" customHeight="1">
      <c r="A389" s="896" t="s">
        <v>280</v>
      </c>
      <c r="B389" s="804" t="s">
        <v>270</v>
      </c>
      <c r="C389" s="826" t="s">
        <v>17</v>
      </c>
      <c r="D389" s="827">
        <v>4</v>
      </c>
      <c r="E389" s="828">
        <v>10.26</v>
      </c>
      <c r="F389" s="890">
        <f t="shared" si="6"/>
        <v>41.04</v>
      </c>
    </row>
    <row r="390" spans="1:6" ht="15.75" customHeight="1">
      <c r="A390" s="896" t="s">
        <v>281</v>
      </c>
      <c r="B390" s="804" t="s">
        <v>282</v>
      </c>
      <c r="C390" s="826" t="s">
        <v>17</v>
      </c>
      <c r="D390" s="827">
        <v>10</v>
      </c>
      <c r="E390" s="828">
        <v>410.75</v>
      </c>
      <c r="F390" s="890">
        <f t="shared" si="6"/>
        <v>4107.5</v>
      </c>
    </row>
    <row r="391" spans="1:6" ht="15.75" customHeight="1">
      <c r="A391" s="896" t="s">
        <v>283</v>
      </c>
      <c r="B391" s="804" t="s">
        <v>284</v>
      </c>
      <c r="C391" s="826" t="s">
        <v>34</v>
      </c>
      <c r="D391" s="827">
        <v>18</v>
      </c>
      <c r="E391" s="828">
        <f>1146.57/18</f>
        <v>63.69833333333333</v>
      </c>
      <c r="F391" s="890">
        <f t="shared" si="6"/>
        <v>1146.57</v>
      </c>
    </row>
    <row r="392" spans="1:6" ht="15.75" customHeight="1">
      <c r="A392" s="896" t="s">
        <v>285</v>
      </c>
      <c r="B392" s="804" t="s">
        <v>286</v>
      </c>
      <c r="C392" s="826" t="s">
        <v>892</v>
      </c>
      <c r="D392" s="827">
        <v>17.5</v>
      </c>
      <c r="E392" s="828">
        <f>1174.9/17.5</f>
        <v>67.13714285714286</v>
      </c>
      <c r="F392" s="890">
        <f t="shared" si="6"/>
        <v>1174.9</v>
      </c>
    </row>
    <row r="393" spans="1:6" ht="15.75" customHeight="1">
      <c r="A393" s="896" t="s">
        <v>287</v>
      </c>
      <c r="B393" s="804" t="s">
        <v>288</v>
      </c>
      <c r="C393" s="826" t="s">
        <v>34</v>
      </c>
      <c r="D393" s="827">
        <v>12</v>
      </c>
      <c r="E393" s="828">
        <v>132.46</v>
      </c>
      <c r="F393" s="890">
        <f t="shared" si="6"/>
        <v>1589.52</v>
      </c>
    </row>
    <row r="394" spans="1:6" s="843" customFormat="1" ht="31.5" customHeight="1">
      <c r="A394" s="904" t="s">
        <v>289</v>
      </c>
      <c r="B394" s="891" t="s">
        <v>290</v>
      </c>
      <c r="C394" s="887" t="s">
        <v>17</v>
      </c>
      <c r="D394" s="888">
        <v>12</v>
      </c>
      <c r="E394" s="889">
        <v>280.9</v>
      </c>
      <c r="F394" s="890">
        <f>E394*D394</f>
        <v>3370.7999999999997</v>
      </c>
    </row>
    <row r="395" spans="1:6" s="843" customFormat="1" ht="31.5" customHeight="1" thickBot="1">
      <c r="A395" s="921" t="s">
        <v>112</v>
      </c>
      <c r="B395" s="920" t="s">
        <v>291</v>
      </c>
      <c r="C395" s="916" t="s">
        <v>39</v>
      </c>
      <c r="D395" s="917">
        <v>1</v>
      </c>
      <c r="E395" s="918">
        <v>699.61</v>
      </c>
      <c r="F395" s="919">
        <f t="shared" si="6"/>
        <v>699.61</v>
      </c>
    </row>
    <row r="396" spans="1:6" ht="15.75" customHeight="1" thickBot="1">
      <c r="A396" s="841"/>
      <c r="B396" s="764" t="s">
        <v>59</v>
      </c>
      <c r="C396" s="872"/>
      <c r="D396" s="873"/>
      <c r="E396" s="874"/>
      <c r="F396" s="922">
        <f>SUM(F386:F395)</f>
        <v>21066.26</v>
      </c>
    </row>
    <row r="397" spans="1:6" ht="15.75" customHeight="1" thickBot="1">
      <c r="A397" s="841"/>
      <c r="B397" s="909" t="s">
        <v>349</v>
      </c>
      <c r="C397" s="910"/>
      <c r="D397" s="911"/>
      <c r="E397" s="963">
        <f>F396+F383+F377+F374+F371+F358+F353+F347+F366</f>
        <v>31055.966</v>
      </c>
      <c r="F397" s="964"/>
    </row>
    <row r="398" spans="1:6" ht="15.75" customHeight="1">
      <c r="A398" s="841"/>
      <c r="B398" s="2"/>
      <c r="F398" s="842" t="s">
        <v>292</v>
      </c>
    </row>
    <row r="399" spans="1:6" ht="15.75" customHeight="1">
      <c r="A399" s="841"/>
      <c r="B399" s="7" t="s">
        <v>896</v>
      </c>
      <c r="F399" s="842"/>
    </row>
    <row r="400" spans="1:6" ht="15.75" customHeight="1" thickBot="1">
      <c r="A400" s="841"/>
      <c r="B400" s="2"/>
      <c r="F400" s="842"/>
    </row>
    <row r="401" spans="1:6" ht="26.25" thickBot="1">
      <c r="A401" s="841"/>
      <c r="B401" s="815" t="s">
        <v>3</v>
      </c>
      <c r="C401" s="583" t="s">
        <v>2</v>
      </c>
      <c r="D401" s="816" t="s">
        <v>1</v>
      </c>
      <c r="E401" s="817" t="s">
        <v>4</v>
      </c>
      <c r="F401" s="818" t="s">
        <v>5</v>
      </c>
    </row>
    <row r="402" spans="1:6" ht="15.75" customHeight="1">
      <c r="A402" s="903" t="s">
        <v>165</v>
      </c>
      <c r="B402" s="803" t="s">
        <v>6</v>
      </c>
      <c r="C402" s="866"/>
      <c r="D402" s="867"/>
      <c r="E402" s="868"/>
      <c r="F402" s="925"/>
    </row>
    <row r="403" spans="1:6" ht="15.75" customHeight="1">
      <c r="A403" s="896" t="s">
        <v>168</v>
      </c>
      <c r="B403" s="804" t="s">
        <v>14</v>
      </c>
      <c r="C403" s="826" t="s">
        <v>39</v>
      </c>
      <c r="D403" s="827">
        <v>1</v>
      </c>
      <c r="E403" s="828">
        <v>878.04</v>
      </c>
      <c r="F403" s="829">
        <f>E403*D403</f>
        <v>878.04</v>
      </c>
    </row>
    <row r="404" spans="1:6" ht="15.75" customHeight="1">
      <c r="A404" s="896" t="s">
        <v>169</v>
      </c>
      <c r="B404" s="804" t="s">
        <v>16</v>
      </c>
      <c r="C404" s="826" t="s">
        <v>17</v>
      </c>
      <c r="D404" s="827">
        <v>1</v>
      </c>
      <c r="E404" s="828">
        <v>153.51</v>
      </c>
      <c r="F404" s="829">
        <f>E404*D404</f>
        <v>153.51</v>
      </c>
    </row>
    <row r="405" spans="1:6" ht="15.75" customHeight="1">
      <c r="A405" s="896" t="s">
        <v>170</v>
      </c>
      <c r="B405" s="804" t="s">
        <v>18</v>
      </c>
      <c r="C405" s="826" t="s">
        <v>17</v>
      </c>
      <c r="D405" s="827">
        <v>1</v>
      </c>
      <c r="E405" s="828">
        <v>123.59</v>
      </c>
      <c r="F405" s="829">
        <f>E405*D405</f>
        <v>123.59</v>
      </c>
    </row>
    <row r="406" spans="1:6" ht="15.75" customHeight="1" thickBot="1">
      <c r="A406" s="886" t="s">
        <v>266</v>
      </c>
      <c r="B406" s="805" t="s">
        <v>19</v>
      </c>
      <c r="C406" s="833" t="s">
        <v>893</v>
      </c>
      <c r="D406" s="834">
        <v>10</v>
      </c>
      <c r="E406" s="835">
        <v>4.01</v>
      </c>
      <c r="F406" s="836">
        <f>E406*D406</f>
        <v>40.099999999999994</v>
      </c>
    </row>
    <row r="407" spans="1:6" ht="15.75" customHeight="1" thickBot="1">
      <c r="A407" s="841"/>
      <c r="B407" s="764" t="s">
        <v>59</v>
      </c>
      <c r="C407" s="872"/>
      <c r="D407" s="873"/>
      <c r="E407" s="874"/>
      <c r="F407" s="875">
        <f>SUM(F403:F406)</f>
        <v>1195.2399999999998</v>
      </c>
    </row>
    <row r="408" spans="1:2" ht="15.75" customHeight="1" thickBot="1">
      <c r="A408" s="841"/>
      <c r="B408" s="2"/>
    </row>
    <row r="409" spans="1:6" ht="15.75" customHeight="1">
      <c r="A409" s="903" t="s">
        <v>249</v>
      </c>
      <c r="B409" s="803" t="s">
        <v>267</v>
      </c>
      <c r="C409" s="866"/>
      <c r="D409" s="867"/>
      <c r="E409" s="868"/>
      <c r="F409" s="869"/>
    </row>
    <row r="410" spans="1:6" ht="15.75" customHeight="1">
      <c r="A410" s="896" t="s">
        <v>171</v>
      </c>
      <c r="B410" s="804" t="s">
        <v>7</v>
      </c>
      <c r="C410" s="826" t="s">
        <v>892</v>
      </c>
      <c r="D410" s="827">
        <v>700</v>
      </c>
      <c r="E410" s="828">
        <v>0.95</v>
      </c>
      <c r="F410" s="829">
        <f>E410*D410</f>
        <v>665</v>
      </c>
    </row>
    <row r="411" spans="1:6" ht="15.75" customHeight="1">
      <c r="A411" s="896" t="s">
        <v>172</v>
      </c>
      <c r="B411" s="804" t="s">
        <v>8</v>
      </c>
      <c r="C411" s="826" t="s">
        <v>892</v>
      </c>
      <c r="D411" s="827">
        <v>3000</v>
      </c>
      <c r="E411" s="828">
        <v>0.71</v>
      </c>
      <c r="F411" s="829">
        <f>E411*D411</f>
        <v>2130</v>
      </c>
    </row>
    <row r="412" spans="1:6" ht="15.75" customHeight="1" thickBot="1">
      <c r="A412" s="886" t="s">
        <v>268</v>
      </c>
      <c r="B412" s="805" t="s">
        <v>22</v>
      </c>
      <c r="C412" s="833" t="s">
        <v>892</v>
      </c>
      <c r="D412" s="834">
        <v>700</v>
      </c>
      <c r="E412" s="835">
        <v>0.32</v>
      </c>
      <c r="F412" s="836">
        <f>E412*D412</f>
        <v>224</v>
      </c>
    </row>
    <row r="413" spans="1:6" ht="15.75" customHeight="1" thickBot="1">
      <c r="A413" s="841"/>
      <c r="B413" s="764" t="s">
        <v>59</v>
      </c>
      <c r="C413" s="872"/>
      <c r="D413" s="873"/>
      <c r="E413" s="874"/>
      <c r="F413" s="875">
        <f>SUM(F410:F412)</f>
        <v>3019</v>
      </c>
    </row>
    <row r="414" spans="1:2" ht="15.75" customHeight="1" thickBot="1">
      <c r="A414" s="841"/>
      <c r="B414" s="2"/>
    </row>
    <row r="415" spans="1:6" ht="15.75" customHeight="1">
      <c r="A415" s="902" t="s">
        <v>173</v>
      </c>
      <c r="B415" s="800" t="s">
        <v>56</v>
      </c>
      <c r="C415" s="866"/>
      <c r="D415" s="867"/>
      <c r="E415" s="868"/>
      <c r="F415" s="869"/>
    </row>
    <row r="416" spans="1:6" ht="15.75" customHeight="1">
      <c r="A416" s="895" t="s">
        <v>174</v>
      </c>
      <c r="B416" s="799" t="s">
        <v>250</v>
      </c>
      <c r="C416" s="826" t="s">
        <v>893</v>
      </c>
      <c r="D416" s="827">
        <v>12</v>
      </c>
      <c r="E416" s="828">
        <v>2.84</v>
      </c>
      <c r="F416" s="829">
        <f>E416*D416</f>
        <v>34.08</v>
      </c>
    </row>
    <row r="417" spans="1:6" ht="15.75" customHeight="1" thickBot="1">
      <c r="A417" s="885" t="s">
        <v>175</v>
      </c>
      <c r="B417" s="801" t="s">
        <v>58</v>
      </c>
      <c r="C417" s="833" t="s">
        <v>893</v>
      </c>
      <c r="D417" s="834">
        <v>120</v>
      </c>
      <c r="E417" s="835">
        <v>4.71</v>
      </c>
      <c r="F417" s="836">
        <f>E417*D417</f>
        <v>565.2</v>
      </c>
    </row>
    <row r="418" spans="1:6" ht="15.75" customHeight="1" thickBot="1">
      <c r="A418" s="841"/>
      <c r="B418" s="764" t="s">
        <v>59</v>
      </c>
      <c r="C418" s="872"/>
      <c r="D418" s="873"/>
      <c r="E418" s="874"/>
      <c r="F418" s="875">
        <f>SUM(F416:F417)</f>
        <v>599.2800000000001</v>
      </c>
    </row>
    <row r="419" spans="1:2" ht="15.75" customHeight="1" thickBot="1">
      <c r="A419" s="841"/>
      <c r="B419" s="2"/>
    </row>
    <row r="420" spans="1:6" ht="15.75" customHeight="1">
      <c r="A420" s="903" t="s">
        <v>177</v>
      </c>
      <c r="B420" s="803" t="s">
        <v>60</v>
      </c>
      <c r="C420" s="866"/>
      <c r="D420" s="867"/>
      <c r="E420" s="868"/>
      <c r="F420" s="869"/>
    </row>
    <row r="421" spans="1:6" ht="15.75" customHeight="1">
      <c r="A421" s="896" t="s">
        <v>178</v>
      </c>
      <c r="B421" s="804" t="s">
        <v>293</v>
      </c>
      <c r="C421" s="826" t="s">
        <v>34</v>
      </c>
      <c r="D421" s="827">
        <v>11</v>
      </c>
      <c r="E421" s="828">
        <v>62.58</v>
      </c>
      <c r="F421" s="829">
        <f>E421*D421</f>
        <v>688.38</v>
      </c>
    </row>
    <row r="422" spans="1:6" s="845" customFormat="1" ht="31.5">
      <c r="A422" s="930" t="s">
        <v>180</v>
      </c>
      <c r="B422" s="891" t="s">
        <v>294</v>
      </c>
      <c r="C422" s="926" t="s">
        <v>34</v>
      </c>
      <c r="D422" s="927">
        <v>250</v>
      </c>
      <c r="E422" s="928">
        <v>79.06</v>
      </c>
      <c r="F422" s="929">
        <f>E422*D422</f>
        <v>19765</v>
      </c>
    </row>
    <row r="423" spans="1:6" ht="15.75" customHeight="1">
      <c r="A423" s="896" t="s">
        <v>182</v>
      </c>
      <c r="B423" s="804" t="s">
        <v>270</v>
      </c>
      <c r="C423" s="826" t="s">
        <v>17</v>
      </c>
      <c r="D423" s="827">
        <v>180</v>
      </c>
      <c r="E423" s="828">
        <v>10.29</v>
      </c>
      <c r="F423" s="829">
        <f>E423*D423</f>
        <v>1852.1999999999998</v>
      </c>
    </row>
    <row r="424" spans="1:6" ht="15.75" customHeight="1" thickBot="1">
      <c r="A424" s="886" t="s">
        <v>183</v>
      </c>
      <c r="B424" s="805" t="s">
        <v>295</v>
      </c>
      <c r="C424" s="833" t="s">
        <v>893</v>
      </c>
      <c r="D424" s="834">
        <v>20</v>
      </c>
      <c r="E424" s="835">
        <v>92.39</v>
      </c>
      <c r="F424" s="836">
        <f>E424*D424</f>
        <v>1847.8</v>
      </c>
    </row>
    <row r="425" spans="1:6" ht="15.75" customHeight="1" thickBot="1">
      <c r="A425" s="841"/>
      <c r="B425" s="764" t="s">
        <v>59</v>
      </c>
      <c r="C425" s="872"/>
      <c r="D425" s="873"/>
      <c r="E425" s="874"/>
      <c r="F425" s="875">
        <f>SUM(F421:F424)</f>
        <v>24153.38</v>
      </c>
    </row>
    <row r="426" spans="1:2" ht="15.75" customHeight="1" thickBot="1">
      <c r="A426" s="841"/>
      <c r="B426" s="2"/>
    </row>
    <row r="427" spans="1:6" ht="15.75" customHeight="1">
      <c r="A427" s="903" t="s">
        <v>187</v>
      </c>
      <c r="B427" s="803" t="s">
        <v>64</v>
      </c>
      <c r="C427" s="866"/>
      <c r="D427" s="867"/>
      <c r="E427" s="868"/>
      <c r="F427" s="869"/>
    </row>
    <row r="428" spans="1:6" s="843" customFormat="1" ht="31.5">
      <c r="A428" s="904" t="s">
        <v>188</v>
      </c>
      <c r="B428" s="891" t="s">
        <v>296</v>
      </c>
      <c r="C428" s="887" t="s">
        <v>17</v>
      </c>
      <c r="D428" s="888">
        <v>65</v>
      </c>
      <c r="E428" s="889">
        <v>50.69</v>
      </c>
      <c r="F428" s="890">
        <f>E428*D428</f>
        <v>3294.85</v>
      </c>
    </row>
    <row r="429" spans="1:6" s="843" customFormat="1" ht="32.25" thickBot="1">
      <c r="A429" s="921" t="s">
        <v>189</v>
      </c>
      <c r="B429" s="920" t="s">
        <v>297</v>
      </c>
      <c r="C429" s="916" t="s">
        <v>17</v>
      </c>
      <c r="D429" s="917">
        <v>5</v>
      </c>
      <c r="E429" s="918">
        <v>102.16</v>
      </c>
      <c r="F429" s="919">
        <f>E429*D429</f>
        <v>510.79999999999995</v>
      </c>
    </row>
    <row r="430" spans="1:6" ht="15.75" customHeight="1" thickBot="1">
      <c r="A430" s="841"/>
      <c r="B430" s="764" t="s">
        <v>59</v>
      </c>
      <c r="C430" s="872"/>
      <c r="D430" s="873"/>
      <c r="E430" s="874"/>
      <c r="F430" s="875">
        <f>SUM(F428:F429)</f>
        <v>3805.6499999999996</v>
      </c>
    </row>
    <row r="431" spans="1:2" ht="12" customHeight="1" thickBot="1">
      <c r="A431" s="841"/>
      <c r="B431" s="2"/>
    </row>
    <row r="432" spans="1:6" ht="15.75" customHeight="1">
      <c r="A432" s="903" t="s">
        <v>194</v>
      </c>
      <c r="B432" s="803" t="s">
        <v>130</v>
      </c>
      <c r="C432" s="866"/>
      <c r="D432" s="867"/>
      <c r="E432" s="868"/>
      <c r="F432" s="869"/>
    </row>
    <row r="433" spans="1:6" ht="15.75" customHeight="1">
      <c r="A433" s="896" t="s">
        <v>195</v>
      </c>
      <c r="B433" s="804" t="s">
        <v>29</v>
      </c>
      <c r="C433" s="826" t="s">
        <v>892</v>
      </c>
      <c r="D433" s="827">
        <v>150</v>
      </c>
      <c r="E433" s="828">
        <v>71.89</v>
      </c>
      <c r="F433" s="829">
        <f>E433*D433</f>
        <v>10783.5</v>
      </c>
    </row>
    <row r="434" spans="1:6" ht="15.75" customHeight="1">
      <c r="A434" s="896" t="s">
        <v>197</v>
      </c>
      <c r="B434" s="804" t="s">
        <v>298</v>
      </c>
      <c r="C434" s="826" t="s">
        <v>17</v>
      </c>
      <c r="D434" s="827">
        <v>6</v>
      </c>
      <c r="E434" s="828">
        <v>47.2</v>
      </c>
      <c r="F434" s="829">
        <f>E434*D434</f>
        <v>283.20000000000005</v>
      </c>
    </row>
    <row r="435" spans="1:6" ht="15.75" customHeight="1" thickBot="1">
      <c r="A435" s="886" t="s">
        <v>198</v>
      </c>
      <c r="B435" s="805" t="s">
        <v>299</v>
      </c>
      <c r="C435" s="833" t="s">
        <v>39</v>
      </c>
      <c r="D435" s="834">
        <v>1</v>
      </c>
      <c r="E435" s="835">
        <v>80.3</v>
      </c>
      <c r="F435" s="836">
        <f>E435*D435</f>
        <v>80.3</v>
      </c>
    </row>
    <row r="436" spans="1:6" ht="15.75" customHeight="1" thickBot="1">
      <c r="A436" s="841"/>
      <c r="B436" s="764" t="s">
        <v>59</v>
      </c>
      <c r="C436" s="872"/>
      <c r="D436" s="873"/>
      <c r="E436" s="874"/>
      <c r="F436" s="875">
        <f>SUM(F433:F435)</f>
        <v>11147</v>
      </c>
    </row>
    <row r="437" spans="1:2" ht="15.75" customHeight="1" thickBot="1">
      <c r="A437" s="841"/>
      <c r="B437" s="2"/>
    </row>
    <row r="438" spans="1:6" ht="15.75" customHeight="1">
      <c r="A438" s="903" t="s">
        <v>201</v>
      </c>
      <c r="B438" s="803" t="s">
        <v>300</v>
      </c>
      <c r="C438" s="866"/>
      <c r="D438" s="867"/>
      <c r="E438" s="868"/>
      <c r="F438" s="869"/>
    </row>
    <row r="439" spans="1:6" ht="16.5" customHeight="1" thickBot="1">
      <c r="A439" s="886" t="s">
        <v>203</v>
      </c>
      <c r="B439" s="805" t="s">
        <v>301</v>
      </c>
      <c r="C439" s="833" t="s">
        <v>34</v>
      </c>
      <c r="D439" s="834">
        <v>500</v>
      </c>
      <c r="E439" s="835">
        <v>10.64</v>
      </c>
      <c r="F439" s="893">
        <f>E439*D439</f>
        <v>5320</v>
      </c>
    </row>
    <row r="440" spans="1:6" ht="12.75" customHeight="1" thickBot="1">
      <c r="A440" s="841"/>
      <c r="B440" s="2"/>
      <c r="F440" s="809"/>
    </row>
    <row r="441" spans="1:6" ht="15.75" customHeight="1" thickBot="1">
      <c r="A441" s="841"/>
      <c r="B441" s="909" t="s">
        <v>350</v>
      </c>
      <c r="C441" s="910"/>
      <c r="D441" s="911"/>
      <c r="E441" s="965">
        <f>F439+F430+F425+F418+F413+F407+F436</f>
        <v>49239.549999999996</v>
      </c>
      <c r="F441" s="962"/>
    </row>
    <row r="442" spans="1:2" ht="15.75" customHeight="1">
      <c r="A442" s="841"/>
      <c r="B442" s="2"/>
    </row>
    <row r="443" spans="1:2" ht="15.75" customHeight="1">
      <c r="A443" s="841"/>
      <c r="B443" s="7" t="s">
        <v>895</v>
      </c>
    </row>
    <row r="444" spans="1:2" ht="15.75" customHeight="1" thickBot="1">
      <c r="A444" s="841"/>
      <c r="B444" s="2"/>
    </row>
    <row r="445" spans="1:6" ht="26.25" thickBot="1">
      <c r="A445" s="841"/>
      <c r="B445" s="815" t="s">
        <v>3</v>
      </c>
      <c r="C445" s="583" t="s">
        <v>2</v>
      </c>
      <c r="D445" s="816" t="s">
        <v>1</v>
      </c>
      <c r="E445" s="817" t="s">
        <v>4</v>
      </c>
      <c r="F445" s="818" t="s">
        <v>5</v>
      </c>
    </row>
    <row r="446" spans="1:6" ht="15.75" customHeight="1">
      <c r="A446" s="820">
        <v>1</v>
      </c>
      <c r="B446" s="803" t="s">
        <v>316</v>
      </c>
      <c r="C446" s="866"/>
      <c r="D446" s="867"/>
      <c r="E446" s="868"/>
      <c r="F446" s="869"/>
    </row>
    <row r="447" spans="1:6" ht="15.75" customHeight="1">
      <c r="A447" s="825" t="s">
        <v>168</v>
      </c>
      <c r="B447" s="804" t="s">
        <v>302</v>
      </c>
      <c r="C447" s="826" t="s">
        <v>892</v>
      </c>
      <c r="D447" s="827">
        <v>24</v>
      </c>
      <c r="E447" s="828">
        <f>E11</f>
        <v>0.724505928853755</v>
      </c>
      <c r="F447" s="829">
        <f>E447*D447</f>
        <v>17.38814229249012</v>
      </c>
    </row>
    <row r="448" spans="1:6" ht="15.75" customHeight="1">
      <c r="A448" s="825" t="s">
        <v>169</v>
      </c>
      <c r="B448" s="804" t="s">
        <v>303</v>
      </c>
      <c r="C448" s="826" t="s">
        <v>893</v>
      </c>
      <c r="D448" s="827">
        <v>9.72</v>
      </c>
      <c r="E448" s="828">
        <f>E13</f>
        <v>11.90283870967742</v>
      </c>
      <c r="F448" s="829">
        <f aca="true" t="shared" si="7" ref="F448:F458">E448*D448</f>
        <v>115.69559225806454</v>
      </c>
    </row>
    <row r="449" spans="1:6" ht="15.75" customHeight="1">
      <c r="A449" s="825" t="s">
        <v>170</v>
      </c>
      <c r="B449" s="804" t="s">
        <v>304</v>
      </c>
      <c r="C449" s="826" t="s">
        <v>893</v>
      </c>
      <c r="D449" s="827">
        <v>1.44</v>
      </c>
      <c r="E449" s="828">
        <f>E206</f>
        <v>128.87</v>
      </c>
      <c r="F449" s="829">
        <f t="shared" si="7"/>
        <v>185.5728</v>
      </c>
    </row>
    <row r="450" spans="1:6" ht="15.75" customHeight="1">
      <c r="A450" s="825" t="s">
        <v>266</v>
      </c>
      <c r="B450" s="804" t="s">
        <v>324</v>
      </c>
      <c r="C450" s="826" t="s">
        <v>893</v>
      </c>
      <c r="D450" s="827">
        <v>1.08</v>
      </c>
      <c r="E450" s="828">
        <f>E92/2</f>
        <v>95.115</v>
      </c>
      <c r="F450" s="829">
        <f t="shared" si="7"/>
        <v>102.7242</v>
      </c>
    </row>
    <row r="451" spans="1:6" ht="15.75" customHeight="1">
      <c r="A451" s="831" t="s">
        <v>305</v>
      </c>
      <c r="B451" s="804" t="s">
        <v>325</v>
      </c>
      <c r="C451" s="826" t="s">
        <v>893</v>
      </c>
      <c r="D451" s="827">
        <v>0.55</v>
      </c>
      <c r="E451" s="828">
        <f>E92/2</f>
        <v>95.115</v>
      </c>
      <c r="F451" s="829">
        <f t="shared" si="7"/>
        <v>52.313250000000004</v>
      </c>
    </row>
    <row r="452" spans="1:6" ht="15.75" customHeight="1">
      <c r="A452" s="831" t="s">
        <v>306</v>
      </c>
      <c r="B452" s="804" t="s">
        <v>326</v>
      </c>
      <c r="C452" s="826" t="s">
        <v>893</v>
      </c>
      <c r="D452" s="827">
        <v>0.72</v>
      </c>
      <c r="E452" s="828">
        <f>E100</f>
        <v>226.8</v>
      </c>
      <c r="F452" s="829">
        <f t="shared" si="7"/>
        <v>163.296</v>
      </c>
    </row>
    <row r="453" spans="1:6" ht="15.75" customHeight="1">
      <c r="A453" s="896" t="s">
        <v>307</v>
      </c>
      <c r="B453" s="804" t="s">
        <v>327</v>
      </c>
      <c r="C453" s="826" t="s">
        <v>893</v>
      </c>
      <c r="D453" s="827">
        <v>0.74</v>
      </c>
      <c r="E453" s="828">
        <f>E101</f>
        <v>223.77</v>
      </c>
      <c r="F453" s="829">
        <f t="shared" si="7"/>
        <v>165.5898</v>
      </c>
    </row>
    <row r="454" spans="1:6" ht="15.75" customHeight="1">
      <c r="A454" s="896" t="s">
        <v>308</v>
      </c>
      <c r="B454" s="804" t="s">
        <v>309</v>
      </c>
      <c r="C454" s="826" t="s">
        <v>34</v>
      </c>
      <c r="D454" s="827">
        <v>27</v>
      </c>
      <c r="E454" s="828">
        <v>10</v>
      </c>
      <c r="F454" s="829">
        <f t="shared" si="7"/>
        <v>270</v>
      </c>
    </row>
    <row r="455" spans="1:6" ht="15" customHeight="1">
      <c r="A455" s="831" t="s">
        <v>310</v>
      </c>
      <c r="B455" s="804" t="s">
        <v>311</v>
      </c>
      <c r="C455" s="826" t="s">
        <v>892</v>
      </c>
      <c r="D455" s="827">
        <v>24</v>
      </c>
      <c r="E455" s="828">
        <v>30</v>
      </c>
      <c r="F455" s="829">
        <f t="shared" si="7"/>
        <v>720</v>
      </c>
    </row>
    <row r="456" spans="1:6" ht="15.75" customHeight="1">
      <c r="A456" s="896" t="s">
        <v>312</v>
      </c>
      <c r="B456" s="804" t="s">
        <v>313</v>
      </c>
      <c r="C456" s="826" t="s">
        <v>892</v>
      </c>
      <c r="D456" s="827">
        <v>24</v>
      </c>
      <c r="E456" s="828">
        <v>28.6</v>
      </c>
      <c r="F456" s="829">
        <f t="shared" si="7"/>
        <v>686.4000000000001</v>
      </c>
    </row>
    <row r="457" spans="1:6" ht="15.75" customHeight="1">
      <c r="A457" s="896" t="s">
        <v>314</v>
      </c>
      <c r="B457" s="804" t="s">
        <v>321</v>
      </c>
      <c r="C457" s="826" t="s">
        <v>34</v>
      </c>
      <c r="D457" s="827">
        <v>12</v>
      </c>
      <c r="E457" s="828">
        <v>58.4</v>
      </c>
      <c r="F457" s="829">
        <f t="shared" si="7"/>
        <v>700.8</v>
      </c>
    </row>
    <row r="458" spans="1:6" ht="15.75" customHeight="1" thickBot="1">
      <c r="A458" s="832" t="s">
        <v>322</v>
      </c>
      <c r="B458" s="805" t="s">
        <v>315</v>
      </c>
      <c r="C458" s="833" t="s">
        <v>17</v>
      </c>
      <c r="D458" s="834">
        <v>4</v>
      </c>
      <c r="E458" s="835">
        <v>20</v>
      </c>
      <c r="F458" s="836">
        <f t="shared" si="7"/>
        <v>80</v>
      </c>
    </row>
    <row r="459" spans="2:6" ht="15.75" customHeight="1" thickBot="1">
      <c r="B459" s="764" t="s">
        <v>59</v>
      </c>
      <c r="C459" s="872"/>
      <c r="D459" s="873"/>
      <c r="E459" s="874"/>
      <c r="F459" s="875">
        <f>SUM(F447:F458)</f>
        <v>3259.7797845505547</v>
      </c>
    </row>
    <row r="460" ht="15.75" customHeight="1" thickBot="1"/>
    <row r="461" spans="1:6" ht="15.75" customHeight="1">
      <c r="A461" s="820">
        <v>2</v>
      </c>
      <c r="B461" s="931" t="s">
        <v>323</v>
      </c>
      <c r="C461" s="866"/>
      <c r="D461" s="867"/>
      <c r="E461" s="868"/>
      <c r="F461" s="869"/>
    </row>
    <row r="462" spans="1:6" ht="15.75" customHeight="1">
      <c r="A462" s="831" t="s">
        <v>171</v>
      </c>
      <c r="B462" s="782" t="s">
        <v>328</v>
      </c>
      <c r="C462" s="826" t="s">
        <v>893</v>
      </c>
      <c r="D462" s="827">
        <v>0.13</v>
      </c>
      <c r="E462" s="828">
        <f>E39</f>
        <v>224.58333333333334</v>
      </c>
      <c r="F462" s="829">
        <f>E462*D462</f>
        <v>29.195833333333336</v>
      </c>
    </row>
    <row r="463" spans="1:6" ht="15.75" customHeight="1">
      <c r="A463" s="831" t="s">
        <v>172</v>
      </c>
      <c r="B463" s="782" t="s">
        <v>329</v>
      </c>
      <c r="C463" s="826" t="s">
        <v>893</v>
      </c>
      <c r="D463" s="827">
        <v>0.24</v>
      </c>
      <c r="E463" s="828">
        <f>E39/3</f>
        <v>74.86111111111111</v>
      </c>
      <c r="F463" s="829">
        <f aca="true" t="shared" si="8" ref="F463:F468">E463*D463</f>
        <v>17.966666666666665</v>
      </c>
    </row>
    <row r="464" spans="1:6" ht="15.75" customHeight="1">
      <c r="A464" s="831" t="s">
        <v>268</v>
      </c>
      <c r="B464" s="782" t="s">
        <v>330</v>
      </c>
      <c r="C464" s="826" t="s">
        <v>893</v>
      </c>
      <c r="D464" s="827">
        <v>0.45</v>
      </c>
      <c r="E464" s="828">
        <f>E41</f>
        <v>50.359281437125745</v>
      </c>
      <c r="F464" s="829">
        <f t="shared" si="8"/>
        <v>22.661676646706585</v>
      </c>
    </row>
    <row r="465" spans="1:6" ht="15.75" customHeight="1">
      <c r="A465" s="831" t="s">
        <v>317</v>
      </c>
      <c r="B465" s="782" t="s">
        <v>331</v>
      </c>
      <c r="C465" s="826" t="s">
        <v>893</v>
      </c>
      <c r="D465" s="827">
        <v>0.45</v>
      </c>
      <c r="E465" s="828">
        <v>12</v>
      </c>
      <c r="F465" s="829">
        <f t="shared" si="8"/>
        <v>5.4</v>
      </c>
    </row>
    <row r="466" spans="1:6" ht="15.75" customHeight="1">
      <c r="A466" s="831" t="s">
        <v>318</v>
      </c>
      <c r="B466" s="782" t="s">
        <v>332</v>
      </c>
      <c r="C466" s="826" t="s">
        <v>892</v>
      </c>
      <c r="D466" s="827">
        <v>3.5</v>
      </c>
      <c r="E466" s="828">
        <v>15</v>
      </c>
      <c r="F466" s="829">
        <f t="shared" si="8"/>
        <v>52.5</v>
      </c>
    </row>
    <row r="467" spans="1:6" ht="15.75" customHeight="1">
      <c r="A467" s="831" t="s">
        <v>319</v>
      </c>
      <c r="B467" s="782" t="s">
        <v>140</v>
      </c>
      <c r="C467" s="826" t="s">
        <v>34</v>
      </c>
      <c r="D467" s="827">
        <v>4</v>
      </c>
      <c r="E467" s="828">
        <v>20</v>
      </c>
      <c r="F467" s="829">
        <f t="shared" si="8"/>
        <v>80</v>
      </c>
    </row>
    <row r="468" spans="1:6" ht="15.75" customHeight="1" thickBot="1">
      <c r="A468" s="832" t="s">
        <v>320</v>
      </c>
      <c r="B468" s="932" t="s">
        <v>333</v>
      </c>
      <c r="C468" s="833" t="s">
        <v>34</v>
      </c>
      <c r="D468" s="834">
        <v>14</v>
      </c>
      <c r="E468" s="835">
        <v>8</v>
      </c>
      <c r="F468" s="836">
        <f t="shared" si="8"/>
        <v>112</v>
      </c>
    </row>
    <row r="469" spans="2:6" ht="15.75" customHeight="1" thickBot="1">
      <c r="B469" s="764" t="s">
        <v>59</v>
      </c>
      <c r="C469" s="872"/>
      <c r="D469" s="873"/>
      <c r="E469" s="874"/>
      <c r="F469" s="875">
        <f>SUM(F462:F468)</f>
        <v>319.7241766467066</v>
      </c>
    </row>
    <row r="470" ht="15.75" customHeight="1" thickBot="1"/>
    <row r="471" spans="1:6" ht="15.75" customHeight="1">
      <c r="A471" s="820">
        <v>3</v>
      </c>
      <c r="B471" s="931" t="s">
        <v>140</v>
      </c>
      <c r="C471" s="866"/>
      <c r="D471" s="867"/>
      <c r="E471" s="868"/>
      <c r="F471" s="869"/>
    </row>
    <row r="472" spans="1:6" ht="15.75" customHeight="1" thickBot="1">
      <c r="A472" s="832" t="s">
        <v>174</v>
      </c>
      <c r="B472" s="932" t="s">
        <v>334</v>
      </c>
      <c r="C472" s="833" t="s">
        <v>335</v>
      </c>
      <c r="D472" s="834">
        <v>152</v>
      </c>
      <c r="E472" s="835">
        <v>1.8</v>
      </c>
      <c r="F472" s="893">
        <f>E472*D472</f>
        <v>273.6</v>
      </c>
    </row>
    <row r="473" ht="9.75" customHeight="1" thickBot="1"/>
    <row r="474" spans="1:6" ht="15.75" customHeight="1">
      <c r="A474" s="820">
        <v>4</v>
      </c>
      <c r="B474" s="931" t="s">
        <v>336</v>
      </c>
      <c r="C474" s="866"/>
      <c r="D474" s="867"/>
      <c r="E474" s="868"/>
      <c r="F474" s="869"/>
    </row>
    <row r="475" spans="1:6" ht="15.75" customHeight="1">
      <c r="A475" s="831" t="s">
        <v>178</v>
      </c>
      <c r="B475" s="782" t="s">
        <v>337</v>
      </c>
      <c r="C475" s="826" t="s">
        <v>893</v>
      </c>
      <c r="D475" s="827">
        <v>86.28</v>
      </c>
      <c r="E475" s="828">
        <f>E85</f>
        <v>2.523218142548596</v>
      </c>
      <c r="F475" s="829">
        <f>E475*D475</f>
        <v>217.70326133909288</v>
      </c>
    </row>
    <row r="476" spans="1:6" ht="15.75" customHeight="1">
      <c r="A476" s="831" t="s">
        <v>180</v>
      </c>
      <c r="B476" s="782" t="s">
        <v>338</v>
      </c>
      <c r="C476" s="826" t="s">
        <v>17</v>
      </c>
      <c r="D476" s="827">
        <v>719</v>
      </c>
      <c r="E476" s="828">
        <v>0.6</v>
      </c>
      <c r="F476" s="829">
        <f>E476*D476</f>
        <v>431.4</v>
      </c>
    </row>
    <row r="477" spans="1:6" ht="15.75" customHeight="1" thickBot="1">
      <c r="A477" s="832" t="s">
        <v>182</v>
      </c>
      <c r="B477" s="932" t="s">
        <v>339</v>
      </c>
      <c r="C477" s="833" t="s">
        <v>893</v>
      </c>
      <c r="D477" s="834">
        <v>86.28</v>
      </c>
      <c r="E477" s="835">
        <f>E86</f>
        <v>4.170503597122302</v>
      </c>
      <c r="F477" s="836">
        <f>E477*D477</f>
        <v>359.8310503597122</v>
      </c>
    </row>
    <row r="478" spans="2:6" ht="15.75" customHeight="1" thickBot="1">
      <c r="B478" s="764" t="s">
        <v>59</v>
      </c>
      <c r="C478" s="872"/>
      <c r="D478" s="873"/>
      <c r="E478" s="874"/>
      <c r="F478" s="875">
        <f>SUM(F475:F477)</f>
        <v>1008.934311698805</v>
      </c>
    </row>
    <row r="479" ht="15.75" customHeight="1" thickBot="1"/>
    <row r="480" spans="1:6" ht="15.75" customHeight="1">
      <c r="A480" s="820">
        <v>5</v>
      </c>
      <c r="B480" s="931" t="s">
        <v>340</v>
      </c>
      <c r="C480" s="866"/>
      <c r="D480" s="867"/>
      <c r="E480" s="868"/>
      <c r="F480" s="869"/>
    </row>
    <row r="481" spans="1:6" ht="15.75" customHeight="1">
      <c r="A481" s="831" t="s">
        <v>188</v>
      </c>
      <c r="B481" s="782" t="s">
        <v>341</v>
      </c>
      <c r="C481" s="826" t="s">
        <v>39</v>
      </c>
      <c r="D481" s="827">
        <v>1</v>
      </c>
      <c r="E481" s="828">
        <v>250</v>
      </c>
      <c r="F481" s="829">
        <f>E481*D481</f>
        <v>250</v>
      </c>
    </row>
    <row r="482" spans="1:6" ht="15.75" customHeight="1" thickBot="1">
      <c r="A482" s="832" t="s">
        <v>189</v>
      </c>
      <c r="B482" s="932" t="s">
        <v>342</v>
      </c>
      <c r="C482" s="833" t="s">
        <v>17</v>
      </c>
      <c r="D482" s="834">
        <v>1</v>
      </c>
      <c r="E482" s="835">
        <v>50</v>
      </c>
      <c r="F482" s="836">
        <f>E482*D482</f>
        <v>50</v>
      </c>
    </row>
    <row r="483" spans="2:6" ht="15.75" customHeight="1" thickBot="1">
      <c r="B483" s="764" t="s">
        <v>59</v>
      </c>
      <c r="C483" s="872"/>
      <c r="D483" s="873"/>
      <c r="E483" s="874"/>
      <c r="F483" s="875">
        <f>SUM(F481:F482)</f>
        <v>300</v>
      </c>
    </row>
    <row r="484" ht="15.75" customHeight="1" thickBot="1"/>
    <row r="485" spans="1:6" ht="15.75" customHeight="1">
      <c r="A485" s="820">
        <v>6</v>
      </c>
      <c r="B485" s="931" t="s">
        <v>343</v>
      </c>
      <c r="C485" s="866"/>
      <c r="D485" s="867"/>
      <c r="E485" s="868"/>
      <c r="F485" s="869"/>
    </row>
    <row r="486" spans="1:6" ht="15.75" customHeight="1" thickBot="1">
      <c r="A486" s="832" t="s">
        <v>195</v>
      </c>
      <c r="B486" s="932" t="s">
        <v>344</v>
      </c>
      <c r="C486" s="833" t="s">
        <v>17</v>
      </c>
      <c r="D486" s="834">
        <v>5</v>
      </c>
      <c r="E486" s="835">
        <v>20</v>
      </c>
      <c r="F486" s="893">
        <f>E486*D486</f>
        <v>100</v>
      </c>
    </row>
    <row r="487" ht="15.75" customHeight="1" thickBot="1"/>
    <row r="488" spans="1:6" ht="15.75" customHeight="1" thickBot="1">
      <c r="A488" s="934">
        <v>7</v>
      </c>
      <c r="B488" s="933" t="s">
        <v>345</v>
      </c>
      <c r="C488" s="872" t="s">
        <v>39</v>
      </c>
      <c r="D488" s="873">
        <v>1</v>
      </c>
      <c r="E488" s="874">
        <v>70</v>
      </c>
      <c r="F488" s="875">
        <f>E488*D488</f>
        <v>70</v>
      </c>
    </row>
    <row r="490" spans="2:6" ht="15.75" customHeight="1">
      <c r="B490" s="12" t="s">
        <v>351</v>
      </c>
      <c r="C490" s="844"/>
      <c r="D490" s="846"/>
      <c r="E490" s="966">
        <f>F488+F486+F483+F478+F472+F469+F459</f>
        <v>5332.038272896067</v>
      </c>
      <c r="F490" s="967"/>
    </row>
    <row r="492" ht="15.75" customHeight="1">
      <c r="B492" s="7" t="s">
        <v>897</v>
      </c>
    </row>
    <row r="493" ht="15.75" customHeight="1" thickBot="1"/>
    <row r="494" spans="2:6" ht="26.25" thickBot="1">
      <c r="B494" s="815" t="s">
        <v>3</v>
      </c>
      <c r="C494" s="583" t="s">
        <v>2</v>
      </c>
      <c r="D494" s="816" t="s">
        <v>1</v>
      </c>
      <c r="E494" s="817" t="s">
        <v>4</v>
      </c>
      <c r="F494" s="818" t="s">
        <v>5</v>
      </c>
    </row>
    <row r="495" spans="1:6" ht="15.75" customHeight="1">
      <c r="A495" s="903" t="s">
        <v>165</v>
      </c>
      <c r="B495" s="803" t="s">
        <v>6</v>
      </c>
      <c r="C495" s="866"/>
      <c r="D495" s="867"/>
      <c r="E495" s="868"/>
      <c r="F495" s="925"/>
    </row>
    <row r="496" spans="1:6" ht="15.75" customHeight="1">
      <c r="A496" s="896" t="s">
        <v>168</v>
      </c>
      <c r="B496" s="804" t="s">
        <v>14</v>
      </c>
      <c r="C496" s="826" t="s">
        <v>39</v>
      </c>
      <c r="D496" s="827">
        <v>1</v>
      </c>
      <c r="E496" s="828">
        <v>878.04</v>
      </c>
      <c r="F496" s="829">
        <f>E496*D496</f>
        <v>878.04</v>
      </c>
    </row>
    <row r="497" spans="1:6" ht="15.75" customHeight="1">
      <c r="A497" s="896" t="s">
        <v>169</v>
      </c>
      <c r="B497" s="804" t="s">
        <v>16</v>
      </c>
      <c r="C497" s="826" t="s">
        <v>17</v>
      </c>
      <c r="D497" s="827">
        <v>1</v>
      </c>
      <c r="E497" s="828">
        <v>153.51</v>
      </c>
      <c r="F497" s="829">
        <f>E497*D497</f>
        <v>153.51</v>
      </c>
    </row>
    <row r="498" spans="1:6" ht="15.75" customHeight="1">
      <c r="A498" s="896" t="s">
        <v>170</v>
      </c>
      <c r="B498" s="804" t="s">
        <v>18</v>
      </c>
      <c r="C498" s="826" t="s">
        <v>17</v>
      </c>
      <c r="D498" s="827">
        <v>1</v>
      </c>
      <c r="E498" s="828">
        <v>123.59</v>
      </c>
      <c r="F498" s="829">
        <f>E498*D498</f>
        <v>123.59</v>
      </c>
    </row>
    <row r="499" spans="1:6" ht="15.75" customHeight="1" thickBot="1">
      <c r="A499" s="886" t="s">
        <v>266</v>
      </c>
      <c r="B499" s="805" t="s">
        <v>19</v>
      </c>
      <c r="C499" s="833" t="s">
        <v>893</v>
      </c>
      <c r="D499" s="834">
        <v>10</v>
      </c>
      <c r="E499" s="835">
        <v>4.01</v>
      </c>
      <c r="F499" s="836">
        <f>E499*D499</f>
        <v>40.099999999999994</v>
      </c>
    </row>
    <row r="500" spans="1:6" ht="15.75" customHeight="1" thickBot="1">
      <c r="A500" s="841"/>
      <c r="B500" s="764" t="s">
        <v>59</v>
      </c>
      <c r="C500" s="872"/>
      <c r="D500" s="873"/>
      <c r="E500" s="874"/>
      <c r="F500" s="875">
        <f>SUM(F496:F499)</f>
        <v>1195.2399999999998</v>
      </c>
    </row>
    <row r="501" ht="15.75" customHeight="1" thickBot="1"/>
    <row r="502" spans="1:6" ht="15.75" customHeight="1">
      <c r="A502" s="903" t="s">
        <v>249</v>
      </c>
      <c r="B502" s="803" t="s">
        <v>56</v>
      </c>
      <c r="C502" s="866"/>
      <c r="D502" s="867"/>
      <c r="E502" s="868"/>
      <c r="F502" s="869"/>
    </row>
    <row r="503" spans="1:6" ht="15.75" customHeight="1" thickBot="1">
      <c r="A503" s="896" t="s">
        <v>171</v>
      </c>
      <c r="B503" s="897" t="s">
        <v>250</v>
      </c>
      <c r="C503" s="898" t="s">
        <v>893</v>
      </c>
      <c r="D503" s="899">
        <v>12</v>
      </c>
      <c r="E503" s="900">
        <v>2.84</v>
      </c>
      <c r="F503" s="901">
        <f>E503*D503</f>
        <v>34.08</v>
      </c>
    </row>
    <row r="504" spans="1:6" ht="15.75" customHeight="1" thickBot="1">
      <c r="A504" s="935" t="s">
        <v>172</v>
      </c>
      <c r="B504" s="936" t="s">
        <v>58</v>
      </c>
      <c r="C504" s="912" t="s">
        <v>893</v>
      </c>
      <c r="D504" s="913">
        <v>120</v>
      </c>
      <c r="E504" s="914">
        <v>4.71</v>
      </c>
      <c r="F504" s="915">
        <f>E504*D504</f>
        <v>565.2</v>
      </c>
    </row>
    <row r="505" spans="1:6" ht="15.75" customHeight="1" thickBot="1">
      <c r="A505" s="841"/>
      <c r="B505" s="761" t="s">
        <v>59</v>
      </c>
      <c r="C505" s="882"/>
      <c r="D505" s="883"/>
      <c r="E505" s="884"/>
      <c r="F505" s="924">
        <f>SUM(F503:F504)</f>
        <v>599.2800000000001</v>
      </c>
    </row>
    <row r="506" ht="15.75" customHeight="1" thickBot="1"/>
    <row r="507" spans="1:6" ht="15.75" customHeight="1">
      <c r="A507" s="903" t="s">
        <v>173</v>
      </c>
      <c r="B507" s="803" t="s">
        <v>60</v>
      </c>
      <c r="C507" s="866"/>
      <c r="D507" s="867"/>
      <c r="E507" s="868"/>
      <c r="F507" s="869"/>
    </row>
    <row r="508" spans="1:6" ht="15.75" customHeight="1">
      <c r="A508" s="896" t="s">
        <v>174</v>
      </c>
      <c r="B508" s="804" t="s">
        <v>293</v>
      </c>
      <c r="C508" s="826" t="s">
        <v>34</v>
      </c>
      <c r="D508" s="827">
        <v>8</v>
      </c>
      <c r="E508" s="828">
        <v>62.58</v>
      </c>
      <c r="F508" s="829">
        <f>E508*D508</f>
        <v>500.64</v>
      </c>
    </row>
    <row r="509" spans="1:6" ht="15.75" customHeight="1">
      <c r="A509" s="930" t="s">
        <v>175</v>
      </c>
      <c r="B509" s="891" t="s">
        <v>294</v>
      </c>
      <c r="C509" s="926" t="s">
        <v>34</v>
      </c>
      <c r="D509" s="927">
        <v>40</v>
      </c>
      <c r="E509" s="928">
        <v>60.25</v>
      </c>
      <c r="F509" s="929">
        <f>E509*D509</f>
        <v>2410</v>
      </c>
    </row>
    <row r="510" spans="1:6" ht="15.75" customHeight="1">
      <c r="A510" s="896" t="s">
        <v>176</v>
      </c>
      <c r="B510" s="804" t="s">
        <v>270</v>
      </c>
      <c r="C510" s="826" t="s">
        <v>17</v>
      </c>
      <c r="D510" s="827">
        <v>160</v>
      </c>
      <c r="E510" s="828">
        <v>10.29</v>
      </c>
      <c r="F510" s="829">
        <f>E510*D510</f>
        <v>1646.3999999999999</v>
      </c>
    </row>
    <row r="511" spans="1:6" ht="15.75" customHeight="1" thickBot="1">
      <c r="A511" s="886" t="s">
        <v>183</v>
      </c>
      <c r="B511" s="805" t="s">
        <v>295</v>
      </c>
      <c r="C511" s="833" t="s">
        <v>893</v>
      </c>
      <c r="D511" s="834">
        <v>12</v>
      </c>
      <c r="E511" s="835">
        <v>92.39</v>
      </c>
      <c r="F511" s="836">
        <f>E511*D511</f>
        <v>1108.68</v>
      </c>
    </row>
    <row r="512" spans="1:6" ht="15.75" customHeight="1" thickBot="1">
      <c r="A512" s="841"/>
      <c r="B512" s="764" t="s">
        <v>59</v>
      </c>
      <c r="C512" s="872"/>
      <c r="D512" s="873"/>
      <c r="E512" s="874"/>
      <c r="F512" s="875">
        <f>SUM(F508:F511)</f>
        <v>5665.72</v>
      </c>
    </row>
    <row r="513" ht="15.75" customHeight="1" thickBot="1"/>
    <row r="514" spans="1:6" ht="15.75" customHeight="1">
      <c r="A514" s="903" t="s">
        <v>177</v>
      </c>
      <c r="B514" s="803" t="s">
        <v>64</v>
      </c>
      <c r="C514" s="866"/>
      <c r="D514" s="867"/>
      <c r="E514" s="868"/>
      <c r="F514" s="869"/>
    </row>
    <row r="515" spans="1:6" ht="15.75" customHeight="1">
      <c r="A515" s="904" t="s">
        <v>178</v>
      </c>
      <c r="B515" s="891" t="s">
        <v>296</v>
      </c>
      <c r="C515" s="887" t="s">
        <v>17</v>
      </c>
      <c r="D515" s="888">
        <v>20</v>
      </c>
      <c r="E515" s="889">
        <v>50.69</v>
      </c>
      <c r="F515" s="890">
        <f>E515*D515</f>
        <v>1013.8</v>
      </c>
    </row>
    <row r="516" spans="1:6" ht="15.75" customHeight="1" thickBot="1">
      <c r="A516" s="921" t="s">
        <v>180</v>
      </c>
      <c r="B516" s="920" t="s">
        <v>297</v>
      </c>
      <c r="C516" s="916" t="s">
        <v>17</v>
      </c>
      <c r="D516" s="917">
        <v>5</v>
      </c>
      <c r="E516" s="918">
        <v>102.16</v>
      </c>
      <c r="F516" s="919">
        <f>E516*D516</f>
        <v>510.79999999999995</v>
      </c>
    </row>
    <row r="517" spans="1:6" ht="15.75" customHeight="1" thickBot="1">
      <c r="A517" s="841"/>
      <c r="B517" s="764" t="s">
        <v>59</v>
      </c>
      <c r="C517" s="872"/>
      <c r="D517" s="873"/>
      <c r="E517" s="874"/>
      <c r="F517" s="875">
        <f>SUM(F515:F516)</f>
        <v>1524.6</v>
      </c>
    </row>
    <row r="518" ht="15.75" customHeight="1" thickBot="1"/>
    <row r="519" spans="1:6" ht="15.75" customHeight="1">
      <c r="A519" s="903" t="s">
        <v>187</v>
      </c>
      <c r="B519" s="803" t="s">
        <v>130</v>
      </c>
      <c r="C519" s="866"/>
      <c r="D519" s="867"/>
      <c r="E519" s="868"/>
      <c r="F519" s="869"/>
    </row>
    <row r="520" spans="1:6" ht="15.75" customHeight="1">
      <c r="A520" s="896" t="s">
        <v>188</v>
      </c>
      <c r="B520" s="804" t="s">
        <v>274</v>
      </c>
      <c r="C520" s="826" t="s">
        <v>34</v>
      </c>
      <c r="D520" s="827">
        <v>25</v>
      </c>
      <c r="E520" s="828">
        <v>64.05</v>
      </c>
      <c r="F520" s="829">
        <f>E520*D520</f>
        <v>1601.25</v>
      </c>
    </row>
    <row r="521" spans="1:6" ht="15.75" customHeight="1">
      <c r="A521" s="896" t="s">
        <v>189</v>
      </c>
      <c r="B521" s="804" t="s">
        <v>29</v>
      </c>
      <c r="C521" s="826" t="s">
        <v>892</v>
      </c>
      <c r="D521" s="827">
        <v>25</v>
      </c>
      <c r="E521" s="828">
        <v>60.9</v>
      </c>
      <c r="F521" s="829">
        <f>E521*D521</f>
        <v>1522.5</v>
      </c>
    </row>
    <row r="522" spans="1:6" ht="15.75" customHeight="1">
      <c r="A522" s="896" t="s">
        <v>190</v>
      </c>
      <c r="B522" s="804" t="s">
        <v>298</v>
      </c>
      <c r="C522" s="826" t="s">
        <v>17</v>
      </c>
      <c r="D522" s="827">
        <v>6</v>
      </c>
      <c r="E522" s="828">
        <v>47.2</v>
      </c>
      <c r="F522" s="829">
        <f>E522*D522</f>
        <v>283.20000000000005</v>
      </c>
    </row>
    <row r="523" spans="1:6" ht="15.75" customHeight="1" thickBot="1">
      <c r="A523" s="886" t="s">
        <v>192</v>
      </c>
      <c r="B523" s="805" t="s">
        <v>299</v>
      </c>
      <c r="C523" s="833" t="s">
        <v>39</v>
      </c>
      <c r="D523" s="834">
        <v>1</v>
      </c>
      <c r="E523" s="835">
        <v>80.3</v>
      </c>
      <c r="F523" s="836">
        <f>E523*D523</f>
        <v>80.3</v>
      </c>
    </row>
    <row r="524" spans="1:6" ht="15.75" customHeight="1" thickBot="1">
      <c r="A524" s="841"/>
      <c r="B524" s="764" t="s">
        <v>59</v>
      </c>
      <c r="C524" s="872"/>
      <c r="D524" s="873"/>
      <c r="E524" s="874"/>
      <c r="F524" s="875">
        <f>SUM(F520:F523)</f>
        <v>3487.25</v>
      </c>
    </row>
    <row r="525" spans="1:6" ht="15.75" customHeight="1" thickBot="1">
      <c r="A525" s="841"/>
      <c r="B525" s="7"/>
      <c r="F525" s="809"/>
    </row>
    <row r="526" spans="1:6" ht="15.75" customHeight="1" thickBot="1">
      <c r="A526" s="841"/>
      <c r="B526" s="909" t="s">
        <v>792</v>
      </c>
      <c r="C526" s="910"/>
      <c r="D526" s="911"/>
      <c r="E526" s="965">
        <f>F524+F517+F505+F500+F512</f>
        <v>12472.09</v>
      </c>
      <c r="F526" s="962"/>
    </row>
    <row r="527" spans="1:6" ht="15.75" customHeight="1">
      <c r="A527" s="841"/>
      <c r="B527" s="7"/>
      <c r="F527" s="809"/>
    </row>
    <row r="528" spans="1:6" s="852" customFormat="1" ht="15.75" customHeight="1">
      <c r="A528" s="847"/>
      <c r="B528" s="848"/>
      <c r="C528" s="849"/>
      <c r="D528" s="850"/>
      <c r="E528" s="851"/>
      <c r="F528" s="851"/>
    </row>
    <row r="531" spans="2:14" s="853" customFormat="1" ht="14.25">
      <c r="B531" s="814"/>
      <c r="C531" s="854"/>
      <c r="D531" s="854"/>
      <c r="E531" s="854"/>
      <c r="L531" s="854"/>
      <c r="M531" s="854"/>
      <c r="N531" s="854"/>
    </row>
    <row r="532" spans="2:5" ht="14.25">
      <c r="B532" s="960" t="s">
        <v>643</v>
      </c>
      <c r="C532" s="960"/>
      <c r="D532" s="960"/>
      <c r="E532" s="960"/>
    </row>
    <row r="533" ht="14.25">
      <c r="B533" s="854"/>
    </row>
    <row r="534" spans="2:5" ht="15.75" customHeight="1">
      <c r="B534" s="855" t="s">
        <v>3</v>
      </c>
      <c r="C534" s="855" t="s">
        <v>1</v>
      </c>
      <c r="D534" s="856" t="s">
        <v>370</v>
      </c>
      <c r="E534" s="857" t="s">
        <v>5</v>
      </c>
    </row>
    <row r="535" spans="2:5" ht="15.75" customHeight="1">
      <c r="B535" s="783" t="s">
        <v>371</v>
      </c>
      <c r="C535" s="826">
        <v>25</v>
      </c>
      <c r="D535" s="828">
        <v>0.5</v>
      </c>
      <c r="E535" s="828">
        <f>D535*C535</f>
        <v>12.5</v>
      </c>
    </row>
    <row r="536" spans="2:5" ht="15.75" customHeight="1">
      <c r="B536" s="783" t="s">
        <v>372</v>
      </c>
      <c r="C536" s="826">
        <v>5</v>
      </c>
      <c r="D536" s="828">
        <v>25</v>
      </c>
      <c r="E536" s="828">
        <f>D536*C536</f>
        <v>125</v>
      </c>
    </row>
    <row r="537" spans="2:5" ht="15.75" customHeight="1">
      <c r="B537" s="783" t="s">
        <v>373</v>
      </c>
      <c r="C537" s="826">
        <v>4</v>
      </c>
      <c r="D537" s="828">
        <v>180</v>
      </c>
      <c r="E537" s="828">
        <f>D537*C537</f>
        <v>720</v>
      </c>
    </row>
    <row r="538" spans="2:6" ht="15.75" customHeight="1">
      <c r="B538" s="783" t="s">
        <v>374</v>
      </c>
      <c r="C538" s="826">
        <v>4</v>
      </c>
      <c r="D538" s="828">
        <v>20</v>
      </c>
      <c r="E538" s="828">
        <f>D538*C538</f>
        <v>80</v>
      </c>
      <c r="F538" s="814"/>
    </row>
    <row r="539" spans="2:10" ht="15.75" customHeight="1">
      <c r="B539" s="10" t="s">
        <v>5</v>
      </c>
      <c r="C539" s="858"/>
      <c r="D539" s="859"/>
      <c r="E539" s="860">
        <f>SUM(E535:E538)</f>
        <v>937.5</v>
      </c>
      <c r="F539" s="814"/>
      <c r="J539" s="813"/>
    </row>
    <row r="540" spans="3:6" ht="15.75" customHeight="1">
      <c r="C540" s="814"/>
      <c r="D540" s="814"/>
      <c r="E540" s="814"/>
      <c r="F540" s="814"/>
    </row>
    <row r="541" s="852" customFormat="1" ht="15.75" customHeight="1">
      <c r="A541" s="861"/>
    </row>
    <row r="542" s="852" customFormat="1" ht="15.75" customHeight="1">
      <c r="A542" s="861"/>
    </row>
    <row r="543" spans="2:6" ht="15.75" customHeight="1">
      <c r="B543" s="960" t="s">
        <v>402</v>
      </c>
      <c r="C543" s="960"/>
      <c r="D543" s="960"/>
      <c r="E543" s="960"/>
      <c r="F543" s="814"/>
    </row>
    <row r="544" ht="18.75" customHeight="1">
      <c r="F544" s="814"/>
    </row>
    <row r="545" spans="2:5" ht="15.75" customHeight="1">
      <c r="B545" s="855" t="s">
        <v>3</v>
      </c>
      <c r="C545" s="855" t="s">
        <v>1</v>
      </c>
      <c r="D545" s="856" t="s">
        <v>370</v>
      </c>
      <c r="E545" s="857" t="s">
        <v>5</v>
      </c>
    </row>
    <row r="546" spans="2:5" ht="15.75" customHeight="1">
      <c r="B546" s="783" t="s">
        <v>376</v>
      </c>
      <c r="C546" s="826">
        <v>5</v>
      </c>
      <c r="D546" s="828">
        <v>10</v>
      </c>
      <c r="E546" s="828">
        <f aca="true" t="shared" si="9" ref="E546:E553">D546*C546</f>
        <v>50</v>
      </c>
    </row>
    <row r="547" spans="2:5" ht="15.75" customHeight="1">
      <c r="B547" s="783" t="s">
        <v>379</v>
      </c>
      <c r="C547" s="826">
        <v>5</v>
      </c>
      <c r="D547" s="828">
        <v>5</v>
      </c>
      <c r="E547" s="828">
        <f t="shared" si="9"/>
        <v>25</v>
      </c>
    </row>
    <row r="548" spans="2:5" ht="15.75" customHeight="1">
      <c r="B548" s="783" t="s">
        <v>377</v>
      </c>
      <c r="C548" s="826">
        <v>18</v>
      </c>
      <c r="D548" s="828">
        <v>8</v>
      </c>
      <c r="E548" s="828">
        <f t="shared" si="9"/>
        <v>144</v>
      </c>
    </row>
    <row r="549" spans="2:5" ht="15.75" customHeight="1">
      <c r="B549" s="783" t="s">
        <v>378</v>
      </c>
      <c r="C549" s="826">
        <v>8</v>
      </c>
      <c r="D549" s="828">
        <v>6</v>
      </c>
      <c r="E549" s="828">
        <f t="shared" si="9"/>
        <v>48</v>
      </c>
    </row>
    <row r="550" spans="2:5" ht="15.75" customHeight="1">
      <c r="B550" s="862" t="s">
        <v>380</v>
      </c>
      <c r="C550" s="826">
        <v>5</v>
      </c>
      <c r="D550" s="828">
        <v>13</v>
      </c>
      <c r="E550" s="828">
        <f t="shared" si="9"/>
        <v>65</v>
      </c>
    </row>
    <row r="551" spans="2:5" ht="15.75" customHeight="1">
      <c r="B551" s="862" t="s">
        <v>381</v>
      </c>
      <c r="C551" s="826">
        <v>5</v>
      </c>
      <c r="D551" s="828">
        <v>11</v>
      </c>
      <c r="E551" s="828">
        <f t="shared" si="9"/>
        <v>55</v>
      </c>
    </row>
    <row r="552" spans="2:5" ht="15.75" customHeight="1">
      <c r="B552" s="862" t="s">
        <v>382</v>
      </c>
      <c r="C552" s="826">
        <v>3</v>
      </c>
      <c r="D552" s="828">
        <v>8</v>
      </c>
      <c r="E552" s="828">
        <f t="shared" si="9"/>
        <v>24</v>
      </c>
    </row>
    <row r="553" spans="2:5" ht="15.75" customHeight="1">
      <c r="B553" s="862" t="s">
        <v>383</v>
      </c>
      <c r="C553" s="826">
        <v>4</v>
      </c>
      <c r="D553" s="828">
        <v>22</v>
      </c>
      <c r="E553" s="828">
        <f t="shared" si="9"/>
        <v>88</v>
      </c>
    </row>
    <row r="554" spans="2:5" ht="15.75" customHeight="1">
      <c r="B554" s="10" t="s">
        <v>5</v>
      </c>
      <c r="C554" s="858"/>
      <c r="D554" s="859"/>
      <c r="E554" s="860">
        <f>SUM(E546:E553)</f>
        <v>499</v>
      </c>
    </row>
    <row r="558" spans="2:5" ht="15.75" customHeight="1">
      <c r="B558" s="960" t="s">
        <v>639</v>
      </c>
      <c r="C558" s="960"/>
      <c r="D558" s="960"/>
      <c r="E558" s="960"/>
    </row>
    <row r="559" spans="3:5" ht="15.75" customHeight="1">
      <c r="C559" s="814"/>
      <c r="D559" s="814"/>
      <c r="E559" s="814"/>
    </row>
    <row r="560" spans="3:5" ht="15.75" customHeight="1">
      <c r="C560" s="814"/>
      <c r="D560" s="814"/>
      <c r="E560" s="814"/>
    </row>
    <row r="561" spans="2:5" ht="15.75" customHeight="1">
      <c r="B561" s="855" t="s">
        <v>3</v>
      </c>
      <c r="C561" s="855" t="s">
        <v>1</v>
      </c>
      <c r="D561" s="856" t="s">
        <v>641</v>
      </c>
      <c r="E561" s="857" t="s">
        <v>5</v>
      </c>
    </row>
    <row r="562" spans="2:5" ht="15.75" customHeight="1">
      <c r="B562" s="783" t="s">
        <v>640</v>
      </c>
      <c r="C562" s="826">
        <v>1</v>
      </c>
      <c r="D562" s="828">
        <f>E554</f>
        <v>499</v>
      </c>
      <c r="E562" s="828">
        <f>C562*D562</f>
        <v>499</v>
      </c>
    </row>
    <row r="563" spans="2:5" ht="15.75" customHeight="1">
      <c r="B563" s="783" t="s">
        <v>642</v>
      </c>
      <c r="C563" s="826">
        <v>1</v>
      </c>
      <c r="D563" s="828">
        <f>E539</f>
        <v>937.5</v>
      </c>
      <c r="E563" s="828">
        <f>C563*D563</f>
        <v>937.5</v>
      </c>
    </row>
    <row r="564" spans="2:5" ht="15.75" customHeight="1">
      <c r="B564" s="783" t="s">
        <v>644</v>
      </c>
      <c r="C564" s="826">
        <v>1</v>
      </c>
      <c r="D564" s="828">
        <v>800</v>
      </c>
      <c r="E564" s="828">
        <f>C564*D564</f>
        <v>800</v>
      </c>
    </row>
    <row r="565" spans="2:5" ht="15.75" customHeight="1">
      <c r="B565" s="863" t="s">
        <v>5</v>
      </c>
      <c r="C565" s="863"/>
      <c r="D565" s="863"/>
      <c r="E565" s="860">
        <f>SUM(E562:E564)</f>
        <v>2236.5</v>
      </c>
    </row>
  </sheetData>
  <mergeCells count="8">
    <mergeCell ref="B532:E532"/>
    <mergeCell ref="B543:E543"/>
    <mergeCell ref="B558:E558"/>
    <mergeCell ref="E337:F337"/>
    <mergeCell ref="E397:F397"/>
    <mergeCell ref="E441:F441"/>
    <mergeCell ref="E490:F490"/>
    <mergeCell ref="E526:F526"/>
  </mergeCells>
  <printOptions horizontalCentered="1"/>
  <pageMargins left="0.52" right="0.75" top="0.8" bottom="0.62" header="0" footer="0"/>
  <pageSetup orientation="portrait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4"/>
  <dimension ref="A1:Y106"/>
  <sheetViews>
    <sheetView zoomScale="70" zoomScaleNormal="70" workbookViewId="0" topLeftCell="A66">
      <selection activeCell="H99" sqref="H99"/>
    </sheetView>
  </sheetViews>
  <sheetFormatPr defaultColWidth="11.421875" defaultRowHeight="12.75"/>
  <cols>
    <col min="1" max="1" width="36.421875" style="0" customWidth="1"/>
    <col min="2" max="2" width="16.57421875" style="0" bestFit="1" customWidth="1"/>
    <col min="3" max="3" width="24.8515625" style="0" customWidth="1"/>
    <col min="4" max="4" width="27.28125" style="0" customWidth="1"/>
    <col min="5" max="5" width="15.7109375" style="0" customWidth="1"/>
    <col min="6" max="6" width="15.00390625" style="0" customWidth="1"/>
    <col min="7" max="7" width="15.140625" style="0" customWidth="1"/>
    <col min="8" max="8" width="15.00390625" style="0" customWidth="1"/>
    <col min="9" max="9" width="16.421875" style="0" bestFit="1" customWidth="1"/>
    <col min="10" max="10" width="16.57421875" style="0" bestFit="1" customWidth="1"/>
    <col min="11" max="11" width="16.421875" style="0" bestFit="1" customWidth="1"/>
    <col min="12" max="12" width="15.421875" style="0" customWidth="1"/>
    <col min="14" max="14" width="37.421875" style="0" bestFit="1" customWidth="1"/>
    <col min="15" max="25" width="14.8515625" style="0" customWidth="1"/>
  </cols>
  <sheetData>
    <row r="1" ht="20.25" hidden="1">
      <c r="A1" s="359" t="s">
        <v>806</v>
      </c>
    </row>
    <row r="2" spans="1:24" ht="15.75" hidden="1">
      <c r="A2" s="978" t="s">
        <v>437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N2" s="978" t="s">
        <v>437</v>
      </c>
      <c r="O2" s="978"/>
      <c r="P2" s="978"/>
      <c r="Q2" s="978"/>
      <c r="R2" s="978"/>
      <c r="S2" s="978"/>
      <c r="T2" s="978"/>
      <c r="U2" s="978"/>
      <c r="V2" s="978"/>
      <c r="W2" s="978"/>
      <c r="X2" s="978"/>
    </row>
    <row r="3" spans="1:24" ht="15" hidden="1">
      <c r="A3" s="1008" t="s">
        <v>456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N3" s="1008" t="s">
        <v>456</v>
      </c>
      <c r="O3" s="1008"/>
      <c r="P3" s="1008"/>
      <c r="Q3" s="1008"/>
      <c r="R3" s="1008"/>
      <c r="S3" s="1008"/>
      <c r="T3" s="1008"/>
      <c r="U3" s="1008"/>
      <c r="V3" s="1008"/>
      <c r="W3" s="1008"/>
      <c r="X3" s="1008"/>
    </row>
    <row r="4" ht="12.75" hidden="1"/>
    <row r="5" spans="1:25" ht="12.75" hidden="1">
      <c r="A5" s="24" t="s">
        <v>694</v>
      </c>
      <c r="B5" s="24" t="s">
        <v>439</v>
      </c>
      <c r="C5" s="24" t="s">
        <v>447</v>
      </c>
      <c r="D5" s="24" t="s">
        <v>448</v>
      </c>
      <c r="E5" s="24" t="s">
        <v>449</v>
      </c>
      <c r="F5" s="24" t="s">
        <v>450</v>
      </c>
      <c r="G5" s="24" t="s">
        <v>451</v>
      </c>
      <c r="H5" s="24" t="s">
        <v>452</v>
      </c>
      <c r="I5" s="24" t="s">
        <v>453</v>
      </c>
      <c r="J5" s="24" t="s">
        <v>454</v>
      </c>
      <c r="K5" s="24" t="s">
        <v>455</v>
      </c>
      <c r="L5" s="327" t="s">
        <v>805</v>
      </c>
      <c r="N5" s="24" t="s">
        <v>694</v>
      </c>
      <c r="O5" s="24" t="s">
        <v>439</v>
      </c>
      <c r="P5" s="24" t="s">
        <v>447</v>
      </c>
      <c r="Q5" s="24" t="s">
        <v>448</v>
      </c>
      <c r="R5" s="24" t="s">
        <v>449</v>
      </c>
      <c r="S5" s="24" t="s">
        <v>450</v>
      </c>
      <c r="T5" s="24" t="s">
        <v>451</v>
      </c>
      <c r="U5" s="24" t="s">
        <v>452</v>
      </c>
      <c r="V5" s="24" t="s">
        <v>453</v>
      </c>
      <c r="W5" s="24" t="s">
        <v>454</v>
      </c>
      <c r="X5" s="24" t="s">
        <v>455</v>
      </c>
      <c r="Y5" s="327" t="s">
        <v>805</v>
      </c>
    </row>
    <row r="6" spans="1:25" ht="12.75" hidden="1">
      <c r="A6" s="42" t="s">
        <v>440</v>
      </c>
      <c r="B6" s="123">
        <f>'Estad result y Fluj Caj'!B6*(1+$L$6)</f>
        <v>163246.35692469668</v>
      </c>
      <c r="C6" s="123">
        <f>'Estad result y Fluj Caj'!C6*(1+$L$6)</f>
        <v>176795.8045494465</v>
      </c>
      <c r="D6" s="123">
        <f>'Estad result y Fluj Caj'!D6*(1+$L$6)</f>
        <v>191469.85632705057</v>
      </c>
      <c r="E6" s="123">
        <f>'Estad result y Fluj Caj'!E6*(1+$L$6)</f>
        <v>207361.85440219575</v>
      </c>
      <c r="F6" s="123">
        <f>'Estad result y Fluj Caj'!F6*(1+$L$6)</f>
        <v>224572.888317578</v>
      </c>
      <c r="G6" s="123">
        <f>'Estad result y Fluj Caj'!G6*(1+$L$6)</f>
        <v>243212.43804793697</v>
      </c>
      <c r="H6" s="123">
        <f>'Estad result y Fluj Caj'!H6*(1+$L$6)</f>
        <v>263399.0704059157</v>
      </c>
      <c r="I6" s="123">
        <f>'Estad result y Fluj Caj'!I6*(1+$L$6)</f>
        <v>285261.1932496067</v>
      </c>
      <c r="J6" s="123">
        <f>'Estad result y Fluj Caj'!J6*(1+$L$6)</f>
        <v>308937.87228932406</v>
      </c>
      <c r="K6" s="123">
        <f>'Estad result y Fluj Caj'!K6*(1+$L$6)</f>
        <v>334579.715689338</v>
      </c>
      <c r="L6" s="40">
        <v>-0.1</v>
      </c>
      <c r="N6" s="42" t="s">
        <v>440</v>
      </c>
      <c r="O6" s="123">
        <f>'Estad result y Fluj Caj'!B6*(1+$Y$6)</f>
        <v>154177.11487332464</v>
      </c>
      <c r="P6" s="123">
        <f>'Estad result y Fluj Caj'!C6*(1+$Y$6)</f>
        <v>166973.8154078106</v>
      </c>
      <c r="Q6" s="123">
        <f>'Estad result y Fluj Caj'!D6*(1+$Y$6)</f>
        <v>180832.64208665886</v>
      </c>
      <c r="R6" s="123">
        <f>'Estad result y Fluj Caj'!E6*(1+$Y$6)</f>
        <v>195841.75137985154</v>
      </c>
      <c r="S6" s="123">
        <f>'Estad result y Fluj Caj'!F6*(1+$Y$6)</f>
        <v>212096.61674437922</v>
      </c>
      <c r="T6" s="123">
        <f>'Estad result y Fluj Caj'!G6*(1+$Y$6)</f>
        <v>229700.63593416268</v>
      </c>
      <c r="U6" s="123">
        <f>'Estad result y Fluj Caj'!H6*(1+$Y$6)</f>
        <v>248765.78871669818</v>
      </c>
      <c r="V6" s="123">
        <f>'Estad result y Fluj Caj'!I6*(1+$Y$6)</f>
        <v>269413.34918018413</v>
      </c>
      <c r="W6" s="123">
        <f>'Estad result y Fluj Caj'!J6*(1+$Y$6)</f>
        <v>291774.65716213937</v>
      </c>
      <c r="X6" s="123">
        <f>'Estad result y Fluj Caj'!K6*(1+$Y$6)</f>
        <v>315991.9537065969</v>
      </c>
      <c r="Y6" s="40">
        <v>-0.15</v>
      </c>
    </row>
    <row r="7" spans="1:24" ht="12.75" hidden="1">
      <c r="A7" s="42" t="s">
        <v>703</v>
      </c>
      <c r="B7" s="35"/>
      <c r="C7" s="35"/>
      <c r="D7" s="35"/>
      <c r="E7" s="35"/>
      <c r="F7" s="35"/>
      <c r="G7" s="35"/>
      <c r="H7" s="35"/>
      <c r="I7" s="35"/>
      <c r="J7" s="35"/>
      <c r="K7" s="35"/>
      <c r="N7" s="42" t="s">
        <v>703</v>
      </c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12.75" hidden="1">
      <c r="A8" s="20" t="s">
        <v>389</v>
      </c>
      <c r="B8" s="35"/>
      <c r="C8" s="35"/>
      <c r="D8" s="35"/>
      <c r="E8" s="35"/>
      <c r="F8" s="35"/>
      <c r="G8" s="35"/>
      <c r="H8" s="35"/>
      <c r="I8" s="35"/>
      <c r="J8" s="35"/>
      <c r="K8" s="35"/>
      <c r="N8" s="20" t="s">
        <v>389</v>
      </c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2.75" hidden="1">
      <c r="A9" s="129" t="s">
        <v>700</v>
      </c>
      <c r="B9" s="35">
        <f>'Anex Est Result - Gast'!B16</f>
        <v>19050</v>
      </c>
      <c r="C9" s="35">
        <f>'Anex Est Result - Gast'!C16</f>
        <v>20002.5</v>
      </c>
      <c r="D9" s="35">
        <f>'Anex Est Result - Gast'!D16</f>
        <v>21002.625</v>
      </c>
      <c r="E9" s="35">
        <f>'Anex Est Result - Gast'!E16</f>
        <v>22052.756250000002</v>
      </c>
      <c r="F9" s="35">
        <f>'Anex Est Result - Gast'!F16</f>
        <v>23155.394062500003</v>
      </c>
      <c r="G9" s="35">
        <f>'Anex Est Result - Gast'!G16</f>
        <v>24313.163765625006</v>
      </c>
      <c r="H9" s="35">
        <f>'Anex Est Result - Gast'!H16</f>
        <v>25528.821953906256</v>
      </c>
      <c r="I9" s="35">
        <f>'Anex Est Result - Gast'!I16</f>
        <v>26805.26305160157</v>
      </c>
      <c r="J9" s="35">
        <f>'Anex Est Result - Gast'!J16</f>
        <v>28145.52620418165</v>
      </c>
      <c r="K9" s="35">
        <f>'Anex Est Result - Gast'!K16</f>
        <v>29552.802514390733</v>
      </c>
      <c r="N9" s="129" t="s">
        <v>700</v>
      </c>
      <c r="O9" s="35">
        <f aca="true" t="shared" si="0" ref="O9:X9">B9</f>
        <v>19050</v>
      </c>
      <c r="P9" s="35">
        <f t="shared" si="0"/>
        <v>20002.5</v>
      </c>
      <c r="Q9" s="35">
        <f t="shared" si="0"/>
        <v>21002.625</v>
      </c>
      <c r="R9" s="35">
        <f t="shared" si="0"/>
        <v>22052.756250000002</v>
      </c>
      <c r="S9" s="35">
        <f t="shared" si="0"/>
        <v>23155.394062500003</v>
      </c>
      <c r="T9" s="35">
        <f t="shared" si="0"/>
        <v>24313.163765625006</v>
      </c>
      <c r="U9" s="35">
        <f t="shared" si="0"/>
        <v>25528.821953906256</v>
      </c>
      <c r="V9" s="35">
        <f t="shared" si="0"/>
        <v>26805.26305160157</v>
      </c>
      <c r="W9" s="35">
        <f t="shared" si="0"/>
        <v>28145.52620418165</v>
      </c>
      <c r="X9" s="35">
        <f t="shared" si="0"/>
        <v>29552.802514390733</v>
      </c>
    </row>
    <row r="10" spans="1:24" ht="12.75" hidden="1">
      <c r="A10" s="20" t="s">
        <v>699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N10" s="20" t="s">
        <v>699</v>
      </c>
      <c r="O10" s="35">
        <f aca="true" t="shared" si="1" ref="O10:O28">B10</f>
        <v>0</v>
      </c>
      <c r="P10" s="35">
        <f aca="true" t="shared" si="2" ref="P10:P28">C10</f>
        <v>0</v>
      </c>
      <c r="Q10" s="35">
        <f aca="true" t="shared" si="3" ref="Q10:Q28">D10</f>
        <v>0</v>
      </c>
      <c r="R10" s="35">
        <f aca="true" t="shared" si="4" ref="R10:R28">E10</f>
        <v>0</v>
      </c>
      <c r="S10" s="35">
        <f aca="true" t="shared" si="5" ref="S10:S28">F10</f>
        <v>0</v>
      </c>
      <c r="T10" s="35">
        <f aca="true" t="shared" si="6" ref="T10:T28">G10</f>
        <v>0</v>
      </c>
      <c r="U10" s="35">
        <f aca="true" t="shared" si="7" ref="U10:U28">H10</f>
        <v>0</v>
      </c>
      <c r="V10" s="35">
        <f aca="true" t="shared" si="8" ref="V10:V28">I10</f>
        <v>0</v>
      </c>
      <c r="W10" s="35">
        <f aca="true" t="shared" si="9" ref="W10:W28">J10</f>
        <v>0</v>
      </c>
      <c r="X10" s="35">
        <f aca="true" t="shared" si="10" ref="X10:X28">K10</f>
        <v>0</v>
      </c>
    </row>
    <row r="11" spans="1:24" ht="12.75" hidden="1">
      <c r="A11" s="129" t="s">
        <v>701</v>
      </c>
      <c r="B11" s="35">
        <f>'Anex Est Result - Gast'!B27</f>
        <v>61440</v>
      </c>
      <c r="C11" s="35">
        <f>'Anex Est Result - Gast'!C27</f>
        <v>64512</v>
      </c>
      <c r="D11" s="35">
        <f>'Anex Est Result - Gast'!D27</f>
        <v>67737.6</v>
      </c>
      <c r="E11" s="35">
        <f>'Anex Est Result - Gast'!E27</f>
        <v>71124.48000000001</v>
      </c>
      <c r="F11" s="35">
        <f>'Anex Est Result - Gast'!F27</f>
        <v>74680.704</v>
      </c>
      <c r="G11" s="35">
        <f>'Anex Est Result - Gast'!G27</f>
        <v>78414.73920000001</v>
      </c>
      <c r="H11" s="35">
        <f>'Anex Est Result - Gast'!H27</f>
        <v>82335.47616000002</v>
      </c>
      <c r="I11" s="35">
        <f>'Anex Est Result - Gast'!I27</f>
        <v>86452.24996800002</v>
      </c>
      <c r="J11" s="35">
        <f>'Anex Est Result - Gast'!J27</f>
        <v>90774.86246640002</v>
      </c>
      <c r="K11" s="35">
        <f>'Anex Est Result - Gast'!K27</f>
        <v>95313.60558972003</v>
      </c>
      <c r="N11" s="129" t="s">
        <v>701</v>
      </c>
      <c r="O11" s="35">
        <f t="shared" si="1"/>
        <v>61440</v>
      </c>
      <c r="P11" s="35">
        <f t="shared" si="2"/>
        <v>64512</v>
      </c>
      <c r="Q11" s="35">
        <f t="shared" si="3"/>
        <v>67737.6</v>
      </c>
      <c r="R11" s="35">
        <f t="shared" si="4"/>
        <v>71124.48000000001</v>
      </c>
      <c r="S11" s="35">
        <f t="shared" si="5"/>
        <v>74680.704</v>
      </c>
      <c r="T11" s="35">
        <f t="shared" si="6"/>
        <v>78414.73920000001</v>
      </c>
      <c r="U11" s="35">
        <f t="shared" si="7"/>
        <v>82335.47616000002</v>
      </c>
      <c r="V11" s="35">
        <f t="shared" si="8"/>
        <v>86452.24996800002</v>
      </c>
      <c r="W11" s="35">
        <f t="shared" si="9"/>
        <v>90774.86246640002</v>
      </c>
      <c r="X11" s="35">
        <f t="shared" si="10"/>
        <v>95313.60558972003</v>
      </c>
    </row>
    <row r="12" spans="1:24" ht="12.75" hidden="1">
      <c r="A12" s="129" t="s">
        <v>702</v>
      </c>
      <c r="B12" s="35">
        <f>'Anex Est Result - Gast'!B38</f>
        <v>1260</v>
      </c>
      <c r="C12" s="35">
        <f>'Anex Est Result - Gast'!C38</f>
        <v>1323</v>
      </c>
      <c r="D12" s="35">
        <f>'Anex Est Result - Gast'!D38</f>
        <v>1389.15</v>
      </c>
      <c r="E12" s="35">
        <f>'Anex Est Result - Gast'!E38</f>
        <v>1458.6075</v>
      </c>
      <c r="F12" s="35">
        <f>'Anex Est Result - Gast'!F38</f>
        <v>1531.5378750000002</v>
      </c>
      <c r="G12" s="35">
        <f>'Anex Est Result - Gast'!G38</f>
        <v>1608.1147687500002</v>
      </c>
      <c r="H12" s="35">
        <f>'Anex Est Result - Gast'!H38</f>
        <v>1688.5205071875002</v>
      </c>
      <c r="I12" s="35">
        <f>'Anex Est Result - Gast'!I38</f>
        <v>1772.9465325468755</v>
      </c>
      <c r="J12" s="35">
        <f>'Anex Est Result - Gast'!J38</f>
        <v>1861.5938591742192</v>
      </c>
      <c r="K12" s="35">
        <f>'Anex Est Result - Gast'!K38</f>
        <v>1954.6735521329304</v>
      </c>
      <c r="N12" s="129" t="s">
        <v>702</v>
      </c>
      <c r="O12" s="35">
        <f t="shared" si="1"/>
        <v>1260</v>
      </c>
      <c r="P12" s="35">
        <f t="shared" si="2"/>
        <v>1323</v>
      </c>
      <c r="Q12" s="35">
        <f t="shared" si="3"/>
        <v>1389.15</v>
      </c>
      <c r="R12" s="35">
        <f t="shared" si="4"/>
        <v>1458.6075</v>
      </c>
      <c r="S12" s="35">
        <f t="shared" si="5"/>
        <v>1531.5378750000002</v>
      </c>
      <c r="T12" s="35">
        <f t="shared" si="6"/>
        <v>1608.1147687500002</v>
      </c>
      <c r="U12" s="35">
        <f t="shared" si="7"/>
        <v>1688.5205071875002</v>
      </c>
      <c r="V12" s="35">
        <f t="shared" si="8"/>
        <v>1772.9465325468755</v>
      </c>
      <c r="W12" s="35">
        <f t="shared" si="9"/>
        <v>1861.5938591742192</v>
      </c>
      <c r="X12" s="35">
        <f t="shared" si="10"/>
        <v>1954.6735521329304</v>
      </c>
    </row>
    <row r="13" spans="1:24" ht="12.75" hidden="1">
      <c r="A13" s="20" t="s">
        <v>442</v>
      </c>
      <c r="B13" s="35">
        <f>'gastos publicid'!D21</f>
        <v>7310</v>
      </c>
      <c r="C13" s="35">
        <f>'gastos publicid'!E21</f>
        <v>7675.5</v>
      </c>
      <c r="D13" s="35">
        <f>'gastos publicid'!F21</f>
        <v>8443.050000000001</v>
      </c>
      <c r="E13" s="35">
        <f>'gastos publicid'!G21</f>
        <v>9287.355000000001</v>
      </c>
      <c r="F13" s="35">
        <f>'gastos publicid'!H21</f>
        <v>10216.090500000002</v>
      </c>
      <c r="G13" s="35">
        <f>'gastos publicid'!I21</f>
        <v>11237.699550000003</v>
      </c>
      <c r="H13" s="35">
        <f>'gastos publicid'!J21</f>
        <v>12361.469505000005</v>
      </c>
      <c r="I13" s="35">
        <f>'gastos publicid'!K21</f>
        <v>13597.616455500007</v>
      </c>
      <c r="J13" s="35">
        <f>'gastos publicid'!L21</f>
        <v>14957.378101050008</v>
      </c>
      <c r="K13" s="35">
        <f>'gastos publicid'!M21</f>
        <v>16453.11591115501</v>
      </c>
      <c r="N13" s="20" t="s">
        <v>442</v>
      </c>
      <c r="O13" s="35">
        <f t="shared" si="1"/>
        <v>7310</v>
      </c>
      <c r="P13" s="35">
        <f t="shared" si="2"/>
        <v>7675.5</v>
      </c>
      <c r="Q13" s="35">
        <f t="shared" si="3"/>
        <v>8443.050000000001</v>
      </c>
      <c r="R13" s="35">
        <f t="shared" si="4"/>
        <v>9287.355000000001</v>
      </c>
      <c r="S13" s="35">
        <f t="shared" si="5"/>
        <v>10216.090500000002</v>
      </c>
      <c r="T13" s="35">
        <f t="shared" si="6"/>
        <v>11237.699550000003</v>
      </c>
      <c r="U13" s="35">
        <f t="shared" si="7"/>
        <v>12361.469505000005</v>
      </c>
      <c r="V13" s="35">
        <f t="shared" si="8"/>
        <v>13597.616455500007</v>
      </c>
      <c r="W13" s="35">
        <f t="shared" si="9"/>
        <v>14957.378101050008</v>
      </c>
      <c r="X13" s="35">
        <f t="shared" si="10"/>
        <v>16453.11591115501</v>
      </c>
    </row>
    <row r="14" spans="1:24" ht="12.75" hidden="1">
      <c r="A14" s="20" t="s">
        <v>795</v>
      </c>
      <c r="B14" s="35">
        <f>'Estad result y Fluj Caj'!B16</f>
        <v>3500</v>
      </c>
      <c r="C14" s="35">
        <f>'Estad result y Fluj Caj'!C16</f>
        <v>3675</v>
      </c>
      <c r="D14" s="35">
        <f>'Estad result y Fluj Caj'!D16</f>
        <v>3858.75</v>
      </c>
      <c r="E14" s="35">
        <f>'Estad result y Fluj Caj'!E16</f>
        <v>4051.6875</v>
      </c>
      <c r="F14" s="35">
        <f>'Estad result y Fluj Caj'!F16</f>
        <v>4254.271875</v>
      </c>
      <c r="G14" s="35">
        <f>'Estad result y Fluj Caj'!G16</f>
        <v>4466.985468750001</v>
      </c>
      <c r="H14" s="35">
        <f>'Estad result y Fluj Caj'!H16</f>
        <v>4690.334742187501</v>
      </c>
      <c r="I14" s="35">
        <f>'Estad result y Fluj Caj'!I16</f>
        <v>4924.851479296876</v>
      </c>
      <c r="J14" s="35">
        <f>'Estad result y Fluj Caj'!J16</f>
        <v>5171.094053261721</v>
      </c>
      <c r="K14" s="35">
        <f>'Estad result y Fluj Caj'!K16</f>
        <v>5429.648755924807</v>
      </c>
      <c r="N14" s="20" t="s">
        <v>795</v>
      </c>
      <c r="O14" s="35">
        <f t="shared" si="1"/>
        <v>3500</v>
      </c>
      <c r="P14" s="35">
        <f t="shared" si="2"/>
        <v>3675</v>
      </c>
      <c r="Q14" s="35">
        <f t="shared" si="3"/>
        <v>3858.75</v>
      </c>
      <c r="R14" s="35">
        <f t="shared" si="4"/>
        <v>4051.6875</v>
      </c>
      <c r="S14" s="35">
        <f t="shared" si="5"/>
        <v>4254.271875</v>
      </c>
      <c r="T14" s="35">
        <f t="shared" si="6"/>
        <v>4466.985468750001</v>
      </c>
      <c r="U14" s="35">
        <f t="shared" si="7"/>
        <v>4690.334742187501</v>
      </c>
      <c r="V14" s="35">
        <f t="shared" si="8"/>
        <v>4924.851479296876</v>
      </c>
      <c r="W14" s="35">
        <f t="shared" si="9"/>
        <v>5171.094053261721</v>
      </c>
      <c r="X14" s="35">
        <f t="shared" si="10"/>
        <v>5429.648755924807</v>
      </c>
    </row>
    <row r="15" spans="1:24" ht="12.75" hidden="1">
      <c r="A15" s="42" t="s">
        <v>704</v>
      </c>
      <c r="B15" s="123">
        <f>SUM(B9:B14)</f>
        <v>92560</v>
      </c>
      <c r="C15" s="123">
        <f aca="true" t="shared" si="11" ref="C15:K15">SUM(C9:C14)</f>
        <v>97188</v>
      </c>
      <c r="D15" s="123">
        <f>SUM(D9:D14)</f>
        <v>102431.175</v>
      </c>
      <c r="E15" s="123">
        <f t="shared" si="11"/>
        <v>107974.88625000001</v>
      </c>
      <c r="F15" s="123">
        <f>SUM(F9:F14)</f>
        <v>113837.99831250001</v>
      </c>
      <c r="G15" s="123">
        <f t="shared" si="11"/>
        <v>120040.70275312504</v>
      </c>
      <c r="H15" s="123">
        <f t="shared" si="11"/>
        <v>126604.62286828128</v>
      </c>
      <c r="I15" s="123">
        <f t="shared" si="11"/>
        <v>133552.92748694532</v>
      </c>
      <c r="J15" s="123">
        <f t="shared" si="11"/>
        <v>140910.4546840676</v>
      </c>
      <c r="K15" s="123">
        <f t="shared" si="11"/>
        <v>148703.8463233235</v>
      </c>
      <c r="N15" s="42" t="s">
        <v>704</v>
      </c>
      <c r="O15" s="35">
        <f t="shared" si="1"/>
        <v>92560</v>
      </c>
      <c r="P15" s="35">
        <f t="shared" si="2"/>
        <v>97188</v>
      </c>
      <c r="Q15" s="35">
        <f t="shared" si="3"/>
        <v>102431.175</v>
      </c>
      <c r="R15" s="35">
        <f t="shared" si="4"/>
        <v>107974.88625000001</v>
      </c>
      <c r="S15" s="35">
        <f t="shared" si="5"/>
        <v>113837.99831250001</v>
      </c>
      <c r="T15" s="35">
        <f t="shared" si="6"/>
        <v>120040.70275312504</v>
      </c>
      <c r="U15" s="35">
        <f t="shared" si="7"/>
        <v>126604.62286828128</v>
      </c>
      <c r="V15" s="35">
        <f t="shared" si="8"/>
        <v>133552.92748694532</v>
      </c>
      <c r="W15" s="35">
        <f t="shared" si="9"/>
        <v>140910.4546840676</v>
      </c>
      <c r="X15" s="35">
        <f t="shared" si="10"/>
        <v>148703.8463233235</v>
      </c>
    </row>
    <row r="16" spans="1:24" ht="15" hidden="1">
      <c r="A16" s="42" t="s">
        <v>443</v>
      </c>
      <c r="B16" s="243">
        <f>B6-B15</f>
        <v>70686.35692469668</v>
      </c>
      <c r="C16" s="243">
        <f aca="true" t="shared" si="12" ref="C16:K16">C6-C15</f>
        <v>79607.8045494465</v>
      </c>
      <c r="D16" s="243">
        <f t="shared" si="12"/>
        <v>89038.68132705057</v>
      </c>
      <c r="E16" s="243">
        <f t="shared" si="12"/>
        <v>99386.96815219574</v>
      </c>
      <c r="F16" s="243">
        <f t="shared" si="12"/>
        <v>110734.89000507799</v>
      </c>
      <c r="G16" s="243">
        <f t="shared" si="12"/>
        <v>123171.73529481194</v>
      </c>
      <c r="H16" s="243">
        <f t="shared" si="12"/>
        <v>136794.44753763446</v>
      </c>
      <c r="I16" s="243">
        <f t="shared" si="12"/>
        <v>151708.26576266138</v>
      </c>
      <c r="J16" s="243">
        <f t="shared" si="12"/>
        <v>168027.41760525646</v>
      </c>
      <c r="K16" s="243">
        <f t="shared" si="12"/>
        <v>185875.8693660145</v>
      </c>
      <c r="N16" s="42" t="s">
        <v>443</v>
      </c>
      <c r="O16" s="35">
        <f t="shared" si="1"/>
        <v>70686.35692469668</v>
      </c>
      <c r="P16" s="35">
        <f t="shared" si="2"/>
        <v>79607.8045494465</v>
      </c>
      <c r="Q16" s="35">
        <f t="shared" si="3"/>
        <v>89038.68132705057</v>
      </c>
      <c r="R16" s="35">
        <f t="shared" si="4"/>
        <v>99386.96815219574</v>
      </c>
      <c r="S16" s="35">
        <f t="shared" si="5"/>
        <v>110734.89000507799</v>
      </c>
      <c r="T16" s="35">
        <f t="shared" si="6"/>
        <v>123171.73529481194</v>
      </c>
      <c r="U16" s="35">
        <f t="shared" si="7"/>
        <v>136794.44753763446</v>
      </c>
      <c r="V16" s="35">
        <f t="shared" si="8"/>
        <v>151708.26576266138</v>
      </c>
      <c r="W16" s="35">
        <f t="shared" si="9"/>
        <v>168027.41760525646</v>
      </c>
      <c r="X16" s="35">
        <f t="shared" si="10"/>
        <v>185875.8693660145</v>
      </c>
    </row>
    <row r="17" spans="1:24" ht="12.75" hidden="1">
      <c r="A17" s="20" t="s">
        <v>707</v>
      </c>
      <c r="B17" s="35">
        <f>'Anex Est Result - Gast'!E61</f>
        <v>18161.61877062294</v>
      </c>
      <c r="C17" s="35">
        <f>'Anex Est Result - Gast'!F61</f>
        <v>18161.61877062294</v>
      </c>
      <c r="D17" s="35">
        <f>'Anex Est Result - Gast'!G61</f>
        <v>18161.61877062294</v>
      </c>
      <c r="E17" s="35">
        <f>'Anex Est Result - Gast'!H61</f>
        <v>18161.61877062294</v>
      </c>
      <c r="F17" s="35">
        <f>'Anex Est Result - Gast'!I61</f>
        <v>18161.61877062294</v>
      </c>
      <c r="G17" s="35">
        <f>'Anex Est Result - Gast'!J61</f>
        <v>18161.61877062294</v>
      </c>
      <c r="H17" s="35">
        <f>'Anex Est Result - Gast'!K61</f>
        <v>18161.61877062294</v>
      </c>
      <c r="I17" s="35">
        <f>'Anex Est Result - Gast'!L61</f>
        <v>18161.61877062294</v>
      </c>
      <c r="J17" s="35">
        <f>'Anex Est Result - Gast'!M61</f>
        <v>18161.61877062294</v>
      </c>
      <c r="K17" s="35">
        <f>'Anex Est Result - Gast'!N61</f>
        <v>17628.285437289607</v>
      </c>
      <c r="N17" s="20" t="s">
        <v>707</v>
      </c>
      <c r="O17" s="35">
        <f t="shared" si="1"/>
        <v>18161.61877062294</v>
      </c>
      <c r="P17" s="35">
        <f t="shared" si="2"/>
        <v>18161.61877062294</v>
      </c>
      <c r="Q17" s="35">
        <f t="shared" si="3"/>
        <v>18161.61877062294</v>
      </c>
      <c r="R17" s="35">
        <f t="shared" si="4"/>
        <v>18161.61877062294</v>
      </c>
      <c r="S17" s="35">
        <f t="shared" si="5"/>
        <v>18161.61877062294</v>
      </c>
      <c r="T17" s="35">
        <f t="shared" si="6"/>
        <v>18161.61877062294</v>
      </c>
      <c r="U17" s="35">
        <f t="shared" si="7"/>
        <v>18161.61877062294</v>
      </c>
      <c r="V17" s="35">
        <f t="shared" si="8"/>
        <v>18161.61877062294</v>
      </c>
      <c r="W17" s="35">
        <f t="shared" si="9"/>
        <v>18161.61877062294</v>
      </c>
      <c r="X17" s="35">
        <f t="shared" si="10"/>
        <v>17628.285437289607</v>
      </c>
    </row>
    <row r="18" spans="1:24" ht="12.75" hidden="1">
      <c r="A18" s="20" t="s">
        <v>708</v>
      </c>
      <c r="B18" s="35">
        <f>'Anex Est Result - Gast'!C119</f>
        <v>3401.7174972462763</v>
      </c>
      <c r="C18" s="35">
        <f>'Anex Est Result - Gast'!D119</f>
        <v>3401.7174972462763</v>
      </c>
      <c r="D18" s="35">
        <f>'Anex Est Result - Gast'!E119</f>
        <v>3401.7174972462763</v>
      </c>
      <c r="E18" s="35">
        <f>'Anex Est Result - Gast'!F119</f>
        <v>3401.7174972462763</v>
      </c>
      <c r="F18" s="35">
        <f>'Anex Est Result - Gast'!G119</f>
        <v>3401.7174972462763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N18" s="20" t="s">
        <v>708</v>
      </c>
      <c r="O18" s="35">
        <f t="shared" si="1"/>
        <v>3401.7174972462763</v>
      </c>
      <c r="P18" s="35">
        <f t="shared" si="2"/>
        <v>3401.7174972462763</v>
      </c>
      <c r="Q18" s="35">
        <f t="shared" si="3"/>
        <v>3401.7174972462763</v>
      </c>
      <c r="R18" s="35">
        <f t="shared" si="4"/>
        <v>3401.7174972462763</v>
      </c>
      <c r="S18" s="35">
        <f t="shared" si="5"/>
        <v>3401.7174972462763</v>
      </c>
      <c r="T18" s="35">
        <f t="shared" si="6"/>
        <v>0</v>
      </c>
      <c r="U18" s="35">
        <f t="shared" si="7"/>
        <v>0</v>
      </c>
      <c r="V18" s="35">
        <f t="shared" si="8"/>
        <v>0</v>
      </c>
      <c r="W18" s="35">
        <f t="shared" si="9"/>
        <v>0</v>
      </c>
      <c r="X18" s="35">
        <f t="shared" si="10"/>
        <v>0</v>
      </c>
    </row>
    <row r="19" spans="1:24" ht="12.75" hidden="1">
      <c r="A19" s="20" t="s">
        <v>709</v>
      </c>
      <c r="B19" s="35">
        <f>'Anex Est Result - Gast'!D89</f>
        <v>12272.087486231381</v>
      </c>
      <c r="C19" s="35">
        <f>'Anex Est Result - Gast'!D90</f>
        <v>12272.087486231381</v>
      </c>
      <c r="D19" s="35">
        <f>'Anex Est Result - Gast'!D91</f>
        <v>12272.087486231381</v>
      </c>
      <c r="E19" s="35">
        <f>'Anex Est Result - Gast'!D92</f>
        <v>11044.878737608244</v>
      </c>
      <c r="F19" s="35">
        <f>'Anex Est Result - Gast'!D93</f>
        <v>9817.669988985106</v>
      </c>
      <c r="G19" s="35">
        <f>'Anex Est Result - Gast'!D94</f>
        <v>8590.461240361969</v>
      </c>
      <c r="H19" s="35">
        <f>'Anex Est Result - Gast'!D95</f>
        <v>7363.25249173883</v>
      </c>
      <c r="I19" s="35">
        <f>'Anex Est Result - Gast'!D96</f>
        <v>6136.0437431156915</v>
      </c>
      <c r="J19" s="35">
        <f>'Anex Est Result - Gast'!D97</f>
        <v>4908.834994492554</v>
      </c>
      <c r="K19" s="35">
        <f>'Anex Est Result - Gast'!D98</f>
        <v>3681.6262458694155</v>
      </c>
      <c r="N19" s="20" t="s">
        <v>709</v>
      </c>
      <c r="O19" s="35">
        <f t="shared" si="1"/>
        <v>12272.087486231381</v>
      </c>
      <c r="P19" s="35">
        <f t="shared" si="2"/>
        <v>12272.087486231381</v>
      </c>
      <c r="Q19" s="35">
        <f t="shared" si="3"/>
        <v>12272.087486231381</v>
      </c>
      <c r="R19" s="35">
        <f t="shared" si="4"/>
        <v>11044.878737608244</v>
      </c>
      <c r="S19" s="35">
        <f t="shared" si="5"/>
        <v>9817.669988985106</v>
      </c>
      <c r="T19" s="35">
        <f t="shared" si="6"/>
        <v>8590.461240361969</v>
      </c>
      <c r="U19" s="35">
        <f t="shared" si="7"/>
        <v>7363.25249173883</v>
      </c>
      <c r="V19" s="35">
        <f t="shared" si="8"/>
        <v>6136.0437431156915</v>
      </c>
      <c r="W19" s="35">
        <f t="shared" si="9"/>
        <v>4908.834994492554</v>
      </c>
      <c r="X19" s="35">
        <f t="shared" si="10"/>
        <v>3681.6262458694155</v>
      </c>
    </row>
    <row r="20" spans="1:24" ht="15" hidden="1">
      <c r="A20" s="42" t="s">
        <v>445</v>
      </c>
      <c r="B20" s="243">
        <f aca="true" t="shared" si="13" ref="B20:K20">B16-SUM(B17:B19)</f>
        <v>36850.93317059609</v>
      </c>
      <c r="C20" s="243">
        <f t="shared" si="13"/>
        <v>45772.38079534591</v>
      </c>
      <c r="D20" s="243">
        <f t="shared" si="13"/>
        <v>55203.25757294997</v>
      </c>
      <c r="E20" s="243">
        <f t="shared" si="13"/>
        <v>66778.75314671829</v>
      </c>
      <c r="F20" s="243">
        <f t="shared" si="13"/>
        <v>79353.88374822367</v>
      </c>
      <c r="G20" s="243">
        <f t="shared" si="13"/>
        <v>96419.65528382703</v>
      </c>
      <c r="H20" s="243">
        <f t="shared" si="13"/>
        <v>111269.5762752727</v>
      </c>
      <c r="I20" s="243">
        <f t="shared" si="13"/>
        <v>127410.60324892275</v>
      </c>
      <c r="J20" s="243">
        <f t="shared" si="13"/>
        <v>144956.96384014096</v>
      </c>
      <c r="K20" s="243">
        <f t="shared" si="13"/>
        <v>164565.9576828555</v>
      </c>
      <c r="N20" s="42" t="s">
        <v>445</v>
      </c>
      <c r="O20" s="35">
        <f t="shared" si="1"/>
        <v>36850.93317059609</v>
      </c>
      <c r="P20" s="35">
        <f t="shared" si="2"/>
        <v>45772.38079534591</v>
      </c>
      <c r="Q20" s="35">
        <f t="shared" si="3"/>
        <v>55203.25757294997</v>
      </c>
      <c r="R20" s="35">
        <f t="shared" si="4"/>
        <v>66778.75314671829</v>
      </c>
      <c r="S20" s="35">
        <f t="shared" si="5"/>
        <v>79353.88374822367</v>
      </c>
      <c r="T20" s="35">
        <f t="shared" si="6"/>
        <v>96419.65528382703</v>
      </c>
      <c r="U20" s="35">
        <f t="shared" si="7"/>
        <v>111269.5762752727</v>
      </c>
      <c r="V20" s="35">
        <f t="shared" si="8"/>
        <v>127410.60324892275</v>
      </c>
      <c r="W20" s="35">
        <f t="shared" si="9"/>
        <v>144956.96384014096</v>
      </c>
      <c r="X20" s="35">
        <f t="shared" si="10"/>
        <v>164565.9576828555</v>
      </c>
    </row>
    <row r="21" spans="1:24" ht="15" hidden="1">
      <c r="A21" s="42" t="s">
        <v>789</v>
      </c>
      <c r="B21" s="243">
        <f>B20*0.15</f>
        <v>5527.639975589413</v>
      </c>
      <c r="C21" s="243">
        <f aca="true" t="shared" si="14" ref="C21:K21">C20*0.15</f>
        <v>6865.857119301886</v>
      </c>
      <c r="D21" s="243">
        <f t="shared" si="14"/>
        <v>8280.488635942496</v>
      </c>
      <c r="E21" s="243">
        <f t="shared" si="14"/>
        <v>10016.812972007743</v>
      </c>
      <c r="F21" s="243">
        <f t="shared" si="14"/>
        <v>11903.08256223355</v>
      </c>
      <c r="G21" s="243">
        <f t="shared" si="14"/>
        <v>14462.948292574054</v>
      </c>
      <c r="H21" s="243">
        <f t="shared" si="14"/>
        <v>16690.436441290905</v>
      </c>
      <c r="I21" s="243">
        <f t="shared" si="14"/>
        <v>19111.590487338413</v>
      </c>
      <c r="J21" s="243">
        <f t="shared" si="14"/>
        <v>21743.544576021144</v>
      </c>
      <c r="K21" s="243">
        <f t="shared" si="14"/>
        <v>24684.893652428324</v>
      </c>
      <c r="N21" s="42" t="s">
        <v>789</v>
      </c>
      <c r="O21" s="35">
        <f t="shared" si="1"/>
        <v>5527.639975589413</v>
      </c>
      <c r="P21" s="35">
        <f t="shared" si="2"/>
        <v>6865.857119301886</v>
      </c>
      <c r="Q21" s="35">
        <f t="shared" si="3"/>
        <v>8280.488635942496</v>
      </c>
      <c r="R21" s="35">
        <f t="shared" si="4"/>
        <v>10016.812972007743</v>
      </c>
      <c r="S21" s="35">
        <f t="shared" si="5"/>
        <v>11903.08256223355</v>
      </c>
      <c r="T21" s="35">
        <f t="shared" si="6"/>
        <v>14462.948292574054</v>
      </c>
      <c r="U21" s="35">
        <f t="shared" si="7"/>
        <v>16690.436441290905</v>
      </c>
      <c r="V21" s="35">
        <f t="shared" si="8"/>
        <v>19111.590487338413</v>
      </c>
      <c r="W21" s="35">
        <f t="shared" si="9"/>
        <v>21743.544576021144</v>
      </c>
      <c r="X21" s="35">
        <f t="shared" si="10"/>
        <v>24684.893652428324</v>
      </c>
    </row>
    <row r="22" spans="1:24" ht="25.5" hidden="1">
      <c r="A22" s="125" t="s">
        <v>787</v>
      </c>
      <c r="B22" s="243">
        <f>B20-B21</f>
        <v>31323.293195006674</v>
      </c>
      <c r="C22" s="243">
        <f aca="true" t="shared" si="15" ref="C22:K22">C20-C21</f>
        <v>38906.523676044024</v>
      </c>
      <c r="D22" s="243">
        <f t="shared" si="15"/>
        <v>46922.76893700748</v>
      </c>
      <c r="E22" s="243">
        <f t="shared" si="15"/>
        <v>56761.940174710544</v>
      </c>
      <c r="F22" s="243">
        <f t="shared" si="15"/>
        <v>67450.80118599012</v>
      </c>
      <c r="G22" s="243">
        <f t="shared" si="15"/>
        <v>81956.70699125297</v>
      </c>
      <c r="H22" s="243">
        <f t="shared" si="15"/>
        <v>94579.1398339818</v>
      </c>
      <c r="I22" s="243">
        <f t="shared" si="15"/>
        <v>108299.01276158434</v>
      </c>
      <c r="J22" s="243">
        <f t="shared" si="15"/>
        <v>123213.41926411982</v>
      </c>
      <c r="K22" s="243">
        <f t="shared" si="15"/>
        <v>139881.06403042717</v>
      </c>
      <c r="N22" s="125" t="s">
        <v>787</v>
      </c>
      <c r="O22" s="35">
        <f t="shared" si="1"/>
        <v>31323.293195006674</v>
      </c>
      <c r="P22" s="35">
        <f t="shared" si="2"/>
        <v>38906.523676044024</v>
      </c>
      <c r="Q22" s="35">
        <f t="shared" si="3"/>
        <v>46922.76893700748</v>
      </c>
      <c r="R22" s="35">
        <f t="shared" si="4"/>
        <v>56761.940174710544</v>
      </c>
      <c r="S22" s="35">
        <f t="shared" si="5"/>
        <v>67450.80118599012</v>
      </c>
      <c r="T22" s="35">
        <f t="shared" si="6"/>
        <v>81956.70699125297</v>
      </c>
      <c r="U22" s="35">
        <f t="shared" si="7"/>
        <v>94579.1398339818</v>
      </c>
      <c r="V22" s="35">
        <f t="shared" si="8"/>
        <v>108299.01276158434</v>
      </c>
      <c r="W22" s="35">
        <f t="shared" si="9"/>
        <v>123213.41926411982</v>
      </c>
      <c r="X22" s="35">
        <f t="shared" si="10"/>
        <v>139881.06403042717</v>
      </c>
    </row>
    <row r="23" spans="1:24" ht="12.75" hidden="1">
      <c r="A23" s="234" t="s">
        <v>659</v>
      </c>
      <c r="B23" s="35">
        <f>B17</f>
        <v>18161.61877062294</v>
      </c>
      <c r="C23" s="35">
        <f aca="true" t="shared" si="16" ref="C23:K23">C17</f>
        <v>18161.61877062294</v>
      </c>
      <c r="D23" s="35">
        <f t="shared" si="16"/>
        <v>18161.61877062294</v>
      </c>
      <c r="E23" s="35">
        <f t="shared" si="16"/>
        <v>18161.61877062294</v>
      </c>
      <c r="F23" s="35">
        <f t="shared" si="16"/>
        <v>18161.61877062294</v>
      </c>
      <c r="G23" s="35">
        <f t="shared" si="16"/>
        <v>18161.61877062294</v>
      </c>
      <c r="H23" s="35">
        <f t="shared" si="16"/>
        <v>18161.61877062294</v>
      </c>
      <c r="I23" s="35">
        <f t="shared" si="16"/>
        <v>18161.61877062294</v>
      </c>
      <c r="J23" s="35">
        <f t="shared" si="16"/>
        <v>18161.61877062294</v>
      </c>
      <c r="K23" s="35">
        <f t="shared" si="16"/>
        <v>17628.285437289607</v>
      </c>
      <c r="N23" s="234" t="s">
        <v>659</v>
      </c>
      <c r="O23" s="35">
        <f t="shared" si="1"/>
        <v>18161.61877062294</v>
      </c>
      <c r="P23" s="35">
        <f t="shared" si="2"/>
        <v>18161.61877062294</v>
      </c>
      <c r="Q23" s="35">
        <f t="shared" si="3"/>
        <v>18161.61877062294</v>
      </c>
      <c r="R23" s="35">
        <f t="shared" si="4"/>
        <v>18161.61877062294</v>
      </c>
      <c r="S23" s="35">
        <f t="shared" si="5"/>
        <v>18161.61877062294</v>
      </c>
      <c r="T23" s="35">
        <f t="shared" si="6"/>
        <v>18161.61877062294</v>
      </c>
      <c r="U23" s="35">
        <f t="shared" si="7"/>
        <v>18161.61877062294</v>
      </c>
      <c r="V23" s="35">
        <f t="shared" si="8"/>
        <v>18161.61877062294</v>
      </c>
      <c r="W23" s="35">
        <f t="shared" si="9"/>
        <v>18161.61877062294</v>
      </c>
      <c r="X23" s="35">
        <f t="shared" si="10"/>
        <v>17628.285437289607</v>
      </c>
    </row>
    <row r="24" spans="1:24" ht="12.75" hidden="1">
      <c r="A24" s="234" t="s">
        <v>661</v>
      </c>
      <c r="B24" s="35">
        <f>B18</f>
        <v>3401.7174972462763</v>
      </c>
      <c r="C24" s="35">
        <f>C18</f>
        <v>3401.7174972462763</v>
      </c>
      <c r="D24" s="35">
        <f>D18</f>
        <v>3401.7174972462763</v>
      </c>
      <c r="E24" s="35">
        <f>E18</f>
        <v>3401.7174972462763</v>
      </c>
      <c r="F24" s="35">
        <f>F18</f>
        <v>3401.7174972462763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N24" s="234" t="s">
        <v>661</v>
      </c>
      <c r="O24" s="35">
        <f t="shared" si="1"/>
        <v>3401.7174972462763</v>
      </c>
      <c r="P24" s="35">
        <f t="shared" si="2"/>
        <v>3401.7174972462763</v>
      </c>
      <c r="Q24" s="35">
        <f t="shared" si="3"/>
        <v>3401.7174972462763</v>
      </c>
      <c r="R24" s="35">
        <f t="shared" si="4"/>
        <v>3401.7174972462763</v>
      </c>
      <c r="S24" s="35">
        <f t="shared" si="5"/>
        <v>3401.7174972462763</v>
      </c>
      <c r="T24" s="35">
        <f t="shared" si="6"/>
        <v>0</v>
      </c>
      <c r="U24" s="35">
        <f t="shared" si="7"/>
        <v>0</v>
      </c>
      <c r="V24" s="35">
        <f t="shared" si="8"/>
        <v>0</v>
      </c>
      <c r="W24" s="35">
        <f t="shared" si="9"/>
        <v>0</v>
      </c>
      <c r="X24" s="35">
        <f t="shared" si="10"/>
        <v>0</v>
      </c>
    </row>
    <row r="25" spans="1:24" ht="12.75" hidden="1">
      <c r="A25" s="234" t="s">
        <v>660</v>
      </c>
      <c r="B25" s="35">
        <f>'Anex Est Result - Gast'!F89</f>
        <v>0</v>
      </c>
      <c r="C25" s="35">
        <f>'Anex Est Result - Gast'!F90</f>
        <v>0</v>
      </c>
      <c r="D25" s="35">
        <f>'Anex Est Result - Gast'!F91</f>
        <v>20453.47914371897</v>
      </c>
      <c r="E25" s="35">
        <f>'Anex Est Result - Gast'!F92</f>
        <v>20453.47914371897</v>
      </c>
      <c r="F25" s="35">
        <f>'Anex Est Result - Gast'!F93</f>
        <v>20453.47914371897</v>
      </c>
      <c r="G25" s="35">
        <f>'Anex Est Result - Gast'!F94</f>
        <v>20453.47914371897</v>
      </c>
      <c r="H25" s="35">
        <f>'Anex Est Result - Gast'!F95</f>
        <v>20453.47914371897</v>
      </c>
      <c r="I25" s="35">
        <f>'Anex Est Result - Gast'!F96</f>
        <v>20453.47914371897</v>
      </c>
      <c r="J25" s="35">
        <f>'Anex Est Result - Gast'!F97</f>
        <v>20453.47914371897</v>
      </c>
      <c r="K25" s="35">
        <f>'Anex Est Result - Gast'!F98</f>
        <v>20453.47914371897</v>
      </c>
      <c r="N25" s="234" t="s">
        <v>660</v>
      </c>
      <c r="O25" s="35">
        <f t="shared" si="1"/>
        <v>0</v>
      </c>
      <c r="P25" s="35">
        <f t="shared" si="2"/>
        <v>0</v>
      </c>
      <c r="Q25" s="35">
        <f t="shared" si="3"/>
        <v>20453.47914371897</v>
      </c>
      <c r="R25" s="35">
        <f t="shared" si="4"/>
        <v>20453.47914371897</v>
      </c>
      <c r="S25" s="35">
        <f t="shared" si="5"/>
        <v>20453.47914371897</v>
      </c>
      <c r="T25" s="35">
        <f t="shared" si="6"/>
        <v>20453.47914371897</v>
      </c>
      <c r="U25" s="35">
        <f t="shared" si="7"/>
        <v>20453.47914371897</v>
      </c>
      <c r="V25" s="35">
        <f t="shared" si="8"/>
        <v>20453.47914371897</v>
      </c>
      <c r="W25" s="35">
        <f t="shared" si="9"/>
        <v>20453.47914371897</v>
      </c>
      <c r="X25" s="35">
        <f t="shared" si="10"/>
        <v>20453.47914371897</v>
      </c>
    </row>
    <row r="26" spans="1:24" ht="15" hidden="1">
      <c r="A26" s="42" t="s">
        <v>662</v>
      </c>
      <c r="B26" s="243">
        <f>B22+B23+B24-B25</f>
        <v>52886.629462875884</v>
      </c>
      <c r="C26" s="243">
        <f aca="true" t="shared" si="17" ref="C26:K26">C22+C23+C24-C25</f>
        <v>60469.85994391324</v>
      </c>
      <c r="D26" s="243">
        <f t="shared" si="17"/>
        <v>48032.62606115773</v>
      </c>
      <c r="E26" s="243">
        <f t="shared" si="17"/>
        <v>57871.797298860794</v>
      </c>
      <c r="F26" s="243">
        <f t="shared" si="17"/>
        <v>68560.65831014037</v>
      </c>
      <c r="G26" s="243">
        <f t="shared" si="17"/>
        <v>79664.84661815694</v>
      </c>
      <c r="H26" s="243">
        <f t="shared" si="17"/>
        <v>92287.27946088577</v>
      </c>
      <c r="I26" s="243">
        <f t="shared" si="17"/>
        <v>106007.1523884883</v>
      </c>
      <c r="J26" s="243">
        <f t="shared" si="17"/>
        <v>120921.55889102379</v>
      </c>
      <c r="K26" s="243">
        <f t="shared" si="17"/>
        <v>137055.8703239978</v>
      </c>
      <c r="N26" s="42" t="s">
        <v>662</v>
      </c>
      <c r="O26" s="35">
        <f t="shared" si="1"/>
        <v>52886.629462875884</v>
      </c>
      <c r="P26" s="35">
        <f t="shared" si="2"/>
        <v>60469.85994391324</v>
      </c>
      <c r="Q26" s="35">
        <f t="shared" si="3"/>
        <v>48032.62606115773</v>
      </c>
      <c r="R26" s="35">
        <f t="shared" si="4"/>
        <v>57871.797298860794</v>
      </c>
      <c r="S26" s="35">
        <f t="shared" si="5"/>
        <v>68560.65831014037</v>
      </c>
      <c r="T26" s="35">
        <f t="shared" si="6"/>
        <v>79664.84661815694</v>
      </c>
      <c r="U26" s="35">
        <f t="shared" si="7"/>
        <v>92287.27946088577</v>
      </c>
      <c r="V26" s="35">
        <f t="shared" si="8"/>
        <v>106007.1523884883</v>
      </c>
      <c r="W26" s="35">
        <f t="shared" si="9"/>
        <v>120921.55889102379</v>
      </c>
      <c r="X26" s="35">
        <f t="shared" si="10"/>
        <v>137055.8703239978</v>
      </c>
    </row>
    <row r="27" spans="1:24" ht="12.75" hidden="1">
      <c r="A27" s="42"/>
      <c r="B27" s="35"/>
      <c r="C27" s="35"/>
      <c r="D27" s="35"/>
      <c r="E27" s="35"/>
      <c r="F27" s="35"/>
      <c r="G27" s="35"/>
      <c r="H27" s="35"/>
      <c r="I27" s="35"/>
      <c r="J27" s="35"/>
      <c r="K27" s="35"/>
      <c r="N27" s="42"/>
      <c r="O27" s="35">
        <f t="shared" si="1"/>
        <v>0</v>
      </c>
      <c r="P27" s="35">
        <f t="shared" si="2"/>
        <v>0</v>
      </c>
      <c r="Q27" s="35">
        <f t="shared" si="3"/>
        <v>0</v>
      </c>
      <c r="R27" s="35">
        <f t="shared" si="4"/>
        <v>0</v>
      </c>
      <c r="S27" s="35">
        <f t="shared" si="5"/>
        <v>0</v>
      </c>
      <c r="T27" s="35">
        <f t="shared" si="6"/>
        <v>0</v>
      </c>
      <c r="U27" s="35">
        <f t="shared" si="7"/>
        <v>0</v>
      </c>
      <c r="V27" s="35">
        <f t="shared" si="8"/>
        <v>0</v>
      </c>
      <c r="W27" s="35">
        <f t="shared" si="9"/>
        <v>0</v>
      </c>
      <c r="X27" s="35">
        <f t="shared" si="10"/>
        <v>0</v>
      </c>
    </row>
    <row r="28" spans="1:24" ht="15" hidden="1">
      <c r="A28" s="42" t="s">
        <v>446</v>
      </c>
      <c r="B28" s="243">
        <f>B22</f>
        <v>31323.293195006674</v>
      </c>
      <c r="C28" s="243">
        <f>B28+C22</f>
        <v>70229.8168710507</v>
      </c>
      <c r="D28" s="243">
        <f aca="true" t="shared" si="18" ref="D28:K28">C28+D22</f>
        <v>117152.58580805818</v>
      </c>
      <c r="E28" s="243">
        <f t="shared" si="18"/>
        <v>173914.52598276874</v>
      </c>
      <c r="F28" s="243">
        <f t="shared" si="18"/>
        <v>241365.32716875884</v>
      </c>
      <c r="G28" s="243">
        <f t="shared" si="18"/>
        <v>323322.0341600118</v>
      </c>
      <c r="H28" s="243">
        <f t="shared" si="18"/>
        <v>417901.1739939936</v>
      </c>
      <c r="I28" s="243">
        <f t="shared" si="18"/>
        <v>526200.1867555779</v>
      </c>
      <c r="J28" s="243">
        <f t="shared" si="18"/>
        <v>649413.6060196977</v>
      </c>
      <c r="K28" s="243">
        <f t="shared" si="18"/>
        <v>789294.6700501249</v>
      </c>
      <c r="N28" s="42" t="s">
        <v>446</v>
      </c>
      <c r="O28" s="35">
        <f t="shared" si="1"/>
        <v>31323.293195006674</v>
      </c>
      <c r="P28" s="35">
        <f t="shared" si="2"/>
        <v>70229.8168710507</v>
      </c>
      <c r="Q28" s="35">
        <f t="shared" si="3"/>
        <v>117152.58580805818</v>
      </c>
      <c r="R28" s="35">
        <f t="shared" si="4"/>
        <v>173914.52598276874</v>
      </c>
      <c r="S28" s="35">
        <f t="shared" si="5"/>
        <v>241365.32716875884</v>
      </c>
      <c r="T28" s="35">
        <f t="shared" si="6"/>
        <v>323322.0341600118</v>
      </c>
      <c r="U28" s="35">
        <f t="shared" si="7"/>
        <v>417901.1739939936</v>
      </c>
      <c r="V28" s="35">
        <f t="shared" si="8"/>
        <v>526200.1867555779</v>
      </c>
      <c r="W28" s="35">
        <f t="shared" si="9"/>
        <v>649413.6060196977</v>
      </c>
      <c r="X28" s="35">
        <f t="shared" si="10"/>
        <v>789294.6700501249</v>
      </c>
    </row>
    <row r="29" ht="12.75" hidden="1"/>
    <row r="30" ht="12.75" hidden="1"/>
    <row r="31" spans="1:25" ht="15.75" hidden="1">
      <c r="A31" s="978" t="s">
        <v>692</v>
      </c>
      <c r="B31" s="978"/>
      <c r="C31" s="978"/>
      <c r="D31" s="978"/>
      <c r="E31" s="978"/>
      <c r="F31" s="978"/>
      <c r="G31" s="978"/>
      <c r="H31" s="978"/>
      <c r="I31" s="978"/>
      <c r="J31" s="978"/>
      <c r="K31" s="978"/>
      <c r="L31" s="978"/>
      <c r="N31" s="978" t="s">
        <v>692</v>
      </c>
      <c r="O31" s="978"/>
      <c r="P31" s="978"/>
      <c r="Q31" s="978"/>
      <c r="R31" s="978"/>
      <c r="S31" s="978"/>
      <c r="T31" s="978"/>
      <c r="U31" s="978"/>
      <c r="V31" s="978"/>
      <c r="W31" s="978"/>
      <c r="X31" s="978"/>
      <c r="Y31" s="978"/>
    </row>
    <row r="32" spans="1:25" ht="15" hidden="1">
      <c r="A32" s="1008" t="s">
        <v>456</v>
      </c>
      <c r="B32" s="1008"/>
      <c r="C32" s="1008"/>
      <c r="D32" s="1008"/>
      <c r="E32" s="1008"/>
      <c r="F32" s="1008"/>
      <c r="G32" s="1008"/>
      <c r="H32" s="1008"/>
      <c r="I32" s="1008"/>
      <c r="J32" s="1008"/>
      <c r="K32" s="1008"/>
      <c r="L32" s="1008"/>
      <c r="N32" s="1008" t="s">
        <v>456</v>
      </c>
      <c r="O32" s="1008"/>
      <c r="P32" s="1008"/>
      <c r="Q32" s="1008"/>
      <c r="R32" s="1008"/>
      <c r="S32" s="1008"/>
      <c r="T32" s="1008"/>
      <c r="U32" s="1008"/>
      <c r="V32" s="1008"/>
      <c r="W32" s="1008"/>
      <c r="X32" s="1008"/>
      <c r="Y32" s="1008"/>
    </row>
    <row r="33" ht="12.75" hidden="1"/>
    <row r="34" spans="1:25" ht="12.75" hidden="1">
      <c r="A34" s="24" t="s">
        <v>694</v>
      </c>
      <c r="B34" s="24" t="s">
        <v>695</v>
      </c>
      <c r="C34" s="24" t="s">
        <v>439</v>
      </c>
      <c r="D34" s="24" t="s">
        <v>447</v>
      </c>
      <c r="E34" s="24" t="s">
        <v>448</v>
      </c>
      <c r="F34" s="24" t="s">
        <v>449</v>
      </c>
      <c r="G34" s="24" t="s">
        <v>450</v>
      </c>
      <c r="H34" s="24" t="s">
        <v>451</v>
      </c>
      <c r="I34" s="24" t="s">
        <v>452</v>
      </c>
      <c r="J34" s="24" t="s">
        <v>453</v>
      </c>
      <c r="K34" s="24" t="s">
        <v>454</v>
      </c>
      <c r="L34" s="24" t="s">
        <v>455</v>
      </c>
      <c r="N34" s="24" t="s">
        <v>694</v>
      </c>
      <c r="O34" s="24" t="s">
        <v>695</v>
      </c>
      <c r="P34" s="24" t="s">
        <v>439</v>
      </c>
      <c r="Q34" s="24" t="s">
        <v>447</v>
      </c>
      <c r="R34" s="24" t="s">
        <v>448</v>
      </c>
      <c r="S34" s="24" t="s">
        <v>449</v>
      </c>
      <c r="T34" s="24" t="s">
        <v>450</v>
      </c>
      <c r="U34" s="24" t="s">
        <v>451</v>
      </c>
      <c r="V34" s="24" t="s">
        <v>452</v>
      </c>
      <c r="W34" s="24" t="s">
        <v>453</v>
      </c>
      <c r="X34" s="24" t="s">
        <v>454</v>
      </c>
      <c r="Y34" s="24" t="s">
        <v>455</v>
      </c>
    </row>
    <row r="35" spans="1:25" ht="12.75" hidden="1">
      <c r="A35" s="132" t="s">
        <v>696</v>
      </c>
      <c r="B35" s="119">
        <f>INVERSION!E53</f>
        <v>267262.7039509583</v>
      </c>
      <c r="C35" s="306" t="s">
        <v>360</v>
      </c>
      <c r="D35" s="306" t="s">
        <v>360</v>
      </c>
      <c r="E35" s="306" t="s">
        <v>360</v>
      </c>
      <c r="F35" s="306" t="s">
        <v>360</v>
      </c>
      <c r="G35" s="306" t="s">
        <v>360</v>
      </c>
      <c r="H35" s="306" t="s">
        <v>360</v>
      </c>
      <c r="I35" s="306" t="s">
        <v>360</v>
      </c>
      <c r="J35" s="306" t="s">
        <v>360</v>
      </c>
      <c r="K35" s="306" t="s">
        <v>360</v>
      </c>
      <c r="L35" s="306" t="s">
        <v>360</v>
      </c>
      <c r="N35" s="132" t="s">
        <v>696</v>
      </c>
      <c r="O35" s="119">
        <f>B35</f>
        <v>267262.7039509583</v>
      </c>
      <c r="P35" s="306" t="s">
        <v>360</v>
      </c>
      <c r="Q35" s="306" t="s">
        <v>360</v>
      </c>
      <c r="R35" s="306" t="s">
        <v>360</v>
      </c>
      <c r="S35" s="306" t="s">
        <v>360</v>
      </c>
      <c r="T35" s="306" t="s">
        <v>360</v>
      </c>
      <c r="U35" s="306" t="s">
        <v>360</v>
      </c>
      <c r="V35" s="306" t="s">
        <v>360</v>
      </c>
      <c r="W35" s="306" t="s">
        <v>360</v>
      </c>
      <c r="X35" s="306" t="s">
        <v>360</v>
      </c>
      <c r="Y35" s="306" t="s">
        <v>360</v>
      </c>
    </row>
    <row r="36" spans="1:25" ht="12.75" hidden="1">
      <c r="A36" s="132" t="s">
        <v>697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N36" s="132" t="s">
        <v>697</v>
      </c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1:25" ht="12.75" hidden="1">
      <c r="A37" s="20" t="s">
        <v>698</v>
      </c>
      <c r="B37" s="119"/>
      <c r="C37" s="119">
        <f>B6</f>
        <v>163246.35692469668</v>
      </c>
      <c r="D37" s="119">
        <f aca="true" t="shared" si="19" ref="D37:L37">C6</f>
        <v>176795.8045494465</v>
      </c>
      <c r="E37" s="119">
        <f t="shared" si="19"/>
        <v>191469.85632705057</v>
      </c>
      <c r="F37" s="119">
        <f t="shared" si="19"/>
        <v>207361.85440219575</v>
      </c>
      <c r="G37" s="119">
        <f t="shared" si="19"/>
        <v>224572.888317578</v>
      </c>
      <c r="H37" s="119">
        <f t="shared" si="19"/>
        <v>243212.43804793697</v>
      </c>
      <c r="I37" s="119">
        <f t="shared" si="19"/>
        <v>263399.0704059157</v>
      </c>
      <c r="J37" s="119">
        <f t="shared" si="19"/>
        <v>285261.1932496067</v>
      </c>
      <c r="K37" s="119">
        <f t="shared" si="19"/>
        <v>308937.87228932406</v>
      </c>
      <c r="L37" s="119">
        <f t="shared" si="19"/>
        <v>334579.715689338</v>
      </c>
      <c r="N37" s="20" t="s">
        <v>698</v>
      </c>
      <c r="O37" s="119"/>
      <c r="P37" s="119">
        <f aca="true" t="shared" si="20" ref="P37:Y37">O6</f>
        <v>154177.11487332464</v>
      </c>
      <c r="Q37" s="119">
        <f t="shared" si="20"/>
        <v>166973.8154078106</v>
      </c>
      <c r="R37" s="119">
        <f t="shared" si="20"/>
        <v>180832.64208665886</v>
      </c>
      <c r="S37" s="119">
        <f t="shared" si="20"/>
        <v>195841.75137985154</v>
      </c>
      <c r="T37" s="119">
        <f t="shared" si="20"/>
        <v>212096.61674437922</v>
      </c>
      <c r="U37" s="119">
        <f t="shared" si="20"/>
        <v>229700.63593416268</v>
      </c>
      <c r="V37" s="119">
        <f t="shared" si="20"/>
        <v>248765.78871669818</v>
      </c>
      <c r="W37" s="119">
        <f t="shared" si="20"/>
        <v>269413.34918018413</v>
      </c>
      <c r="X37" s="119">
        <f t="shared" si="20"/>
        <v>291774.65716213937</v>
      </c>
      <c r="Y37" s="119">
        <f t="shared" si="20"/>
        <v>315991.9537065969</v>
      </c>
    </row>
    <row r="38" spans="1:25" ht="12.75" hidden="1">
      <c r="A38" s="132" t="s">
        <v>714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N38" s="132" t="s">
        <v>714</v>
      </c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</row>
    <row r="39" spans="1:25" ht="12.75" hidden="1">
      <c r="A39" s="20" t="s">
        <v>389</v>
      </c>
      <c r="B39" s="119"/>
      <c r="C39" s="119">
        <f>SUM(B9:B9)</f>
        <v>19050</v>
      </c>
      <c r="D39" s="119">
        <f>SUM(C9:C9)</f>
        <v>20002.5</v>
      </c>
      <c r="E39" s="119">
        <f aca="true" t="shared" si="21" ref="E39:L39">SUM(D9:D9)</f>
        <v>21002.625</v>
      </c>
      <c r="F39" s="119">
        <f t="shared" si="21"/>
        <v>22052.756250000002</v>
      </c>
      <c r="G39" s="119">
        <f t="shared" si="21"/>
        <v>23155.394062500003</v>
      </c>
      <c r="H39" s="119">
        <f t="shared" si="21"/>
        <v>24313.163765625006</v>
      </c>
      <c r="I39" s="119">
        <f t="shared" si="21"/>
        <v>25528.821953906256</v>
      </c>
      <c r="J39" s="119">
        <f t="shared" si="21"/>
        <v>26805.26305160157</v>
      </c>
      <c r="K39" s="119">
        <f t="shared" si="21"/>
        <v>28145.52620418165</v>
      </c>
      <c r="L39" s="119">
        <f t="shared" si="21"/>
        <v>29552.802514390733</v>
      </c>
      <c r="N39" s="20" t="s">
        <v>389</v>
      </c>
      <c r="O39" s="119"/>
      <c r="P39" s="119">
        <f aca="true" t="shared" si="22" ref="P39:Y39">SUM(O9:O9)</f>
        <v>19050</v>
      </c>
      <c r="Q39" s="119">
        <f t="shared" si="22"/>
        <v>20002.5</v>
      </c>
      <c r="R39" s="119">
        <f t="shared" si="22"/>
        <v>21002.625</v>
      </c>
      <c r="S39" s="119">
        <f t="shared" si="22"/>
        <v>22052.756250000002</v>
      </c>
      <c r="T39" s="119">
        <f t="shared" si="22"/>
        <v>23155.394062500003</v>
      </c>
      <c r="U39" s="119">
        <f t="shared" si="22"/>
        <v>24313.163765625006</v>
      </c>
      <c r="V39" s="119">
        <f t="shared" si="22"/>
        <v>25528.821953906256</v>
      </c>
      <c r="W39" s="119">
        <f t="shared" si="22"/>
        <v>26805.26305160157</v>
      </c>
      <c r="X39" s="119">
        <f t="shared" si="22"/>
        <v>28145.52620418165</v>
      </c>
      <c r="Y39" s="119">
        <f t="shared" si="22"/>
        <v>29552.802514390733</v>
      </c>
    </row>
    <row r="40" spans="1:25" ht="12.75" hidden="1">
      <c r="A40" s="20" t="s">
        <v>699</v>
      </c>
      <c r="B40" s="119"/>
      <c r="C40" s="119">
        <f>SUM(B11:B12)</f>
        <v>62700</v>
      </c>
      <c r="D40" s="119">
        <f>SUM(C11:C12)</f>
        <v>65835</v>
      </c>
      <c r="E40" s="119">
        <f aca="true" t="shared" si="23" ref="E40:L40">SUM(D11:D12)</f>
        <v>69126.75</v>
      </c>
      <c r="F40" s="119">
        <f t="shared" si="23"/>
        <v>72583.08750000001</v>
      </c>
      <c r="G40" s="119">
        <f t="shared" si="23"/>
        <v>76212.24187499999</v>
      </c>
      <c r="H40" s="119">
        <f t="shared" si="23"/>
        <v>80022.85396875002</v>
      </c>
      <c r="I40" s="119">
        <f t="shared" si="23"/>
        <v>84023.99666718752</v>
      </c>
      <c r="J40" s="119">
        <f t="shared" si="23"/>
        <v>88225.1965005469</v>
      </c>
      <c r="K40" s="119">
        <f t="shared" si="23"/>
        <v>92636.45632557424</v>
      </c>
      <c r="L40" s="119">
        <f t="shared" si="23"/>
        <v>97268.27914185295</v>
      </c>
      <c r="N40" s="20" t="s">
        <v>699</v>
      </c>
      <c r="O40" s="119"/>
      <c r="P40" s="119">
        <f aca="true" t="shared" si="24" ref="P40:Y40">SUM(O11:O12)</f>
        <v>62700</v>
      </c>
      <c r="Q40" s="119">
        <f t="shared" si="24"/>
        <v>65835</v>
      </c>
      <c r="R40" s="119">
        <f t="shared" si="24"/>
        <v>69126.75</v>
      </c>
      <c r="S40" s="119">
        <f t="shared" si="24"/>
        <v>72583.08750000001</v>
      </c>
      <c r="T40" s="119">
        <f t="shared" si="24"/>
        <v>76212.24187499999</v>
      </c>
      <c r="U40" s="119">
        <f t="shared" si="24"/>
        <v>80022.85396875002</v>
      </c>
      <c r="V40" s="119">
        <f t="shared" si="24"/>
        <v>84023.99666718752</v>
      </c>
      <c r="W40" s="119">
        <f t="shared" si="24"/>
        <v>88225.1965005469</v>
      </c>
      <c r="X40" s="119">
        <f t="shared" si="24"/>
        <v>92636.45632557424</v>
      </c>
      <c r="Y40" s="119">
        <f t="shared" si="24"/>
        <v>97268.27914185295</v>
      </c>
    </row>
    <row r="41" spans="1:25" s="277" customFormat="1" ht="14.25" hidden="1">
      <c r="A41" s="20" t="s">
        <v>442</v>
      </c>
      <c r="B41" s="119"/>
      <c r="C41" s="119">
        <f>B13</f>
        <v>7310</v>
      </c>
      <c r="D41" s="119">
        <f>C13</f>
        <v>7675.5</v>
      </c>
      <c r="E41" s="119">
        <f aca="true" t="shared" si="25" ref="E41:L42">D13</f>
        <v>8443.050000000001</v>
      </c>
      <c r="F41" s="119">
        <f t="shared" si="25"/>
        <v>9287.355000000001</v>
      </c>
      <c r="G41" s="119">
        <f t="shared" si="25"/>
        <v>10216.090500000002</v>
      </c>
      <c r="H41" s="119">
        <f t="shared" si="25"/>
        <v>11237.699550000003</v>
      </c>
      <c r="I41" s="119">
        <f t="shared" si="25"/>
        <v>12361.469505000005</v>
      </c>
      <c r="J41" s="119">
        <f t="shared" si="25"/>
        <v>13597.616455500007</v>
      </c>
      <c r="K41" s="119">
        <f t="shared" si="25"/>
        <v>14957.378101050008</v>
      </c>
      <c r="L41" s="119">
        <f t="shared" si="25"/>
        <v>16453.11591115501</v>
      </c>
      <c r="N41" s="20" t="s">
        <v>442</v>
      </c>
      <c r="O41" s="119"/>
      <c r="P41" s="119">
        <f aca="true" t="shared" si="26" ref="P41:Y41">O13</f>
        <v>7310</v>
      </c>
      <c r="Q41" s="119">
        <f t="shared" si="26"/>
        <v>7675.5</v>
      </c>
      <c r="R41" s="119">
        <f t="shared" si="26"/>
        <v>8443.050000000001</v>
      </c>
      <c r="S41" s="119">
        <f t="shared" si="26"/>
        <v>9287.355000000001</v>
      </c>
      <c r="T41" s="119">
        <f t="shared" si="26"/>
        <v>10216.090500000002</v>
      </c>
      <c r="U41" s="119">
        <f t="shared" si="26"/>
        <v>11237.699550000003</v>
      </c>
      <c r="V41" s="119">
        <f t="shared" si="26"/>
        <v>12361.469505000005</v>
      </c>
      <c r="W41" s="119">
        <f t="shared" si="26"/>
        <v>13597.616455500007</v>
      </c>
      <c r="X41" s="119">
        <f t="shared" si="26"/>
        <v>14957.378101050008</v>
      </c>
      <c r="Y41" s="119">
        <f t="shared" si="26"/>
        <v>16453.11591115501</v>
      </c>
    </row>
    <row r="42" spans="1:25" ht="12.75" hidden="1">
      <c r="A42" s="20" t="s">
        <v>795</v>
      </c>
      <c r="B42" s="119"/>
      <c r="C42" s="119">
        <f>B14</f>
        <v>3500</v>
      </c>
      <c r="D42" s="119">
        <f>C14</f>
        <v>3675</v>
      </c>
      <c r="E42" s="119">
        <f t="shared" si="25"/>
        <v>3858.75</v>
      </c>
      <c r="F42" s="119">
        <f t="shared" si="25"/>
        <v>4051.6875</v>
      </c>
      <c r="G42" s="119">
        <f t="shared" si="25"/>
        <v>4254.271875</v>
      </c>
      <c r="H42" s="119">
        <f t="shared" si="25"/>
        <v>4466.985468750001</v>
      </c>
      <c r="I42" s="119">
        <f t="shared" si="25"/>
        <v>4690.334742187501</v>
      </c>
      <c r="J42" s="119">
        <f t="shared" si="25"/>
        <v>4924.851479296876</v>
      </c>
      <c r="K42" s="119">
        <f t="shared" si="25"/>
        <v>5171.094053261721</v>
      </c>
      <c r="L42" s="119">
        <f t="shared" si="25"/>
        <v>5429.648755924807</v>
      </c>
      <c r="N42" s="20" t="s">
        <v>795</v>
      </c>
      <c r="O42" s="119"/>
      <c r="P42" s="119">
        <f aca="true" t="shared" si="27" ref="P42:Y42">O14</f>
        <v>3500</v>
      </c>
      <c r="Q42" s="119">
        <f t="shared" si="27"/>
        <v>3675</v>
      </c>
      <c r="R42" s="119">
        <f t="shared" si="27"/>
        <v>3858.75</v>
      </c>
      <c r="S42" s="119">
        <f t="shared" si="27"/>
        <v>4051.6875</v>
      </c>
      <c r="T42" s="119">
        <f t="shared" si="27"/>
        <v>4254.271875</v>
      </c>
      <c r="U42" s="119">
        <f t="shared" si="27"/>
        <v>4466.985468750001</v>
      </c>
      <c r="V42" s="119">
        <f t="shared" si="27"/>
        <v>4690.334742187501</v>
      </c>
      <c r="W42" s="119">
        <f t="shared" si="27"/>
        <v>4924.851479296876</v>
      </c>
      <c r="X42" s="119">
        <f t="shared" si="27"/>
        <v>5171.094053261721</v>
      </c>
      <c r="Y42" s="119">
        <f t="shared" si="27"/>
        <v>5429.648755924807</v>
      </c>
    </row>
    <row r="43" spans="1:25" ht="12.75" hidden="1">
      <c r="A43" s="275" t="s">
        <v>705</v>
      </c>
      <c r="B43" s="119"/>
      <c r="C43" s="119">
        <f>SUM(C39:C42)</f>
        <v>92560</v>
      </c>
      <c r="D43" s="119">
        <f aca="true" t="shared" si="28" ref="D43:L43">SUM(D39:D42)</f>
        <v>97188</v>
      </c>
      <c r="E43" s="119">
        <f t="shared" si="28"/>
        <v>102431.175</v>
      </c>
      <c r="F43" s="119">
        <f t="shared" si="28"/>
        <v>107974.88625000001</v>
      </c>
      <c r="G43" s="119">
        <f t="shared" si="28"/>
        <v>113837.9983125</v>
      </c>
      <c r="H43" s="119">
        <f t="shared" si="28"/>
        <v>120040.70275312504</v>
      </c>
      <c r="I43" s="119">
        <f t="shared" si="28"/>
        <v>126604.62286828128</v>
      </c>
      <c r="J43" s="119">
        <f t="shared" si="28"/>
        <v>133552.92748694535</v>
      </c>
      <c r="K43" s="119">
        <f t="shared" si="28"/>
        <v>140910.4546840676</v>
      </c>
      <c r="L43" s="119">
        <f t="shared" si="28"/>
        <v>148703.8463233235</v>
      </c>
      <c r="N43" s="275" t="s">
        <v>705</v>
      </c>
      <c r="O43" s="119"/>
      <c r="P43" s="119">
        <f aca="true" t="shared" si="29" ref="P43:Y43">SUM(P39:P42)</f>
        <v>92560</v>
      </c>
      <c r="Q43" s="119">
        <f t="shared" si="29"/>
        <v>97188</v>
      </c>
      <c r="R43" s="119">
        <f t="shared" si="29"/>
        <v>102431.175</v>
      </c>
      <c r="S43" s="119">
        <f t="shared" si="29"/>
        <v>107974.88625000001</v>
      </c>
      <c r="T43" s="119">
        <f t="shared" si="29"/>
        <v>113837.9983125</v>
      </c>
      <c r="U43" s="119">
        <f t="shared" si="29"/>
        <v>120040.70275312504</v>
      </c>
      <c r="V43" s="119">
        <f t="shared" si="29"/>
        <v>126604.62286828128</v>
      </c>
      <c r="W43" s="119">
        <f t="shared" si="29"/>
        <v>133552.92748694535</v>
      </c>
      <c r="X43" s="119">
        <f t="shared" si="29"/>
        <v>140910.4546840676</v>
      </c>
      <c r="Y43" s="119">
        <f t="shared" si="29"/>
        <v>148703.8463233235</v>
      </c>
    </row>
    <row r="44" spans="1:25" ht="14.25" hidden="1">
      <c r="A44" s="276" t="s">
        <v>710</v>
      </c>
      <c r="B44" s="307"/>
      <c r="C44" s="307">
        <f>C37-C43</f>
        <v>70686.35692469668</v>
      </c>
      <c r="D44" s="307">
        <f>D37-D43</f>
        <v>79607.8045494465</v>
      </c>
      <c r="E44" s="307">
        <f aca="true" t="shared" si="30" ref="E44:L44">E37-E43</f>
        <v>89038.68132705057</v>
      </c>
      <c r="F44" s="307">
        <f t="shared" si="30"/>
        <v>99386.96815219574</v>
      </c>
      <c r="G44" s="307">
        <f t="shared" si="30"/>
        <v>110734.890005078</v>
      </c>
      <c r="H44" s="307">
        <f t="shared" si="30"/>
        <v>123171.73529481194</v>
      </c>
      <c r="I44" s="307">
        <f t="shared" si="30"/>
        <v>136794.44753763446</v>
      </c>
      <c r="J44" s="307">
        <f t="shared" si="30"/>
        <v>151708.26576266135</v>
      </c>
      <c r="K44" s="307">
        <f t="shared" si="30"/>
        <v>168027.41760525646</v>
      </c>
      <c r="L44" s="307">
        <f t="shared" si="30"/>
        <v>185875.8693660145</v>
      </c>
      <c r="N44" s="276" t="s">
        <v>710</v>
      </c>
      <c r="O44" s="307"/>
      <c r="P44" s="307">
        <f aca="true" t="shared" si="31" ref="P44:Y44">P37-P43</f>
        <v>61617.11487332464</v>
      </c>
      <c r="Q44" s="307">
        <f t="shared" si="31"/>
        <v>69785.81540781059</v>
      </c>
      <c r="R44" s="307">
        <f t="shared" si="31"/>
        <v>78401.46708665886</v>
      </c>
      <c r="S44" s="307">
        <f t="shared" si="31"/>
        <v>87866.86512985153</v>
      </c>
      <c r="T44" s="307">
        <f t="shared" si="31"/>
        <v>98258.61843187922</v>
      </c>
      <c r="U44" s="307">
        <f t="shared" si="31"/>
        <v>109659.93318103765</v>
      </c>
      <c r="V44" s="307">
        <f t="shared" si="31"/>
        <v>122161.1658484169</v>
      </c>
      <c r="W44" s="307">
        <f t="shared" si="31"/>
        <v>135860.42169323878</v>
      </c>
      <c r="X44" s="307">
        <f t="shared" si="31"/>
        <v>150864.20247807176</v>
      </c>
      <c r="Y44" s="307">
        <f t="shared" si="31"/>
        <v>167288.10738327343</v>
      </c>
    </row>
    <row r="45" spans="1:25" ht="12.75" hidden="1">
      <c r="A45" s="132" t="s">
        <v>706</v>
      </c>
      <c r="B45" s="119"/>
      <c r="C45" s="119">
        <v>0</v>
      </c>
      <c r="D45" s="119">
        <v>0</v>
      </c>
      <c r="E45" s="119">
        <v>0</v>
      </c>
      <c r="F45" s="119"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N45" s="132" t="s">
        <v>706</v>
      </c>
      <c r="O45" s="119"/>
      <c r="P45" s="119">
        <v>0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v>0</v>
      </c>
      <c r="W45" s="119">
        <v>0</v>
      </c>
      <c r="X45" s="119">
        <v>0</v>
      </c>
      <c r="Y45" s="119">
        <v>0</v>
      </c>
    </row>
    <row r="46" spans="1:25" s="288" customFormat="1" ht="14.25" hidden="1">
      <c r="A46" s="132" t="s">
        <v>715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N46" s="132" t="s">
        <v>715</v>
      </c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</row>
    <row r="47" spans="1:25" s="278" customFormat="1" ht="15" hidden="1">
      <c r="A47" s="20" t="s">
        <v>444</v>
      </c>
      <c r="B47" s="119"/>
      <c r="C47" s="119">
        <f>B19</f>
        <v>12272.087486231381</v>
      </c>
      <c r="D47" s="119">
        <f aca="true" t="shared" si="32" ref="D47:L47">C19</f>
        <v>12272.087486231381</v>
      </c>
      <c r="E47" s="119">
        <f t="shared" si="32"/>
        <v>12272.087486231381</v>
      </c>
      <c r="F47" s="119">
        <f t="shared" si="32"/>
        <v>11044.878737608244</v>
      </c>
      <c r="G47" s="119">
        <f t="shared" si="32"/>
        <v>9817.669988985106</v>
      </c>
      <c r="H47" s="119">
        <f t="shared" si="32"/>
        <v>8590.461240361969</v>
      </c>
      <c r="I47" s="119">
        <f t="shared" si="32"/>
        <v>7363.25249173883</v>
      </c>
      <c r="J47" s="119">
        <f t="shared" si="32"/>
        <v>6136.0437431156915</v>
      </c>
      <c r="K47" s="119">
        <f t="shared" si="32"/>
        <v>4908.834994492554</v>
      </c>
      <c r="L47" s="119">
        <f t="shared" si="32"/>
        <v>3681.6262458694155</v>
      </c>
      <c r="N47" s="20" t="s">
        <v>444</v>
      </c>
      <c r="O47" s="119"/>
      <c r="P47" s="119">
        <f aca="true" t="shared" si="33" ref="P47:Y47">O19</f>
        <v>12272.087486231381</v>
      </c>
      <c r="Q47" s="119">
        <f t="shared" si="33"/>
        <v>12272.087486231381</v>
      </c>
      <c r="R47" s="119">
        <f t="shared" si="33"/>
        <v>12272.087486231381</v>
      </c>
      <c r="S47" s="119">
        <f t="shared" si="33"/>
        <v>11044.878737608244</v>
      </c>
      <c r="T47" s="119">
        <f t="shared" si="33"/>
        <v>9817.669988985106</v>
      </c>
      <c r="U47" s="119">
        <f t="shared" si="33"/>
        <v>8590.461240361969</v>
      </c>
      <c r="V47" s="119">
        <f t="shared" si="33"/>
        <v>7363.25249173883</v>
      </c>
      <c r="W47" s="119">
        <f t="shared" si="33"/>
        <v>6136.0437431156915</v>
      </c>
      <c r="X47" s="119">
        <f t="shared" si="33"/>
        <v>4908.834994492554</v>
      </c>
      <c r="Y47" s="119">
        <f t="shared" si="33"/>
        <v>3681.6262458694155</v>
      </c>
    </row>
    <row r="48" spans="1:25" s="305" customFormat="1" ht="14.25" customHeight="1" hidden="1">
      <c r="A48" s="20" t="s">
        <v>790</v>
      </c>
      <c r="B48" s="119"/>
      <c r="C48" s="119">
        <f>B21</f>
        <v>5527.639975589413</v>
      </c>
      <c r="D48" s="119">
        <f aca="true" t="shared" si="34" ref="D48:L48">C21</f>
        <v>6865.857119301886</v>
      </c>
      <c r="E48" s="119">
        <f t="shared" si="34"/>
        <v>8280.488635942496</v>
      </c>
      <c r="F48" s="119">
        <f t="shared" si="34"/>
        <v>10016.812972007743</v>
      </c>
      <c r="G48" s="119">
        <f t="shared" si="34"/>
        <v>11903.08256223355</v>
      </c>
      <c r="H48" s="119">
        <f t="shared" si="34"/>
        <v>14462.948292574054</v>
      </c>
      <c r="I48" s="119">
        <f t="shared" si="34"/>
        <v>16690.436441290905</v>
      </c>
      <c r="J48" s="119">
        <f t="shared" si="34"/>
        <v>19111.590487338413</v>
      </c>
      <c r="K48" s="119">
        <f t="shared" si="34"/>
        <v>21743.544576021144</v>
      </c>
      <c r="L48" s="119">
        <f t="shared" si="34"/>
        <v>24684.893652428324</v>
      </c>
      <c r="N48" s="20" t="s">
        <v>790</v>
      </c>
      <c r="O48" s="119"/>
      <c r="P48" s="119">
        <f>O21</f>
        <v>5527.639975589413</v>
      </c>
      <c r="Q48" s="119">
        <f aca="true" t="shared" si="35" ref="Q48:Y48">P21</f>
        <v>6865.857119301886</v>
      </c>
      <c r="R48" s="119">
        <f t="shared" si="35"/>
        <v>8280.488635942496</v>
      </c>
      <c r="S48" s="119">
        <f t="shared" si="35"/>
        <v>10016.812972007743</v>
      </c>
      <c r="T48" s="119">
        <f t="shared" si="35"/>
        <v>11903.08256223355</v>
      </c>
      <c r="U48" s="119">
        <f t="shared" si="35"/>
        <v>14462.948292574054</v>
      </c>
      <c r="V48" s="119">
        <f t="shared" si="35"/>
        <v>16690.436441290905</v>
      </c>
      <c r="W48" s="119">
        <f t="shared" si="35"/>
        <v>19111.590487338413</v>
      </c>
      <c r="X48" s="119">
        <f t="shared" si="35"/>
        <v>21743.544576021144</v>
      </c>
      <c r="Y48" s="119">
        <f t="shared" si="35"/>
        <v>24684.893652428324</v>
      </c>
    </row>
    <row r="49" spans="1:25" s="305" customFormat="1" ht="14.25" hidden="1">
      <c r="A49" s="20" t="s">
        <v>712</v>
      </c>
      <c r="B49" s="119"/>
      <c r="C49" s="119">
        <f>B25</f>
        <v>0</v>
      </c>
      <c r="D49" s="119">
        <f>C25</f>
        <v>0</v>
      </c>
      <c r="E49" s="119">
        <f aca="true" t="shared" si="36" ref="E49:L49">D25</f>
        <v>20453.47914371897</v>
      </c>
      <c r="F49" s="119">
        <f t="shared" si="36"/>
        <v>20453.47914371897</v>
      </c>
      <c r="G49" s="119">
        <f t="shared" si="36"/>
        <v>20453.47914371897</v>
      </c>
      <c r="H49" s="119">
        <f t="shared" si="36"/>
        <v>20453.47914371897</v>
      </c>
      <c r="I49" s="119">
        <f t="shared" si="36"/>
        <v>20453.47914371897</v>
      </c>
      <c r="J49" s="119">
        <f t="shared" si="36"/>
        <v>20453.47914371897</v>
      </c>
      <c r="K49" s="119">
        <f t="shared" si="36"/>
        <v>20453.47914371897</v>
      </c>
      <c r="L49" s="119">
        <f t="shared" si="36"/>
        <v>20453.47914371897</v>
      </c>
      <c r="N49" s="20" t="s">
        <v>712</v>
      </c>
      <c r="O49" s="119"/>
      <c r="P49" s="119">
        <f aca="true" t="shared" si="37" ref="P49:Y49">O25</f>
        <v>0</v>
      </c>
      <c r="Q49" s="119">
        <f t="shared" si="37"/>
        <v>0</v>
      </c>
      <c r="R49" s="119">
        <f t="shared" si="37"/>
        <v>20453.47914371897</v>
      </c>
      <c r="S49" s="119">
        <f t="shared" si="37"/>
        <v>20453.47914371897</v>
      </c>
      <c r="T49" s="119">
        <f t="shared" si="37"/>
        <v>20453.47914371897</v>
      </c>
      <c r="U49" s="119">
        <f t="shared" si="37"/>
        <v>20453.47914371897</v>
      </c>
      <c r="V49" s="119">
        <f t="shared" si="37"/>
        <v>20453.47914371897</v>
      </c>
      <c r="W49" s="119">
        <f t="shared" si="37"/>
        <v>20453.47914371897</v>
      </c>
      <c r="X49" s="119">
        <f t="shared" si="37"/>
        <v>20453.47914371897</v>
      </c>
      <c r="Y49" s="119">
        <f t="shared" si="37"/>
        <v>20453.47914371897</v>
      </c>
    </row>
    <row r="50" spans="1:25" ht="14.25" hidden="1">
      <c r="A50" s="276" t="s">
        <v>711</v>
      </c>
      <c r="B50" s="307"/>
      <c r="C50" s="307">
        <f>-SUM(C47:C49)</f>
        <v>-17799.727461820796</v>
      </c>
      <c r="D50" s="307">
        <f>-SUM(D47:D49)</f>
        <v>-19137.944605533266</v>
      </c>
      <c r="E50" s="307">
        <f aca="true" t="shared" si="38" ref="E50:L50">-SUM(E47:E49)</f>
        <v>-41006.05526589285</v>
      </c>
      <c r="F50" s="307">
        <f t="shared" si="38"/>
        <v>-41515.17085333496</v>
      </c>
      <c r="G50" s="307">
        <f t="shared" si="38"/>
        <v>-42174.231694937625</v>
      </c>
      <c r="H50" s="307">
        <f t="shared" si="38"/>
        <v>-43506.88867665499</v>
      </c>
      <c r="I50" s="307">
        <f t="shared" si="38"/>
        <v>-44507.168076748705</v>
      </c>
      <c r="J50" s="307">
        <f t="shared" si="38"/>
        <v>-45701.113374173074</v>
      </c>
      <c r="K50" s="307">
        <f t="shared" si="38"/>
        <v>-47105.85871423267</v>
      </c>
      <c r="L50" s="307">
        <f t="shared" si="38"/>
        <v>-48819.99904201671</v>
      </c>
      <c r="N50" s="276" t="s">
        <v>711</v>
      </c>
      <c r="O50" s="307"/>
      <c r="P50" s="307">
        <f aca="true" t="shared" si="39" ref="P50:Y50">-SUM(P47:P49)</f>
        <v>-17799.727461820796</v>
      </c>
      <c r="Q50" s="307">
        <f t="shared" si="39"/>
        <v>-19137.944605533266</v>
      </c>
      <c r="R50" s="307">
        <f t="shared" si="39"/>
        <v>-41006.05526589285</v>
      </c>
      <c r="S50" s="307">
        <f t="shared" si="39"/>
        <v>-41515.17085333496</v>
      </c>
      <c r="T50" s="307">
        <f t="shared" si="39"/>
        <v>-42174.231694937625</v>
      </c>
      <c r="U50" s="307">
        <f t="shared" si="39"/>
        <v>-43506.88867665499</v>
      </c>
      <c r="V50" s="307">
        <f t="shared" si="39"/>
        <v>-44507.168076748705</v>
      </c>
      <c r="W50" s="307">
        <f t="shared" si="39"/>
        <v>-45701.113374173074</v>
      </c>
      <c r="X50" s="307">
        <f t="shared" si="39"/>
        <v>-47105.85871423267</v>
      </c>
      <c r="Y50" s="307">
        <f t="shared" si="39"/>
        <v>-48819.99904201671</v>
      </c>
    </row>
    <row r="51" spans="1:25" ht="15" hidden="1">
      <c r="A51" s="287" t="s">
        <v>713</v>
      </c>
      <c r="B51" s="308">
        <f>-B35</f>
        <v>-267262.7039509583</v>
      </c>
      <c r="C51" s="308">
        <f>C44+C50</f>
        <v>52886.629462875884</v>
      </c>
      <c r="D51" s="308">
        <f>D44+D50</f>
        <v>60469.85994391324</v>
      </c>
      <c r="E51" s="308">
        <f aca="true" t="shared" si="40" ref="E51:L51">E44+E50</f>
        <v>48032.626061157716</v>
      </c>
      <c r="F51" s="308">
        <f t="shared" si="40"/>
        <v>57871.79729886078</v>
      </c>
      <c r="G51" s="308">
        <f t="shared" si="40"/>
        <v>68560.65831014038</v>
      </c>
      <c r="H51" s="308">
        <f t="shared" si="40"/>
        <v>79664.84661815694</v>
      </c>
      <c r="I51" s="308">
        <f t="shared" si="40"/>
        <v>92287.27946088577</v>
      </c>
      <c r="J51" s="308">
        <f t="shared" si="40"/>
        <v>106007.15238848828</v>
      </c>
      <c r="K51" s="308">
        <f t="shared" si="40"/>
        <v>120921.55889102379</v>
      </c>
      <c r="L51" s="308">
        <f t="shared" si="40"/>
        <v>137055.87032399778</v>
      </c>
      <c r="N51" s="287" t="s">
        <v>713</v>
      </c>
      <c r="O51" s="308">
        <f>-O35</f>
        <v>-267262.7039509583</v>
      </c>
      <c r="P51" s="308">
        <f aca="true" t="shared" si="41" ref="P51:Y51">P44+P50</f>
        <v>43817.38741150384</v>
      </c>
      <c r="Q51" s="308">
        <f t="shared" si="41"/>
        <v>50647.87080227732</v>
      </c>
      <c r="R51" s="308">
        <f t="shared" si="41"/>
        <v>37395.41182076601</v>
      </c>
      <c r="S51" s="308">
        <f t="shared" si="41"/>
        <v>46351.69427651657</v>
      </c>
      <c r="T51" s="308">
        <f t="shared" si="41"/>
        <v>56084.3867369416</v>
      </c>
      <c r="U51" s="308">
        <f t="shared" si="41"/>
        <v>66153.04450438265</v>
      </c>
      <c r="V51" s="308">
        <f t="shared" si="41"/>
        <v>77653.99777166819</v>
      </c>
      <c r="W51" s="308">
        <f t="shared" si="41"/>
        <v>90159.3083190657</v>
      </c>
      <c r="X51" s="308">
        <f t="shared" si="41"/>
        <v>103758.34376383909</v>
      </c>
      <c r="Y51" s="308">
        <f t="shared" si="41"/>
        <v>118468.10834125671</v>
      </c>
    </row>
    <row r="52" spans="1:25" ht="14.25" hidden="1">
      <c r="A52" s="304" t="s">
        <v>746</v>
      </c>
      <c r="B52" s="309"/>
      <c r="C52" s="309">
        <f>'Balan Gener'!B11</f>
        <v>28072.676964293678</v>
      </c>
      <c r="D52" s="309">
        <f>C53</f>
        <v>80959.30642716956</v>
      </c>
      <c r="E52" s="309">
        <f>D53</f>
        <v>141429.1663710828</v>
      </c>
      <c r="F52" s="309">
        <f aca="true" t="shared" si="42" ref="F52:L52">E53</f>
        <v>189461.7924322405</v>
      </c>
      <c r="G52" s="309">
        <f t="shared" si="42"/>
        <v>247333.5897311013</v>
      </c>
      <c r="H52" s="309">
        <f t="shared" si="42"/>
        <v>315894.24804124166</v>
      </c>
      <c r="I52" s="309">
        <f t="shared" si="42"/>
        <v>395559.0946593986</v>
      </c>
      <c r="J52" s="309">
        <f t="shared" si="42"/>
        <v>487846.37412028434</v>
      </c>
      <c r="K52" s="309">
        <f t="shared" si="42"/>
        <v>593853.5265087726</v>
      </c>
      <c r="L52" s="309">
        <f t="shared" si="42"/>
        <v>714775.0853997964</v>
      </c>
      <c r="N52" s="304" t="s">
        <v>746</v>
      </c>
      <c r="O52" s="309"/>
      <c r="P52" s="309">
        <f>'Balan Gener'!O11</f>
        <v>0</v>
      </c>
      <c r="Q52" s="309">
        <f aca="true" t="shared" si="43" ref="Q52:Y52">P53</f>
        <v>43817.38741150384</v>
      </c>
      <c r="R52" s="309">
        <f t="shared" si="43"/>
        <v>94465.25821378117</v>
      </c>
      <c r="S52" s="309">
        <f t="shared" si="43"/>
        <v>131860.67003454716</v>
      </c>
      <c r="T52" s="309">
        <f t="shared" si="43"/>
        <v>178212.36431106372</v>
      </c>
      <c r="U52" s="309">
        <f t="shared" si="43"/>
        <v>234296.7510480053</v>
      </c>
      <c r="V52" s="309">
        <f t="shared" si="43"/>
        <v>300449.79555238795</v>
      </c>
      <c r="W52" s="309">
        <f t="shared" si="43"/>
        <v>378103.79332405614</v>
      </c>
      <c r="X52" s="309">
        <f t="shared" si="43"/>
        <v>468263.10164312186</v>
      </c>
      <c r="Y52" s="309">
        <f t="shared" si="43"/>
        <v>572021.4454069609</v>
      </c>
    </row>
    <row r="53" spans="1:25" ht="14.25" hidden="1">
      <c r="A53" s="304" t="s">
        <v>747</v>
      </c>
      <c r="B53" s="309"/>
      <c r="C53" s="309">
        <f>C52+C51</f>
        <v>80959.30642716956</v>
      </c>
      <c r="D53" s="309">
        <f>D52+D51</f>
        <v>141429.1663710828</v>
      </c>
      <c r="E53" s="309">
        <f>E52+E51</f>
        <v>189461.7924322405</v>
      </c>
      <c r="F53" s="309">
        <f aca="true" t="shared" si="44" ref="F53:L53">F52+F51</f>
        <v>247333.5897311013</v>
      </c>
      <c r="G53" s="309">
        <f t="shared" si="44"/>
        <v>315894.24804124166</v>
      </c>
      <c r="H53" s="309">
        <f t="shared" si="44"/>
        <v>395559.0946593986</v>
      </c>
      <c r="I53" s="309">
        <f t="shared" si="44"/>
        <v>487846.37412028434</v>
      </c>
      <c r="J53" s="309">
        <f t="shared" si="44"/>
        <v>593853.5265087726</v>
      </c>
      <c r="K53" s="309">
        <f t="shared" si="44"/>
        <v>714775.0853997964</v>
      </c>
      <c r="L53" s="309">
        <f t="shared" si="44"/>
        <v>851830.9557237942</v>
      </c>
      <c r="N53" s="304" t="s">
        <v>747</v>
      </c>
      <c r="O53" s="309"/>
      <c r="P53" s="309">
        <f aca="true" t="shared" si="45" ref="P53:Y53">P52+P51</f>
        <v>43817.38741150384</v>
      </c>
      <c r="Q53" s="309">
        <f t="shared" si="45"/>
        <v>94465.25821378117</v>
      </c>
      <c r="R53" s="309">
        <f t="shared" si="45"/>
        <v>131860.67003454716</v>
      </c>
      <c r="S53" s="309">
        <f t="shared" si="45"/>
        <v>178212.36431106372</v>
      </c>
      <c r="T53" s="309">
        <f t="shared" si="45"/>
        <v>234296.7510480053</v>
      </c>
      <c r="U53" s="309">
        <f t="shared" si="45"/>
        <v>300449.79555238795</v>
      </c>
      <c r="V53" s="309">
        <f t="shared" si="45"/>
        <v>378103.79332405614</v>
      </c>
      <c r="W53" s="309">
        <f t="shared" si="45"/>
        <v>468263.10164312186</v>
      </c>
      <c r="X53" s="309">
        <f t="shared" si="45"/>
        <v>572021.4454069609</v>
      </c>
      <c r="Y53" s="309">
        <f t="shared" si="45"/>
        <v>690489.5537482176</v>
      </c>
    </row>
    <row r="54" ht="12.75" hidden="1"/>
    <row r="55" spans="2:16" ht="15" hidden="1">
      <c r="B55" s="280" t="s">
        <v>716</v>
      </c>
      <c r="C55" s="328">
        <f>IRR(B51:L51)</f>
        <v>0.22221938417697976</v>
      </c>
      <c r="O55" s="280" t="s">
        <v>716</v>
      </c>
      <c r="P55" s="328">
        <f>IRR(O51:Y51)</f>
        <v>0.17680418643211745</v>
      </c>
    </row>
    <row r="56" spans="2:19" ht="15" hidden="1">
      <c r="B56" s="280" t="s">
        <v>717</v>
      </c>
      <c r="C56" s="279">
        <f>B51+(C51*(1+F56)^-1)+(D51*(1+F56)^-2)+(E51*(1+F56)^-3)+(F51*(1+F56)^-4)+(G51*(1+F56)^-5)+(H51*(1+F56)^-6)+(I51*(1+F56)^-7)+(J51*(1+F56)^-8)+(K51*(1+F56)^-9)+(L51*(1+F56)^-10)</f>
        <v>150899.32135506015</v>
      </c>
      <c r="E56" s="289" t="s">
        <v>718</v>
      </c>
      <c r="F56" s="126">
        <f>J64</f>
        <v>0.11989766809491963</v>
      </c>
      <c r="I56" s="358" t="s">
        <v>814</v>
      </c>
      <c r="J56" s="358"/>
      <c r="K56" s="358"/>
      <c r="O56" s="280" t="s">
        <v>717</v>
      </c>
      <c r="P56" s="279">
        <f>O51+(P51*(1+S56)^-1)+(Q51*(1+S56)^-2)+(R51*(1+S56)^-3)+(S51*(1+S56)^-4)+(T51*(1+S56)^-5)+(U51*(1+S56)^-6)+(V51*(1+S56)^-7)+(W51*(1+S56)^-8)+(X51*(1+S56)^-9)+(Y51*(1+S56)^-10)</f>
        <v>80750.18604141417</v>
      </c>
      <c r="R56" s="289" t="s">
        <v>718</v>
      </c>
      <c r="S56" s="39">
        <v>0.12</v>
      </c>
    </row>
    <row r="57" spans="2:19" ht="15" hidden="1">
      <c r="B57" s="280" t="s">
        <v>717</v>
      </c>
      <c r="C57" s="279">
        <f>B51+(C51*(1+F57)^-1)+(D51*(1+F57)^-2)+(E51*(1+F57)^-3)+(F51*(1+F57)^-4)+(G51*(1+F57)^-5)+(H51*(1+F57)^-6)+(I51*(1+F57)^-7)+(J51*(1+F57)^-8)+(K51*(1+F57)^-9)+(L51*(1+F57)^-10)</f>
        <v>194880.0856465015</v>
      </c>
      <c r="E57" s="289" t="s">
        <v>718</v>
      </c>
      <c r="F57" s="126">
        <v>0.1</v>
      </c>
      <c r="I57" s="358"/>
      <c r="J57" s="358"/>
      <c r="K57" s="358"/>
      <c r="O57" s="280" t="s">
        <v>717</v>
      </c>
      <c r="P57" s="279">
        <f>O51+(P51*(1+S57)^-1)+(Q51*(1+S57)^-2)+(R51*(1+S57)^-3)+(S51*(1+S57)^-4)+(T51*(1+S57)^-5)+(U51*(1+S57)^-6)+(V51*(1+S57)^-7)+(W51*(1+S57)^-8)+(X51*(1+S57)^-9)+(Y51*(1+S57)^-10)</f>
        <v>117936.25971225048</v>
      </c>
      <c r="R57" s="289" t="s">
        <v>718</v>
      </c>
      <c r="S57" s="39">
        <v>0.1</v>
      </c>
    </row>
    <row r="58" spans="2:19" ht="15" hidden="1">
      <c r="B58" s="280" t="s">
        <v>717</v>
      </c>
      <c r="C58" s="279">
        <f>B51+(C51*(1+F58)^-1)+(D51*(1+F58)^-2)+(E51*(1+F58)^-3)+(F51*(1+F58)^-4)+(G51*(1+F58)^-5)+(H51*(1+F58)^-6)+(I51*(1+F58)^-7)+(J51*(1+F58)^-8)+(K51*(1+F58)^-9)+(L51*(1+F58)^-10)</f>
        <v>171974.52419394534</v>
      </c>
      <c r="E58" s="289" t="s">
        <v>718</v>
      </c>
      <c r="F58" s="126">
        <v>0.11</v>
      </c>
      <c r="I58" s="358" t="s">
        <v>809</v>
      </c>
      <c r="J58" s="358"/>
      <c r="K58" s="360">
        <v>0.12</v>
      </c>
      <c r="O58" s="280" t="s">
        <v>717</v>
      </c>
      <c r="P58" s="279">
        <f>O51+(P51*(1+S58)^-1)+(Q51*(1+S58)^-2)+(R51*(1+S58)^-3)+(S51*(1+S58)^-4)+(T51*(1+S58)^-5)+(U51*(1+S58)^-6)+(V51*(1+S58)^-7)+(W51*(1+S58)^-8)+(X51*(1+S58)^-9)+(Y51*(1+S58)^-10)</f>
        <v>98656.89008794256</v>
      </c>
      <c r="R58" s="289" t="s">
        <v>718</v>
      </c>
      <c r="S58" s="39">
        <v>0.11</v>
      </c>
    </row>
    <row r="59" spans="2:19" ht="15" hidden="1">
      <c r="B59" s="280" t="s">
        <v>717</v>
      </c>
      <c r="C59" s="279">
        <f>B51+(C51*(1+F59)^-1)+(D51*(1+F59)^-2)+(E51*(1+F59)^-3)+(F51*(1+F59)^-4)+(G51*(1+F59)^-5)+(H51*(1+F59)^-6)+(I51*(1+F59)^-7)+(J51*(1+F59)^-8)+(K51*(1+F59)^-9)+(L51*(1+F59)^-10)</f>
        <v>130887.09159774549</v>
      </c>
      <c r="E59" s="289" t="s">
        <v>718</v>
      </c>
      <c r="F59" s="126">
        <v>0.13</v>
      </c>
      <c r="I59" s="358" t="s">
        <v>810</v>
      </c>
      <c r="J59" s="358"/>
      <c r="K59" s="360">
        <v>0.1</v>
      </c>
      <c r="O59" s="280" t="s">
        <v>717</v>
      </c>
      <c r="P59" s="279">
        <f>O51+(P51*(1+S59)^-1)+(Q51*(1+S59)^-2)+(R51*(1+S59)^-3)+(S51*(1+S59)^-4)+(T51*(1+S59)^-5)+(U51*(1+S59)^-6)+(V51*(1+S59)^-7)+(W51*(1+S59)^-8)+(X51*(1+S59)^-9)+(Y51*(1+S59)^-10)</f>
        <v>64099.48114258318</v>
      </c>
      <c r="R59" s="289" t="s">
        <v>718</v>
      </c>
      <c r="S59" s="39">
        <v>0.13</v>
      </c>
    </row>
    <row r="60" spans="2:19" ht="15" hidden="1">
      <c r="B60" s="280" t="s">
        <v>717</v>
      </c>
      <c r="C60" s="279">
        <f>B51+(C51*(1+F60)^-1)+(D51*(1+F60)^-2)+(E51*(1+F60)^-3)+(F51*(1+F60)^-4)+(G51*(1+F60)^-5)+(H51*(1+F60)^-6)+(I51*(1+F60)^-7)+(J51*(1+F60)^-8)+(K51*(1+F60)^-9)+(L51*(1+F60)^-10)</f>
        <v>112444.084985767</v>
      </c>
      <c r="E60" s="289" t="s">
        <v>718</v>
      </c>
      <c r="F60" s="126">
        <v>0.14</v>
      </c>
      <c r="I60" s="358" t="s">
        <v>811</v>
      </c>
      <c r="J60" s="358"/>
      <c r="K60" s="358">
        <f>'Anex Est Result - Gast'!J88</f>
        <v>204534.7914371897</v>
      </c>
      <c r="O60" s="280" t="s">
        <v>717</v>
      </c>
      <c r="P60" s="279">
        <f>O51+(P51*(1+S60)^-1)+(Q51*(1+S60)^-2)+(R51*(1+S60)^-3)+(S51*(1+S60)^-4)+(T51*(1+S60)^-5)+(U51*(1+S60)^-6)+(V51*(1+S60)^-7)+(W51*(1+S60)^-8)+(X51*(1+S60)^-9)+(Y51*(1+S60)^-10)</f>
        <v>48599.31613802053</v>
      </c>
      <c r="R60" s="289" t="s">
        <v>718</v>
      </c>
      <c r="S60" s="39">
        <v>0.14</v>
      </c>
    </row>
    <row r="61" spans="2:19" ht="15" hidden="1">
      <c r="B61" s="280" t="s">
        <v>717</v>
      </c>
      <c r="C61" s="279">
        <f>B51+(C51*(1+F61)^-1)+(D51*(1+F61)^-2)+(E51*(1+F61)^-3)+(F51*(1+F61)^-4)+(G51*(1+F61)^-5)+(H51*(1+F61)^-6)+(I51*(1+F61)^-7)+(J51*(1+F61)^-8)+(K51*(1+F61)^-9)+(L51*(1+F61)^-10)</f>
        <v>95247.96814062423</v>
      </c>
      <c r="E61" s="289" t="s">
        <v>718</v>
      </c>
      <c r="F61" s="126">
        <v>0.15</v>
      </c>
      <c r="I61" s="358" t="s">
        <v>812</v>
      </c>
      <c r="J61" s="358"/>
      <c r="K61" s="358">
        <f>INVERSION!E55</f>
        <v>75000</v>
      </c>
      <c r="O61" s="280" t="s">
        <v>717</v>
      </c>
      <c r="P61" s="279">
        <f>O51+(P51*(1+S61)^-1)+(Q51*(1+S61)^-2)+(R51*(1+S61)^-3)+(S51*(1+S61)^-4)+(T51*(1+S61)^-5)+(U51*(1+S61)^-6)+(V51*(1+S61)^-7)+(W51*(1+S61)^-8)+(X51*(1+S61)^-9)+(Y51*(1+S61)^-10)</f>
        <v>34154.25324357713</v>
      </c>
      <c r="R61" s="289" t="s">
        <v>718</v>
      </c>
      <c r="S61" s="39">
        <v>0.15</v>
      </c>
    </row>
    <row r="62" spans="2:19" ht="15" hidden="1">
      <c r="B62" s="280" t="s">
        <v>717</v>
      </c>
      <c r="C62" s="279">
        <f>B51+(C51*(1+F62)^-1)+(D51*(1+F62)^-2)+(E51*(1+F62)^-3)+(F51*(1+F62)^-4)+(G51*(1+F62)^-5)+(H51*(1+F62)^-6)+(I51*(1+F62)^-7)+(J51*(1+F62)^-8)+(K51*(1+F62)^-9)+(L51*(1+F62)^-10)</f>
        <v>79197.01212309001</v>
      </c>
      <c r="E62" s="289" t="s">
        <v>718</v>
      </c>
      <c r="F62" s="126">
        <v>0.16</v>
      </c>
      <c r="I62" s="358" t="s">
        <v>813</v>
      </c>
      <c r="J62" s="358"/>
      <c r="K62" s="358">
        <f>INVERSION!E53</f>
        <v>267262.7039509583</v>
      </c>
      <c r="O62" s="280" t="s">
        <v>717</v>
      </c>
      <c r="P62" s="279">
        <f>O51+(P51*(1+S62)^-1)+(Q51*(1+S62)^-2)+(R51*(1+S62)^-3)+(S51*(1+S62)^-4)+(T51*(1+S62)^-5)+(U51*(1+S62)^-6)+(V51*(1+S62)^-7)+(W51*(1+S62)^-8)+(X51*(1+S62)^-9)+(Y51*(1+S62)^-10)</f>
        <v>20677.826496943555</v>
      </c>
      <c r="R62" s="289" t="s">
        <v>718</v>
      </c>
      <c r="S62" s="39">
        <v>0.16</v>
      </c>
    </row>
    <row r="63" spans="1:25" s="62" customFormat="1" ht="24" customHeight="1" hidden="1" thickBot="1">
      <c r="A63"/>
      <c r="B63" s="280" t="s">
        <v>717</v>
      </c>
      <c r="C63" s="279">
        <f>B51+(C51*(1+F63)^-1)+(D51*(1+F63)^-2)+(E51*(1+F63)^-3)+(F51*(1+F63)^-4)+(G51*(1+F63)^-5)+(H51*(1+F63)^-6)+(I51*(1+F63)^-7)+(J51*(1+F63)^-8)+(K51*(1+F63)^-9)+(L51*(1+F63)^-10)</f>
        <v>64198.920493248515</v>
      </c>
      <c r="D63"/>
      <c r="E63" s="289" t="s">
        <v>718</v>
      </c>
      <c r="F63" s="126">
        <v>0.17</v>
      </c>
      <c r="G63"/>
      <c r="H63"/>
      <c r="I63"/>
      <c r="J63"/>
      <c r="K63"/>
      <c r="L63"/>
      <c r="N63"/>
      <c r="O63" s="280" t="s">
        <v>717</v>
      </c>
      <c r="P63" s="279">
        <f>O51+(P51*(1+S63)^-1)+(Q51*(1+S63)^-2)+(R51*(1+S63)^-3)+(S51*(1+S63)^-4)+(T51*(1+S63)^-5)+(U51*(1+S63)^-6)+(V51*(1+S63)^-7)+(W51*(1+S63)^-8)+(X51*(1+S63)^-9)+(Y51*(1+S63)^-10)</f>
        <v>8091.611411191901</v>
      </c>
      <c r="Q63"/>
      <c r="R63" s="289" t="s">
        <v>718</v>
      </c>
      <c r="S63" s="39">
        <v>0.17</v>
      </c>
      <c r="T63"/>
      <c r="U63"/>
      <c r="V63"/>
      <c r="W63"/>
      <c r="X63"/>
      <c r="Y63"/>
    </row>
    <row r="64" spans="2:19" ht="18.75" hidden="1" thickBot="1">
      <c r="B64" s="280" t="s">
        <v>717</v>
      </c>
      <c r="C64" s="279">
        <f>B51+(C51*(1+F64)^-1)+(D51*(1+F64)^-2)+(E51*(1+F64)^-3)+(F51*(1+F64)^-4)+(G51*(1+F64)^-5)+(H51*(1+F64)^-6)+(I51*(1+F64)^-7)+(J51*(1+F64)^-8)+(K51*(1+F64)^-9)+(L51*(1+F64)^-10)</f>
        <v>50169.86295451835</v>
      </c>
      <c r="E64" s="289" t="s">
        <v>718</v>
      </c>
      <c r="F64" s="126">
        <v>0.18</v>
      </c>
      <c r="I64" s="608" t="s">
        <v>847</v>
      </c>
      <c r="J64" s="609">
        <f>(K58*(K60/K62))+(K59*(K61/K62))</f>
        <v>0.11989766809491963</v>
      </c>
      <c r="O64" s="280" t="s">
        <v>717</v>
      </c>
      <c r="P64" s="279">
        <f>O51+(P51*(1+S64)^-1)+(Q51*(1+S64)^-2)+(R51*(1+S64)^-3)+(S51*(1+S64)^-4)+(T51*(1+S64)^-5)+(U51*(1+S64)^-6)+(V51*(1+S64)^-7)+(W51*(1+S64)^-8)+(X51*(1+S64)^-9)+(Y51*(1+S64)^-10)</f>
        <v>-3675.600630756384</v>
      </c>
      <c r="R64" s="289" t="s">
        <v>718</v>
      </c>
      <c r="S64" s="39">
        <v>0.18</v>
      </c>
    </row>
    <row r="65" spans="2:6" s="353" customFormat="1" ht="15" hidden="1">
      <c r="B65" s="354"/>
      <c r="C65" s="355"/>
      <c r="E65" s="356"/>
      <c r="F65" s="357"/>
    </row>
    <row r="66" spans="2:6" s="353" customFormat="1" ht="15">
      <c r="B66" s="354"/>
      <c r="C66" s="355"/>
      <c r="E66" s="356"/>
      <c r="F66" s="357"/>
    </row>
    <row r="67" spans="2:8" s="353" customFormat="1" ht="15.75">
      <c r="B67" s="354"/>
      <c r="C67" s="968" t="s">
        <v>880</v>
      </c>
      <c r="D67" s="968"/>
      <c r="E67" s="968"/>
      <c r="F67" s="968"/>
      <c r="G67" s="968"/>
      <c r="H67" s="968"/>
    </row>
    <row r="68" spans="2:8" s="632" customFormat="1" ht="15.75">
      <c r="B68" s="633"/>
      <c r="C68" s="1047" t="s">
        <v>771</v>
      </c>
      <c r="D68" s="1047"/>
      <c r="E68" s="1047"/>
      <c r="F68" s="1047"/>
      <c r="G68" s="1047"/>
      <c r="H68" s="1047"/>
    </row>
    <row r="69" spans="2:6" s="632" customFormat="1" ht="16.5" thickBot="1">
      <c r="B69" s="633"/>
      <c r="C69" s="634"/>
      <c r="E69" s="635"/>
      <c r="F69" s="636"/>
    </row>
    <row r="70" spans="3:7" s="627" customFormat="1" ht="32.25" customHeight="1" thickBot="1">
      <c r="C70" s="770" t="s">
        <v>772</v>
      </c>
      <c r="D70" s="628" t="s">
        <v>777</v>
      </c>
      <c r="E70" s="629" t="s">
        <v>773</v>
      </c>
      <c r="F70" s="630" t="s">
        <v>774</v>
      </c>
      <c r="G70" s="631" t="s">
        <v>775</v>
      </c>
    </row>
    <row r="71" spans="3:7" s="627" customFormat="1" ht="15.75" customHeight="1">
      <c r="C71" s="775" t="s">
        <v>807</v>
      </c>
      <c r="D71" s="637">
        <f>Ingresos!G89</f>
        <v>37772.36867176989</v>
      </c>
      <c r="E71" s="638">
        <f>'Estad result y Fluj Caj'!C62</f>
        <v>114617.94686366813</v>
      </c>
      <c r="F71" s="639">
        <f>'Estad result y Fluj Caj'!C61</f>
        <v>0.18593021955383487</v>
      </c>
      <c r="G71" s="640">
        <f>'Estad result y Fluj Caj'!F62</f>
        <v>0.11989766809491963</v>
      </c>
    </row>
    <row r="72" spans="3:7" s="627" customFormat="1" ht="12.75">
      <c r="C72" s="768" t="s">
        <v>808</v>
      </c>
      <c r="D72" s="641">
        <v>37772.36867176989</v>
      </c>
      <c r="E72" s="642">
        <v>137569.6862339614</v>
      </c>
      <c r="F72" s="643">
        <v>0.2191094636011744</v>
      </c>
      <c r="G72" s="644">
        <f>G71</f>
        <v>0.11989766809491963</v>
      </c>
    </row>
    <row r="73" spans="3:7" s="645" customFormat="1" ht="12.75">
      <c r="C73" s="768" t="s">
        <v>798</v>
      </c>
      <c r="D73" s="641">
        <v>37772.36867176989</v>
      </c>
      <c r="E73" s="642">
        <v>85581.58762866209</v>
      </c>
      <c r="F73" s="643">
        <v>0.18268025187015857</v>
      </c>
      <c r="G73" s="644">
        <f>G71</f>
        <v>0.11989766809491963</v>
      </c>
    </row>
    <row r="74" spans="3:7" s="645" customFormat="1" ht="13.5" thickBot="1">
      <c r="C74" s="774" t="s">
        <v>799</v>
      </c>
      <c r="D74" s="646">
        <v>37772.36867176989</v>
      </c>
      <c r="E74" s="647">
        <v>35354.3729309632</v>
      </c>
      <c r="F74" s="648">
        <v>0.1448272885505882</v>
      </c>
      <c r="G74" s="649">
        <f aca="true" t="shared" si="46" ref="G74:G80">G73</f>
        <v>0.11989766809491963</v>
      </c>
    </row>
    <row r="75" spans="3:7" s="645" customFormat="1" ht="13.5" thickBot="1">
      <c r="C75" s="650" t="s">
        <v>857</v>
      </c>
      <c r="D75" s="651">
        <v>37772.36867176989</v>
      </c>
      <c r="E75" s="652">
        <v>0</v>
      </c>
      <c r="F75" s="653">
        <v>0.11757363400659475</v>
      </c>
      <c r="G75" s="654">
        <f t="shared" si="46"/>
        <v>0.11989766809491963</v>
      </c>
    </row>
    <row r="76" spans="3:7" s="645" customFormat="1" ht="12.75">
      <c r="C76" s="773" t="s">
        <v>800</v>
      </c>
      <c r="D76" s="655">
        <v>33995.13180459291</v>
      </c>
      <c r="E76" s="656">
        <f aca="true" t="shared" si="47" ref="E76:F78">E72</f>
        <v>137569.6862339614</v>
      </c>
      <c r="F76" s="657">
        <f t="shared" si="47"/>
        <v>0.2191094636011744</v>
      </c>
      <c r="G76" s="658">
        <f>G74</f>
        <v>0.11989766809491963</v>
      </c>
    </row>
    <row r="77" spans="3:7" s="645" customFormat="1" ht="12.75">
      <c r="C77" s="768" t="s">
        <v>801</v>
      </c>
      <c r="D77" s="641">
        <v>32106.513371004403</v>
      </c>
      <c r="E77" s="656">
        <f t="shared" si="47"/>
        <v>85581.58762866209</v>
      </c>
      <c r="F77" s="657">
        <f t="shared" si="47"/>
        <v>0.18268025187015857</v>
      </c>
      <c r="G77" s="644">
        <f t="shared" si="46"/>
        <v>0.11989766809491963</v>
      </c>
    </row>
    <row r="78" spans="3:7" s="645" customFormat="1" ht="12.75">
      <c r="C78" s="768" t="s">
        <v>802</v>
      </c>
      <c r="D78" s="641">
        <v>30217.894937415917</v>
      </c>
      <c r="E78" s="656">
        <f t="shared" si="47"/>
        <v>35354.3729309632</v>
      </c>
      <c r="F78" s="657">
        <f t="shared" si="47"/>
        <v>0.1448272885505882</v>
      </c>
      <c r="G78" s="644">
        <f t="shared" si="46"/>
        <v>0.11989766809491963</v>
      </c>
    </row>
    <row r="79" spans="3:7" s="645" customFormat="1" ht="15" customHeight="1">
      <c r="C79" s="771" t="s">
        <v>803</v>
      </c>
      <c r="D79" s="659">
        <v>33995.13180459291</v>
      </c>
      <c r="E79" s="660">
        <v>45575.90426126324</v>
      </c>
      <c r="F79" s="661">
        <v>0.15253160400264584</v>
      </c>
      <c r="G79" s="662">
        <f t="shared" si="46"/>
        <v>0.11989766809491963</v>
      </c>
    </row>
    <row r="80" spans="3:7" s="645" customFormat="1" ht="16.5" customHeight="1" thickBot="1">
      <c r="C80" s="772" t="s">
        <v>804</v>
      </c>
      <c r="D80" s="663">
        <v>32106.513371004403</v>
      </c>
      <c r="E80" s="664">
        <v>-43862.49487886065</v>
      </c>
      <c r="F80" s="665">
        <v>0.08219796357220732</v>
      </c>
      <c r="G80" s="666">
        <f t="shared" si="46"/>
        <v>0.11989766809491963</v>
      </c>
    </row>
    <row r="81" s="645" customFormat="1" ht="12.75">
      <c r="G81" s="667"/>
    </row>
    <row r="82" s="645" customFormat="1" ht="12.75">
      <c r="G82" s="667"/>
    </row>
    <row r="83" spans="3:7" s="645" customFormat="1" ht="15.75">
      <c r="C83" s="968" t="s">
        <v>879</v>
      </c>
      <c r="D83" s="968"/>
      <c r="E83" s="968"/>
      <c r="F83" s="968"/>
      <c r="G83" s="968"/>
    </row>
    <row r="84" spans="3:7" s="645" customFormat="1" ht="15.75">
      <c r="C84" s="968" t="s">
        <v>778</v>
      </c>
      <c r="D84" s="968"/>
      <c r="E84" s="968"/>
      <c r="F84" s="968"/>
      <c r="G84" s="968"/>
    </row>
    <row r="85" s="645" customFormat="1" ht="13.5" thickBot="1">
      <c r="G85" s="667"/>
    </row>
    <row r="86" spans="3:7" s="668" customFormat="1" ht="24" customHeight="1" thickBot="1">
      <c r="C86" s="669" t="s">
        <v>779</v>
      </c>
      <c r="D86" s="670" t="s">
        <v>780</v>
      </c>
      <c r="E86" s="670" t="s">
        <v>781</v>
      </c>
      <c r="F86" s="670" t="s">
        <v>782</v>
      </c>
      <c r="G86" s="671" t="s">
        <v>788</v>
      </c>
    </row>
    <row r="87" spans="3:7" s="645" customFormat="1" ht="12.75">
      <c r="C87" s="784">
        <v>0</v>
      </c>
      <c r="D87" s="672">
        <f>-INVERSION!E53</f>
        <v>-267262.7039509583</v>
      </c>
      <c r="E87" s="673">
        <f>D87</f>
        <v>-267262.7039509583</v>
      </c>
      <c r="F87" s="674">
        <v>0</v>
      </c>
      <c r="G87" s="675">
        <f>E87</f>
        <v>-267262.7039509583</v>
      </c>
    </row>
    <row r="88" spans="3:7" s="645" customFormat="1" ht="12.75">
      <c r="C88" s="785">
        <v>1</v>
      </c>
      <c r="D88" s="642">
        <f>'Estad result y Fluj Caj'!C57</f>
        <v>31973.127895336343</v>
      </c>
      <c r="E88" s="676">
        <f>D88*(1+$J$64)^-C88</f>
        <v>28550.044174773997</v>
      </c>
      <c r="F88" s="676">
        <f>F87+E88</f>
        <v>28550.044174773997</v>
      </c>
      <c r="G88" s="677">
        <f>G87+E88</f>
        <v>-238712.65977618433</v>
      </c>
    </row>
    <row r="89" spans="3:8" s="645" customFormat="1" ht="12.75">
      <c r="C89" s="789">
        <v>2</v>
      </c>
      <c r="D89" s="647">
        <f>'Estad result y Fluj Caj'!D57</f>
        <v>21713.08916857108</v>
      </c>
      <c r="E89" s="678">
        <f aca="true" t="shared" si="48" ref="E89:E97">D89*(1+$J$64)^-C89</f>
        <v>17312.705250002156</v>
      </c>
      <c r="F89" s="678">
        <f>F88+E89</f>
        <v>45862.74942477615</v>
      </c>
      <c r="G89" s="679">
        <f>G88+E89</f>
        <v>-221399.95452618218</v>
      </c>
      <c r="H89" s="680"/>
    </row>
    <row r="90" spans="3:7" s="645" customFormat="1" ht="12.75">
      <c r="C90" s="790">
        <v>3</v>
      </c>
      <c r="D90" s="681">
        <f>'Estad result y Fluj Caj'!E57</f>
        <v>33251.53119161299</v>
      </c>
      <c r="E90" s="682">
        <f t="shared" si="48"/>
        <v>23674.271715265266</v>
      </c>
      <c r="F90" s="682">
        <f>F89+E90</f>
        <v>69537.02114004141</v>
      </c>
      <c r="G90" s="683">
        <f aca="true" t="shared" si="49" ref="G90:G96">G89+E90</f>
        <v>-197725.68281091691</v>
      </c>
    </row>
    <row r="91" spans="3:7" s="645" customFormat="1" ht="12.75">
      <c r="C91" s="785">
        <v>4</v>
      </c>
      <c r="D91" s="642">
        <f>'Estad result y Fluj Caj'!F57</f>
        <v>43950.575996222615</v>
      </c>
      <c r="E91" s="676">
        <f t="shared" si="48"/>
        <v>27941.59604799185</v>
      </c>
      <c r="F91" s="676">
        <f aca="true" t="shared" si="50" ref="F91:F96">F90+E91</f>
        <v>97478.61718803327</v>
      </c>
      <c r="G91" s="677">
        <f>G90+E91</f>
        <v>-169784.08676292506</v>
      </c>
    </row>
    <row r="92" spans="3:7" s="645" customFormat="1" ht="13.5" thickBot="1">
      <c r="C92" s="789">
        <v>5</v>
      </c>
      <c r="D92" s="647">
        <f>'Estad result y Fluj Caj'!G57</f>
        <v>58677.74637443578</v>
      </c>
      <c r="E92" s="678">
        <f t="shared" si="48"/>
        <v>33310.54389633122</v>
      </c>
      <c r="F92" s="678">
        <f t="shared" si="50"/>
        <v>130789.16108436449</v>
      </c>
      <c r="G92" s="679">
        <f t="shared" si="49"/>
        <v>-136473.54286659384</v>
      </c>
    </row>
    <row r="93" spans="3:7" s="645" customFormat="1" ht="13.5" thickBot="1">
      <c r="C93" s="791">
        <v>6</v>
      </c>
      <c r="D93" s="684">
        <f>'Estad result y Fluj Caj'!H57</f>
        <v>62215.844549154106</v>
      </c>
      <c r="E93" s="685">
        <f t="shared" si="48"/>
        <v>31537.768344059652</v>
      </c>
      <c r="F93" s="685">
        <f>F92+E93</f>
        <v>162326.92942842413</v>
      </c>
      <c r="G93" s="686">
        <f t="shared" si="49"/>
        <v>-104935.7745225342</v>
      </c>
    </row>
    <row r="94" spans="3:7" s="645" customFormat="1" ht="12.75">
      <c r="C94" s="792">
        <v>7</v>
      </c>
      <c r="D94" s="656">
        <f>'Estad result y Fluj Caj'!I57</f>
        <v>123418.92959570812</v>
      </c>
      <c r="E94" s="687">
        <f>D94*(1+$J$64)^-C94</f>
        <v>55864.1754651922</v>
      </c>
      <c r="F94" s="688">
        <f t="shared" si="50"/>
        <v>218191.10489361634</v>
      </c>
      <c r="G94" s="689">
        <f t="shared" si="49"/>
        <v>-49071.59905734199</v>
      </c>
    </row>
    <row r="95" spans="3:7" s="645" customFormat="1" ht="12.75">
      <c r="C95" s="785">
        <v>8</v>
      </c>
      <c r="D95" s="642">
        <f>'Estad result y Fluj Caj'!J57</f>
        <v>137549.20590268634</v>
      </c>
      <c r="E95" s="676">
        <f t="shared" si="48"/>
        <v>55594.440614946136</v>
      </c>
      <c r="F95" s="690">
        <f t="shared" si="50"/>
        <v>273785.54550856247</v>
      </c>
      <c r="G95" s="677">
        <f t="shared" si="49"/>
        <v>6522.841557604144</v>
      </c>
    </row>
    <row r="96" spans="3:7" s="645" customFormat="1" ht="12.75">
      <c r="C96" s="785">
        <v>9</v>
      </c>
      <c r="D96" s="642">
        <f>'Estad result y Fluj Caj'!K57</f>
        <v>151240.50428742752</v>
      </c>
      <c r="E96" s="676">
        <f t="shared" si="48"/>
        <v>54583.71035696065</v>
      </c>
      <c r="F96" s="690">
        <f t="shared" si="50"/>
        <v>328369.2558655231</v>
      </c>
      <c r="G96" s="677">
        <f t="shared" si="49"/>
        <v>61106.55191456479</v>
      </c>
    </row>
    <row r="97" spans="3:7" s="645" customFormat="1" ht="13.5" thickBot="1">
      <c r="C97" s="793">
        <v>10</v>
      </c>
      <c r="D97" s="691">
        <f>'Estad result y Fluj Caj'!L57</f>
        <v>166046.48089085406</v>
      </c>
      <c r="E97" s="692">
        <f t="shared" si="48"/>
        <v>53511.39494910334</v>
      </c>
      <c r="F97" s="693">
        <f>F96+E97</f>
        <v>381880.6508146265</v>
      </c>
      <c r="G97" s="694">
        <f>G96+E97</f>
        <v>114617.94686366813</v>
      </c>
    </row>
    <row r="98" spans="6:7" ht="12.75">
      <c r="F98" s="285"/>
      <c r="G98" s="55"/>
    </row>
    <row r="99" ht="12.75">
      <c r="G99" s="55"/>
    </row>
    <row r="100" ht="12.75">
      <c r="G100" s="55"/>
    </row>
    <row r="101" ht="12.75">
      <c r="G101" s="55"/>
    </row>
    <row r="102" ht="12.75">
      <c r="G102" s="55"/>
    </row>
    <row r="103" ht="12.75">
      <c r="G103" s="55"/>
    </row>
    <row r="104" ht="12.75">
      <c r="G104" s="55"/>
    </row>
    <row r="105" ht="12.75">
      <c r="G105" s="55"/>
    </row>
    <row r="106" ht="12.75">
      <c r="G106" s="55"/>
    </row>
  </sheetData>
  <mergeCells count="12">
    <mergeCell ref="A2:K2"/>
    <mergeCell ref="A31:L31"/>
    <mergeCell ref="A32:L32"/>
    <mergeCell ref="C68:H68"/>
    <mergeCell ref="C84:G84"/>
    <mergeCell ref="N2:X2"/>
    <mergeCell ref="N3:X3"/>
    <mergeCell ref="N31:Y31"/>
    <mergeCell ref="N32:Y32"/>
    <mergeCell ref="A3:K3"/>
    <mergeCell ref="C83:G83"/>
    <mergeCell ref="C67:H67"/>
  </mergeCells>
  <printOptions horizontalCentered="1"/>
  <pageMargins left="0.75" right="0.75" top="1.62" bottom="1" header="0" footer="0"/>
  <pageSetup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/>
  <dimension ref="A2:IV141"/>
  <sheetViews>
    <sheetView zoomScale="75" zoomScaleNormal="75" workbookViewId="0" topLeftCell="A114">
      <selection activeCell="A116" sqref="A116"/>
    </sheetView>
  </sheetViews>
  <sheetFormatPr defaultColWidth="11.421875" defaultRowHeight="12.75"/>
  <cols>
    <col min="1" max="1" width="38.421875" style="0" customWidth="1"/>
    <col min="2" max="2" width="14.28125" style="34" bestFit="1" customWidth="1"/>
    <col min="3" max="3" width="13.57421875" style="0" bestFit="1" customWidth="1"/>
    <col min="4" max="4" width="15.8515625" style="0" customWidth="1"/>
    <col min="5" max="5" width="15.00390625" style="0" customWidth="1"/>
    <col min="6" max="6" width="16.57421875" style="0" customWidth="1"/>
    <col min="7" max="7" width="14.421875" style="0" bestFit="1" customWidth="1"/>
    <col min="8" max="8" width="15.57421875" style="0" customWidth="1"/>
    <col min="9" max="11" width="14.421875" style="0" bestFit="1" customWidth="1"/>
    <col min="12" max="14" width="12.7109375" style="0" bestFit="1" customWidth="1"/>
    <col min="15" max="15" width="14.421875" style="0" bestFit="1" customWidth="1"/>
  </cols>
  <sheetData>
    <row r="1" ht="12.75"/>
    <row r="2" spans="1:11" ht="15.75">
      <c r="A2" s="968" t="s">
        <v>866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</row>
    <row r="3" spans="1:11" ht="12.75">
      <c r="A3" s="937" t="s">
        <v>457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</row>
    <row r="4" spans="1:11" ht="13.5" thickBot="1">
      <c r="A4" s="1055"/>
      <c r="B4" s="1055"/>
      <c r="C4" s="1055"/>
      <c r="D4" s="1055"/>
      <c r="E4" s="1055"/>
      <c r="F4" s="1055"/>
      <c r="G4" s="1055"/>
      <c r="H4" s="1055"/>
      <c r="I4" s="1055"/>
      <c r="J4" s="1055"/>
      <c r="K4" s="1055"/>
    </row>
    <row r="5" spans="1:11" ht="13.5" thickBot="1">
      <c r="A5" s="941" t="s">
        <v>461</v>
      </c>
      <c r="B5" s="941"/>
      <c r="C5" s="488">
        <v>0.05</v>
      </c>
      <c r="D5" s="489">
        <v>0.05</v>
      </c>
      <c r="E5" s="489">
        <v>0.05</v>
      </c>
      <c r="F5" s="489">
        <v>0.05</v>
      </c>
      <c r="G5" s="489">
        <v>0.05</v>
      </c>
      <c r="H5" s="489">
        <v>0.05</v>
      </c>
      <c r="I5" s="489">
        <v>0.05</v>
      </c>
      <c r="J5" s="489">
        <v>0.05</v>
      </c>
      <c r="K5" s="490">
        <v>0.05</v>
      </c>
    </row>
    <row r="6" spans="1:11" ht="13.5" thickBot="1">
      <c r="A6" s="1057"/>
      <c r="B6" s="1057"/>
      <c r="C6" s="1057"/>
      <c r="D6" s="1057"/>
      <c r="E6" s="1057"/>
      <c r="F6" s="1057"/>
      <c r="G6" s="1057"/>
      <c r="H6" s="1057"/>
      <c r="I6" s="1057"/>
      <c r="J6" s="1057"/>
      <c r="K6" s="1057"/>
    </row>
    <row r="7" spans="1:11" ht="13.5" thickBot="1">
      <c r="A7" s="393" t="s">
        <v>438</v>
      </c>
      <c r="B7" s="495" t="s">
        <v>439</v>
      </c>
      <c r="C7" s="373" t="s">
        <v>447</v>
      </c>
      <c r="D7" s="373" t="s">
        <v>448</v>
      </c>
      <c r="E7" s="373" t="s">
        <v>449</v>
      </c>
      <c r="F7" s="373" t="s">
        <v>450</v>
      </c>
      <c r="G7" s="373" t="s">
        <v>451</v>
      </c>
      <c r="H7" s="373" t="s">
        <v>452</v>
      </c>
      <c r="I7" s="373" t="s">
        <v>453</v>
      </c>
      <c r="J7" s="373" t="s">
        <v>454</v>
      </c>
      <c r="K7" s="374" t="s">
        <v>455</v>
      </c>
    </row>
    <row r="8" spans="1:11" ht="12.75">
      <c r="A8" s="491" t="s">
        <v>436</v>
      </c>
      <c r="B8" s="400">
        <f>'Cap Operac'!C11*12</f>
        <v>5160</v>
      </c>
      <c r="C8" s="400">
        <f aca="true" t="shared" si="0" ref="C8:C15">B8*(1+$C$5)</f>
        <v>5418</v>
      </c>
      <c r="D8" s="400">
        <f>C8*(1+$D$5)</f>
        <v>5688.900000000001</v>
      </c>
      <c r="E8" s="400">
        <f>D8*(1+$E$5)</f>
        <v>5973.345000000001</v>
      </c>
      <c r="F8" s="400">
        <f>E8*(1+$F$5)</f>
        <v>6272.012250000002</v>
      </c>
      <c r="G8" s="400">
        <f>F8*(1+$G$5)</f>
        <v>6585.612862500002</v>
      </c>
      <c r="H8" s="400">
        <f>G8*(1+$H$5)</f>
        <v>6914.893505625002</v>
      </c>
      <c r="I8" s="400">
        <f>H8*(1+$I$5)</f>
        <v>7260.638180906252</v>
      </c>
      <c r="J8" s="400">
        <f>I8*(1+$J$5)</f>
        <v>7623.670089951565</v>
      </c>
      <c r="K8" s="492">
        <f>J8*(1+$K$5)</f>
        <v>8004.853594449144</v>
      </c>
    </row>
    <row r="9" spans="1:11" ht="12.75">
      <c r="A9" s="387" t="s">
        <v>425</v>
      </c>
      <c r="B9" s="35">
        <f>'Cap Operac'!C12*12</f>
        <v>3840</v>
      </c>
      <c r="C9" s="35">
        <f t="shared" si="0"/>
        <v>4032</v>
      </c>
      <c r="D9" s="35">
        <f aca="true" t="shared" si="1" ref="D9:D16">C9*(1+$D$5)</f>
        <v>4233.6</v>
      </c>
      <c r="E9" s="35">
        <f aca="true" t="shared" si="2" ref="E9:E16">D9*(1+$E$5)</f>
        <v>4445.280000000001</v>
      </c>
      <c r="F9" s="35">
        <f aca="true" t="shared" si="3" ref="F9:F16">E9*(1+$F$5)</f>
        <v>4667.544000000001</v>
      </c>
      <c r="G9" s="35">
        <f aca="true" t="shared" si="4" ref="G9:G16">F9*(1+$G$5)</f>
        <v>4900.921200000001</v>
      </c>
      <c r="H9" s="35">
        <f aca="true" t="shared" si="5" ref="H9:H16">G9*(1+$H$5)</f>
        <v>5145.967260000001</v>
      </c>
      <c r="I9" s="35">
        <f aca="true" t="shared" si="6" ref="I9:I16">H9*(1+$I$5)</f>
        <v>5403.265623000001</v>
      </c>
      <c r="J9" s="35">
        <f aca="true" t="shared" si="7" ref="J9:J16">I9*(1+$J$5)</f>
        <v>5673.4289041500015</v>
      </c>
      <c r="K9" s="409">
        <f aca="true" t="shared" si="8" ref="K9:K15">J9*(1+$K$5)</f>
        <v>5957.100349357502</v>
      </c>
    </row>
    <row r="10" spans="1:11" ht="12.75">
      <c r="A10" s="387" t="s">
        <v>390</v>
      </c>
      <c r="B10" s="35">
        <f>'Cap Operac'!C13*12</f>
        <v>4560</v>
      </c>
      <c r="C10" s="35">
        <f t="shared" si="0"/>
        <v>4788</v>
      </c>
      <c r="D10" s="35">
        <f t="shared" si="1"/>
        <v>5027.400000000001</v>
      </c>
      <c r="E10" s="35">
        <f t="shared" si="2"/>
        <v>5278.77</v>
      </c>
      <c r="F10" s="35">
        <f t="shared" si="3"/>
        <v>5542.708500000001</v>
      </c>
      <c r="G10" s="35">
        <f t="shared" si="4"/>
        <v>5819.843925000001</v>
      </c>
      <c r="H10" s="35">
        <f t="shared" si="5"/>
        <v>6110.836121250001</v>
      </c>
      <c r="I10" s="35">
        <f t="shared" si="6"/>
        <v>6416.377927312502</v>
      </c>
      <c r="J10" s="35">
        <f t="shared" si="7"/>
        <v>6737.196823678128</v>
      </c>
      <c r="K10" s="409">
        <f t="shared" si="8"/>
        <v>7074.056664862034</v>
      </c>
    </row>
    <row r="11" spans="1:11" ht="12.75">
      <c r="A11" s="387" t="s">
        <v>394</v>
      </c>
      <c r="B11" s="35">
        <f>'Cap Operac'!C14*12</f>
        <v>1800</v>
      </c>
      <c r="C11" s="35">
        <f t="shared" si="0"/>
        <v>1890</v>
      </c>
      <c r="D11" s="35">
        <f t="shared" si="1"/>
        <v>1984.5</v>
      </c>
      <c r="E11" s="35">
        <f t="shared" si="2"/>
        <v>2083.725</v>
      </c>
      <c r="F11" s="35">
        <f t="shared" si="3"/>
        <v>2187.91125</v>
      </c>
      <c r="G11" s="35">
        <f t="shared" si="4"/>
        <v>2297.3068125000004</v>
      </c>
      <c r="H11" s="35">
        <f t="shared" si="5"/>
        <v>2412.1721531250005</v>
      </c>
      <c r="I11" s="35">
        <f t="shared" si="6"/>
        <v>2532.7807607812506</v>
      </c>
      <c r="J11" s="35">
        <f t="shared" si="7"/>
        <v>2659.419798820313</v>
      </c>
      <c r="K11" s="409">
        <f t="shared" si="8"/>
        <v>2792.390788761329</v>
      </c>
    </row>
    <row r="12" spans="1:11" ht="12.75">
      <c r="A12" s="486" t="s">
        <v>753</v>
      </c>
      <c r="B12" s="35">
        <v>800</v>
      </c>
      <c r="C12" s="35">
        <f t="shared" si="0"/>
        <v>840</v>
      </c>
      <c r="D12" s="35">
        <f t="shared" si="1"/>
        <v>882</v>
      </c>
      <c r="E12" s="35">
        <f t="shared" si="2"/>
        <v>926.1</v>
      </c>
      <c r="F12" s="35">
        <f t="shared" si="3"/>
        <v>972.4050000000001</v>
      </c>
      <c r="G12" s="35">
        <f t="shared" si="4"/>
        <v>1021.0252500000001</v>
      </c>
      <c r="H12" s="35">
        <f t="shared" si="5"/>
        <v>1072.0765125000003</v>
      </c>
      <c r="I12" s="35">
        <f t="shared" si="6"/>
        <v>1125.6803381250004</v>
      </c>
      <c r="J12" s="35">
        <f t="shared" si="7"/>
        <v>1181.9643550312505</v>
      </c>
      <c r="K12" s="409">
        <f t="shared" si="8"/>
        <v>1241.062572782813</v>
      </c>
    </row>
    <row r="13" spans="1:11" ht="12.75">
      <c r="A13" s="486" t="s">
        <v>458</v>
      </c>
      <c r="B13" s="35">
        <v>1200</v>
      </c>
      <c r="C13" s="35">
        <f t="shared" si="0"/>
        <v>1260</v>
      </c>
      <c r="D13" s="35">
        <f t="shared" si="1"/>
        <v>1323</v>
      </c>
      <c r="E13" s="35">
        <f t="shared" si="2"/>
        <v>1389.15</v>
      </c>
      <c r="F13" s="35">
        <f t="shared" si="3"/>
        <v>1458.6075</v>
      </c>
      <c r="G13" s="35">
        <f t="shared" si="4"/>
        <v>1531.5378750000002</v>
      </c>
      <c r="H13" s="35">
        <f t="shared" si="5"/>
        <v>1608.1147687500004</v>
      </c>
      <c r="I13" s="35">
        <f t="shared" si="6"/>
        <v>1688.5205071875005</v>
      </c>
      <c r="J13" s="35">
        <f t="shared" si="7"/>
        <v>1772.9465325468755</v>
      </c>
      <c r="K13" s="409">
        <f t="shared" si="8"/>
        <v>1861.5938591742192</v>
      </c>
    </row>
    <row r="14" spans="1:11" ht="12.75">
      <c r="A14" s="486" t="s">
        <v>459</v>
      </c>
      <c r="B14" s="35">
        <f>30*4*12</f>
        <v>1440</v>
      </c>
      <c r="C14" s="35">
        <f t="shared" si="0"/>
        <v>1512</v>
      </c>
      <c r="D14" s="35">
        <f t="shared" si="1"/>
        <v>1587.6000000000001</v>
      </c>
      <c r="E14" s="35">
        <f t="shared" si="2"/>
        <v>1666.9800000000002</v>
      </c>
      <c r="F14" s="35">
        <f t="shared" si="3"/>
        <v>1750.3290000000004</v>
      </c>
      <c r="G14" s="35">
        <f t="shared" si="4"/>
        <v>1837.8454500000005</v>
      </c>
      <c r="H14" s="35">
        <f t="shared" si="5"/>
        <v>1929.7377225000007</v>
      </c>
      <c r="I14" s="35">
        <f t="shared" si="6"/>
        <v>2026.2246086250009</v>
      </c>
      <c r="J14" s="35">
        <f t="shared" si="7"/>
        <v>2127.535839056251</v>
      </c>
      <c r="K14" s="409">
        <f t="shared" si="8"/>
        <v>2233.9126310090637</v>
      </c>
    </row>
    <row r="15" spans="1:11" ht="13.5" thickBot="1">
      <c r="A15" s="504" t="s">
        <v>466</v>
      </c>
      <c r="B15" s="461">
        <v>250</v>
      </c>
      <c r="C15" s="461">
        <f t="shared" si="0"/>
        <v>262.5</v>
      </c>
      <c r="D15" s="461">
        <f t="shared" si="1"/>
        <v>275.625</v>
      </c>
      <c r="E15" s="461">
        <f t="shared" si="2"/>
        <v>289.40625</v>
      </c>
      <c r="F15" s="461">
        <f t="shared" si="3"/>
        <v>303.87656250000003</v>
      </c>
      <c r="G15" s="461">
        <f t="shared" si="4"/>
        <v>319.0703906250001</v>
      </c>
      <c r="H15" s="461">
        <f t="shared" si="5"/>
        <v>335.0239101562501</v>
      </c>
      <c r="I15" s="461">
        <f t="shared" si="6"/>
        <v>351.7751056640626</v>
      </c>
      <c r="J15" s="461">
        <f t="shared" si="7"/>
        <v>369.3638609472658</v>
      </c>
      <c r="K15" s="462">
        <f t="shared" si="8"/>
        <v>387.83205399462906</v>
      </c>
    </row>
    <row r="16" spans="1:11" s="41" customFormat="1" ht="13.5" thickBot="1">
      <c r="A16" s="540" t="s">
        <v>5</v>
      </c>
      <c r="B16" s="509">
        <f>SUM(B8:B15)</f>
        <v>19050</v>
      </c>
      <c r="C16" s="509">
        <f>SUM(C8:C15)</f>
        <v>20002.5</v>
      </c>
      <c r="D16" s="509">
        <f t="shared" si="1"/>
        <v>21002.625</v>
      </c>
      <c r="E16" s="509">
        <f t="shared" si="2"/>
        <v>22052.756250000002</v>
      </c>
      <c r="F16" s="509">
        <f t="shared" si="3"/>
        <v>23155.394062500003</v>
      </c>
      <c r="G16" s="509">
        <f t="shared" si="4"/>
        <v>24313.163765625006</v>
      </c>
      <c r="H16" s="509">
        <f t="shared" si="5"/>
        <v>25528.821953906256</v>
      </c>
      <c r="I16" s="509">
        <f t="shared" si="6"/>
        <v>26805.26305160157</v>
      </c>
      <c r="J16" s="509">
        <f t="shared" si="7"/>
        <v>28145.52620418165</v>
      </c>
      <c r="K16" s="510">
        <f>SUM(K8:K15)</f>
        <v>29552.802514390733</v>
      </c>
    </row>
    <row r="17" spans="1:11" ht="12.75">
      <c r="A17" s="1056"/>
      <c r="B17" s="1056"/>
      <c r="C17" s="1056"/>
      <c r="D17" s="1056"/>
      <c r="E17" s="1056"/>
      <c r="F17" s="1056"/>
      <c r="G17" s="1056"/>
      <c r="H17" s="1056"/>
      <c r="I17" s="1056"/>
      <c r="J17" s="1056"/>
      <c r="K17" s="1056"/>
    </row>
    <row r="18" spans="1:11" ht="15.75">
      <c r="A18" s="968" t="s">
        <v>867</v>
      </c>
      <c r="B18" s="968"/>
      <c r="C18" s="968"/>
      <c r="D18" s="968"/>
      <c r="E18" s="968"/>
      <c r="F18" s="968"/>
      <c r="G18" s="968"/>
      <c r="H18" s="968"/>
      <c r="I18" s="968"/>
      <c r="J18" s="968"/>
      <c r="K18" s="968"/>
    </row>
    <row r="19" spans="1:256" ht="15.75">
      <c r="A19" s="968" t="s">
        <v>460</v>
      </c>
      <c r="B19" s="968"/>
      <c r="C19" s="968"/>
      <c r="D19" s="968"/>
      <c r="E19" s="968"/>
      <c r="F19" s="968"/>
      <c r="G19" s="968"/>
      <c r="H19" s="968"/>
      <c r="I19" s="968"/>
      <c r="J19" s="968"/>
      <c r="K19" s="968"/>
      <c r="L19" s="968"/>
      <c r="M19" s="968"/>
      <c r="N19" s="968"/>
      <c r="O19" s="968"/>
      <c r="P19" s="968"/>
      <c r="Q19" s="968"/>
      <c r="R19" s="968"/>
      <c r="S19" s="968"/>
      <c r="T19" s="968"/>
      <c r="U19" s="968"/>
      <c r="V19" s="968"/>
      <c r="W19" s="968"/>
      <c r="X19" s="968"/>
      <c r="Y19" s="968"/>
      <c r="Z19" s="968"/>
      <c r="AA19" s="968"/>
      <c r="AB19" s="968"/>
      <c r="AC19" s="968"/>
      <c r="AD19" s="968"/>
      <c r="AE19" s="968"/>
      <c r="AF19" s="968"/>
      <c r="AG19" s="968"/>
      <c r="AH19" s="968"/>
      <c r="AI19" s="968"/>
      <c r="AJ19" s="968"/>
      <c r="AK19" s="968"/>
      <c r="AL19" s="968"/>
      <c r="AM19" s="968"/>
      <c r="AN19" s="968"/>
      <c r="AO19" s="968"/>
      <c r="AP19" s="968"/>
      <c r="AQ19" s="968"/>
      <c r="AR19" s="968"/>
      <c r="AS19" s="968"/>
      <c r="AT19" s="968"/>
      <c r="AU19" s="968"/>
      <c r="AV19" s="968"/>
      <c r="AW19" s="968"/>
      <c r="AX19" s="968"/>
      <c r="AY19" s="968"/>
      <c r="AZ19" s="968"/>
      <c r="BA19" s="968"/>
      <c r="BB19" s="968"/>
      <c r="BC19" s="968"/>
      <c r="BD19" s="968"/>
      <c r="BE19" s="968"/>
      <c r="BF19" s="968"/>
      <c r="BG19" s="968"/>
      <c r="BH19" s="968"/>
      <c r="BI19" s="968"/>
      <c r="BJ19" s="968"/>
      <c r="BK19" s="968"/>
      <c r="BL19" s="968"/>
      <c r="BM19" s="968"/>
      <c r="BN19" s="968"/>
      <c r="BO19" s="968"/>
      <c r="BP19" s="968"/>
      <c r="BQ19" s="968"/>
      <c r="BR19" s="968"/>
      <c r="BS19" s="968"/>
      <c r="BT19" s="968"/>
      <c r="BU19" s="968"/>
      <c r="BV19" s="968"/>
      <c r="BW19" s="968"/>
      <c r="BX19" s="968"/>
      <c r="BY19" s="968"/>
      <c r="BZ19" s="968"/>
      <c r="CA19" s="968"/>
      <c r="CB19" s="968"/>
      <c r="CC19" s="968"/>
      <c r="CD19" s="968"/>
      <c r="CE19" s="968"/>
      <c r="CF19" s="968"/>
      <c r="CG19" s="968"/>
      <c r="CH19" s="968"/>
      <c r="CI19" s="968"/>
      <c r="CJ19" s="968"/>
      <c r="CK19" s="968"/>
      <c r="CL19" s="968"/>
      <c r="CM19" s="968"/>
      <c r="CN19" s="968"/>
      <c r="CO19" s="968"/>
      <c r="CP19" s="968"/>
      <c r="CQ19" s="968"/>
      <c r="CR19" s="968"/>
      <c r="CS19" s="968"/>
      <c r="CT19" s="968"/>
      <c r="CU19" s="968"/>
      <c r="CV19" s="968"/>
      <c r="CW19" s="968"/>
      <c r="CX19" s="968"/>
      <c r="CY19" s="968"/>
      <c r="CZ19" s="968"/>
      <c r="DA19" s="968"/>
      <c r="DB19" s="968"/>
      <c r="DC19" s="968"/>
      <c r="DD19" s="968"/>
      <c r="DE19" s="968"/>
      <c r="DF19" s="968"/>
      <c r="DG19" s="968"/>
      <c r="DH19" s="968"/>
      <c r="DI19" s="968"/>
      <c r="DJ19" s="968"/>
      <c r="DK19" s="968"/>
      <c r="DL19" s="968"/>
      <c r="DM19" s="968"/>
      <c r="DN19" s="968"/>
      <c r="DO19" s="968"/>
      <c r="DP19" s="968"/>
      <c r="DQ19" s="968"/>
      <c r="DR19" s="968"/>
      <c r="DS19" s="968"/>
      <c r="DT19" s="968"/>
      <c r="DU19" s="968"/>
      <c r="DV19" s="968"/>
      <c r="DW19" s="968"/>
      <c r="DX19" s="968"/>
      <c r="DY19" s="968"/>
      <c r="DZ19" s="968"/>
      <c r="EA19" s="968"/>
      <c r="EB19" s="968"/>
      <c r="EC19" s="968"/>
      <c r="ED19" s="968"/>
      <c r="EE19" s="968"/>
      <c r="EF19" s="968"/>
      <c r="EG19" s="968"/>
      <c r="EH19" s="968"/>
      <c r="EI19" s="968"/>
      <c r="EJ19" s="968"/>
      <c r="EK19" s="968"/>
      <c r="EL19" s="968"/>
      <c r="EM19" s="968"/>
      <c r="EN19" s="968"/>
      <c r="EO19" s="968"/>
      <c r="EP19" s="968"/>
      <c r="EQ19" s="968"/>
      <c r="ER19" s="968"/>
      <c r="ES19" s="968"/>
      <c r="ET19" s="968"/>
      <c r="EU19" s="968"/>
      <c r="EV19" s="968"/>
      <c r="EW19" s="968"/>
      <c r="EX19" s="968"/>
      <c r="EY19" s="968"/>
      <c r="EZ19" s="968"/>
      <c r="FA19" s="968"/>
      <c r="FB19" s="968"/>
      <c r="FC19" s="968"/>
      <c r="FD19" s="968"/>
      <c r="FE19" s="968"/>
      <c r="FF19" s="968"/>
      <c r="FG19" s="968"/>
      <c r="FH19" s="968"/>
      <c r="FI19" s="968"/>
      <c r="FJ19" s="968"/>
      <c r="FK19" s="968"/>
      <c r="FL19" s="968"/>
      <c r="FM19" s="968"/>
      <c r="FN19" s="968"/>
      <c r="FO19" s="968"/>
      <c r="FP19" s="968"/>
      <c r="FQ19" s="968"/>
      <c r="FR19" s="968"/>
      <c r="FS19" s="968"/>
      <c r="FT19" s="968"/>
      <c r="FU19" s="968"/>
      <c r="FV19" s="968"/>
      <c r="FW19" s="968"/>
      <c r="FX19" s="968"/>
      <c r="FY19" s="968"/>
      <c r="FZ19" s="968"/>
      <c r="GA19" s="968"/>
      <c r="GB19" s="968"/>
      <c r="GC19" s="968"/>
      <c r="GD19" s="968"/>
      <c r="GE19" s="968"/>
      <c r="GF19" s="968"/>
      <c r="GG19" s="968"/>
      <c r="GH19" s="968"/>
      <c r="GI19" s="968"/>
      <c r="GJ19" s="968"/>
      <c r="GK19" s="968"/>
      <c r="GL19" s="968"/>
      <c r="GM19" s="968"/>
      <c r="GN19" s="968"/>
      <c r="GO19" s="968"/>
      <c r="GP19" s="968"/>
      <c r="GQ19" s="968"/>
      <c r="GR19" s="968"/>
      <c r="GS19" s="968"/>
      <c r="GT19" s="968"/>
      <c r="GU19" s="968"/>
      <c r="GV19" s="968"/>
      <c r="GW19" s="968"/>
      <c r="GX19" s="968"/>
      <c r="GY19" s="968"/>
      <c r="GZ19" s="968"/>
      <c r="HA19" s="968"/>
      <c r="HB19" s="968"/>
      <c r="HC19" s="968"/>
      <c r="HD19" s="968"/>
      <c r="HE19" s="968"/>
      <c r="HF19" s="968"/>
      <c r="HG19" s="968"/>
      <c r="HH19" s="968"/>
      <c r="HI19" s="968"/>
      <c r="HJ19" s="968"/>
      <c r="HK19" s="968"/>
      <c r="HL19" s="968"/>
      <c r="HM19" s="968"/>
      <c r="HN19" s="968"/>
      <c r="HO19" s="968"/>
      <c r="HP19" s="968"/>
      <c r="HQ19" s="968"/>
      <c r="HR19" s="968"/>
      <c r="HS19" s="968"/>
      <c r="HT19" s="968"/>
      <c r="HU19" s="968"/>
      <c r="HV19" s="968"/>
      <c r="HW19" s="968"/>
      <c r="HX19" s="968"/>
      <c r="HY19" s="968"/>
      <c r="HZ19" s="968"/>
      <c r="IA19" s="968"/>
      <c r="IB19" s="968"/>
      <c r="IC19" s="968"/>
      <c r="ID19" s="968"/>
      <c r="IE19" s="968"/>
      <c r="IF19" s="968"/>
      <c r="IG19" s="968"/>
      <c r="IH19" s="968"/>
      <c r="II19" s="968"/>
      <c r="IJ19" s="968"/>
      <c r="IK19" s="968"/>
      <c r="IL19" s="968"/>
      <c r="IM19" s="968"/>
      <c r="IN19" s="968"/>
      <c r="IO19" s="968"/>
      <c r="IP19" s="968"/>
      <c r="IQ19" s="968"/>
      <c r="IR19" s="968"/>
      <c r="IS19" s="968"/>
      <c r="IT19" s="968"/>
      <c r="IU19" s="968"/>
      <c r="IV19" s="968"/>
    </row>
    <row r="20" spans="1:11" ht="13.5" thickBot="1">
      <c r="A20" s="1060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</row>
    <row r="21" spans="1:11" ht="13.5" thickBot="1">
      <c r="A21" s="941" t="s">
        <v>461</v>
      </c>
      <c r="B21" s="941"/>
      <c r="C21" s="488">
        <v>0.05</v>
      </c>
      <c r="D21" s="489">
        <v>0.05</v>
      </c>
      <c r="E21" s="489">
        <v>0.05</v>
      </c>
      <c r="F21" s="489">
        <v>0.05</v>
      </c>
      <c r="G21" s="489">
        <v>0.05</v>
      </c>
      <c r="H21" s="489">
        <v>0.05</v>
      </c>
      <c r="I21" s="489">
        <v>0.05</v>
      </c>
      <c r="J21" s="489">
        <v>0.05</v>
      </c>
      <c r="K21" s="490">
        <v>0.05</v>
      </c>
    </row>
    <row r="22" ht="13.5" thickBot="1">
      <c r="A22" s="43"/>
    </row>
    <row r="23" spans="1:11" ht="13.5" thickBot="1">
      <c r="A23" s="393" t="s">
        <v>438</v>
      </c>
      <c r="B23" s="495" t="s">
        <v>439</v>
      </c>
      <c r="C23" s="373" t="s">
        <v>447</v>
      </c>
      <c r="D23" s="373" t="s">
        <v>448</v>
      </c>
      <c r="E23" s="373" t="s">
        <v>449</v>
      </c>
      <c r="F23" s="373" t="s">
        <v>450</v>
      </c>
      <c r="G23" s="373" t="s">
        <v>451</v>
      </c>
      <c r="H23" s="373" t="s">
        <v>452</v>
      </c>
      <c r="I23" s="373" t="s">
        <v>453</v>
      </c>
      <c r="J23" s="373" t="s">
        <v>454</v>
      </c>
      <c r="K23" s="374" t="s">
        <v>455</v>
      </c>
    </row>
    <row r="24" spans="1:11" ht="12.75">
      <c r="A24" s="491" t="s">
        <v>391</v>
      </c>
      <c r="B24" s="400">
        <f>'Cap Operac'!C16*12</f>
        <v>4560</v>
      </c>
      <c r="C24" s="400">
        <f>B24*(1+$C$21)</f>
        <v>4788</v>
      </c>
      <c r="D24" s="400">
        <f>C24*(1+$D$21)</f>
        <v>5027.400000000001</v>
      </c>
      <c r="E24" s="400">
        <f>D24*(1+$E$21)</f>
        <v>5278.77</v>
      </c>
      <c r="F24" s="400">
        <f>E24*(1+$F$21)</f>
        <v>5542.708500000001</v>
      </c>
      <c r="G24" s="400">
        <f>F24*(1+$G$21)</f>
        <v>5819.843925000001</v>
      </c>
      <c r="H24" s="400">
        <f>G24*(1+$H$21)</f>
        <v>6110.836121250001</v>
      </c>
      <c r="I24" s="400">
        <f>H24*(1+$I$21)</f>
        <v>6416.377927312502</v>
      </c>
      <c r="J24" s="400">
        <f>I24*(1+$J$21)</f>
        <v>6737.196823678128</v>
      </c>
      <c r="K24" s="492">
        <f>J24*(1+$K$21)</f>
        <v>7074.056664862034</v>
      </c>
    </row>
    <row r="25" spans="1:11" ht="12.75">
      <c r="A25" s="387" t="s">
        <v>392</v>
      </c>
      <c r="B25" s="35">
        <f>'Cap Operac'!B17*'Cap Operac'!C17*12</f>
        <v>30000</v>
      </c>
      <c r="C25" s="35">
        <f>B25*(1+$C$21)</f>
        <v>31500</v>
      </c>
      <c r="D25" s="35">
        <f>C25*(1+$D$21)</f>
        <v>33075</v>
      </c>
      <c r="E25" s="35">
        <f>D25*(1+$E$21)</f>
        <v>34728.75</v>
      </c>
      <c r="F25" s="35">
        <f>E25*(1+$F$21)</f>
        <v>36465.1875</v>
      </c>
      <c r="G25" s="35">
        <f>F25*(1+$G$21)</f>
        <v>38288.446875</v>
      </c>
      <c r="H25" s="35">
        <f>G25*(1+$H$21)</f>
        <v>40202.869218750006</v>
      </c>
      <c r="I25" s="35">
        <f>H25*(1+$I$21)</f>
        <v>42213.012679687505</v>
      </c>
      <c r="J25" s="35">
        <f>I25*(1+$J$21)</f>
        <v>44323.66331367188</v>
      </c>
      <c r="K25" s="409">
        <f>J25*(1+$K$21)</f>
        <v>46539.846479355474</v>
      </c>
    </row>
    <row r="26" spans="1:11" ht="13.5" thickBot="1">
      <c r="A26" s="539" t="s">
        <v>393</v>
      </c>
      <c r="B26" s="461">
        <f>'Cap Operac'!B18*'Cap Operac'!C18*12</f>
        <v>26880</v>
      </c>
      <c r="C26" s="461">
        <f>B26*(1+$C$21)</f>
        <v>28224</v>
      </c>
      <c r="D26" s="461">
        <f>C26*(1+$D$21)</f>
        <v>29635.2</v>
      </c>
      <c r="E26" s="461">
        <f>D26*(1+$E$21)</f>
        <v>31116.960000000003</v>
      </c>
      <c r="F26" s="461">
        <f>E26*(1+$F$21)</f>
        <v>32672.808000000005</v>
      </c>
      <c r="G26" s="461">
        <f>F26*(1+$G$21)</f>
        <v>34306.44840000001</v>
      </c>
      <c r="H26" s="461">
        <f>G26*(1+$H$21)</f>
        <v>36021.77082000001</v>
      </c>
      <c r="I26" s="461">
        <f>H26*(1+$I$21)</f>
        <v>37822.85936100002</v>
      </c>
      <c r="J26" s="461">
        <f>I26*(1+$J$21)</f>
        <v>39714.00232905002</v>
      </c>
      <c r="K26" s="462">
        <f>J26*(1+$K$21)</f>
        <v>41699.70244550252</v>
      </c>
    </row>
    <row r="27" spans="1:11" s="41" customFormat="1" ht="13.5" thickBot="1">
      <c r="A27" s="463" t="s">
        <v>5</v>
      </c>
      <c r="B27" s="509">
        <f>SUM(B24:B26)</f>
        <v>61440</v>
      </c>
      <c r="C27" s="509">
        <f>SUM(C24:C26)</f>
        <v>64512</v>
      </c>
      <c r="D27" s="509">
        <f aca="true" t="shared" si="9" ref="D27:J27">SUM(D24:D26)</f>
        <v>67737.6</v>
      </c>
      <c r="E27" s="509">
        <f t="shared" si="9"/>
        <v>71124.48000000001</v>
      </c>
      <c r="F27" s="509">
        <f t="shared" si="9"/>
        <v>74680.704</v>
      </c>
      <c r="G27" s="509">
        <f t="shared" si="9"/>
        <v>78414.73920000001</v>
      </c>
      <c r="H27" s="509">
        <f t="shared" si="9"/>
        <v>82335.47616000002</v>
      </c>
      <c r="I27" s="509">
        <f t="shared" si="9"/>
        <v>86452.24996800002</v>
      </c>
      <c r="J27" s="509">
        <f t="shared" si="9"/>
        <v>90774.86246640002</v>
      </c>
      <c r="K27" s="510">
        <f>SUM(K24:K26)</f>
        <v>95313.60558972003</v>
      </c>
    </row>
    <row r="28" spans="1:11" ht="12.75">
      <c r="A28" s="1061"/>
      <c r="B28" s="1061"/>
      <c r="C28" s="1061"/>
      <c r="D28" s="1061"/>
      <c r="E28" s="1061"/>
      <c r="F28" s="1061"/>
      <c r="G28" s="1061"/>
      <c r="H28" s="1061"/>
      <c r="I28" s="1061"/>
      <c r="J28" s="1061"/>
      <c r="K28" s="1061"/>
    </row>
    <row r="29" spans="1:11" ht="15.75">
      <c r="A29" s="968" t="s">
        <v>868</v>
      </c>
      <c r="B29" s="968"/>
      <c r="C29" s="968"/>
      <c r="D29" s="968"/>
      <c r="E29" s="968"/>
      <c r="F29" s="968"/>
      <c r="G29" s="968"/>
      <c r="H29" s="968"/>
      <c r="I29" s="968"/>
      <c r="J29" s="968"/>
      <c r="K29" s="968"/>
    </row>
    <row r="30" spans="1:11" ht="12.75">
      <c r="A30" s="1062" t="s">
        <v>462</v>
      </c>
      <c r="B30" s="1062"/>
      <c r="C30" s="1062"/>
      <c r="D30" s="1062"/>
      <c r="E30" s="1062"/>
      <c r="F30" s="1062"/>
      <c r="G30" s="1062"/>
      <c r="H30" s="1062"/>
      <c r="I30" s="1062"/>
      <c r="J30" s="1062"/>
      <c r="K30" s="1062"/>
    </row>
    <row r="31" spans="1:11" ht="13.5" thickBot="1">
      <c r="A31" s="1060"/>
      <c r="B31" s="1060"/>
      <c r="C31" s="1060"/>
      <c r="D31" s="1060"/>
      <c r="E31" s="1060"/>
      <c r="F31" s="1060"/>
      <c r="G31" s="1060"/>
      <c r="H31" s="1060"/>
      <c r="I31" s="1060"/>
      <c r="J31" s="1060"/>
      <c r="K31" s="1060"/>
    </row>
    <row r="32" spans="1:11" ht="13.5" thickBot="1">
      <c r="A32" s="941" t="s">
        <v>461</v>
      </c>
      <c r="B32" s="941"/>
      <c r="C32" s="488">
        <v>0.05</v>
      </c>
      <c r="D32" s="489">
        <v>0.05</v>
      </c>
      <c r="E32" s="489">
        <v>0.05</v>
      </c>
      <c r="F32" s="489">
        <v>0.05</v>
      </c>
      <c r="G32" s="489">
        <v>0.05</v>
      </c>
      <c r="H32" s="489">
        <v>0.05</v>
      </c>
      <c r="I32" s="489">
        <v>0.05</v>
      </c>
      <c r="J32" s="489">
        <v>0.05</v>
      </c>
      <c r="K32" s="490">
        <v>0.05</v>
      </c>
    </row>
    <row r="33" ht="13.5" thickBot="1">
      <c r="A33" s="43"/>
    </row>
    <row r="34" spans="1:11" ht="13.5" thickBot="1">
      <c r="A34" s="393" t="s">
        <v>438</v>
      </c>
      <c r="B34" s="495" t="s">
        <v>439</v>
      </c>
      <c r="C34" s="373" t="s">
        <v>447</v>
      </c>
      <c r="D34" s="373" t="s">
        <v>448</v>
      </c>
      <c r="E34" s="373" t="s">
        <v>449</v>
      </c>
      <c r="F34" s="373" t="s">
        <v>450</v>
      </c>
      <c r="G34" s="373" t="s">
        <v>451</v>
      </c>
      <c r="H34" s="373" t="s">
        <v>452</v>
      </c>
      <c r="I34" s="373" t="s">
        <v>453</v>
      </c>
      <c r="J34" s="373" t="s">
        <v>454</v>
      </c>
      <c r="K34" s="374" t="s">
        <v>455</v>
      </c>
    </row>
    <row r="35" spans="1:11" ht="12.75">
      <c r="A35" s="493" t="s">
        <v>463</v>
      </c>
      <c r="B35" s="400">
        <f>40*2*12</f>
        <v>960</v>
      </c>
      <c r="C35" s="400">
        <f>B35*(1+$C$32)</f>
        <v>1008</v>
      </c>
      <c r="D35" s="400">
        <f>C35*(1+$D$32)</f>
        <v>1058.4</v>
      </c>
      <c r="E35" s="400">
        <f>D35*(1+$E$32)</f>
        <v>1111.3200000000002</v>
      </c>
      <c r="F35" s="400">
        <f>E35*(1+$F$32)</f>
        <v>1166.8860000000002</v>
      </c>
      <c r="G35" s="400">
        <f>F35*(1+$G$32)</f>
        <v>1225.2303000000002</v>
      </c>
      <c r="H35" s="400">
        <f>G35*(1+$H$32)</f>
        <v>1286.4918150000003</v>
      </c>
      <c r="I35" s="400">
        <f>H35*(1+$I$32)</f>
        <v>1350.8164057500003</v>
      </c>
      <c r="J35" s="400">
        <f>I35*(1+$J$32)</f>
        <v>1418.3572260375004</v>
      </c>
      <c r="K35" s="492">
        <f>J35*(1+$K$32)</f>
        <v>1489.2750873393754</v>
      </c>
    </row>
    <row r="36" spans="1:11" ht="12.75">
      <c r="A36" s="486" t="s">
        <v>464</v>
      </c>
      <c r="B36" s="35">
        <f>15*12</f>
        <v>180</v>
      </c>
      <c r="C36" s="35">
        <f>B36*(1+$C$32)</f>
        <v>189</v>
      </c>
      <c r="D36" s="35">
        <f>C36*(1+$D$32)</f>
        <v>198.45000000000002</v>
      </c>
      <c r="E36" s="35">
        <f>D36*(1+$E$32)</f>
        <v>208.37250000000003</v>
      </c>
      <c r="F36" s="35">
        <f>E36*(1+$F$32)</f>
        <v>218.79112500000005</v>
      </c>
      <c r="G36" s="35">
        <f>F36*(1+$G$32)</f>
        <v>229.73068125000006</v>
      </c>
      <c r="H36" s="35">
        <f>G36*(1+$H$32)</f>
        <v>241.2172153125001</v>
      </c>
      <c r="I36" s="35">
        <f>H36*(1+$I$32)</f>
        <v>253.2780760781251</v>
      </c>
      <c r="J36" s="35">
        <f>I36*(1+$J$32)</f>
        <v>265.9419798820314</v>
      </c>
      <c r="K36" s="409">
        <f>J36*(1+$K$32)</f>
        <v>279.23907887613296</v>
      </c>
    </row>
    <row r="37" spans="1:11" ht="13.5" thickBot="1">
      <c r="A37" s="504" t="s">
        <v>465</v>
      </c>
      <c r="B37" s="461">
        <f>10*12</f>
        <v>120</v>
      </c>
      <c r="C37" s="461">
        <f>B37*(1+$C$32)</f>
        <v>126</v>
      </c>
      <c r="D37" s="461">
        <f>C37*(1+$D$32)</f>
        <v>132.3</v>
      </c>
      <c r="E37" s="461">
        <f>D37*(1+$E$32)</f>
        <v>138.91500000000002</v>
      </c>
      <c r="F37" s="461">
        <f>E37*(1+$F$32)</f>
        <v>145.86075000000002</v>
      </c>
      <c r="G37" s="461">
        <f>F37*(1+$C$32)</f>
        <v>153.15378750000002</v>
      </c>
      <c r="H37" s="461">
        <f>G37*(1+$H$32)</f>
        <v>160.81147687500004</v>
      </c>
      <c r="I37" s="461">
        <f>H37*(1+$I$32)</f>
        <v>168.85205071875004</v>
      </c>
      <c r="J37" s="461">
        <f>I37*(1+$J$32)</f>
        <v>177.29465325468755</v>
      </c>
      <c r="K37" s="462">
        <f>J37*(1+$K$32)</f>
        <v>186.15938591742193</v>
      </c>
    </row>
    <row r="38" spans="1:11" s="41" customFormat="1" ht="13.5" thickBot="1">
      <c r="A38" s="463" t="s">
        <v>5</v>
      </c>
      <c r="B38" s="509">
        <f>SUM(B35:B37)</f>
        <v>1260</v>
      </c>
      <c r="C38" s="509">
        <f>SUM(C35:C37)</f>
        <v>1323</v>
      </c>
      <c r="D38" s="509">
        <f aca="true" t="shared" si="10" ref="D38:K38">SUM(D35:D37)</f>
        <v>1389.15</v>
      </c>
      <c r="E38" s="509">
        <f t="shared" si="10"/>
        <v>1458.6075</v>
      </c>
      <c r="F38" s="509">
        <f t="shared" si="10"/>
        <v>1531.5378750000002</v>
      </c>
      <c r="G38" s="509">
        <f t="shared" si="10"/>
        <v>1608.1147687500002</v>
      </c>
      <c r="H38" s="509">
        <f t="shared" si="10"/>
        <v>1688.5205071875002</v>
      </c>
      <c r="I38" s="509">
        <f t="shared" si="10"/>
        <v>1772.9465325468755</v>
      </c>
      <c r="J38" s="509">
        <f t="shared" si="10"/>
        <v>1861.5938591742192</v>
      </c>
      <c r="K38" s="510">
        <f t="shared" si="10"/>
        <v>1954.6735521329304</v>
      </c>
    </row>
    <row r="39" spans="1:11" ht="12.75">
      <c r="A39" s="1061"/>
      <c r="B39" s="1061"/>
      <c r="C39" s="1061"/>
      <c r="D39" s="1061"/>
      <c r="E39" s="1061"/>
      <c r="F39" s="1061"/>
      <c r="G39" s="1061"/>
      <c r="H39" s="1061"/>
      <c r="I39" s="1061"/>
      <c r="J39" s="1061"/>
      <c r="K39" s="1061"/>
    </row>
    <row r="40" spans="1:11" ht="15.75">
      <c r="A40" s="968" t="s">
        <v>869</v>
      </c>
      <c r="B40" s="968"/>
      <c r="C40" s="968"/>
      <c r="D40" s="968"/>
      <c r="E40" s="968"/>
      <c r="F40" s="968"/>
      <c r="G40" s="968"/>
      <c r="H40" s="968"/>
      <c r="I40" s="968"/>
      <c r="J40" s="968"/>
      <c r="K40" s="968"/>
    </row>
    <row r="41" spans="1:11" ht="12.75">
      <c r="A41" s="937" t="s">
        <v>573</v>
      </c>
      <c r="B41" s="937"/>
      <c r="C41" s="937"/>
      <c r="D41" s="937"/>
      <c r="E41" s="937"/>
      <c r="F41" s="937"/>
      <c r="G41" s="937"/>
      <c r="H41" s="937"/>
      <c r="I41" s="937"/>
      <c r="J41" s="937"/>
      <c r="K41" s="937"/>
    </row>
    <row r="42" spans="1:11" ht="13.5" thickBot="1">
      <c r="A42" s="1060"/>
      <c r="B42" s="1060"/>
      <c r="C42" s="1060"/>
      <c r="D42" s="1060"/>
      <c r="E42" s="1060"/>
      <c r="F42" s="1060"/>
      <c r="G42" s="1060"/>
      <c r="H42" s="1060"/>
      <c r="I42" s="1060"/>
      <c r="J42" s="1060"/>
      <c r="K42" s="1060"/>
    </row>
    <row r="43" spans="1:11" ht="13.5" thickBot="1">
      <c r="A43" s="941" t="s">
        <v>461</v>
      </c>
      <c r="B43" s="941"/>
      <c r="C43" s="488">
        <v>0.05</v>
      </c>
      <c r="D43" s="489">
        <v>0.05</v>
      </c>
      <c r="E43" s="489">
        <v>0.05</v>
      </c>
      <c r="F43" s="489">
        <v>0.05</v>
      </c>
      <c r="G43" s="489">
        <v>0.05</v>
      </c>
      <c r="H43" s="489">
        <v>0.05</v>
      </c>
      <c r="I43" s="489">
        <v>0.05</v>
      </c>
      <c r="J43" s="489">
        <v>0.05</v>
      </c>
      <c r="K43" s="490">
        <v>0.05</v>
      </c>
    </row>
    <row r="44" ht="13.5" thickBot="1">
      <c r="A44" s="43"/>
    </row>
    <row r="45" spans="1:11" ht="13.5" thickBot="1">
      <c r="A45" s="393" t="s">
        <v>438</v>
      </c>
      <c r="B45" s="495" t="s">
        <v>439</v>
      </c>
      <c r="C45" s="373" t="s">
        <v>447</v>
      </c>
      <c r="D45" s="373" t="s">
        <v>448</v>
      </c>
      <c r="E45" s="373" t="s">
        <v>449</v>
      </c>
      <c r="F45" s="373" t="s">
        <v>450</v>
      </c>
      <c r="G45" s="373" t="s">
        <v>451</v>
      </c>
      <c r="H45" s="373" t="s">
        <v>452</v>
      </c>
      <c r="I45" s="373" t="s">
        <v>453</v>
      </c>
      <c r="J45" s="373" t="s">
        <v>454</v>
      </c>
      <c r="K45" s="374" t="s">
        <v>455</v>
      </c>
    </row>
    <row r="46" spans="1:11" ht="12.75">
      <c r="A46" s="493" t="s">
        <v>796</v>
      </c>
      <c r="B46" s="400">
        <v>2000</v>
      </c>
      <c r="C46" s="400">
        <f>B46*(1+$C$43)</f>
        <v>2100</v>
      </c>
      <c r="D46" s="400">
        <f>C46*(1+$D$43)</f>
        <v>2205</v>
      </c>
      <c r="E46" s="400">
        <f>D46*(1+$E$43)</f>
        <v>2315.25</v>
      </c>
      <c r="F46" s="400">
        <f>E46*(1+$F$43)</f>
        <v>2431.0125000000003</v>
      </c>
      <c r="G46" s="400">
        <f>F46*(1+$G$43)</f>
        <v>2552.5631250000006</v>
      </c>
      <c r="H46" s="400">
        <f>G46*(1+$H$43)</f>
        <v>2680.191281250001</v>
      </c>
      <c r="I46" s="400">
        <f>H46*(1+$I$43)</f>
        <v>2814.200845312501</v>
      </c>
      <c r="J46" s="400">
        <f>I46*(1+$J$43)</f>
        <v>2954.910887578126</v>
      </c>
      <c r="K46" s="492">
        <f>J46*(1+$K$43)</f>
        <v>3102.6564319570325</v>
      </c>
    </row>
    <row r="47" spans="1:11" ht="13.5" thickBot="1">
      <c r="A47" s="504" t="s">
        <v>797</v>
      </c>
      <c r="B47" s="461">
        <v>1500</v>
      </c>
      <c r="C47" s="461">
        <f>B47*(1+C43)</f>
        <v>1575</v>
      </c>
      <c r="D47" s="461">
        <f aca="true" t="shared" si="11" ref="D47:K47">C47*(1+D43)</f>
        <v>1653.75</v>
      </c>
      <c r="E47" s="461">
        <f t="shared" si="11"/>
        <v>1736.4375</v>
      </c>
      <c r="F47" s="461">
        <f t="shared" si="11"/>
        <v>1823.259375</v>
      </c>
      <c r="G47" s="461">
        <f t="shared" si="11"/>
        <v>1914.4223437500002</v>
      </c>
      <c r="H47" s="461">
        <f t="shared" si="11"/>
        <v>2010.1434609375003</v>
      </c>
      <c r="I47" s="461">
        <f>H47*(1+I43)</f>
        <v>2110.6506339843754</v>
      </c>
      <c r="J47" s="461">
        <f>I47*(1+J43)</f>
        <v>2216.1831656835943</v>
      </c>
      <c r="K47" s="462">
        <f t="shared" si="11"/>
        <v>2326.992323967774</v>
      </c>
    </row>
    <row r="48" spans="1:11" ht="13.5" thickBot="1">
      <c r="A48" s="463" t="s">
        <v>5</v>
      </c>
      <c r="B48" s="509">
        <f>SUM(B46:B47)</f>
        <v>3500</v>
      </c>
      <c r="C48" s="509">
        <f aca="true" t="shared" si="12" ref="C48:K48">SUM(C46:C47)</f>
        <v>3675</v>
      </c>
      <c r="D48" s="509">
        <f t="shared" si="12"/>
        <v>3858.75</v>
      </c>
      <c r="E48" s="509">
        <f t="shared" si="12"/>
        <v>4051.6875</v>
      </c>
      <c r="F48" s="509">
        <f t="shared" si="12"/>
        <v>4254.271875</v>
      </c>
      <c r="G48" s="509">
        <f t="shared" si="12"/>
        <v>4466.985468750001</v>
      </c>
      <c r="H48" s="509">
        <f t="shared" si="12"/>
        <v>4690.334742187501</v>
      </c>
      <c r="I48" s="509">
        <f t="shared" si="12"/>
        <v>4924.851479296876</v>
      </c>
      <c r="J48" s="509">
        <f>SUM(J46:J47)</f>
        <v>5171.094053261721</v>
      </c>
      <c r="K48" s="510">
        <f t="shared" si="12"/>
        <v>5429.648755924807</v>
      </c>
    </row>
    <row r="49" spans="1:11" ht="12.75">
      <c r="A49" s="1061"/>
      <c r="B49" s="1061"/>
      <c r="C49" s="1061"/>
      <c r="D49" s="1061"/>
      <c r="E49" s="1061"/>
      <c r="F49" s="1061"/>
      <c r="G49" s="1061"/>
      <c r="H49" s="1061"/>
      <c r="I49" s="1061"/>
      <c r="J49" s="1061"/>
      <c r="K49" s="1061"/>
    </row>
    <row r="50" spans="1:15" ht="15.75">
      <c r="A50" s="968" t="s">
        <v>871</v>
      </c>
      <c r="B50" s="968"/>
      <c r="C50" s="968"/>
      <c r="D50" s="968"/>
      <c r="E50" s="968"/>
      <c r="F50" s="968"/>
      <c r="G50" s="968"/>
      <c r="H50" s="968"/>
      <c r="I50" s="968"/>
      <c r="J50" s="968"/>
      <c r="K50" s="968"/>
      <c r="L50" s="968"/>
      <c r="M50" s="968"/>
      <c r="N50" s="968"/>
      <c r="O50" s="968"/>
    </row>
    <row r="51" spans="1:15" ht="12.75">
      <c r="A51" s="937" t="s">
        <v>619</v>
      </c>
      <c r="B51" s="937"/>
      <c r="C51" s="937"/>
      <c r="D51" s="937"/>
      <c r="E51" s="937"/>
      <c r="F51" s="937"/>
      <c r="G51" s="937"/>
      <c r="H51" s="937"/>
      <c r="I51" s="937"/>
      <c r="J51" s="937"/>
      <c r="K51" s="937"/>
      <c r="L51" s="937"/>
      <c r="M51" s="937"/>
      <c r="N51" s="937"/>
      <c r="O51" s="937"/>
    </row>
    <row r="52" spans="1:15" ht="13.5" thickBot="1">
      <c r="A52" s="1071"/>
      <c r="B52" s="1071"/>
      <c r="C52" s="1071"/>
      <c r="D52" s="1071"/>
      <c r="E52" s="1071"/>
      <c r="F52" s="1071"/>
      <c r="G52" s="1071"/>
      <c r="H52" s="1071"/>
      <c r="I52" s="1071"/>
      <c r="J52" s="1071"/>
      <c r="K52" s="1071"/>
      <c r="L52" s="1071"/>
      <c r="M52" s="1071"/>
      <c r="N52" s="1071"/>
      <c r="O52" s="1071"/>
    </row>
    <row r="53" spans="1:15" s="62" customFormat="1" ht="24.75" customHeight="1" thickBot="1">
      <c r="A53" s="371" t="s">
        <v>438</v>
      </c>
      <c r="B53" s="496" t="s">
        <v>651</v>
      </c>
      <c r="C53" s="380" t="s">
        <v>633</v>
      </c>
      <c r="D53" s="372" t="s">
        <v>634</v>
      </c>
      <c r="E53" s="380" t="s">
        <v>439</v>
      </c>
      <c r="F53" s="372" t="s">
        <v>447</v>
      </c>
      <c r="G53" s="372" t="s">
        <v>448</v>
      </c>
      <c r="H53" s="372" t="s">
        <v>449</v>
      </c>
      <c r="I53" s="372" t="s">
        <v>450</v>
      </c>
      <c r="J53" s="372" t="s">
        <v>451</v>
      </c>
      <c r="K53" s="372" t="s">
        <v>452</v>
      </c>
      <c r="L53" s="372" t="s">
        <v>453</v>
      </c>
      <c r="M53" s="372" t="s">
        <v>454</v>
      </c>
      <c r="N53" s="372" t="s">
        <v>455</v>
      </c>
      <c r="O53" s="497" t="s">
        <v>664</v>
      </c>
    </row>
    <row r="54" spans="1:15" ht="12.75">
      <c r="A54" s="615" t="s">
        <v>631</v>
      </c>
      <c r="B54" s="616" t="s">
        <v>652</v>
      </c>
      <c r="C54" s="406">
        <f>INVERSION!E8</f>
        <v>75733.5202</v>
      </c>
      <c r="D54" s="617">
        <v>20</v>
      </c>
      <c r="E54" s="406">
        <f aca="true" t="shared" si="13" ref="E54:E60">C54/D54</f>
        <v>3786.67601</v>
      </c>
      <c r="F54" s="406">
        <f>E54</f>
        <v>3786.67601</v>
      </c>
      <c r="G54" s="406">
        <f aca="true" t="shared" si="14" ref="G54:N54">F54</f>
        <v>3786.67601</v>
      </c>
      <c r="H54" s="406">
        <f t="shared" si="14"/>
        <v>3786.67601</v>
      </c>
      <c r="I54" s="406">
        <f t="shared" si="14"/>
        <v>3786.67601</v>
      </c>
      <c r="J54" s="406">
        <f t="shared" si="14"/>
        <v>3786.67601</v>
      </c>
      <c r="K54" s="406">
        <f t="shared" si="14"/>
        <v>3786.67601</v>
      </c>
      <c r="L54" s="406">
        <f t="shared" si="14"/>
        <v>3786.67601</v>
      </c>
      <c r="M54" s="406">
        <f t="shared" si="14"/>
        <v>3786.67601</v>
      </c>
      <c r="N54" s="406">
        <f t="shared" si="14"/>
        <v>3786.67601</v>
      </c>
      <c r="O54" s="407">
        <f aca="true" t="shared" si="15" ref="O54:O60">SUM(E54:N54)</f>
        <v>37866.7601</v>
      </c>
    </row>
    <row r="55" spans="1:15" ht="12.75">
      <c r="A55" s="486" t="s">
        <v>632</v>
      </c>
      <c r="B55" s="44" t="s">
        <v>652</v>
      </c>
      <c r="C55" s="35">
        <f>INVERSION!E14</f>
        <v>49040.094272896065</v>
      </c>
      <c r="D55" s="64">
        <v>10</v>
      </c>
      <c r="E55" s="35">
        <f t="shared" si="13"/>
        <v>4904.009427289607</v>
      </c>
      <c r="F55" s="35">
        <f aca="true" t="shared" si="16" ref="F55:N55">E55</f>
        <v>4904.009427289607</v>
      </c>
      <c r="G55" s="35">
        <f t="shared" si="16"/>
        <v>4904.009427289607</v>
      </c>
      <c r="H55" s="35">
        <f t="shared" si="16"/>
        <v>4904.009427289607</v>
      </c>
      <c r="I55" s="35">
        <f t="shared" si="16"/>
        <v>4904.009427289607</v>
      </c>
      <c r="J55" s="35">
        <f t="shared" si="16"/>
        <v>4904.009427289607</v>
      </c>
      <c r="K55" s="35">
        <f t="shared" si="16"/>
        <v>4904.009427289607</v>
      </c>
      <c r="L55" s="35">
        <f t="shared" si="16"/>
        <v>4904.009427289607</v>
      </c>
      <c r="M55" s="35">
        <f t="shared" si="16"/>
        <v>4904.009427289607</v>
      </c>
      <c r="N55" s="35">
        <f t="shared" si="16"/>
        <v>4904.009427289607</v>
      </c>
      <c r="O55" s="409">
        <f t="shared" si="15"/>
        <v>49040.09427289607</v>
      </c>
    </row>
    <row r="56" spans="1:15" ht="12.75">
      <c r="A56" s="486" t="s">
        <v>635</v>
      </c>
      <c r="B56" s="44" t="s">
        <v>652</v>
      </c>
      <c r="C56" s="35">
        <f>SUM(INVERSION!E20:E27)</f>
        <v>2220</v>
      </c>
      <c r="D56" s="64">
        <v>10</v>
      </c>
      <c r="E56" s="35">
        <f t="shared" si="13"/>
        <v>222</v>
      </c>
      <c r="F56" s="35">
        <f aca="true" t="shared" si="17" ref="F56:N56">E56</f>
        <v>222</v>
      </c>
      <c r="G56" s="35">
        <f t="shared" si="17"/>
        <v>222</v>
      </c>
      <c r="H56" s="35">
        <f t="shared" si="17"/>
        <v>222</v>
      </c>
      <c r="I56" s="35">
        <f t="shared" si="17"/>
        <v>222</v>
      </c>
      <c r="J56" s="35">
        <f t="shared" si="17"/>
        <v>222</v>
      </c>
      <c r="K56" s="35">
        <f t="shared" si="17"/>
        <v>222</v>
      </c>
      <c r="L56" s="35">
        <f t="shared" si="17"/>
        <v>222</v>
      </c>
      <c r="M56" s="35">
        <f t="shared" si="17"/>
        <v>222</v>
      </c>
      <c r="N56" s="35">
        <f t="shared" si="17"/>
        <v>222</v>
      </c>
      <c r="O56" s="409">
        <f t="shared" si="15"/>
        <v>2220</v>
      </c>
    </row>
    <row r="57" spans="1:15" ht="12.75">
      <c r="A57" s="486" t="s">
        <v>636</v>
      </c>
      <c r="B57" s="44" t="s">
        <v>652</v>
      </c>
      <c r="C57" s="35">
        <f>SUM(INVERSION!E29)</f>
        <v>1600</v>
      </c>
      <c r="D57" s="64">
        <v>3</v>
      </c>
      <c r="E57" s="35">
        <f t="shared" si="13"/>
        <v>533.3333333333334</v>
      </c>
      <c r="F57" s="35">
        <f aca="true" t="shared" si="18" ref="F57:M60">E57</f>
        <v>533.3333333333334</v>
      </c>
      <c r="G57" s="35">
        <f t="shared" si="18"/>
        <v>533.3333333333334</v>
      </c>
      <c r="H57" s="35">
        <f t="shared" si="18"/>
        <v>533.3333333333334</v>
      </c>
      <c r="I57" s="35">
        <f t="shared" si="18"/>
        <v>533.3333333333334</v>
      </c>
      <c r="J57" s="35">
        <f t="shared" si="18"/>
        <v>533.3333333333334</v>
      </c>
      <c r="K57" s="35">
        <f t="shared" si="18"/>
        <v>533.3333333333334</v>
      </c>
      <c r="L57" s="35">
        <f t="shared" si="18"/>
        <v>533.3333333333334</v>
      </c>
      <c r="M57" s="35">
        <f t="shared" si="18"/>
        <v>533.3333333333334</v>
      </c>
      <c r="N57" s="35">
        <v>0</v>
      </c>
      <c r="O57" s="409">
        <f t="shared" si="15"/>
        <v>4800</v>
      </c>
    </row>
    <row r="58" spans="1:15" ht="12.75">
      <c r="A58" s="486" t="s">
        <v>637</v>
      </c>
      <c r="B58" s="44" t="s">
        <v>652</v>
      </c>
      <c r="C58" s="35">
        <f>SUM(INVERSION!E31:E35)</f>
        <v>2156</v>
      </c>
      <c r="D58" s="64">
        <v>10</v>
      </c>
      <c r="E58" s="35">
        <f t="shared" si="13"/>
        <v>215.6</v>
      </c>
      <c r="F58" s="35">
        <f t="shared" si="18"/>
        <v>215.6</v>
      </c>
      <c r="G58" s="35">
        <f t="shared" si="18"/>
        <v>215.6</v>
      </c>
      <c r="H58" s="35">
        <f t="shared" si="18"/>
        <v>215.6</v>
      </c>
      <c r="I58" s="35">
        <f t="shared" si="18"/>
        <v>215.6</v>
      </c>
      <c r="J58" s="35">
        <f t="shared" si="18"/>
        <v>215.6</v>
      </c>
      <c r="K58" s="35">
        <f t="shared" si="18"/>
        <v>215.6</v>
      </c>
      <c r="L58" s="35">
        <f t="shared" si="18"/>
        <v>215.6</v>
      </c>
      <c r="M58" s="35">
        <f t="shared" si="18"/>
        <v>215.6</v>
      </c>
      <c r="N58" s="35">
        <f>M58</f>
        <v>215.6</v>
      </c>
      <c r="O58" s="409">
        <f t="shared" si="15"/>
        <v>2155.9999999999995</v>
      </c>
    </row>
    <row r="59" spans="1:15" ht="12.75">
      <c r="A59" s="486" t="s">
        <v>854</v>
      </c>
      <c r="B59" s="44" t="s">
        <v>652</v>
      </c>
      <c r="C59" s="35">
        <f>INVERSION!E37</f>
        <v>30000</v>
      </c>
      <c r="D59" s="64">
        <v>5</v>
      </c>
      <c r="E59" s="35">
        <f>C59/D59</f>
        <v>6000</v>
      </c>
      <c r="F59" s="35">
        <f t="shared" si="18"/>
        <v>6000</v>
      </c>
      <c r="G59" s="35">
        <f t="shared" si="18"/>
        <v>6000</v>
      </c>
      <c r="H59" s="35">
        <f t="shared" si="18"/>
        <v>6000</v>
      </c>
      <c r="I59" s="35">
        <f t="shared" si="18"/>
        <v>6000</v>
      </c>
      <c r="J59" s="35">
        <f t="shared" si="18"/>
        <v>6000</v>
      </c>
      <c r="K59" s="35">
        <f t="shared" si="18"/>
        <v>6000</v>
      </c>
      <c r="L59" s="35">
        <f t="shared" si="18"/>
        <v>6000</v>
      </c>
      <c r="M59" s="35">
        <f t="shared" si="18"/>
        <v>6000</v>
      </c>
      <c r="N59" s="35">
        <f>M59</f>
        <v>6000</v>
      </c>
      <c r="O59" s="409">
        <f t="shared" si="15"/>
        <v>60000</v>
      </c>
    </row>
    <row r="60" spans="1:15" ht="13.5" thickBot="1">
      <c r="A60" s="619" t="s">
        <v>585</v>
      </c>
      <c r="B60" s="620" t="s">
        <v>652</v>
      </c>
      <c r="C60" s="411">
        <f>INVERSION!D38</f>
        <v>25000</v>
      </c>
      <c r="D60" s="621">
        <v>10</v>
      </c>
      <c r="E60" s="411">
        <f t="shared" si="13"/>
        <v>2500</v>
      </c>
      <c r="F60" s="411">
        <f t="shared" si="18"/>
        <v>2500</v>
      </c>
      <c r="G60" s="411">
        <f t="shared" si="18"/>
        <v>2500</v>
      </c>
      <c r="H60" s="411">
        <f t="shared" si="18"/>
        <v>2500</v>
      </c>
      <c r="I60" s="411">
        <f t="shared" si="18"/>
        <v>2500</v>
      </c>
      <c r="J60" s="411">
        <f t="shared" si="18"/>
        <v>2500</v>
      </c>
      <c r="K60" s="411">
        <f t="shared" si="18"/>
        <v>2500</v>
      </c>
      <c r="L60" s="411">
        <f t="shared" si="18"/>
        <v>2500</v>
      </c>
      <c r="M60" s="411">
        <f t="shared" si="18"/>
        <v>2500</v>
      </c>
      <c r="N60" s="411">
        <f>M60</f>
        <v>2500</v>
      </c>
      <c r="O60" s="622">
        <f t="shared" si="15"/>
        <v>25000</v>
      </c>
    </row>
    <row r="61" spans="1:16" ht="13.5" thickBot="1">
      <c r="A61" s="1075" t="s">
        <v>5</v>
      </c>
      <c r="B61" s="1076"/>
      <c r="C61" s="623">
        <f>SUM(C54:C59)</f>
        <v>160749.61447289606</v>
      </c>
      <c r="D61" s="618"/>
      <c r="E61" s="535">
        <f>SUM(E54:E60)</f>
        <v>18161.61877062294</v>
      </c>
      <c r="F61" s="534">
        <f aca="true" t="shared" si="19" ref="F61:N61">SUM(F54:F60)</f>
        <v>18161.61877062294</v>
      </c>
      <c r="G61" s="534">
        <f t="shared" si="19"/>
        <v>18161.61877062294</v>
      </c>
      <c r="H61" s="534">
        <f t="shared" si="19"/>
        <v>18161.61877062294</v>
      </c>
      <c r="I61" s="534">
        <f t="shared" si="19"/>
        <v>18161.61877062294</v>
      </c>
      <c r="J61" s="534">
        <f t="shared" si="19"/>
        <v>18161.61877062294</v>
      </c>
      <c r="K61" s="534">
        <f t="shared" si="19"/>
        <v>18161.61877062294</v>
      </c>
      <c r="L61" s="534">
        <f t="shared" si="19"/>
        <v>18161.61877062294</v>
      </c>
      <c r="M61" s="534">
        <f t="shared" si="19"/>
        <v>18161.61877062294</v>
      </c>
      <c r="N61" s="536">
        <f t="shared" si="19"/>
        <v>17628.285437289607</v>
      </c>
      <c r="O61" s="131"/>
      <c r="P61" s="131"/>
    </row>
    <row r="62" spans="1:16" ht="13.5" thickBot="1">
      <c r="A62" s="1072" t="s">
        <v>748</v>
      </c>
      <c r="B62" s="1073"/>
      <c r="C62" s="1074"/>
      <c r="D62" s="131"/>
      <c r="E62" s="537">
        <f>E61</f>
        <v>18161.61877062294</v>
      </c>
      <c r="F62" s="487">
        <f aca="true" t="shared" si="20" ref="F62:N62">E62+F61</f>
        <v>36323.23754124588</v>
      </c>
      <c r="G62" s="487">
        <f t="shared" si="20"/>
        <v>54484.85631186882</v>
      </c>
      <c r="H62" s="487">
        <f t="shared" si="20"/>
        <v>72646.47508249176</v>
      </c>
      <c r="I62" s="487">
        <f t="shared" si="20"/>
        <v>90808.0938531147</v>
      </c>
      <c r="J62" s="487">
        <f t="shared" si="20"/>
        <v>108969.71262373764</v>
      </c>
      <c r="K62" s="487">
        <f t="shared" si="20"/>
        <v>127131.33139436058</v>
      </c>
      <c r="L62" s="487">
        <f t="shared" si="20"/>
        <v>145292.95016498351</v>
      </c>
      <c r="M62" s="487">
        <f t="shared" si="20"/>
        <v>163454.56893560645</v>
      </c>
      <c r="N62" s="538">
        <f t="shared" si="20"/>
        <v>181082.85437289605</v>
      </c>
      <c r="O62" s="131"/>
      <c r="P62" s="131"/>
    </row>
    <row r="63" spans="1:15" ht="12.75">
      <c r="A63" s="43"/>
      <c r="E63" s="34"/>
      <c r="F63" s="60"/>
      <c r="O63" s="131"/>
    </row>
    <row r="64" spans="1:15" ht="15.75">
      <c r="A64" s="1050" t="s">
        <v>881</v>
      </c>
      <c r="B64" s="1050"/>
      <c r="C64" s="1050"/>
      <c r="D64" s="1050"/>
      <c r="E64" s="1050"/>
      <c r="F64" s="1050"/>
      <c r="G64" s="1050"/>
      <c r="H64" s="1050"/>
      <c r="I64" s="1050"/>
      <c r="J64" s="1050"/>
      <c r="K64" s="1050"/>
      <c r="O64" s="131"/>
    </row>
    <row r="65" spans="1:15" ht="12.75">
      <c r="A65" s="1077" t="s">
        <v>817</v>
      </c>
      <c r="B65" s="1077"/>
      <c r="C65" s="1077"/>
      <c r="D65" s="1077"/>
      <c r="E65" s="1077"/>
      <c r="F65" s="1077"/>
      <c r="G65" s="1077"/>
      <c r="H65" s="1077"/>
      <c r="I65" s="1077"/>
      <c r="J65" s="1077"/>
      <c r="K65" s="1077"/>
      <c r="O65" s="131"/>
    </row>
    <row r="66" spans="1:6" ht="13.5" thickBot="1">
      <c r="A66" s="43"/>
      <c r="E66" s="34"/>
      <c r="F66" s="60"/>
    </row>
    <row r="67" spans="1:11" ht="13.5" thickBot="1">
      <c r="A67" s="393" t="s">
        <v>438</v>
      </c>
      <c r="B67" s="495" t="s">
        <v>439</v>
      </c>
      <c r="C67" s="373" t="s">
        <v>447</v>
      </c>
      <c r="D67" s="373" t="s">
        <v>448</v>
      </c>
      <c r="E67" s="373" t="s">
        <v>449</v>
      </c>
      <c r="F67" s="373" t="s">
        <v>450</v>
      </c>
      <c r="G67" s="373" t="s">
        <v>451</v>
      </c>
      <c r="H67" s="373" t="s">
        <v>452</v>
      </c>
      <c r="I67" s="373" t="s">
        <v>453</v>
      </c>
      <c r="J67" s="373" t="s">
        <v>454</v>
      </c>
      <c r="K67" s="374" t="s">
        <v>455</v>
      </c>
    </row>
    <row r="68" spans="1:11" ht="14.25">
      <c r="A68" s="525" t="s">
        <v>822</v>
      </c>
      <c r="B68" s="526">
        <f>SUM(B69:B74)</f>
        <v>75000</v>
      </c>
      <c r="C68" s="526">
        <f aca="true" t="shared" si="21" ref="C68:K68">SUM(C69:C74)</f>
        <v>78750</v>
      </c>
      <c r="D68" s="526">
        <f t="shared" si="21"/>
        <v>82687.5</v>
      </c>
      <c r="E68" s="526">
        <f t="shared" si="21"/>
        <v>86821.875</v>
      </c>
      <c r="F68" s="526">
        <f t="shared" si="21"/>
        <v>91162.96875</v>
      </c>
      <c r="G68" s="526">
        <f t="shared" si="21"/>
        <v>95721.11718750001</v>
      </c>
      <c r="H68" s="526">
        <f t="shared" si="21"/>
        <v>100507.17304687502</v>
      </c>
      <c r="I68" s="526">
        <f t="shared" si="21"/>
        <v>105532.53169921879</v>
      </c>
      <c r="J68" s="526">
        <f t="shared" si="21"/>
        <v>110809.15828417972</v>
      </c>
      <c r="K68" s="527">
        <f t="shared" si="21"/>
        <v>116349.61619838871</v>
      </c>
    </row>
    <row r="69" spans="1:12" ht="12.75">
      <c r="A69" s="528" t="s">
        <v>436</v>
      </c>
      <c r="B69" s="35">
        <f>B8</f>
        <v>5160</v>
      </c>
      <c r="C69" s="35">
        <f>C8</f>
        <v>5418</v>
      </c>
      <c r="D69" s="35">
        <f aca="true" t="shared" si="22" ref="D69:K69">D8</f>
        <v>5688.900000000001</v>
      </c>
      <c r="E69" s="35">
        <f t="shared" si="22"/>
        <v>5973.345000000001</v>
      </c>
      <c r="F69" s="35">
        <f t="shared" si="22"/>
        <v>6272.012250000002</v>
      </c>
      <c r="G69" s="35">
        <f t="shared" si="22"/>
        <v>6585.612862500002</v>
      </c>
      <c r="H69" s="35">
        <f t="shared" si="22"/>
        <v>6914.893505625002</v>
      </c>
      <c r="I69" s="35">
        <f t="shared" si="22"/>
        <v>7260.638180906252</v>
      </c>
      <c r="J69" s="35">
        <f t="shared" si="22"/>
        <v>7623.670089951565</v>
      </c>
      <c r="K69" s="409">
        <f t="shared" si="22"/>
        <v>8004.853594449144</v>
      </c>
      <c r="L69" s="34"/>
    </row>
    <row r="70" spans="1:11" ht="12.75">
      <c r="A70" s="528" t="s">
        <v>425</v>
      </c>
      <c r="B70" s="35">
        <f aca="true" t="shared" si="23" ref="B70:J71">B9</f>
        <v>3840</v>
      </c>
      <c r="C70" s="35">
        <f t="shared" si="23"/>
        <v>4032</v>
      </c>
      <c r="D70" s="35">
        <f t="shared" si="23"/>
        <v>4233.6</v>
      </c>
      <c r="E70" s="35">
        <f t="shared" si="23"/>
        <v>4445.280000000001</v>
      </c>
      <c r="F70" s="35">
        <f t="shared" si="23"/>
        <v>4667.544000000001</v>
      </c>
      <c r="G70" s="35">
        <f t="shared" si="23"/>
        <v>4900.921200000001</v>
      </c>
      <c r="H70" s="35">
        <f t="shared" si="23"/>
        <v>5145.967260000001</v>
      </c>
      <c r="I70" s="35">
        <f t="shared" si="23"/>
        <v>5403.265623000001</v>
      </c>
      <c r="J70" s="35">
        <f t="shared" si="23"/>
        <v>5673.4289041500015</v>
      </c>
      <c r="K70" s="409">
        <f>K9</f>
        <v>5957.100349357502</v>
      </c>
    </row>
    <row r="71" spans="1:11" ht="12.75">
      <c r="A71" s="528" t="s">
        <v>390</v>
      </c>
      <c r="B71" s="35">
        <f t="shared" si="23"/>
        <v>4560</v>
      </c>
      <c r="C71" s="35">
        <f t="shared" si="23"/>
        <v>4788</v>
      </c>
      <c r="D71" s="35">
        <f t="shared" si="23"/>
        <v>5027.400000000001</v>
      </c>
      <c r="E71" s="35">
        <f t="shared" si="23"/>
        <v>5278.77</v>
      </c>
      <c r="F71" s="35">
        <f t="shared" si="23"/>
        <v>5542.708500000001</v>
      </c>
      <c r="G71" s="35">
        <f t="shared" si="23"/>
        <v>5819.843925000001</v>
      </c>
      <c r="H71" s="35">
        <f t="shared" si="23"/>
        <v>6110.836121250001</v>
      </c>
      <c r="I71" s="35">
        <f t="shared" si="23"/>
        <v>6416.377927312502</v>
      </c>
      <c r="J71" s="35">
        <f t="shared" si="23"/>
        <v>6737.196823678128</v>
      </c>
      <c r="K71" s="409">
        <f>K10</f>
        <v>7074.056664862034</v>
      </c>
    </row>
    <row r="72" spans="1:11" ht="12.75">
      <c r="A72" s="528" t="s">
        <v>391</v>
      </c>
      <c r="B72" s="35">
        <f>B24</f>
        <v>4560</v>
      </c>
      <c r="C72" s="35">
        <f aca="true" t="shared" si="24" ref="C72:J72">C24</f>
        <v>4788</v>
      </c>
      <c r="D72" s="35">
        <f t="shared" si="24"/>
        <v>5027.400000000001</v>
      </c>
      <c r="E72" s="35">
        <f t="shared" si="24"/>
        <v>5278.77</v>
      </c>
      <c r="F72" s="35">
        <f t="shared" si="24"/>
        <v>5542.708500000001</v>
      </c>
      <c r="G72" s="35">
        <f t="shared" si="24"/>
        <v>5819.843925000001</v>
      </c>
      <c r="H72" s="35">
        <f t="shared" si="24"/>
        <v>6110.836121250001</v>
      </c>
      <c r="I72" s="35">
        <f t="shared" si="24"/>
        <v>6416.377927312502</v>
      </c>
      <c r="J72" s="35">
        <f t="shared" si="24"/>
        <v>6737.196823678128</v>
      </c>
      <c r="K72" s="409">
        <f>K24</f>
        <v>7074.056664862034</v>
      </c>
    </row>
    <row r="73" spans="1:11" ht="12.75">
      <c r="A73" s="528" t="s">
        <v>392</v>
      </c>
      <c r="B73" s="35">
        <f aca="true" t="shared" si="25" ref="B73:K74">B25</f>
        <v>30000</v>
      </c>
      <c r="C73" s="35">
        <f t="shared" si="25"/>
        <v>31500</v>
      </c>
      <c r="D73" s="35">
        <f t="shared" si="25"/>
        <v>33075</v>
      </c>
      <c r="E73" s="35">
        <f t="shared" si="25"/>
        <v>34728.75</v>
      </c>
      <c r="F73" s="35">
        <f t="shared" si="25"/>
        <v>36465.1875</v>
      </c>
      <c r="G73" s="35">
        <f t="shared" si="25"/>
        <v>38288.446875</v>
      </c>
      <c r="H73" s="35">
        <f t="shared" si="25"/>
        <v>40202.869218750006</v>
      </c>
      <c r="I73" s="35">
        <f t="shared" si="25"/>
        <v>42213.012679687505</v>
      </c>
      <c r="J73" s="35">
        <f t="shared" si="25"/>
        <v>44323.66331367188</v>
      </c>
      <c r="K73" s="409">
        <f t="shared" si="25"/>
        <v>46539.846479355474</v>
      </c>
    </row>
    <row r="74" spans="1:11" ht="12.75">
      <c r="A74" s="528" t="s">
        <v>393</v>
      </c>
      <c r="B74" s="35">
        <f t="shared" si="25"/>
        <v>26880</v>
      </c>
      <c r="C74" s="35">
        <f t="shared" si="25"/>
        <v>28224</v>
      </c>
      <c r="D74" s="35">
        <f t="shared" si="25"/>
        <v>29635.2</v>
      </c>
      <c r="E74" s="35">
        <f t="shared" si="25"/>
        <v>31116.960000000003</v>
      </c>
      <c r="F74" s="35">
        <f t="shared" si="25"/>
        <v>32672.808000000005</v>
      </c>
      <c r="G74" s="35">
        <f t="shared" si="25"/>
        <v>34306.44840000001</v>
      </c>
      <c r="H74" s="35">
        <f t="shared" si="25"/>
        <v>36021.77082000001</v>
      </c>
      <c r="I74" s="35">
        <f t="shared" si="25"/>
        <v>37822.85936100002</v>
      </c>
      <c r="J74" s="35">
        <f t="shared" si="25"/>
        <v>39714.00232905002</v>
      </c>
      <c r="K74" s="409">
        <f t="shared" si="25"/>
        <v>41699.70244550252</v>
      </c>
    </row>
    <row r="75" spans="1:11" ht="14.25">
      <c r="A75" s="529" t="s">
        <v>818</v>
      </c>
      <c r="B75" s="369">
        <f>'Estad result y Fluj Caj'!B19</f>
        <v>24544.174972462763</v>
      </c>
      <c r="C75" s="369">
        <f>'Estad result y Fluj Caj'!C19</f>
        <v>20862.548726593348</v>
      </c>
      <c r="D75" s="369">
        <f>'Estad result y Fluj Caj'!D19</f>
        <v>15953.713732100798</v>
      </c>
      <c r="E75" s="369">
        <f>'Estad result y Fluj Caj'!E19</f>
        <v>11044.878737608246</v>
      </c>
      <c r="F75" s="369">
        <f>'Estad result y Fluj Caj'!F19</f>
        <v>6136.043743115693</v>
      </c>
      <c r="G75" s="369">
        <f>'Estad result y Fluj Caj'!G19</f>
        <v>1227.2087486231392</v>
      </c>
      <c r="H75" s="369">
        <f>'Estad result y Fluj Caj'!H19</f>
        <v>0</v>
      </c>
      <c r="I75" s="369">
        <f>'Estad result y Fluj Caj'!I19</f>
        <v>0</v>
      </c>
      <c r="J75" s="369">
        <f>'Estad result y Fluj Caj'!J19</f>
        <v>0</v>
      </c>
      <c r="K75" s="530">
        <f>'Estad result y Fluj Caj'!K19</f>
        <v>0</v>
      </c>
    </row>
    <row r="76" spans="1:11" ht="14.25">
      <c r="A76" s="529" t="s">
        <v>859</v>
      </c>
      <c r="B76" s="369">
        <f>'Estad result y Fluj Caj'!B21</f>
        <v>6407.599468066318</v>
      </c>
      <c r="C76" s="369">
        <f>'Estad result y Fluj Caj'!C21</f>
        <v>8523.884675738365</v>
      </c>
      <c r="D76" s="369">
        <f>'Estad result y Fluj Caj'!D21</f>
        <v>10919.40897117959</v>
      </c>
      <c r="E76" s="369">
        <f>'Estad result y Fluj Caj'!E21</f>
        <v>13472.843878711003</v>
      </c>
      <c r="F76" s="369">
        <f>'Estad result y Fluj Caj'!F21</f>
        <v>16198.207971073592</v>
      </c>
      <c r="G76" s="369">
        <f>'Estad result y Fluj Caj'!G21</f>
        <v>19620.976800467164</v>
      </c>
      <c r="H76" s="369">
        <f>'Estad result y Fluj Caj'!H21</f>
        <v>22184.908821816993</v>
      </c>
      <c r="I76" s="369">
        <f>'Estad result y Fluj Caj'!I21</f>
        <v>24786.35026963254</v>
      </c>
      <c r="J76" s="369">
        <f>'Estad result y Fluj Caj'!J21</f>
        <v>27628.834363350426</v>
      </c>
      <c r="K76" s="369">
        <f>'Estad result y Fluj Caj'!K21</f>
        <v>30813.466184131026</v>
      </c>
    </row>
    <row r="77" spans="1:11" ht="28.5" customHeight="1">
      <c r="A77" s="531" t="s">
        <v>860</v>
      </c>
      <c r="B77" s="367">
        <f>'Estad result y Fluj Caj'!B22</f>
        <v>36309.730319042465</v>
      </c>
      <c r="C77" s="367">
        <f>'Estad result y Fluj Caj'!C22</f>
        <v>48302.0131625174</v>
      </c>
      <c r="D77" s="367">
        <f>'Estad result y Fluj Caj'!D22</f>
        <v>61876.65083668434</v>
      </c>
      <c r="E77" s="367">
        <f>'Estad result y Fluj Caj'!E22</f>
        <v>76346.11531269568</v>
      </c>
      <c r="F77" s="367">
        <f>'Estad result y Fluj Caj'!F22</f>
        <v>91789.84516941704</v>
      </c>
      <c r="G77" s="367">
        <f>'Estad result y Fluj Caj'!G22</f>
        <v>111185.53520264727</v>
      </c>
      <c r="H77" s="367">
        <f>'Estad result y Fluj Caj'!H22</f>
        <v>125714.48332362963</v>
      </c>
      <c r="I77" s="367">
        <f>'Estad result y Fluj Caj'!I22</f>
        <v>140455.98486125108</v>
      </c>
      <c r="J77" s="367">
        <f>'Estad result y Fluj Caj'!J22</f>
        <v>156563.3947256524</v>
      </c>
      <c r="K77" s="367">
        <f>'Estad result y Fluj Caj'!K22</f>
        <v>174609.64171007584</v>
      </c>
    </row>
    <row r="78" spans="1:11" ht="14.25">
      <c r="A78" s="454" t="s">
        <v>819</v>
      </c>
      <c r="B78" s="368">
        <f>+B68+B75+B77+B76</f>
        <v>142261.50475957154</v>
      </c>
      <c r="C78" s="368">
        <f aca="true" t="shared" si="26" ref="C78:K78">+C68+C75+C77+C76</f>
        <v>156438.44656484912</v>
      </c>
      <c r="D78" s="368">
        <f t="shared" si="26"/>
        <v>171437.27353996472</v>
      </c>
      <c r="E78" s="368">
        <f t="shared" si="26"/>
        <v>187685.71292901493</v>
      </c>
      <c r="F78" s="368">
        <f t="shared" si="26"/>
        <v>205287.0656336063</v>
      </c>
      <c r="G78" s="368">
        <f t="shared" si="26"/>
        <v>227754.8379392376</v>
      </c>
      <c r="H78" s="368">
        <f t="shared" si="26"/>
        <v>248406.56519232164</v>
      </c>
      <c r="I78" s="368">
        <f t="shared" si="26"/>
        <v>270774.8668301024</v>
      </c>
      <c r="J78" s="368">
        <f t="shared" si="26"/>
        <v>295001.3873731826</v>
      </c>
      <c r="K78" s="368">
        <f t="shared" si="26"/>
        <v>321772.72409259557</v>
      </c>
    </row>
    <row r="79" spans="1:11" ht="15" thickBot="1">
      <c r="A79" s="532" t="s">
        <v>820</v>
      </c>
      <c r="B79" s="522">
        <f>+B69+B76+B78</f>
        <v>153829.10422763787</v>
      </c>
      <c r="C79" s="522">
        <f>'Estad result y Fluj Caj'!C6</f>
        <v>196439.78283271834</v>
      </c>
      <c r="D79" s="522">
        <f>'Estad result y Fluj Caj'!D6</f>
        <v>212744.28480783396</v>
      </c>
      <c r="E79" s="522">
        <f>'Estad result y Fluj Caj'!E6</f>
        <v>230402.06044688416</v>
      </c>
      <c r="F79" s="522">
        <f>'Estad result y Fluj Caj'!F6</f>
        <v>249525.43146397555</v>
      </c>
      <c r="G79" s="522">
        <f>'Estad result y Fluj Caj'!G6</f>
        <v>270236.0422754855</v>
      </c>
      <c r="H79" s="522">
        <f>'Estad result y Fluj Caj'!H6</f>
        <v>292665.6337843508</v>
      </c>
      <c r="I79" s="522">
        <f>'Estad result y Fluj Caj'!I6</f>
        <v>316956.8813884519</v>
      </c>
      <c r="J79" s="522">
        <f>'Estad result y Fluj Caj'!J6</f>
        <v>343264.3025436934</v>
      </c>
      <c r="K79" s="533">
        <f>'Estad result y Fluj Caj'!K6</f>
        <v>371755.23965481995</v>
      </c>
    </row>
    <row r="80" spans="1:11" ht="15" thickBot="1">
      <c r="A80" s="469" t="s">
        <v>821</v>
      </c>
      <c r="B80" s="702">
        <f>+B70+B77+B79</f>
        <v>193978.83454668033</v>
      </c>
      <c r="C80" s="523">
        <f aca="true" t="shared" si="27" ref="C80:K80">C78/C79</f>
        <v>0.7963684560681222</v>
      </c>
      <c r="D80" s="523">
        <f t="shared" si="27"/>
        <v>0.8058372693528255</v>
      </c>
      <c r="E80" s="523">
        <f t="shared" si="27"/>
        <v>0.8146008441286624</v>
      </c>
      <c r="F80" s="523">
        <f t="shared" si="27"/>
        <v>0.8227099916396458</v>
      </c>
      <c r="G80" s="523">
        <f t="shared" si="27"/>
        <v>0.8427996355388394</v>
      </c>
      <c r="H80" s="523">
        <f t="shared" si="27"/>
        <v>0.8487725804368228</v>
      </c>
      <c r="I80" s="523">
        <f t="shared" si="27"/>
        <v>0.8542955926495556</v>
      </c>
      <c r="J80" s="523">
        <f t="shared" si="27"/>
        <v>0.8594001333291348</v>
      </c>
      <c r="K80" s="524">
        <f t="shared" si="27"/>
        <v>0.8655499365425653</v>
      </c>
    </row>
    <row r="81" spans="1:11" ht="12.75">
      <c r="A81" s="120"/>
      <c r="B81" s="366"/>
      <c r="C81" s="366"/>
      <c r="D81" s="366"/>
      <c r="E81" s="366"/>
      <c r="F81" s="366"/>
      <c r="G81" s="366"/>
      <c r="H81" s="366"/>
      <c r="I81" s="366"/>
      <c r="J81" s="366"/>
      <c r="K81" s="366"/>
    </row>
    <row r="82" spans="1:10" ht="15.75">
      <c r="A82" s="43"/>
      <c r="B82" s="1049" t="s">
        <v>873</v>
      </c>
      <c r="C82" s="1049"/>
      <c r="D82" s="1049"/>
      <c r="E82" s="1049"/>
      <c r="F82" s="1049"/>
      <c r="G82" s="1049"/>
      <c r="H82" s="1049"/>
      <c r="I82" s="1049"/>
      <c r="J82" s="1049"/>
    </row>
    <row r="83" spans="2:11" ht="12.75">
      <c r="B83" s="937" t="s">
        <v>620</v>
      </c>
      <c r="C83" s="937"/>
      <c r="D83" s="937"/>
      <c r="E83" s="937"/>
      <c r="F83" s="937"/>
      <c r="G83" s="937"/>
      <c r="H83" s="937"/>
      <c r="I83" s="937"/>
      <c r="J83" s="937"/>
      <c r="K83" s="351"/>
    </row>
    <row r="84" ht="12.75">
      <c r="A84" s="43"/>
    </row>
    <row r="85" spans="1:7" ht="12.75">
      <c r="A85" s="43"/>
      <c r="F85" s="745" t="s">
        <v>658</v>
      </c>
      <c r="G85" s="330">
        <v>0.12</v>
      </c>
    </row>
    <row r="86" ht="13.5" thickBot="1">
      <c r="A86" s="43"/>
    </row>
    <row r="87" spans="2:10" ht="33.75" customHeight="1" thickBot="1">
      <c r="B87" s="582" t="s">
        <v>844</v>
      </c>
      <c r="C87" s="582" t="s">
        <v>845</v>
      </c>
      <c r="D87" s="583" t="s">
        <v>654</v>
      </c>
      <c r="E87" s="585" t="s">
        <v>843</v>
      </c>
      <c r="F87" s="583" t="s">
        <v>655</v>
      </c>
      <c r="G87" s="585" t="s">
        <v>846</v>
      </c>
      <c r="H87" s="585" t="s">
        <v>837</v>
      </c>
      <c r="I87" s="589" t="s">
        <v>838</v>
      </c>
      <c r="J87" s="584" t="s">
        <v>657</v>
      </c>
    </row>
    <row r="88" spans="2:10" ht="13.5" thickBot="1">
      <c r="B88" s="1058">
        <v>0</v>
      </c>
      <c r="C88" s="602">
        <v>0</v>
      </c>
      <c r="D88" s="586" t="s">
        <v>360</v>
      </c>
      <c r="E88" s="586"/>
      <c r="F88" s="586" t="s">
        <v>360</v>
      </c>
      <c r="G88" s="586"/>
      <c r="H88" s="586" t="s">
        <v>360</v>
      </c>
      <c r="I88" s="586"/>
      <c r="J88" s="587">
        <f>INVERSION!E58</f>
        <v>204534.7914371897</v>
      </c>
    </row>
    <row r="89" spans="2:10" ht="13.5" thickBot="1">
      <c r="B89" s="1059"/>
      <c r="C89" s="603" t="s">
        <v>839</v>
      </c>
      <c r="D89" s="593">
        <f aca="true" t="shared" si="28" ref="D89:D100">J88*($G$85/2)</f>
        <v>12272.087486231381</v>
      </c>
      <c r="E89" s="600">
        <f>D89</f>
        <v>12272.087486231381</v>
      </c>
      <c r="F89" s="593">
        <v>0</v>
      </c>
      <c r="G89" s="600">
        <f>F89</f>
        <v>0</v>
      </c>
      <c r="H89" s="593">
        <f>D89</f>
        <v>12272.087486231381</v>
      </c>
      <c r="I89" s="594">
        <f>H89</f>
        <v>12272.087486231381</v>
      </c>
      <c r="J89" s="595">
        <f aca="true" t="shared" si="29" ref="J89:J100">J88-F89</f>
        <v>204534.7914371897</v>
      </c>
    </row>
    <row r="90" spans="2:11" ht="12.75">
      <c r="B90" s="1058">
        <v>1</v>
      </c>
      <c r="C90" s="604">
        <v>2</v>
      </c>
      <c r="D90" s="515">
        <f t="shared" si="28"/>
        <v>12272.087486231381</v>
      </c>
      <c r="E90" s="1051">
        <f>SUM(D90:D91)</f>
        <v>24544.174972462763</v>
      </c>
      <c r="F90" s="515">
        <v>0</v>
      </c>
      <c r="G90" s="1051">
        <f>SUM(F90:F91)</f>
        <v>20453.47914371897</v>
      </c>
      <c r="H90" s="515">
        <f>D90</f>
        <v>12272.087486231381</v>
      </c>
      <c r="I90" s="1053">
        <f>SUM(H90:H91)</f>
        <v>44997.65411618173</v>
      </c>
      <c r="J90" s="516">
        <f>J89-F90</f>
        <v>204534.7914371897</v>
      </c>
      <c r="K90" s="284"/>
    </row>
    <row r="91" spans="2:10" ht="13.5" thickBot="1">
      <c r="B91" s="1059"/>
      <c r="C91" s="605">
        <v>3</v>
      </c>
      <c r="D91" s="520">
        <f t="shared" si="28"/>
        <v>12272.087486231381</v>
      </c>
      <c r="E91" s="1052"/>
      <c r="F91" s="520">
        <f>J90/((B100-1)*2)</f>
        <v>20453.47914371897</v>
      </c>
      <c r="G91" s="1052"/>
      <c r="H91" s="520">
        <f>F91+D91</f>
        <v>32725.56662995035</v>
      </c>
      <c r="I91" s="1054"/>
      <c r="J91" s="521">
        <f>J90-F91</f>
        <v>184081.31229347072</v>
      </c>
    </row>
    <row r="92" spans="2:10" ht="12.75">
      <c r="B92" s="1058">
        <v>2</v>
      </c>
      <c r="C92" s="604">
        <v>4</v>
      </c>
      <c r="D92" s="515">
        <f t="shared" si="28"/>
        <v>11044.878737608244</v>
      </c>
      <c r="E92" s="1051">
        <f>SUM(D92:D93)</f>
        <v>20862.548726593348</v>
      </c>
      <c r="F92" s="515">
        <f>F91</f>
        <v>20453.47914371897</v>
      </c>
      <c r="G92" s="1051">
        <f>SUM(F92:F93)</f>
        <v>40906.95828743794</v>
      </c>
      <c r="H92" s="515">
        <f aca="true" t="shared" si="30" ref="H92:H101">F92+D92</f>
        <v>31498.357881327214</v>
      </c>
      <c r="I92" s="1053">
        <f>SUM(H92:H93)</f>
        <v>61769.50701403129</v>
      </c>
      <c r="J92" s="516">
        <f>J91-F92</f>
        <v>163627.83314975176</v>
      </c>
    </row>
    <row r="93" spans="2:10" ht="13.5" thickBot="1">
      <c r="B93" s="1059"/>
      <c r="C93" s="605">
        <v>5</v>
      </c>
      <c r="D93" s="520">
        <f t="shared" si="28"/>
        <v>9817.669988985106</v>
      </c>
      <c r="E93" s="1052"/>
      <c r="F93" s="520">
        <f aca="true" t="shared" si="31" ref="F93:F101">F92</f>
        <v>20453.47914371897</v>
      </c>
      <c r="G93" s="1052"/>
      <c r="H93" s="520">
        <f t="shared" si="30"/>
        <v>30271.14913270408</v>
      </c>
      <c r="I93" s="1054"/>
      <c r="J93" s="521">
        <f t="shared" si="29"/>
        <v>143174.3540060328</v>
      </c>
    </row>
    <row r="94" spans="2:10" ht="12.75">
      <c r="B94" s="1069">
        <v>3</v>
      </c>
      <c r="C94" s="604">
        <v>6</v>
      </c>
      <c r="D94" s="515">
        <f t="shared" si="28"/>
        <v>8590.461240361969</v>
      </c>
      <c r="E94" s="1051">
        <f>SUM(D94:D95)</f>
        <v>15953.713732100798</v>
      </c>
      <c r="F94" s="515">
        <f t="shared" si="31"/>
        <v>20453.47914371897</v>
      </c>
      <c r="G94" s="1051">
        <f>SUM(F94:F95)</f>
        <v>40906.95828743794</v>
      </c>
      <c r="H94" s="515">
        <f t="shared" si="30"/>
        <v>29043.94038408094</v>
      </c>
      <c r="I94" s="1053">
        <f>SUM(H94:H95)</f>
        <v>56860.67201953874</v>
      </c>
      <c r="J94" s="516">
        <f t="shared" si="29"/>
        <v>122720.87486231384</v>
      </c>
    </row>
    <row r="95" spans="2:10" ht="13.5" thickBot="1">
      <c r="B95" s="1070"/>
      <c r="C95" s="605">
        <v>7</v>
      </c>
      <c r="D95" s="520">
        <f t="shared" si="28"/>
        <v>7363.25249173883</v>
      </c>
      <c r="E95" s="1052"/>
      <c r="F95" s="520">
        <f t="shared" si="31"/>
        <v>20453.47914371897</v>
      </c>
      <c r="G95" s="1052"/>
      <c r="H95" s="520">
        <f t="shared" si="30"/>
        <v>27816.7316354578</v>
      </c>
      <c r="I95" s="1054"/>
      <c r="J95" s="521">
        <f t="shared" si="29"/>
        <v>102267.39571859487</v>
      </c>
    </row>
    <row r="96" spans="2:10" ht="12.75">
      <c r="B96" s="1058">
        <v>4</v>
      </c>
      <c r="C96" s="604">
        <v>8</v>
      </c>
      <c r="D96" s="515">
        <f t="shared" si="28"/>
        <v>6136.0437431156915</v>
      </c>
      <c r="E96" s="1051">
        <f>SUM(D96:D97)</f>
        <v>11044.878737608246</v>
      </c>
      <c r="F96" s="515">
        <f t="shared" si="31"/>
        <v>20453.47914371897</v>
      </c>
      <c r="G96" s="1051">
        <f>SUM(F96:F97)</f>
        <v>40906.95828743794</v>
      </c>
      <c r="H96" s="515">
        <f t="shared" si="30"/>
        <v>26589.52288683466</v>
      </c>
      <c r="I96" s="1053">
        <f>SUM(H96:H97)</f>
        <v>51951.83702504619</v>
      </c>
      <c r="J96" s="516">
        <f t="shared" si="29"/>
        <v>81813.9165748759</v>
      </c>
    </row>
    <row r="97" spans="2:10" ht="13.5" thickBot="1">
      <c r="B97" s="1059"/>
      <c r="C97" s="605">
        <v>9</v>
      </c>
      <c r="D97" s="520">
        <f t="shared" si="28"/>
        <v>4908.834994492554</v>
      </c>
      <c r="E97" s="1052"/>
      <c r="F97" s="520">
        <f t="shared" si="31"/>
        <v>20453.47914371897</v>
      </c>
      <c r="G97" s="1052"/>
      <c r="H97" s="520">
        <f t="shared" si="30"/>
        <v>25362.314138211525</v>
      </c>
      <c r="I97" s="1054"/>
      <c r="J97" s="521">
        <f t="shared" si="29"/>
        <v>61360.437431156926</v>
      </c>
    </row>
    <row r="98" spans="2:10" ht="12.75">
      <c r="B98" s="1058">
        <v>5</v>
      </c>
      <c r="C98" s="604">
        <v>10</v>
      </c>
      <c r="D98" s="515">
        <f t="shared" si="28"/>
        <v>3681.6262458694155</v>
      </c>
      <c r="E98" s="1051">
        <f>SUM(D98:D99)</f>
        <v>6136.043743115693</v>
      </c>
      <c r="F98" s="515">
        <f t="shared" si="31"/>
        <v>20453.47914371897</v>
      </c>
      <c r="G98" s="1051">
        <f>SUM(F98:F99)</f>
        <v>40906.95828743794</v>
      </c>
      <c r="H98" s="515">
        <f t="shared" si="30"/>
        <v>24135.105389588385</v>
      </c>
      <c r="I98" s="1053">
        <f>SUM(H98:H99)</f>
        <v>47043.00203055363</v>
      </c>
      <c r="J98" s="516">
        <f t="shared" si="29"/>
        <v>40906.958287437956</v>
      </c>
    </row>
    <row r="99" spans="2:10" ht="13.5" thickBot="1">
      <c r="B99" s="1059"/>
      <c r="C99" s="605">
        <v>11</v>
      </c>
      <c r="D99" s="520">
        <f t="shared" si="28"/>
        <v>2454.4174972462774</v>
      </c>
      <c r="E99" s="1052"/>
      <c r="F99" s="520">
        <f t="shared" si="31"/>
        <v>20453.47914371897</v>
      </c>
      <c r="G99" s="1052"/>
      <c r="H99" s="520">
        <f t="shared" si="30"/>
        <v>22907.89664096525</v>
      </c>
      <c r="I99" s="1054"/>
      <c r="J99" s="521">
        <f t="shared" si="29"/>
        <v>20453.479143718985</v>
      </c>
    </row>
    <row r="100" spans="2:10" ht="13.5" thickBot="1">
      <c r="B100" s="607">
        <v>6</v>
      </c>
      <c r="C100" s="606">
        <v>12</v>
      </c>
      <c r="D100" s="596">
        <f t="shared" si="28"/>
        <v>1227.2087486231392</v>
      </c>
      <c r="E100" s="601">
        <f>D100</f>
        <v>1227.2087486231392</v>
      </c>
      <c r="F100" s="515">
        <f t="shared" si="31"/>
        <v>20453.47914371897</v>
      </c>
      <c r="G100" s="600">
        <f>F100</f>
        <v>20453.47914371897</v>
      </c>
      <c r="H100" s="520">
        <f t="shared" si="30"/>
        <v>21680.68789234211</v>
      </c>
      <c r="I100" s="597">
        <f>H100</f>
        <v>21680.68789234211</v>
      </c>
      <c r="J100" s="588">
        <f t="shared" si="29"/>
        <v>0</v>
      </c>
    </row>
    <row r="101" spans="2:9" ht="13.5" thickBot="1">
      <c r="B101"/>
      <c r="C101" s="590" t="s">
        <v>5</v>
      </c>
      <c r="D101" s="591">
        <f aca="true" t="shared" si="32" ref="D101:I101">SUM(D89:D100)</f>
        <v>92040.65614673536</v>
      </c>
      <c r="E101" s="591">
        <f t="shared" si="32"/>
        <v>92040.65614673536</v>
      </c>
      <c r="F101" s="515">
        <f t="shared" si="31"/>
        <v>20453.47914371897</v>
      </c>
      <c r="G101" s="591">
        <f t="shared" si="32"/>
        <v>204534.79143718974</v>
      </c>
      <c r="H101" s="520">
        <f t="shared" si="30"/>
        <v>112494.13529045433</v>
      </c>
      <c r="I101" s="592">
        <f t="shared" si="32"/>
        <v>296575.4475839251</v>
      </c>
    </row>
    <row r="102" ht="12.75"/>
    <row r="103" spans="2:10" s="47" customFormat="1" ht="15.75">
      <c r="B103" s="610" t="s">
        <v>841</v>
      </c>
      <c r="C103" s="610"/>
      <c r="D103" s="610"/>
      <c r="E103" s="610"/>
      <c r="F103" s="610"/>
      <c r="G103" s="610"/>
      <c r="H103" s="610"/>
      <c r="I103" s="610"/>
      <c r="J103" s="610"/>
    </row>
    <row r="104" spans="2:10" ht="17.25" customHeight="1">
      <c r="B104" s="1048" t="s">
        <v>840</v>
      </c>
      <c r="C104" s="1048"/>
      <c r="D104" s="1048"/>
      <c r="E104" s="1048"/>
      <c r="F104" s="1048"/>
      <c r="G104" s="1048"/>
      <c r="H104" s="1048"/>
      <c r="I104" s="1048"/>
      <c r="J104" s="744"/>
    </row>
    <row r="105" spans="2:9" ht="15.75" customHeight="1">
      <c r="B105" s="1048"/>
      <c r="C105" s="1048"/>
      <c r="D105" s="1048"/>
      <c r="E105" s="1048"/>
      <c r="F105" s="1048"/>
      <c r="G105" s="1048"/>
      <c r="H105" s="1048"/>
      <c r="I105" s="1048"/>
    </row>
    <row r="106" spans="2:7" ht="15.75">
      <c r="B106" s="611"/>
      <c r="C106" s="611"/>
      <c r="D106" s="611"/>
      <c r="E106" s="611"/>
      <c r="F106" s="611"/>
      <c r="G106" s="611"/>
    </row>
    <row r="107" spans="1:7" ht="15.75">
      <c r="A107" s="968" t="s">
        <v>872</v>
      </c>
      <c r="B107" s="968"/>
      <c r="C107" s="968"/>
      <c r="D107" s="968"/>
      <c r="E107" s="968"/>
      <c r="F107" s="968"/>
      <c r="G107" s="968"/>
    </row>
    <row r="108" spans="1:11" ht="12.75">
      <c r="A108" s="937" t="s">
        <v>663</v>
      </c>
      <c r="B108" s="937"/>
      <c r="C108" s="937"/>
      <c r="D108" s="937"/>
      <c r="E108" s="937"/>
      <c r="F108" s="937"/>
      <c r="G108" s="937"/>
      <c r="H108" s="351"/>
      <c r="I108" s="351"/>
      <c r="J108" s="351"/>
      <c r="K108" s="351"/>
    </row>
    <row r="109" ht="12.75">
      <c r="A109" s="43"/>
    </row>
    <row r="110" spans="1:5" ht="12.75">
      <c r="A110" s="43"/>
      <c r="B110" s="1063" t="s">
        <v>669</v>
      </c>
      <c r="C110" s="1064"/>
      <c r="D110" s="235">
        <v>5</v>
      </c>
      <c r="E110" s="236" t="s">
        <v>670</v>
      </c>
    </row>
    <row r="111" ht="13.5" thickBot="1">
      <c r="A111" s="43"/>
    </row>
    <row r="112" spans="1:7" ht="13.5" thickBot="1">
      <c r="A112" s="393" t="s">
        <v>438</v>
      </c>
      <c r="B112" s="495" t="s">
        <v>667</v>
      </c>
      <c r="C112" s="495" t="s">
        <v>439</v>
      </c>
      <c r="D112" s="373" t="s">
        <v>447</v>
      </c>
      <c r="E112" s="373" t="s">
        <v>448</v>
      </c>
      <c r="F112" s="373" t="s">
        <v>449</v>
      </c>
      <c r="G112" s="374" t="s">
        <v>450</v>
      </c>
    </row>
    <row r="113" spans="1:7" ht="12.75">
      <c r="A113" s="499" t="s">
        <v>642</v>
      </c>
      <c r="B113" s="494">
        <f>INVERSION!D44</f>
        <v>937.5</v>
      </c>
      <c r="C113" s="494">
        <f aca="true" t="shared" si="33" ref="C113:C118">B113/$D$110</f>
        <v>187.5</v>
      </c>
      <c r="D113" s="494">
        <f aca="true" t="shared" si="34" ref="D113:F117">C113</f>
        <v>187.5</v>
      </c>
      <c r="E113" s="494">
        <f t="shared" si="34"/>
        <v>187.5</v>
      </c>
      <c r="F113" s="494">
        <f t="shared" si="34"/>
        <v>187.5</v>
      </c>
      <c r="G113" s="500">
        <f aca="true" t="shared" si="35" ref="G113:G118">F113</f>
        <v>187.5</v>
      </c>
    </row>
    <row r="114" spans="1:7" ht="11.25" customHeight="1">
      <c r="A114" s="501" t="s">
        <v>665</v>
      </c>
      <c r="B114" s="237">
        <f>INVERSION!D45</f>
        <v>499</v>
      </c>
      <c r="C114" s="237">
        <f t="shared" si="33"/>
        <v>99.8</v>
      </c>
      <c r="D114" s="237">
        <f t="shared" si="34"/>
        <v>99.8</v>
      </c>
      <c r="E114" s="237">
        <f t="shared" si="34"/>
        <v>99.8</v>
      </c>
      <c r="F114" s="237">
        <f t="shared" si="34"/>
        <v>99.8</v>
      </c>
      <c r="G114" s="502">
        <f t="shared" si="35"/>
        <v>99.8</v>
      </c>
    </row>
    <row r="115" spans="1:7" ht="12.75">
      <c r="A115" s="503" t="s">
        <v>644</v>
      </c>
      <c r="B115" s="237">
        <f>INVERSION!D46</f>
        <v>1000</v>
      </c>
      <c r="C115" s="237">
        <f t="shared" si="33"/>
        <v>200</v>
      </c>
      <c r="D115" s="237">
        <f t="shared" si="34"/>
        <v>200</v>
      </c>
      <c r="E115" s="237">
        <f t="shared" si="34"/>
        <v>200</v>
      </c>
      <c r="F115" s="237">
        <f t="shared" si="34"/>
        <v>200</v>
      </c>
      <c r="G115" s="502">
        <f t="shared" si="35"/>
        <v>200</v>
      </c>
    </row>
    <row r="116" spans="1:7" ht="12.75">
      <c r="A116" s="503" t="s">
        <v>786</v>
      </c>
      <c r="B116" s="237">
        <f>INVERSION!E48</f>
        <v>800</v>
      </c>
      <c r="C116" s="237">
        <f t="shared" si="33"/>
        <v>160</v>
      </c>
      <c r="D116" s="237">
        <f t="shared" si="34"/>
        <v>160</v>
      </c>
      <c r="E116" s="237">
        <f t="shared" si="34"/>
        <v>160</v>
      </c>
      <c r="F116" s="237">
        <f t="shared" si="34"/>
        <v>160</v>
      </c>
      <c r="G116" s="502">
        <f t="shared" si="35"/>
        <v>160</v>
      </c>
    </row>
    <row r="117" spans="1:7" ht="12.75">
      <c r="A117" s="504" t="s">
        <v>668</v>
      </c>
      <c r="B117" s="505">
        <f>INVERSION!E47</f>
        <v>1500</v>
      </c>
      <c r="C117" s="506">
        <f t="shared" si="33"/>
        <v>300</v>
      </c>
      <c r="D117" s="461">
        <f>C117</f>
        <v>300</v>
      </c>
      <c r="E117" s="461">
        <f t="shared" si="34"/>
        <v>300</v>
      </c>
      <c r="F117" s="461">
        <f t="shared" si="34"/>
        <v>300</v>
      </c>
      <c r="G117" s="462">
        <f t="shared" si="35"/>
        <v>300</v>
      </c>
    </row>
    <row r="118" spans="1:7" ht="13.5" thickBot="1">
      <c r="A118" s="598" t="s">
        <v>842</v>
      </c>
      <c r="B118" s="599">
        <f>INVERSION!E57</f>
        <v>12272.087486231383</v>
      </c>
      <c r="C118" s="506">
        <f t="shared" si="33"/>
        <v>2454.4174972462765</v>
      </c>
      <c r="D118" s="506">
        <f>C118</f>
        <v>2454.4174972462765</v>
      </c>
      <c r="E118" s="506">
        <f>D118</f>
        <v>2454.4174972462765</v>
      </c>
      <c r="F118" s="506">
        <f>E118</f>
        <v>2454.4174972462765</v>
      </c>
      <c r="G118" s="506">
        <f t="shared" si="35"/>
        <v>2454.4174972462765</v>
      </c>
    </row>
    <row r="119" spans="1:7" ht="13.5" customHeight="1" thickBot="1">
      <c r="A119" s="463" t="s">
        <v>5</v>
      </c>
      <c r="B119" s="509">
        <f aca="true" t="shared" si="36" ref="B119:G119">SUM(B113:B118)</f>
        <v>17008.587486231383</v>
      </c>
      <c r="C119" s="509">
        <f t="shared" si="36"/>
        <v>3401.7174972462763</v>
      </c>
      <c r="D119" s="509">
        <f t="shared" si="36"/>
        <v>3401.7174972462763</v>
      </c>
      <c r="E119" s="509">
        <f t="shared" si="36"/>
        <v>3401.7174972462763</v>
      </c>
      <c r="F119" s="509">
        <f t="shared" si="36"/>
        <v>3401.7174972462763</v>
      </c>
      <c r="G119" s="509">
        <f t="shared" si="36"/>
        <v>3401.7174972462763</v>
      </c>
    </row>
    <row r="120" spans="1:7" ht="13.5" thickBot="1">
      <c r="A120" s="1067" t="s">
        <v>749</v>
      </c>
      <c r="B120" s="1068"/>
      <c r="C120" s="507">
        <f>C119</f>
        <v>3401.7174972462763</v>
      </c>
      <c r="D120" s="507">
        <f>C120+D119</f>
        <v>6803.4349944925525</v>
      </c>
      <c r="E120" s="507">
        <f>D120+E119</f>
        <v>10205.152491738829</v>
      </c>
      <c r="F120" s="507">
        <f>E120+F119</f>
        <v>13606.869988985105</v>
      </c>
      <c r="G120" s="508">
        <f>F120+G119</f>
        <v>17008.58748623138</v>
      </c>
    </row>
    <row r="121" ht="12.75"/>
    <row r="122" ht="12.75"/>
    <row r="123" spans="2:7" ht="12.75">
      <c r="B123" s="937" t="s">
        <v>620</v>
      </c>
      <c r="C123" s="937"/>
      <c r="D123" s="937"/>
      <c r="E123" s="937"/>
      <c r="F123" s="937"/>
      <c r="G123" s="351"/>
    </row>
    <row r="124" ht="12.75"/>
    <row r="125" spans="2:7" ht="12.75">
      <c r="B125" s="1063" t="s">
        <v>658</v>
      </c>
      <c r="C125" s="1064"/>
      <c r="D125" s="330">
        <v>0.12</v>
      </c>
      <c r="E125" s="1065" t="s">
        <v>832</v>
      </c>
      <c r="F125" s="1066"/>
      <c r="G125" s="570">
        <v>2000</v>
      </c>
    </row>
    <row r="126" ht="13.5" thickBot="1"/>
    <row r="127" spans="2:7" ht="13.5" thickBot="1">
      <c r="B127" s="498" t="s">
        <v>653</v>
      </c>
      <c r="C127" s="373" t="s">
        <v>654</v>
      </c>
      <c r="D127" s="373" t="s">
        <v>655</v>
      </c>
      <c r="E127" s="373" t="s">
        <v>656</v>
      </c>
      <c r="F127" s="374" t="s">
        <v>657</v>
      </c>
      <c r="G127" s="286"/>
    </row>
    <row r="128" spans="2:6" ht="12.75">
      <c r="B128" s="514">
        <v>0</v>
      </c>
      <c r="C128" s="515" t="s">
        <v>360</v>
      </c>
      <c r="D128" s="515" t="s">
        <v>360</v>
      </c>
      <c r="E128" s="515" t="s">
        <v>360</v>
      </c>
      <c r="F128" s="516">
        <f>J88</f>
        <v>204534.7914371897</v>
      </c>
    </row>
    <row r="129" spans="2:7" ht="12.75">
      <c r="B129" s="517">
        <v>1</v>
      </c>
      <c r="C129" s="233">
        <f aca="true" t="shared" si="37" ref="C129:C140">F128*($G$85/2)</f>
        <v>12272.087486231381</v>
      </c>
      <c r="D129" s="233">
        <f>E129-C129</f>
        <v>21746.736422458096</v>
      </c>
      <c r="E129" s="233">
        <f>((F128+((G125/(D125/2))*(((1-(1+(D125/2))^-B140)/(D125/2))-(B140*(1+(D125/2))^-B140))))*(D125/2))/(1-(1+(D125/2))^-B140)</f>
        <v>34018.823908689476</v>
      </c>
      <c r="F129" s="518">
        <f>F128-D129</f>
        <v>182788.0550147316</v>
      </c>
      <c r="G129" s="284"/>
    </row>
    <row r="130" spans="2:7" ht="12.75">
      <c r="B130" s="517">
        <v>2</v>
      </c>
      <c r="C130" s="233">
        <f t="shared" si="37"/>
        <v>10967.283300883895</v>
      </c>
      <c r="D130" s="233">
        <f aca="true" t="shared" si="38" ref="D130:D140">E130-C130</f>
        <v>21051.540607805582</v>
      </c>
      <c r="E130" s="233">
        <f>E129-$G$125</f>
        <v>32018.823908689476</v>
      </c>
      <c r="F130" s="518">
        <f>F129-D130</f>
        <v>161736.514406926</v>
      </c>
      <c r="G130" s="284"/>
    </row>
    <row r="131" spans="2:6" ht="12.75">
      <c r="B131" s="517">
        <v>3</v>
      </c>
      <c r="C131" s="233">
        <f t="shared" si="37"/>
        <v>9704.19086441556</v>
      </c>
      <c r="D131" s="233">
        <f t="shared" si="38"/>
        <v>20314.633044273916</v>
      </c>
      <c r="E131" s="233">
        <f aca="true" t="shared" si="39" ref="E131:E140">E130-$G$125</f>
        <v>30018.823908689476</v>
      </c>
      <c r="F131" s="518">
        <f>F130-D131</f>
        <v>141421.8813626521</v>
      </c>
    </row>
    <row r="132" spans="2:6" ht="12.75">
      <c r="B132" s="517">
        <v>4</v>
      </c>
      <c r="C132" s="233">
        <f t="shared" si="37"/>
        <v>8485.312881759124</v>
      </c>
      <c r="D132" s="233">
        <f t="shared" si="38"/>
        <v>19533.51102693035</v>
      </c>
      <c r="E132" s="233">
        <f t="shared" si="39"/>
        <v>28018.823908689476</v>
      </c>
      <c r="F132" s="518">
        <f aca="true" t="shared" si="40" ref="F132:F140">F131-D132</f>
        <v>121888.37033572173</v>
      </c>
    </row>
    <row r="133" spans="2:6" ht="12.75">
      <c r="B133" s="517">
        <v>5</v>
      </c>
      <c r="C133" s="233">
        <f t="shared" si="37"/>
        <v>7313.302220143303</v>
      </c>
      <c r="D133" s="233">
        <f t="shared" si="38"/>
        <v>18705.52168854617</v>
      </c>
      <c r="E133" s="233">
        <f t="shared" si="39"/>
        <v>26018.823908689476</v>
      </c>
      <c r="F133" s="518">
        <f t="shared" si="40"/>
        <v>103182.84864717556</v>
      </c>
    </row>
    <row r="134" spans="2:6" ht="12.75">
      <c r="B134" s="517">
        <v>6</v>
      </c>
      <c r="C134" s="233">
        <f t="shared" si="37"/>
        <v>6190.970918830533</v>
      </c>
      <c r="D134" s="233">
        <f t="shared" si="38"/>
        <v>17827.85298985894</v>
      </c>
      <c r="E134" s="233">
        <f t="shared" si="39"/>
        <v>24018.823908689476</v>
      </c>
      <c r="F134" s="518">
        <f t="shared" si="40"/>
        <v>85354.99565731661</v>
      </c>
    </row>
    <row r="135" spans="2:6" ht="12.75">
      <c r="B135" s="517">
        <v>7</v>
      </c>
      <c r="C135" s="233">
        <f t="shared" si="37"/>
        <v>5121.299739438997</v>
      </c>
      <c r="D135" s="233">
        <f t="shared" si="38"/>
        <v>16897.52416925048</v>
      </c>
      <c r="E135" s="233">
        <f t="shared" si="39"/>
        <v>22018.823908689476</v>
      </c>
      <c r="F135" s="518">
        <f t="shared" si="40"/>
        <v>68457.47148806613</v>
      </c>
    </row>
    <row r="136" spans="2:6" ht="12.75">
      <c r="B136" s="517">
        <v>8</v>
      </c>
      <c r="C136" s="233">
        <f t="shared" si="37"/>
        <v>4107.448289283968</v>
      </c>
      <c r="D136" s="233">
        <f t="shared" si="38"/>
        <v>15911.375619405508</v>
      </c>
      <c r="E136" s="233">
        <f t="shared" si="39"/>
        <v>20018.823908689476</v>
      </c>
      <c r="F136" s="518">
        <f t="shared" si="40"/>
        <v>52546.095868660625</v>
      </c>
    </row>
    <row r="137" spans="2:6" ht="12.75">
      <c r="B137" s="517">
        <v>9</v>
      </c>
      <c r="C137" s="233">
        <f t="shared" si="37"/>
        <v>3152.7657521196375</v>
      </c>
      <c r="D137" s="233">
        <f t="shared" si="38"/>
        <v>14866.058156569838</v>
      </c>
      <c r="E137" s="233">
        <f t="shared" si="39"/>
        <v>18018.823908689476</v>
      </c>
      <c r="F137" s="518">
        <f t="shared" si="40"/>
        <v>37680.03771209079</v>
      </c>
    </row>
    <row r="138" spans="2:6" ht="12.75">
      <c r="B138" s="517">
        <v>10</v>
      </c>
      <c r="C138" s="233">
        <f t="shared" si="37"/>
        <v>2260.8022627254472</v>
      </c>
      <c r="D138" s="233">
        <f t="shared" si="38"/>
        <v>13758.021645964029</v>
      </c>
      <c r="E138" s="233">
        <f t="shared" si="39"/>
        <v>16018.823908689476</v>
      </c>
      <c r="F138" s="518">
        <f t="shared" si="40"/>
        <v>23922.01606612676</v>
      </c>
    </row>
    <row r="139" spans="2:6" ht="12.75">
      <c r="B139" s="517">
        <v>11</v>
      </c>
      <c r="C139" s="233">
        <f t="shared" si="37"/>
        <v>1435.3209639676054</v>
      </c>
      <c r="D139" s="233">
        <f t="shared" si="38"/>
        <v>12583.50294472187</v>
      </c>
      <c r="E139" s="233">
        <f t="shared" si="39"/>
        <v>14018.823908689476</v>
      </c>
      <c r="F139" s="518">
        <f t="shared" si="40"/>
        <v>11338.513121404889</v>
      </c>
    </row>
    <row r="140" spans="2:6" ht="13.5" thickBot="1">
      <c r="B140" s="519">
        <v>12</v>
      </c>
      <c r="C140" s="520">
        <f t="shared" si="37"/>
        <v>680.3107872842933</v>
      </c>
      <c r="D140" s="520">
        <f t="shared" si="38"/>
        <v>11338.513121405182</v>
      </c>
      <c r="E140" s="233">
        <f t="shared" si="39"/>
        <v>12018.823908689476</v>
      </c>
      <c r="F140" s="521">
        <f t="shared" si="40"/>
        <v>-2.928572939708829E-10</v>
      </c>
    </row>
    <row r="141" spans="2:6" ht="13.5" thickBot="1">
      <c r="B141" s="511" t="s">
        <v>5</v>
      </c>
      <c r="C141" s="512">
        <f>SUM(C129:C138)</f>
        <v>69575.46371583185</v>
      </c>
      <c r="D141" s="512">
        <f>SUM(D129:D138)</f>
        <v>180612.77537106292</v>
      </c>
      <c r="E141" s="513">
        <f>SUM(E129:E138)</f>
        <v>250188.23908689484</v>
      </c>
      <c r="F141" s="286"/>
    </row>
  </sheetData>
  <mergeCells count="82">
    <mergeCell ref="A107:G107"/>
    <mergeCell ref="A108:G108"/>
    <mergeCell ref="A49:K49"/>
    <mergeCell ref="I90:I91"/>
    <mergeCell ref="I92:I93"/>
    <mergeCell ref="A52:O52"/>
    <mergeCell ref="A62:C62"/>
    <mergeCell ref="A61:B61"/>
    <mergeCell ref="A65:K65"/>
    <mergeCell ref="B88:B89"/>
    <mergeCell ref="B90:B91"/>
    <mergeCell ref="B92:B93"/>
    <mergeCell ref="A41:K41"/>
    <mergeCell ref="A43:B43"/>
    <mergeCell ref="A5:B5"/>
    <mergeCell ref="A21:B21"/>
    <mergeCell ref="A42:K42"/>
    <mergeCell ref="G90:G91"/>
    <mergeCell ref="B125:C125"/>
    <mergeCell ref="E125:F125"/>
    <mergeCell ref="A120:B120"/>
    <mergeCell ref="B123:F123"/>
    <mergeCell ref="E90:E91"/>
    <mergeCell ref="E92:E93"/>
    <mergeCell ref="E94:E95"/>
    <mergeCell ref="B110:C110"/>
    <mergeCell ref="B94:B95"/>
    <mergeCell ref="I96:I97"/>
    <mergeCell ref="I98:I99"/>
    <mergeCell ref="E98:E99"/>
    <mergeCell ref="E96:E97"/>
    <mergeCell ref="B96:B97"/>
    <mergeCell ref="B98:B99"/>
    <mergeCell ref="A20:K20"/>
    <mergeCell ref="A28:K28"/>
    <mergeCell ref="A31:K31"/>
    <mergeCell ref="A39:K39"/>
    <mergeCell ref="A29:K29"/>
    <mergeCell ref="A32:B32"/>
    <mergeCell ref="A30:K30"/>
    <mergeCell ref="A40:K40"/>
    <mergeCell ref="A2:K2"/>
    <mergeCell ref="L19:V19"/>
    <mergeCell ref="W19:AG19"/>
    <mergeCell ref="AH19:AR19"/>
    <mergeCell ref="A18:K18"/>
    <mergeCell ref="A4:K4"/>
    <mergeCell ref="A17:K17"/>
    <mergeCell ref="A6:K6"/>
    <mergeCell ref="A3:K3"/>
    <mergeCell ref="A19:K19"/>
    <mergeCell ref="AS19:BC19"/>
    <mergeCell ref="BD19:BN19"/>
    <mergeCell ref="BO19:BY19"/>
    <mergeCell ref="BZ19:CJ19"/>
    <mergeCell ref="HX19:IH19"/>
    <mergeCell ref="II19:IS19"/>
    <mergeCell ref="IT19:IV19"/>
    <mergeCell ref="FU19:GE19"/>
    <mergeCell ref="GF19:GP19"/>
    <mergeCell ref="GQ19:HA19"/>
    <mergeCell ref="HB19:HL19"/>
    <mergeCell ref="A50:O50"/>
    <mergeCell ref="HM19:HW19"/>
    <mergeCell ref="EC19:EM19"/>
    <mergeCell ref="EN19:EX19"/>
    <mergeCell ref="EY19:FI19"/>
    <mergeCell ref="FJ19:FT19"/>
    <mergeCell ref="CK19:CU19"/>
    <mergeCell ref="CV19:DF19"/>
    <mergeCell ref="DG19:DQ19"/>
    <mergeCell ref="DR19:EB19"/>
    <mergeCell ref="B104:I105"/>
    <mergeCell ref="A51:O51"/>
    <mergeCell ref="B82:J82"/>
    <mergeCell ref="A64:K64"/>
    <mergeCell ref="B83:J83"/>
    <mergeCell ref="G92:G93"/>
    <mergeCell ref="G94:G95"/>
    <mergeCell ref="G96:G97"/>
    <mergeCell ref="G98:G99"/>
    <mergeCell ref="I94:I95"/>
  </mergeCells>
  <printOptions horizontalCentered="1"/>
  <pageMargins left="0.11811023622047245" right="0.46" top="2.32" bottom="1" header="0" footer="0"/>
  <pageSetup horizontalDpi="300" verticalDpi="300" orientation="landscape" paperSize="9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/>
  <dimension ref="A1:M42"/>
  <sheetViews>
    <sheetView zoomScale="75" zoomScaleNormal="75" workbookViewId="0" topLeftCell="A1">
      <selection activeCell="F12" sqref="F12"/>
    </sheetView>
  </sheetViews>
  <sheetFormatPr defaultColWidth="11.421875" defaultRowHeight="12.75"/>
  <cols>
    <col min="1" max="1" width="34.00390625" style="0" customWidth="1"/>
    <col min="2" max="3" width="17.00390625" style="0" bestFit="1" customWidth="1"/>
    <col min="4" max="4" width="16.57421875" style="0" bestFit="1" customWidth="1"/>
    <col min="5" max="6" width="17.00390625" style="0" bestFit="1" customWidth="1"/>
    <col min="7" max="9" width="17.57421875" style="0" bestFit="1" customWidth="1"/>
    <col min="10" max="11" width="17.00390625" style="0" bestFit="1" customWidth="1"/>
    <col min="12" max="12" width="17.57421875" style="0" bestFit="1" customWidth="1"/>
    <col min="13" max="13" width="12.7109375" style="0" bestFit="1" customWidth="1"/>
  </cols>
  <sheetData>
    <row r="1" spans="1:12" ht="15.75">
      <c r="A1" s="968" t="s">
        <v>874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</row>
    <row r="2" spans="1:12" ht="15.75">
      <c r="A2" s="978" t="s">
        <v>719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</row>
    <row r="3" spans="1:12" ht="15">
      <c r="A3" s="1008" t="s">
        <v>744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</row>
    <row r="4" spans="1:12" ht="13.5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ht="13.5" customHeight="1">
      <c r="A5" s="1078" t="s">
        <v>769</v>
      </c>
      <c r="B5" s="1078"/>
      <c r="C5" s="1078"/>
      <c r="D5" s="1078"/>
      <c r="E5" s="1078"/>
      <c r="F5" s="1078"/>
      <c r="G5" s="1078"/>
      <c r="H5" s="1078"/>
      <c r="I5" s="1078"/>
      <c r="J5" s="1078"/>
      <c r="K5" s="1078"/>
      <c r="L5" s="1078"/>
    </row>
    <row r="6" spans="1:12" ht="18" customHeight="1">
      <c r="A6" s="1078"/>
      <c r="B6" s="1078"/>
      <c r="C6" s="1078"/>
      <c r="D6" s="1078"/>
      <c r="E6" s="1078"/>
      <c r="F6" s="1078"/>
      <c r="G6" s="1078"/>
      <c r="H6" s="1078"/>
      <c r="I6" s="1078"/>
      <c r="J6" s="1078"/>
      <c r="K6" s="1078"/>
      <c r="L6" s="1078"/>
    </row>
    <row r="7" ht="13.5" thickBot="1"/>
    <row r="8" spans="1:12" ht="13.5" thickBot="1">
      <c r="A8" s="393" t="s">
        <v>694</v>
      </c>
      <c r="B8" s="373" t="s">
        <v>695</v>
      </c>
      <c r="C8" s="373" t="s">
        <v>439</v>
      </c>
      <c r="D8" s="373" t="s">
        <v>447</v>
      </c>
      <c r="E8" s="373" t="s">
        <v>448</v>
      </c>
      <c r="F8" s="373" t="s">
        <v>449</v>
      </c>
      <c r="G8" s="373" t="s">
        <v>450</v>
      </c>
      <c r="H8" s="373" t="s">
        <v>451</v>
      </c>
      <c r="I8" s="373" t="s">
        <v>452</v>
      </c>
      <c r="J8" s="373" t="s">
        <v>453</v>
      </c>
      <c r="K8" s="373" t="s">
        <v>454</v>
      </c>
      <c r="L8" s="374" t="s">
        <v>455</v>
      </c>
    </row>
    <row r="9" spans="1:12" ht="8.25" customHeight="1" thickBot="1">
      <c r="A9" s="54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542"/>
    </row>
    <row r="10" spans="1:12" ht="12.75">
      <c r="A10" s="543" t="s">
        <v>720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4"/>
      <c r="L10" s="545"/>
    </row>
    <row r="11" spans="1:12" ht="12.75">
      <c r="A11" s="546" t="s">
        <v>721</v>
      </c>
      <c r="B11" s="119">
        <f>INVERSION!E52+INVERSION!E40+INVERSION!E57</f>
        <v>28072.676964293678</v>
      </c>
      <c r="C11" s="119">
        <f>B11+'Estad result y Fluj Caj'!B29</f>
        <v>60045.804859630014</v>
      </c>
      <c r="D11" s="119">
        <f>C11+'Estad result y Fluj Caj'!D57</f>
        <v>81758.89402820109</v>
      </c>
      <c r="E11" s="119">
        <f>D11+'Estad result y Fluj Caj'!E57</f>
        <v>115010.42521981407</v>
      </c>
      <c r="F11" s="119">
        <f>E11+'Estad result y Fluj Caj'!F57</f>
        <v>158961.00121603668</v>
      </c>
      <c r="G11" s="119">
        <f>F11+'Estad result y Fluj Caj'!G57</f>
        <v>217638.74759047246</v>
      </c>
      <c r="H11" s="119">
        <f>G11+'Estad result y Fluj Caj'!H57</f>
        <v>279854.59213962656</v>
      </c>
      <c r="I11" s="119">
        <f>H11+'Estad result y Fluj Caj'!I57</f>
        <v>403273.52173533465</v>
      </c>
      <c r="J11" s="119">
        <f>I11+'Estad result y Fluj Caj'!J57</f>
        <v>540822.727638021</v>
      </c>
      <c r="K11" s="119">
        <f>J11+'Estad result y Fluj Caj'!K57</f>
        <v>692063.2319254485</v>
      </c>
      <c r="L11" s="452">
        <f>K11+'Estad result y Fluj Caj'!L57</f>
        <v>858109.7128163025</v>
      </c>
    </row>
    <row r="12" spans="1:12" s="282" customFormat="1" ht="12.75">
      <c r="A12" s="547" t="s">
        <v>722</v>
      </c>
      <c r="B12" s="283">
        <f>B11</f>
        <v>28072.676964293678</v>
      </c>
      <c r="C12" s="283">
        <f aca="true" t="shared" si="0" ref="C12:L12">C11</f>
        <v>60045.804859630014</v>
      </c>
      <c r="D12" s="283">
        <f t="shared" si="0"/>
        <v>81758.89402820109</v>
      </c>
      <c r="E12" s="283">
        <f t="shared" si="0"/>
        <v>115010.42521981407</v>
      </c>
      <c r="F12" s="283">
        <f t="shared" si="0"/>
        <v>158961.00121603668</v>
      </c>
      <c r="G12" s="283">
        <f t="shared" si="0"/>
        <v>217638.74759047246</v>
      </c>
      <c r="H12" s="283">
        <f t="shared" si="0"/>
        <v>279854.59213962656</v>
      </c>
      <c r="I12" s="283">
        <f t="shared" si="0"/>
        <v>403273.52173533465</v>
      </c>
      <c r="J12" s="283">
        <f t="shared" si="0"/>
        <v>540822.727638021</v>
      </c>
      <c r="K12" s="283">
        <f t="shared" si="0"/>
        <v>692063.2319254485</v>
      </c>
      <c r="L12" s="548">
        <f t="shared" si="0"/>
        <v>858109.7128163025</v>
      </c>
    </row>
    <row r="13" spans="1:12" ht="12.75">
      <c r="A13" s="549" t="s">
        <v>723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452"/>
    </row>
    <row r="14" spans="1:12" ht="12.75">
      <c r="A14" s="546" t="s">
        <v>724</v>
      </c>
      <c r="B14" s="119">
        <f>INVERSION!E8</f>
        <v>75733.5202</v>
      </c>
      <c r="C14" s="119">
        <f>B14</f>
        <v>75733.5202</v>
      </c>
      <c r="D14" s="119">
        <f aca="true" t="shared" si="1" ref="D14:L14">C14</f>
        <v>75733.5202</v>
      </c>
      <c r="E14" s="119">
        <f t="shared" si="1"/>
        <v>75733.5202</v>
      </c>
      <c r="F14" s="119">
        <f t="shared" si="1"/>
        <v>75733.5202</v>
      </c>
      <c r="G14" s="119">
        <f t="shared" si="1"/>
        <v>75733.5202</v>
      </c>
      <c r="H14" s="119">
        <f t="shared" si="1"/>
        <v>75733.5202</v>
      </c>
      <c r="I14" s="119">
        <f t="shared" si="1"/>
        <v>75733.5202</v>
      </c>
      <c r="J14" s="119">
        <f t="shared" si="1"/>
        <v>75733.5202</v>
      </c>
      <c r="K14" s="119">
        <f t="shared" si="1"/>
        <v>75733.5202</v>
      </c>
      <c r="L14" s="452">
        <f t="shared" si="1"/>
        <v>75733.5202</v>
      </c>
    </row>
    <row r="15" spans="1:12" ht="12.75">
      <c r="A15" s="546" t="s">
        <v>725</v>
      </c>
      <c r="B15" s="119">
        <f>INVERSION!E14</f>
        <v>49040.094272896065</v>
      </c>
      <c r="C15" s="119">
        <f aca="true" t="shared" si="2" ref="C15:L19">B15</f>
        <v>49040.094272896065</v>
      </c>
      <c r="D15" s="119">
        <f t="shared" si="2"/>
        <v>49040.094272896065</v>
      </c>
      <c r="E15" s="119">
        <f t="shared" si="2"/>
        <v>49040.094272896065</v>
      </c>
      <c r="F15" s="119">
        <f t="shared" si="2"/>
        <v>49040.094272896065</v>
      </c>
      <c r="G15" s="119">
        <f t="shared" si="2"/>
        <v>49040.094272896065</v>
      </c>
      <c r="H15" s="119">
        <f t="shared" si="2"/>
        <v>49040.094272896065</v>
      </c>
      <c r="I15" s="119">
        <f t="shared" si="2"/>
        <v>49040.094272896065</v>
      </c>
      <c r="J15" s="119">
        <f t="shared" si="2"/>
        <v>49040.094272896065</v>
      </c>
      <c r="K15" s="119">
        <f t="shared" si="2"/>
        <v>49040.094272896065</v>
      </c>
      <c r="L15" s="452">
        <f t="shared" si="2"/>
        <v>49040.094272896065</v>
      </c>
    </row>
    <row r="16" spans="1:12" ht="12.75">
      <c r="A16" s="546" t="s">
        <v>635</v>
      </c>
      <c r="B16" s="119">
        <f>SUM(INVERSION!E20:E27)</f>
        <v>2220</v>
      </c>
      <c r="C16" s="119">
        <f t="shared" si="2"/>
        <v>2220</v>
      </c>
      <c r="D16" s="119">
        <f t="shared" si="2"/>
        <v>2220</v>
      </c>
      <c r="E16" s="119">
        <f t="shared" si="2"/>
        <v>2220</v>
      </c>
      <c r="F16" s="119">
        <f t="shared" si="2"/>
        <v>2220</v>
      </c>
      <c r="G16" s="119">
        <f t="shared" si="2"/>
        <v>2220</v>
      </c>
      <c r="H16" s="119">
        <f t="shared" si="2"/>
        <v>2220</v>
      </c>
      <c r="I16" s="119">
        <f t="shared" si="2"/>
        <v>2220</v>
      </c>
      <c r="J16" s="119">
        <f t="shared" si="2"/>
        <v>2220</v>
      </c>
      <c r="K16" s="119">
        <f t="shared" si="2"/>
        <v>2220</v>
      </c>
      <c r="L16" s="452">
        <f t="shared" si="2"/>
        <v>2220</v>
      </c>
    </row>
    <row r="17" spans="1:12" ht="12.75">
      <c r="A17" s="546" t="s">
        <v>636</v>
      </c>
      <c r="B17" s="119">
        <f>INVERSION!E29</f>
        <v>1600</v>
      </c>
      <c r="C17" s="119">
        <f t="shared" si="2"/>
        <v>1600</v>
      </c>
      <c r="D17" s="119">
        <f t="shared" si="2"/>
        <v>1600</v>
      </c>
      <c r="E17" s="119">
        <f t="shared" si="2"/>
        <v>1600</v>
      </c>
      <c r="F17" s="119">
        <f>E17+INVERSION!E29</f>
        <v>3200</v>
      </c>
      <c r="G17" s="119">
        <f t="shared" si="2"/>
        <v>3200</v>
      </c>
      <c r="H17" s="119">
        <f t="shared" si="2"/>
        <v>3200</v>
      </c>
      <c r="I17" s="119">
        <f>H17+INVERSION!E29</f>
        <v>4800</v>
      </c>
      <c r="J17" s="119">
        <f t="shared" si="2"/>
        <v>4800</v>
      </c>
      <c r="K17" s="119">
        <f t="shared" si="2"/>
        <v>4800</v>
      </c>
      <c r="L17" s="452">
        <f t="shared" si="2"/>
        <v>4800</v>
      </c>
    </row>
    <row r="18" spans="1:12" ht="12.75">
      <c r="A18" s="546" t="s">
        <v>637</v>
      </c>
      <c r="B18" s="119">
        <f>SUM(INVERSION!E31:E35)</f>
        <v>2156</v>
      </c>
      <c r="C18" s="119">
        <f t="shared" si="2"/>
        <v>2156</v>
      </c>
      <c r="D18" s="119">
        <f t="shared" si="2"/>
        <v>2156</v>
      </c>
      <c r="E18" s="119">
        <f t="shared" si="2"/>
        <v>2156</v>
      </c>
      <c r="F18" s="119">
        <f t="shared" si="2"/>
        <v>2156</v>
      </c>
      <c r="G18" s="119">
        <f t="shared" si="2"/>
        <v>2156</v>
      </c>
      <c r="H18" s="119">
        <f t="shared" si="2"/>
        <v>2156</v>
      </c>
      <c r="I18" s="119">
        <f t="shared" si="2"/>
        <v>2156</v>
      </c>
      <c r="J18" s="119">
        <f t="shared" si="2"/>
        <v>2156</v>
      </c>
      <c r="K18" s="119">
        <f t="shared" si="2"/>
        <v>2156</v>
      </c>
      <c r="L18" s="452">
        <f t="shared" si="2"/>
        <v>2156</v>
      </c>
    </row>
    <row r="19" spans="1:12" ht="12.75">
      <c r="A19" s="546" t="s">
        <v>621</v>
      </c>
      <c r="B19" s="119">
        <f>SUM(INVERSION!E37:E38)</f>
        <v>55000</v>
      </c>
      <c r="C19" s="119">
        <f t="shared" si="2"/>
        <v>55000</v>
      </c>
      <c r="D19" s="119">
        <f t="shared" si="2"/>
        <v>55000</v>
      </c>
      <c r="E19" s="119">
        <f t="shared" si="2"/>
        <v>55000</v>
      </c>
      <c r="F19" s="119">
        <f t="shared" si="2"/>
        <v>55000</v>
      </c>
      <c r="G19" s="119">
        <f t="shared" si="2"/>
        <v>55000</v>
      </c>
      <c r="H19" s="119">
        <f>G19+INVERSION!E37</f>
        <v>85000</v>
      </c>
      <c r="I19" s="119">
        <f t="shared" si="2"/>
        <v>85000</v>
      </c>
      <c r="J19" s="119">
        <f t="shared" si="2"/>
        <v>85000</v>
      </c>
      <c r="K19" s="119">
        <f t="shared" si="2"/>
        <v>85000</v>
      </c>
      <c r="L19" s="452">
        <f t="shared" si="2"/>
        <v>85000</v>
      </c>
    </row>
    <row r="20" spans="1:12" ht="12.75">
      <c r="A20" s="546" t="s">
        <v>731</v>
      </c>
      <c r="B20" s="119">
        <v>0</v>
      </c>
      <c r="C20" s="119">
        <f>'Anex Est Result - Gast'!E62</f>
        <v>18161.61877062294</v>
      </c>
      <c r="D20" s="119">
        <f>'Anex Est Result - Gast'!F62</f>
        <v>36323.23754124588</v>
      </c>
      <c r="E20" s="119">
        <f>'Anex Est Result - Gast'!G62</f>
        <v>54484.85631186882</v>
      </c>
      <c r="F20" s="119">
        <f>'Anex Est Result - Gast'!H62</f>
        <v>72646.47508249176</v>
      </c>
      <c r="G20" s="119">
        <f>'Anex Est Result - Gast'!I62</f>
        <v>90808.0938531147</v>
      </c>
      <c r="H20" s="119">
        <f>'Anex Est Result - Gast'!J62</f>
        <v>108969.71262373764</v>
      </c>
      <c r="I20" s="119">
        <f>'Anex Est Result - Gast'!K62</f>
        <v>127131.33139436058</v>
      </c>
      <c r="J20" s="119">
        <f>'Anex Est Result - Gast'!L62</f>
        <v>145292.95016498351</v>
      </c>
      <c r="K20" s="119">
        <f>'Anex Est Result - Gast'!M62</f>
        <v>163454.56893560645</v>
      </c>
      <c r="L20" s="452">
        <f>'Anex Est Result - Gast'!N62</f>
        <v>181082.85437289605</v>
      </c>
    </row>
    <row r="21" spans="1:12" ht="12.75">
      <c r="A21" s="547" t="s">
        <v>743</v>
      </c>
      <c r="B21" s="283">
        <f>SUM(B14:B20)</f>
        <v>185749.61447289606</v>
      </c>
      <c r="C21" s="283">
        <f aca="true" t="shared" si="3" ref="C21:L21">SUM(C14:C19)-C20</f>
        <v>167587.99570227313</v>
      </c>
      <c r="D21" s="283">
        <f t="shared" si="3"/>
        <v>149426.3769316502</v>
      </c>
      <c r="E21" s="283">
        <f t="shared" si="3"/>
        <v>131264.75816102725</v>
      </c>
      <c r="F21" s="283">
        <f t="shared" si="3"/>
        <v>114703.1393904043</v>
      </c>
      <c r="G21" s="283">
        <f t="shared" si="3"/>
        <v>96541.52061978137</v>
      </c>
      <c r="H21" s="283">
        <f t="shared" si="3"/>
        <v>108379.90184915843</v>
      </c>
      <c r="I21" s="283">
        <f t="shared" si="3"/>
        <v>91818.28307853549</v>
      </c>
      <c r="J21" s="283">
        <f t="shared" si="3"/>
        <v>73656.66430791255</v>
      </c>
      <c r="K21" s="283">
        <f t="shared" si="3"/>
        <v>55495.04553728961</v>
      </c>
      <c r="L21" s="548">
        <f t="shared" si="3"/>
        <v>37866.760100000014</v>
      </c>
    </row>
    <row r="22" spans="1:12" ht="12.75">
      <c r="A22" s="549" t="s">
        <v>726</v>
      </c>
      <c r="B22" s="119"/>
      <c r="C22" s="119"/>
      <c r="D22" s="119"/>
      <c r="E22" s="119"/>
      <c r="F22" s="119"/>
      <c r="G22" s="119"/>
      <c r="H22" s="119">
        <f>+H20-G20</f>
        <v>18161.61877062294</v>
      </c>
      <c r="I22" s="119"/>
      <c r="J22" s="119"/>
      <c r="K22" s="119"/>
      <c r="L22" s="452"/>
    </row>
    <row r="23" spans="1:12" ht="12.75">
      <c r="A23" s="546" t="s">
        <v>727</v>
      </c>
      <c r="B23" s="119">
        <f>INVERSION!E43</f>
        <v>2436.5</v>
      </c>
      <c r="C23" s="119">
        <f>B23</f>
        <v>2436.5</v>
      </c>
      <c r="D23" s="119">
        <f aca="true" t="shared" si="4" ref="D23:L23">C23</f>
        <v>2436.5</v>
      </c>
      <c r="E23" s="119">
        <f t="shared" si="4"/>
        <v>2436.5</v>
      </c>
      <c r="F23" s="119">
        <f t="shared" si="4"/>
        <v>2436.5</v>
      </c>
      <c r="G23" s="119">
        <f t="shared" si="4"/>
        <v>2436.5</v>
      </c>
      <c r="H23" s="119">
        <f t="shared" si="4"/>
        <v>2436.5</v>
      </c>
      <c r="I23" s="119">
        <f t="shared" si="4"/>
        <v>2436.5</v>
      </c>
      <c r="J23" s="119">
        <f t="shared" si="4"/>
        <v>2436.5</v>
      </c>
      <c r="K23" s="119">
        <f t="shared" si="4"/>
        <v>2436.5</v>
      </c>
      <c r="L23" s="452">
        <f t="shared" si="4"/>
        <v>2436.5</v>
      </c>
    </row>
    <row r="24" spans="1:12" ht="12.75">
      <c r="A24" s="546" t="s">
        <v>728</v>
      </c>
      <c r="B24" s="119">
        <f>INVERSION!E47</f>
        <v>1500</v>
      </c>
      <c r="C24" s="119">
        <f>B24</f>
        <v>1500</v>
      </c>
      <c r="D24" s="119">
        <f aca="true" t="shared" si="5" ref="D24:L24">C24</f>
        <v>1500</v>
      </c>
      <c r="E24" s="119">
        <f t="shared" si="5"/>
        <v>1500</v>
      </c>
      <c r="F24" s="119">
        <f t="shared" si="5"/>
        <v>1500</v>
      </c>
      <c r="G24" s="119">
        <f t="shared" si="5"/>
        <v>1500</v>
      </c>
      <c r="H24" s="119">
        <f t="shared" si="5"/>
        <v>1500</v>
      </c>
      <c r="I24" s="119">
        <f t="shared" si="5"/>
        <v>1500</v>
      </c>
      <c r="J24" s="119">
        <f t="shared" si="5"/>
        <v>1500</v>
      </c>
      <c r="K24" s="119">
        <f t="shared" si="5"/>
        <v>1500</v>
      </c>
      <c r="L24" s="452">
        <f t="shared" si="5"/>
        <v>1500</v>
      </c>
    </row>
    <row r="25" spans="1:12" ht="12.75">
      <c r="A25" s="546" t="s">
        <v>666</v>
      </c>
      <c r="B25" s="119">
        <f>INVERSION!E48</f>
        <v>800</v>
      </c>
      <c r="C25" s="119">
        <f>B25</f>
        <v>800</v>
      </c>
      <c r="D25" s="119">
        <f aca="true" t="shared" si="6" ref="D25:L25">C25</f>
        <v>800</v>
      </c>
      <c r="E25" s="119">
        <f t="shared" si="6"/>
        <v>800</v>
      </c>
      <c r="F25" s="119">
        <f t="shared" si="6"/>
        <v>800</v>
      </c>
      <c r="G25" s="119">
        <f t="shared" si="6"/>
        <v>800</v>
      </c>
      <c r="H25" s="119">
        <f t="shared" si="6"/>
        <v>800</v>
      </c>
      <c r="I25" s="119">
        <f t="shared" si="6"/>
        <v>800</v>
      </c>
      <c r="J25" s="119">
        <f t="shared" si="6"/>
        <v>800</v>
      </c>
      <c r="K25" s="119">
        <f t="shared" si="6"/>
        <v>800</v>
      </c>
      <c r="L25" s="452">
        <f t="shared" si="6"/>
        <v>800</v>
      </c>
    </row>
    <row r="26" spans="1:12" ht="12.75">
      <c r="A26" s="546" t="s">
        <v>730</v>
      </c>
      <c r="B26" s="119">
        <v>0</v>
      </c>
      <c r="C26" s="119">
        <f>'Anex Est Result - Gast'!C120</f>
        <v>3401.7174972462763</v>
      </c>
      <c r="D26" s="119">
        <f>'Anex Est Result - Gast'!D120</f>
        <v>6803.4349944925525</v>
      </c>
      <c r="E26" s="119">
        <f>'Anex Est Result - Gast'!E120</f>
        <v>10205.152491738829</v>
      </c>
      <c r="F26" s="119">
        <f>'Anex Est Result - Gast'!F120</f>
        <v>13606.869988985105</v>
      </c>
      <c r="G26" s="119">
        <f>'Anex Est Result - Gast'!G120</f>
        <v>17008.58748623138</v>
      </c>
      <c r="H26" s="119">
        <f>G26</f>
        <v>17008.58748623138</v>
      </c>
      <c r="I26" s="119">
        <f>H26</f>
        <v>17008.58748623138</v>
      </c>
      <c r="J26" s="119">
        <f>I26</f>
        <v>17008.58748623138</v>
      </c>
      <c r="K26" s="119">
        <f>J26</f>
        <v>17008.58748623138</v>
      </c>
      <c r="L26" s="452">
        <f>K26</f>
        <v>17008.58748623138</v>
      </c>
    </row>
    <row r="27" spans="1:12" ht="13.5" thickBot="1">
      <c r="A27" s="550" t="s">
        <v>729</v>
      </c>
      <c r="B27" s="551">
        <f>SUM(B23:B26)</f>
        <v>4736.5</v>
      </c>
      <c r="C27" s="551">
        <f>SUM(C23:C25)-C26</f>
        <v>1334.7825027537237</v>
      </c>
      <c r="D27" s="551">
        <f>SUM(D23:D25)-D26</f>
        <v>-2066.9349944925525</v>
      </c>
      <c r="E27" s="551">
        <f aca="true" t="shared" si="7" ref="E27:K27">SUM(E23:E25)-E26</f>
        <v>-5468.652491738829</v>
      </c>
      <c r="F27" s="551">
        <f t="shared" si="7"/>
        <v>-8870.369988985105</v>
      </c>
      <c r="G27" s="551">
        <f>SUM(G23:G25)-G26</f>
        <v>-12272.08748623138</v>
      </c>
      <c r="H27" s="551">
        <f>SUM(H23:H25)-H26</f>
        <v>-12272.08748623138</v>
      </c>
      <c r="I27" s="551">
        <f>SUM(I23:I25)-I26</f>
        <v>-12272.08748623138</v>
      </c>
      <c r="J27" s="551">
        <f t="shared" si="7"/>
        <v>-12272.08748623138</v>
      </c>
      <c r="K27" s="551">
        <f t="shared" si="7"/>
        <v>-12272.08748623138</v>
      </c>
      <c r="L27" s="552">
        <f>SUM(L23:L25)-L26</f>
        <v>-12272.08748623138</v>
      </c>
    </row>
    <row r="28" spans="1:12" ht="15.75" thickBot="1">
      <c r="A28" s="554" t="s">
        <v>732</v>
      </c>
      <c r="B28" s="555">
        <f>B12+B21+B27</f>
        <v>218558.79143718974</v>
      </c>
      <c r="C28" s="555">
        <f>C12+C21+C27</f>
        <v>228968.58306465685</v>
      </c>
      <c r="D28" s="555">
        <f>D12+D21+D27</f>
        <v>229118.3359653587</v>
      </c>
      <c r="E28" s="555">
        <f>E12+E21+E27</f>
        <v>240806.53088910252</v>
      </c>
      <c r="F28" s="555">
        <f aca="true" t="shared" si="8" ref="F28:K28">F12+F21+F27</f>
        <v>264793.7706174558</v>
      </c>
      <c r="G28" s="555">
        <f t="shared" si="8"/>
        <v>301908.18072402244</v>
      </c>
      <c r="H28" s="555">
        <f>H12+H21+H27</f>
        <v>375962.4065025536</v>
      </c>
      <c r="I28" s="555">
        <f t="shared" si="8"/>
        <v>482819.71732763876</v>
      </c>
      <c r="J28" s="555">
        <f t="shared" si="8"/>
        <v>602207.3044597022</v>
      </c>
      <c r="K28" s="555">
        <f t="shared" si="8"/>
        <v>735286.1899765068</v>
      </c>
      <c r="L28" s="556">
        <f>L12+L21+L27</f>
        <v>883704.3854300712</v>
      </c>
    </row>
    <row r="29" spans="1:12" ht="12.75">
      <c r="A29" s="553" t="s">
        <v>733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485"/>
    </row>
    <row r="30" spans="1:13" ht="12.75">
      <c r="A30" s="546" t="s">
        <v>734</v>
      </c>
      <c r="B30" s="119">
        <f>'Estad result y Fluj Caj'!B27</f>
        <v>20453.47914371897</v>
      </c>
      <c r="C30" s="119">
        <f>'Estad result y Fluj Caj'!C27</f>
        <v>40906.95828743794</v>
      </c>
      <c r="D30" s="119">
        <f>'Estad result y Fluj Caj'!D27</f>
        <v>40906.95828743794</v>
      </c>
      <c r="E30" s="119">
        <f>'Estad result y Fluj Caj'!E27</f>
        <v>40906.95828743794</v>
      </c>
      <c r="F30" s="119">
        <f>'Estad result y Fluj Caj'!F27</f>
        <v>40906.95828743794</v>
      </c>
      <c r="G30" s="119">
        <f>'Estad result y Fluj Caj'!G27</f>
        <v>20453.47914371897</v>
      </c>
      <c r="H30" s="119">
        <f>'Estad result y Fluj Caj'!H27</f>
        <v>0</v>
      </c>
      <c r="I30" s="119">
        <f>'Estad result y Fluj Caj'!I27</f>
        <v>0</v>
      </c>
      <c r="J30" s="119">
        <f>'Estad result y Fluj Caj'!J27</f>
        <v>0</v>
      </c>
      <c r="K30" s="119">
        <f>'Estad result y Fluj Caj'!K27</f>
        <v>0</v>
      </c>
      <c r="L30" s="119">
        <f>'Estad result y Fluj Caj'!L27</f>
        <v>0</v>
      </c>
      <c r="M30" s="285"/>
    </row>
    <row r="31" spans="1:13" ht="12.75">
      <c r="A31" s="546" t="s">
        <v>735</v>
      </c>
      <c r="B31" s="119">
        <f>'Anex Est Result - Gast'!J91</f>
        <v>184081.31229347072</v>
      </c>
      <c r="C31" s="119">
        <f>B31-C30</f>
        <v>143174.35400603278</v>
      </c>
      <c r="D31" s="119">
        <f aca="true" t="shared" si="9" ref="D31:L31">C31-D30</f>
        <v>102267.39571859484</v>
      </c>
      <c r="E31" s="119">
        <f t="shared" si="9"/>
        <v>61360.4374311569</v>
      </c>
      <c r="F31" s="119">
        <f t="shared" si="9"/>
        <v>20453.479143718956</v>
      </c>
      <c r="G31" s="119">
        <f t="shared" si="9"/>
        <v>0</v>
      </c>
      <c r="H31" s="119">
        <f t="shared" si="9"/>
        <v>0</v>
      </c>
      <c r="I31" s="119">
        <f t="shared" si="9"/>
        <v>0</v>
      </c>
      <c r="J31" s="119">
        <f t="shared" si="9"/>
        <v>0</v>
      </c>
      <c r="K31" s="119">
        <f t="shared" si="9"/>
        <v>0</v>
      </c>
      <c r="L31" s="119">
        <f t="shared" si="9"/>
        <v>0</v>
      </c>
      <c r="M31" s="285"/>
    </row>
    <row r="32" spans="1:12" ht="12.75">
      <c r="A32" s="547" t="s">
        <v>740</v>
      </c>
      <c r="B32" s="283">
        <f>SUM(B30:B31)</f>
        <v>204534.79143718968</v>
      </c>
      <c r="C32" s="283">
        <f>SUM(C30:C31)</f>
        <v>184081.31229347072</v>
      </c>
      <c r="D32" s="283">
        <f>SUM(D30:D31)</f>
        <v>143174.35400603278</v>
      </c>
      <c r="E32" s="283">
        <f aca="true" t="shared" si="10" ref="E32:K32">SUM(E30:E31)</f>
        <v>102267.39571859484</v>
      </c>
      <c r="F32" s="283">
        <f t="shared" si="10"/>
        <v>61360.4374311569</v>
      </c>
      <c r="G32" s="283">
        <f t="shared" si="10"/>
        <v>20453.47914371897</v>
      </c>
      <c r="H32" s="283">
        <f t="shared" si="10"/>
        <v>0</v>
      </c>
      <c r="I32" s="283">
        <f t="shared" si="10"/>
        <v>0</v>
      </c>
      <c r="J32" s="283">
        <f t="shared" si="10"/>
        <v>0</v>
      </c>
      <c r="K32" s="283">
        <f t="shared" si="10"/>
        <v>0</v>
      </c>
      <c r="L32" s="548">
        <f>SUM(L30:L31)</f>
        <v>0</v>
      </c>
    </row>
    <row r="33" spans="1:12" ht="12.75">
      <c r="A33" s="549" t="s">
        <v>736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452"/>
    </row>
    <row r="34" spans="1:12" ht="12.75">
      <c r="A34" s="546" t="s">
        <v>737</v>
      </c>
      <c r="B34" s="119">
        <f>75000</f>
        <v>75000</v>
      </c>
      <c r="C34" s="119">
        <f>B34</f>
        <v>75000</v>
      </c>
      <c r="D34" s="119">
        <f aca="true" t="shared" si="11" ref="D34:L34">C34</f>
        <v>75000</v>
      </c>
      <c r="E34" s="119">
        <f t="shared" si="11"/>
        <v>75000</v>
      </c>
      <c r="F34" s="119">
        <f t="shared" si="11"/>
        <v>75000</v>
      </c>
      <c r="G34" s="119">
        <f t="shared" si="11"/>
        <v>75000</v>
      </c>
      <c r="H34" s="119">
        <f t="shared" si="11"/>
        <v>75000</v>
      </c>
      <c r="I34" s="119">
        <f t="shared" si="11"/>
        <v>75000</v>
      </c>
      <c r="J34" s="119">
        <f t="shared" si="11"/>
        <v>75000</v>
      </c>
      <c r="K34" s="119">
        <f t="shared" si="11"/>
        <v>75000</v>
      </c>
      <c r="L34" s="452">
        <f t="shared" si="11"/>
        <v>75000</v>
      </c>
    </row>
    <row r="35" spans="1:12" ht="12.75">
      <c r="A35" s="546" t="s">
        <v>738</v>
      </c>
      <c r="B35" s="119">
        <v>0</v>
      </c>
      <c r="C35" s="119">
        <f>'Estad result y Fluj Caj'!B24</f>
        <v>30863.270771186093</v>
      </c>
      <c r="D35" s="119">
        <f>'Estad result y Fluj Caj'!C24</f>
        <v>41056.711188139794</v>
      </c>
      <c r="E35" s="119">
        <f>'Estad result y Fluj Caj'!D24</f>
        <v>52595.15321118169</v>
      </c>
      <c r="F35" s="119">
        <f>'Estad result y Fluj Caj'!E24</f>
        <v>64894.19801579133</v>
      </c>
      <c r="G35" s="119">
        <f>'Estad result y Fluj Caj'!F24</f>
        <v>78021.36839400449</v>
      </c>
      <c r="H35" s="119">
        <f>'Estad result y Fluj Caj'!G24</f>
        <v>94507.70492225018</v>
      </c>
      <c r="I35" s="119">
        <f>'Estad result y Fluj Caj'!H24</f>
        <v>106857.31082508518</v>
      </c>
      <c r="J35" s="119">
        <f>'Estad result y Fluj Caj'!I24</f>
        <v>119387.58713206342</v>
      </c>
      <c r="K35" s="119">
        <f>'Estad result y Fluj Caj'!J24</f>
        <v>133078.88551680456</v>
      </c>
      <c r="L35" s="452">
        <f>'Estad result y Fluj Caj'!K24</f>
        <v>148418.19545356446</v>
      </c>
    </row>
    <row r="36" spans="1:12" ht="12.75">
      <c r="A36" s="546" t="s">
        <v>739</v>
      </c>
      <c r="B36" s="119">
        <v>0</v>
      </c>
      <c r="C36" s="119">
        <v>0</v>
      </c>
      <c r="D36" s="119">
        <f>C36+C35</f>
        <v>30863.270771186093</v>
      </c>
      <c r="E36" s="119">
        <f>D36+D35</f>
        <v>71919.98195932589</v>
      </c>
      <c r="F36" s="119">
        <f aca="true" t="shared" si="12" ref="F36:K36">E36+E35</f>
        <v>124515.13517050758</v>
      </c>
      <c r="G36" s="119">
        <f t="shared" si="12"/>
        <v>189409.3331862989</v>
      </c>
      <c r="H36" s="119">
        <f t="shared" si="12"/>
        <v>267430.7015803034</v>
      </c>
      <c r="I36" s="119">
        <f t="shared" si="12"/>
        <v>361938.40650255355</v>
      </c>
      <c r="J36" s="119">
        <f t="shared" si="12"/>
        <v>468795.71732763876</v>
      </c>
      <c r="K36" s="119">
        <f t="shared" si="12"/>
        <v>588183.3044597022</v>
      </c>
      <c r="L36" s="452">
        <f>K36+K35</f>
        <v>721262.1899765068</v>
      </c>
    </row>
    <row r="37" spans="1:12" ht="13.5" thickBot="1">
      <c r="A37" s="550" t="s">
        <v>741</v>
      </c>
      <c r="B37" s="551">
        <f aca="true" t="shared" si="13" ref="B37:G37">SUM(B34:B36)</f>
        <v>75000</v>
      </c>
      <c r="C37" s="551">
        <f>SUM(C34:C36)</f>
        <v>105863.2707711861</v>
      </c>
      <c r="D37" s="551">
        <f t="shared" si="13"/>
        <v>146919.9819593259</v>
      </c>
      <c r="E37" s="551">
        <f t="shared" si="13"/>
        <v>199515.1351705076</v>
      </c>
      <c r="F37" s="551">
        <f t="shared" si="13"/>
        <v>264409.3331862989</v>
      </c>
      <c r="G37" s="551">
        <f t="shared" si="13"/>
        <v>342430.7015803034</v>
      </c>
      <c r="H37" s="551">
        <f>SUM(H34:H36)</f>
        <v>436938.40650255355</v>
      </c>
      <c r="I37" s="551">
        <f>SUM(I34:I36)</f>
        <v>543795.7173276388</v>
      </c>
      <c r="J37" s="551">
        <f>SUM(J34:J36)</f>
        <v>663183.3044597022</v>
      </c>
      <c r="K37" s="551">
        <f>SUM(K34:K36)</f>
        <v>796262.1899765068</v>
      </c>
      <c r="L37" s="552">
        <f>SUM(L34:L36)</f>
        <v>944680.3854300713</v>
      </c>
    </row>
    <row r="38" spans="1:12" ht="15.75" thickBot="1">
      <c r="A38" s="554" t="s">
        <v>742</v>
      </c>
      <c r="B38" s="555">
        <f>B32+B37</f>
        <v>279534.7914371897</v>
      </c>
      <c r="C38" s="555">
        <f>C32+C37</f>
        <v>289944.5830646568</v>
      </c>
      <c r="D38" s="555">
        <f aca="true" t="shared" si="14" ref="D38:K38">D32+D37</f>
        <v>290094.33596535865</v>
      </c>
      <c r="E38" s="555">
        <f>E32+E37</f>
        <v>301782.53088910243</v>
      </c>
      <c r="F38" s="555">
        <f t="shared" si="14"/>
        <v>325769.7706174558</v>
      </c>
      <c r="G38" s="555">
        <f t="shared" si="14"/>
        <v>362884.1807240223</v>
      </c>
      <c r="H38" s="555">
        <f t="shared" si="14"/>
        <v>436938.40650255355</v>
      </c>
      <c r="I38" s="555">
        <f t="shared" si="14"/>
        <v>543795.7173276388</v>
      </c>
      <c r="J38" s="555">
        <f t="shared" si="14"/>
        <v>663183.3044597022</v>
      </c>
      <c r="K38" s="555">
        <f t="shared" si="14"/>
        <v>796262.1899765068</v>
      </c>
      <c r="L38" s="556">
        <f>L32+L37</f>
        <v>944680.3854300713</v>
      </c>
    </row>
    <row r="39" spans="1:12" ht="12.75">
      <c r="A39" s="281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</row>
    <row r="40" spans="1:12" ht="12.75">
      <c r="A40" s="281"/>
      <c r="B40" s="285"/>
      <c r="E40" s="285"/>
      <c r="F40" s="285"/>
      <c r="G40" s="285"/>
      <c r="H40" s="285"/>
      <c r="I40" s="285"/>
      <c r="J40" s="285"/>
      <c r="K40" s="285"/>
      <c r="L40" s="285"/>
    </row>
    <row r="41" spans="1:11" ht="12.75">
      <c r="A41" s="614" t="s">
        <v>853</v>
      </c>
      <c r="K41" s="285"/>
    </row>
    <row r="42" spans="3:12" ht="12.75">
      <c r="C42" s="285"/>
      <c r="D42" s="285"/>
      <c r="E42" s="285"/>
      <c r="F42" s="285"/>
      <c r="G42" s="285"/>
      <c r="H42" s="285"/>
      <c r="I42" s="285"/>
      <c r="J42" s="285"/>
      <c r="K42" s="285"/>
      <c r="L42" s="285"/>
    </row>
  </sheetData>
  <mergeCells count="4">
    <mergeCell ref="A2:L2"/>
    <mergeCell ref="A3:L3"/>
    <mergeCell ref="A5:L6"/>
    <mergeCell ref="A1:L1"/>
  </mergeCells>
  <printOptions/>
  <pageMargins left="0.3" right="0.75" top="1.13" bottom="1" header="0" footer="0"/>
  <pageSetup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7"/>
  <dimension ref="A2:M76"/>
  <sheetViews>
    <sheetView tabSelected="1" zoomScale="80" zoomScaleNormal="80" workbookViewId="0" topLeftCell="A13">
      <selection activeCell="C20" sqref="C20"/>
    </sheetView>
  </sheetViews>
  <sheetFormatPr defaultColWidth="11.421875" defaultRowHeight="12.75"/>
  <cols>
    <col min="1" max="1" width="41.140625" style="0" customWidth="1"/>
    <col min="2" max="2" width="15.57421875" style="0" customWidth="1"/>
    <col min="3" max="3" width="12.28125" style="0" customWidth="1"/>
    <col min="4" max="4" width="13.28125" style="0" customWidth="1"/>
    <col min="5" max="5" width="14.421875" style="0" customWidth="1"/>
    <col min="6" max="6" width="12.57421875" style="0" customWidth="1"/>
    <col min="7" max="8" width="12.00390625" style="0" customWidth="1"/>
    <col min="9" max="11" width="12.00390625" style="0" bestFit="1" customWidth="1"/>
  </cols>
  <sheetData>
    <row r="2" spans="1:11" ht="15.75">
      <c r="A2" s="968" t="s">
        <v>878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</row>
    <row r="3" spans="1:11" ht="15.75">
      <c r="A3" s="978" t="s">
        <v>750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</row>
    <row r="9" spans="2:7" ht="12.75">
      <c r="B9" s="311" t="s">
        <v>759</v>
      </c>
      <c r="G9" s="326">
        <f>B28</f>
        <v>113652.8320580465</v>
      </c>
    </row>
    <row r="13" ht="13.5" thickBot="1"/>
    <row r="14" spans="1:11" ht="13.5" thickBot="1">
      <c r="A14" s="769" t="s">
        <v>751</v>
      </c>
      <c r="B14" s="495" t="s">
        <v>439</v>
      </c>
      <c r="C14" s="373" t="s">
        <v>447</v>
      </c>
      <c r="D14" s="373" t="s">
        <v>448</v>
      </c>
      <c r="E14" s="373" t="s">
        <v>449</v>
      </c>
      <c r="F14" s="373" t="s">
        <v>450</v>
      </c>
      <c r="G14" s="373" t="s">
        <v>451</v>
      </c>
      <c r="H14" s="373" t="s">
        <v>452</v>
      </c>
      <c r="I14" s="373" t="s">
        <v>453</v>
      </c>
      <c r="J14" s="373" t="s">
        <v>454</v>
      </c>
      <c r="K14" s="374" t="s">
        <v>455</v>
      </c>
    </row>
    <row r="15" spans="1:11" ht="12.75">
      <c r="A15" s="779" t="s">
        <v>752</v>
      </c>
      <c r="B15" s="1086"/>
      <c r="C15" s="1087"/>
      <c r="D15" s="1087"/>
      <c r="E15" s="1087"/>
      <c r="F15" s="1087"/>
      <c r="G15" s="1087"/>
      <c r="H15" s="1087"/>
      <c r="I15" s="1087"/>
      <c r="J15" s="1087"/>
      <c r="K15" s="1088"/>
    </row>
    <row r="16" spans="1:11" ht="12.75">
      <c r="A16" s="484" t="s">
        <v>389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452"/>
    </row>
    <row r="17" spans="1:11" ht="12.75">
      <c r="A17" s="781" t="s">
        <v>700</v>
      </c>
      <c r="B17" s="119">
        <f>'Estad result y Fluj Caj'!B9</f>
        <v>19050</v>
      </c>
      <c r="C17" s="119">
        <f>'Estad result y Fluj Caj'!C9</f>
        <v>20002.5</v>
      </c>
      <c r="D17" s="119">
        <f>'Estad result y Fluj Caj'!D9</f>
        <v>21002.625</v>
      </c>
      <c r="E17" s="119">
        <f>'Estad result y Fluj Caj'!E9</f>
        <v>22052.756250000002</v>
      </c>
      <c r="F17" s="119">
        <f>'Estad result y Fluj Caj'!F9</f>
        <v>23155.394062500003</v>
      </c>
      <c r="G17" s="119">
        <f>'Estad result y Fluj Caj'!G9</f>
        <v>24313.163765625006</v>
      </c>
      <c r="H17" s="119">
        <f>'Estad result y Fluj Caj'!H9</f>
        <v>25528.821953906256</v>
      </c>
      <c r="I17" s="119">
        <f>'Estad result y Fluj Caj'!I9</f>
        <v>26805.26305160157</v>
      </c>
      <c r="J17" s="119">
        <f>'Estad result y Fluj Caj'!J9</f>
        <v>28145.52620418165</v>
      </c>
      <c r="K17" s="452">
        <f>'Estad result y Fluj Caj'!K9</f>
        <v>29552.802514390733</v>
      </c>
    </row>
    <row r="18" spans="1:11" ht="12.75">
      <c r="A18" s="484" t="s">
        <v>755</v>
      </c>
      <c r="B18" s="119">
        <f>'Estad result y Fluj Caj'!B13</f>
        <v>18161.61877062294</v>
      </c>
      <c r="C18" s="119">
        <f>'Estad result y Fluj Caj'!C13</f>
        <v>18161.61877062294</v>
      </c>
      <c r="D18" s="119">
        <f>'Estad result y Fluj Caj'!D13</f>
        <v>18161.61877062294</v>
      </c>
      <c r="E18" s="119">
        <f>'Estad result y Fluj Caj'!E13</f>
        <v>18161.61877062294</v>
      </c>
      <c r="F18" s="119">
        <f>'Estad result y Fluj Caj'!F13</f>
        <v>18161.61877062294</v>
      </c>
      <c r="G18" s="119">
        <f>'Estad result y Fluj Caj'!G13</f>
        <v>18161.61877062294</v>
      </c>
      <c r="H18" s="119">
        <f>'Estad result y Fluj Caj'!H13</f>
        <v>18161.61877062294</v>
      </c>
      <c r="I18" s="119">
        <f>'Estad result y Fluj Caj'!I13</f>
        <v>18161.61877062294</v>
      </c>
      <c r="J18" s="119">
        <f>'Estad result y Fluj Caj'!J13</f>
        <v>18161.61877062294</v>
      </c>
      <c r="K18" s="452">
        <f>'Estad result y Fluj Caj'!K13</f>
        <v>17628.285437289607</v>
      </c>
    </row>
    <row r="19" spans="1:11" ht="12.75">
      <c r="A19" s="484" t="s">
        <v>756</v>
      </c>
      <c r="B19" s="119">
        <f>'Estad result y Fluj Caj'!B14</f>
        <v>3401.7174972462763</v>
      </c>
      <c r="C19" s="119">
        <f>'Estad result y Fluj Caj'!C14</f>
        <v>3401.7174972462763</v>
      </c>
      <c r="D19" s="119">
        <f>'Estad result y Fluj Caj'!D14</f>
        <v>3401.7174972462763</v>
      </c>
      <c r="E19" s="119">
        <f>'Estad result y Fluj Caj'!E14</f>
        <v>3401.7174972462763</v>
      </c>
      <c r="F19" s="119">
        <f>'Estad result y Fluj Caj'!F14</f>
        <v>3401.7174972462763</v>
      </c>
      <c r="G19" s="119">
        <f>'Estad result y Fluj Caj'!G14</f>
        <v>0</v>
      </c>
      <c r="H19" s="119">
        <f>'Estad result y Fluj Caj'!H14</f>
        <v>0</v>
      </c>
      <c r="I19" s="119">
        <f>'Estad result y Fluj Caj'!I14</f>
        <v>0</v>
      </c>
      <c r="J19" s="119">
        <f>'Estad result y Fluj Caj'!J14</f>
        <v>0</v>
      </c>
      <c r="K19" s="452">
        <f>'Estad result y Fluj Caj'!K14</f>
        <v>0</v>
      </c>
    </row>
    <row r="20" spans="1:11" ht="12.75">
      <c r="A20" s="484" t="s">
        <v>699</v>
      </c>
      <c r="B20" s="119"/>
      <c r="C20" s="119"/>
      <c r="D20" s="119"/>
      <c r="E20" s="119"/>
      <c r="F20" s="119"/>
      <c r="G20" s="119"/>
      <c r="H20" s="119"/>
      <c r="I20" s="119"/>
      <c r="J20" s="119"/>
      <c r="K20" s="452"/>
    </row>
    <row r="21" spans="1:11" ht="12.75">
      <c r="A21" s="781" t="s">
        <v>701</v>
      </c>
      <c r="B21" s="119">
        <f>'Estad result y Fluj Caj'!B11</f>
        <v>61440</v>
      </c>
      <c r="C21" s="119">
        <f>'Estad result y Fluj Caj'!C11</f>
        <v>64512</v>
      </c>
      <c r="D21" s="119">
        <f>'Estad result y Fluj Caj'!D11</f>
        <v>67737.6</v>
      </c>
      <c r="E21" s="119">
        <f>'Estad result y Fluj Caj'!E11</f>
        <v>71124.48000000001</v>
      </c>
      <c r="F21" s="119">
        <f>'Estad result y Fluj Caj'!F11</f>
        <v>74680.704</v>
      </c>
      <c r="G21" s="119">
        <f>'Estad result y Fluj Caj'!G11</f>
        <v>78414.73920000001</v>
      </c>
      <c r="H21" s="119">
        <f>'Estad result y Fluj Caj'!H11</f>
        <v>82335.47616000002</v>
      </c>
      <c r="I21" s="119">
        <f>'Estad result y Fluj Caj'!I11</f>
        <v>86452.24996800002</v>
      </c>
      <c r="J21" s="119">
        <f>'Estad result y Fluj Caj'!J11</f>
        <v>90774.86246640002</v>
      </c>
      <c r="K21" s="452">
        <f>'Estad result y Fluj Caj'!K11</f>
        <v>95313.60558972003</v>
      </c>
    </row>
    <row r="22" spans="1:11" ht="12.75">
      <c r="A22" s="484" t="s">
        <v>442</v>
      </c>
      <c r="B22" s="119">
        <f>'Estad result y Fluj Caj'!B15</f>
        <v>7310</v>
      </c>
      <c r="C22" s="119">
        <f>'Estad result y Fluj Caj'!C15</f>
        <v>7675.5</v>
      </c>
      <c r="D22" s="119">
        <f>'Estad result y Fluj Caj'!D15</f>
        <v>8443.050000000001</v>
      </c>
      <c r="E22" s="119">
        <f>'Estad result y Fluj Caj'!E15</f>
        <v>9287.355000000001</v>
      </c>
      <c r="F22" s="119">
        <f>'Estad result y Fluj Caj'!F15</f>
        <v>10216.090500000002</v>
      </c>
      <c r="G22" s="119">
        <f>'Estad result y Fluj Caj'!G15</f>
        <v>11237.699550000003</v>
      </c>
      <c r="H22" s="119">
        <f>'Estad result y Fluj Caj'!H15</f>
        <v>12361.469505000005</v>
      </c>
      <c r="I22" s="119">
        <f>'Estad result y Fluj Caj'!I15</f>
        <v>13597.616455500007</v>
      </c>
      <c r="J22" s="119">
        <f>'Estad result y Fluj Caj'!J15</f>
        <v>14957.378101050008</v>
      </c>
      <c r="K22" s="452">
        <f>'Estad result y Fluj Caj'!K15</f>
        <v>16453.11591115501</v>
      </c>
    </row>
    <row r="23" spans="1:11" ht="12.75">
      <c r="A23" s="484" t="s">
        <v>815</v>
      </c>
      <c r="B23" s="119">
        <f>'Estad result y Fluj Caj'!B16</f>
        <v>3500</v>
      </c>
      <c r="C23" s="119">
        <f>'Estad result y Fluj Caj'!C16</f>
        <v>3675</v>
      </c>
      <c r="D23" s="119">
        <f>'Estad result y Fluj Caj'!D16</f>
        <v>3858.75</v>
      </c>
      <c r="E23" s="119">
        <f>'Estad result y Fluj Caj'!E16</f>
        <v>4051.6875</v>
      </c>
      <c r="F23" s="119">
        <f>'Estad result y Fluj Caj'!F16</f>
        <v>4254.271875</v>
      </c>
      <c r="G23" s="119">
        <f>'Estad result y Fluj Caj'!G16</f>
        <v>4466.985468750001</v>
      </c>
      <c r="H23" s="119">
        <f>'Estad result y Fluj Caj'!H16</f>
        <v>4690.334742187501</v>
      </c>
      <c r="I23" s="119">
        <f>'Estad result y Fluj Caj'!I16</f>
        <v>4924.851479296876</v>
      </c>
      <c r="J23" s="119">
        <f>'Estad result y Fluj Caj'!J16</f>
        <v>5171.094053261721</v>
      </c>
      <c r="K23" s="452">
        <f>'Estad result y Fluj Caj'!K16</f>
        <v>5429.648755924807</v>
      </c>
    </row>
    <row r="24" spans="1:11" s="41" customFormat="1" ht="12.75">
      <c r="A24" s="780" t="s">
        <v>816</v>
      </c>
      <c r="B24" s="121">
        <f aca="true" t="shared" si="0" ref="B24:K24">SUM(B17:B23)</f>
        <v>112863.33626786922</v>
      </c>
      <c r="C24" s="121">
        <f t="shared" si="0"/>
        <v>117428.33626786922</v>
      </c>
      <c r="D24" s="121">
        <f t="shared" si="0"/>
        <v>122605.36126786923</v>
      </c>
      <c r="E24" s="121">
        <f t="shared" si="0"/>
        <v>128079.61501786923</v>
      </c>
      <c r="F24" s="121">
        <f t="shared" si="0"/>
        <v>133869.79670536923</v>
      </c>
      <c r="G24" s="121">
        <f t="shared" si="0"/>
        <v>136594.20675499795</v>
      </c>
      <c r="H24" s="121">
        <f t="shared" si="0"/>
        <v>143077.7211317167</v>
      </c>
      <c r="I24" s="121">
        <f t="shared" si="0"/>
        <v>149941.5997250214</v>
      </c>
      <c r="J24" s="121">
        <f t="shared" si="0"/>
        <v>157210.47959551634</v>
      </c>
      <c r="K24" s="557">
        <f t="shared" si="0"/>
        <v>164377.45820848018</v>
      </c>
    </row>
    <row r="25" spans="1:11" ht="12.75">
      <c r="A25" s="776" t="s">
        <v>754</v>
      </c>
      <c r="B25" s="1079"/>
      <c r="C25" s="1080"/>
      <c r="D25" s="1080"/>
      <c r="E25" s="1080"/>
      <c r="F25" s="1080"/>
      <c r="G25" s="1080"/>
      <c r="H25" s="1080"/>
      <c r="I25" s="1080"/>
      <c r="J25" s="1080"/>
      <c r="K25" s="1081"/>
    </row>
    <row r="26" spans="1:11" s="41" customFormat="1" ht="12.75">
      <c r="A26" s="776" t="s">
        <v>702</v>
      </c>
      <c r="B26" s="121">
        <f>'Estad result y Fluj Caj'!B12</f>
        <v>1260</v>
      </c>
      <c r="C26" s="121">
        <f>'Estad result y Fluj Caj'!C12</f>
        <v>1323</v>
      </c>
      <c r="D26" s="121">
        <f>'Estad result y Fluj Caj'!D12</f>
        <v>1389.15</v>
      </c>
      <c r="E26" s="121">
        <f>'Estad result y Fluj Caj'!E12</f>
        <v>1458.6075</v>
      </c>
      <c r="F26" s="121">
        <f>'Estad result y Fluj Caj'!F12</f>
        <v>1531.5378750000002</v>
      </c>
      <c r="G26" s="121">
        <f>'Estad result y Fluj Caj'!G12</f>
        <v>1608.1147687500002</v>
      </c>
      <c r="H26" s="121">
        <f>'Estad result y Fluj Caj'!H12</f>
        <v>1688.5205071875002</v>
      </c>
      <c r="I26" s="121">
        <f>'Estad result y Fluj Caj'!I12</f>
        <v>1772.9465325468755</v>
      </c>
      <c r="J26" s="121">
        <f>'Estad result y Fluj Caj'!J12</f>
        <v>1861.5938591742192</v>
      </c>
      <c r="K26" s="557">
        <f>'Estad result y Fluj Caj'!K12</f>
        <v>1954.6735521329304</v>
      </c>
    </row>
    <row r="27" spans="1:11" s="41" customFormat="1" ht="13.5" thickBot="1">
      <c r="A27" s="777" t="s">
        <v>758</v>
      </c>
      <c r="B27" s="558">
        <f>'Estad result y Fluj Caj'!B6</f>
        <v>181384.84102744077</v>
      </c>
      <c r="C27" s="558">
        <f>'Estad result y Fluj Caj'!C6</f>
        <v>196439.78283271834</v>
      </c>
      <c r="D27" s="558">
        <f>'Estad result y Fluj Caj'!D6</f>
        <v>212744.28480783396</v>
      </c>
      <c r="E27" s="558">
        <f>'Estad result y Fluj Caj'!E6</f>
        <v>230402.06044688416</v>
      </c>
      <c r="F27" s="558">
        <f>'Estad result y Fluj Caj'!F6</f>
        <v>249525.43146397555</v>
      </c>
      <c r="G27" s="558">
        <f>'Estad result y Fluj Caj'!G6</f>
        <v>270236.0422754855</v>
      </c>
      <c r="H27" s="558">
        <f>'Estad result y Fluj Caj'!H6</f>
        <v>292665.6337843508</v>
      </c>
      <c r="I27" s="558">
        <f>'Estad result y Fluj Caj'!I6</f>
        <v>316956.8813884519</v>
      </c>
      <c r="J27" s="558">
        <f>'Estad result y Fluj Caj'!J6</f>
        <v>343264.3025436934</v>
      </c>
      <c r="K27" s="559">
        <f>'Estad result y Fluj Caj'!K6</f>
        <v>371755.23965481995</v>
      </c>
    </row>
    <row r="28" spans="1:11" s="312" customFormat="1" ht="13.5" thickBot="1">
      <c r="A28" s="778" t="s">
        <v>757</v>
      </c>
      <c r="B28" s="560">
        <f>B24/(1-(B26/B27))</f>
        <v>113652.8320580465</v>
      </c>
      <c r="C28" s="560">
        <f aca="true" t="shared" si="1" ref="C28:K28">C24/(1-(C26/C27))</f>
        <v>118224.56551389767</v>
      </c>
      <c r="D28" s="560">
        <f t="shared" si="1"/>
        <v>123411.19566484337</v>
      </c>
      <c r="E28" s="560">
        <f t="shared" si="1"/>
        <v>128895.61514653647</v>
      </c>
      <c r="F28" s="560">
        <f t="shared" si="1"/>
        <v>134696.53748114267</v>
      </c>
      <c r="G28" s="560">
        <f t="shared" si="1"/>
        <v>137411.9145906916</v>
      </c>
      <c r="H28" s="560">
        <f t="shared" si="1"/>
        <v>143907.99146992862</v>
      </c>
      <c r="I28" s="560">
        <f t="shared" si="1"/>
        <v>150785.0387773276</v>
      </c>
      <c r="J28" s="560">
        <f t="shared" si="1"/>
        <v>158067.71375320805</v>
      </c>
      <c r="K28" s="561">
        <f t="shared" si="1"/>
        <v>165246.3164514871</v>
      </c>
    </row>
    <row r="29" spans="2:11" ht="12.75">
      <c r="B29" s="285"/>
      <c r="C29" s="285"/>
      <c r="D29" s="285"/>
      <c r="E29" s="285"/>
      <c r="F29" s="285"/>
      <c r="G29" s="285"/>
      <c r="H29" s="285"/>
      <c r="I29" s="285"/>
      <c r="J29" s="285"/>
      <c r="K29" s="285"/>
    </row>
    <row r="31" spans="1:11" s="319" customFormat="1" ht="15.75">
      <c r="A31" s="978" t="s">
        <v>762</v>
      </c>
      <c r="B31" s="978"/>
      <c r="C31" s="978"/>
      <c r="D31" s="978"/>
      <c r="E31" s="978"/>
      <c r="F31" s="978"/>
      <c r="G31" s="978"/>
      <c r="H31" s="978"/>
      <c r="I31" s="978"/>
      <c r="J31" s="978"/>
      <c r="K31" s="978"/>
    </row>
    <row r="37" ht="12.75">
      <c r="C37" s="61" t="s">
        <v>761</v>
      </c>
    </row>
    <row r="39" spans="2:6" ht="12.75">
      <c r="B39" s="318" t="s">
        <v>759</v>
      </c>
      <c r="C39" s="1084" t="s">
        <v>760</v>
      </c>
      <c r="D39" s="1085"/>
      <c r="E39" s="313">
        <f>B28/((F41*((41.86*C45)+(11.63*C46)+(4.65*C47)+(41.86*C48)))+(F42*((B45*C45)+(B46*C46)+(B47*C47)+(B48*C48))))</f>
        <v>582.9071081339393</v>
      </c>
      <c r="F39" s="314" t="s">
        <v>526</v>
      </c>
    </row>
    <row r="41" spans="2:6" ht="12.75" hidden="1">
      <c r="B41" t="s">
        <v>767</v>
      </c>
      <c r="F41" s="324">
        <f>Ingresos!I56</f>
        <v>0.4</v>
      </c>
    </row>
    <row r="42" spans="2:6" ht="12.75" hidden="1">
      <c r="B42" t="s">
        <v>768</v>
      </c>
      <c r="F42" s="324">
        <f>Ingresos!I57</f>
        <v>0.6</v>
      </c>
    </row>
    <row r="43" ht="13.5" hidden="1" thickBot="1"/>
    <row r="44" spans="1:13" s="323" customFormat="1" ht="53.25" customHeight="1" hidden="1" thickBot="1">
      <c r="A44" s="565" t="s">
        <v>765</v>
      </c>
      <c r="B44" s="496" t="s">
        <v>763</v>
      </c>
      <c r="C44" s="496" t="s">
        <v>764</v>
      </c>
      <c r="D44" s="496" t="s">
        <v>439</v>
      </c>
      <c r="E44" s="496" t="s">
        <v>447</v>
      </c>
      <c r="F44" s="496" t="s">
        <v>448</v>
      </c>
      <c r="G44" s="496" t="s">
        <v>449</v>
      </c>
      <c r="H44" s="496" t="s">
        <v>450</v>
      </c>
      <c r="I44" s="496" t="s">
        <v>451</v>
      </c>
      <c r="J44" s="496" t="s">
        <v>452</v>
      </c>
      <c r="K44" s="496" t="s">
        <v>453</v>
      </c>
      <c r="L44" s="496" t="s">
        <v>454</v>
      </c>
      <c r="M44" s="497" t="s">
        <v>455</v>
      </c>
    </row>
    <row r="45" spans="1:13" ht="12.75" hidden="1">
      <c r="A45" s="417" t="str">
        <f>Ingresos!A68</f>
        <v>Sendero La Cascada</v>
      </c>
      <c r="B45" s="321">
        <f>Ingresos!C96</f>
        <v>0.26771653543307083</v>
      </c>
      <c r="C45" s="322">
        <f>Ingresos!D12</f>
        <v>4</v>
      </c>
      <c r="D45" s="365" t="e">
        <f>(D49*$F$41*#REF!)+(D49*$F$42*$B$45)</f>
        <v>#REF!</v>
      </c>
      <c r="E45" s="365" t="e">
        <f>(E49*$F$41*#REF!)+(E49*$F$42*$B$45)</f>
        <v>#REF!</v>
      </c>
      <c r="F45" s="365" t="e">
        <f>(F49*$F$41*#REF!)+(F49*$F$42*$B$45)</f>
        <v>#REF!</v>
      </c>
      <c r="G45" s="365" t="e">
        <f>(G49*$F$41*#REF!)+(G49*$F$42*$B$45)</f>
        <v>#REF!</v>
      </c>
      <c r="H45" s="365" t="e">
        <f>(H49*$F$41*#REF!)+(H49*$F$42*$B$45)</f>
        <v>#REF!</v>
      </c>
      <c r="I45" s="365" t="e">
        <f>(I49*$F$41*#REF!)+(I49*$F$42*$B$45)</f>
        <v>#REF!</v>
      </c>
      <c r="J45" s="365" t="e">
        <f>(J49*$F$41*#REF!)+(J49*$F$42*$B$45)</f>
        <v>#REF!</v>
      </c>
      <c r="K45" s="365" t="e">
        <f>(K49*$F$41*#REF!)+(K49*$F$42*$B$45)</f>
        <v>#REF!</v>
      </c>
      <c r="L45" s="365" t="e">
        <f>(L49*$F$41*#REF!)+(L49*$F$42*$B$45)</f>
        <v>#REF!</v>
      </c>
      <c r="M45" s="562" t="e">
        <f>(M49*$F$41*#REF!)+(M49*$F$42*$B$45)</f>
        <v>#REF!</v>
      </c>
    </row>
    <row r="46" spans="1:13" ht="12.75" hidden="1">
      <c r="A46" s="414" t="str">
        <f>Ingresos!A69</f>
        <v>Sendero El Mate</v>
      </c>
      <c r="B46" s="96">
        <f>Ingresos!C97</f>
        <v>0.25196850393700787</v>
      </c>
      <c r="C46" s="119">
        <f>Ingresos!D13</f>
        <v>4.5</v>
      </c>
      <c r="D46" s="325" t="e">
        <f>(D49*$F$41*#REF!)+(D49*$F$42*$B$46)</f>
        <v>#REF!</v>
      </c>
      <c r="E46" s="325" t="e">
        <f>(E49*$F$41*#REF!)+(E49*$F$42*$B$46)</f>
        <v>#REF!</v>
      </c>
      <c r="F46" s="325" t="e">
        <f>(F49*$F$41*#REF!)+(F49*$F$42*$B$46)</f>
        <v>#REF!</v>
      </c>
      <c r="G46" s="325" t="e">
        <f>(G49*$F$41*#REF!)+(G49*$F$42*$B$46)</f>
        <v>#REF!</v>
      </c>
      <c r="H46" s="325" t="e">
        <f>(H49*$F$41*#REF!)+(H49*$F$42*$B$46)</f>
        <v>#REF!</v>
      </c>
      <c r="I46" s="325" t="e">
        <f>(I49*$F$41*#REF!)+(I49*$F$42*$B$46)</f>
        <v>#REF!</v>
      </c>
      <c r="J46" s="325" t="e">
        <f>(J49*$F$41*#REF!)+(J49*$F$42*$B$46)</f>
        <v>#REF!</v>
      </c>
      <c r="K46" s="325" t="e">
        <f>(K49*$F$41*#REF!)+(K49*$F$42*$B$46)</f>
        <v>#REF!</v>
      </c>
      <c r="L46" s="325" t="e">
        <f>(L49*$F$41*#REF!)+(L49*$F$42*$B$46)</f>
        <v>#REF!</v>
      </c>
      <c r="M46" s="563" t="e">
        <f>(M49*$F$41*#REF!)+(M49*$F$42*$B$46)</f>
        <v>#REF!</v>
      </c>
    </row>
    <row r="47" spans="1:13" ht="12.75" hidden="1">
      <c r="A47" s="414" t="str">
        <f>Ingresos!A70</f>
        <v>Sendero El Mirador</v>
      </c>
      <c r="B47" s="96">
        <f>Ingresos!C98</f>
        <v>0.07086614173228346</v>
      </c>
      <c r="C47" s="119">
        <f>Ingresos!D14</f>
        <v>2</v>
      </c>
      <c r="D47" s="325" t="e">
        <f>(D49*$F$41*#REF!)+(D49*$F$42*$B$47)</f>
        <v>#REF!</v>
      </c>
      <c r="E47" s="325" t="e">
        <f>(E49*$F$41*#REF!)+(E49*$F$42*$B$47)</f>
        <v>#REF!</v>
      </c>
      <c r="F47" s="325" t="e">
        <f>(F49*$F$41*#REF!)+(F49*$F$42*$B$47)</f>
        <v>#REF!</v>
      </c>
      <c r="G47" s="325" t="e">
        <f>(G49*$F$41*#REF!)+(G49*$F$42*$B$47)</f>
        <v>#REF!</v>
      </c>
      <c r="H47" s="325" t="e">
        <f>(H49*$F$41*#REF!)+(H49*$F$42*$B$47)</f>
        <v>#REF!</v>
      </c>
      <c r="I47" s="325" t="e">
        <f>(I49*$F$41*#REF!)+(I49*$F$42*$B$47)</f>
        <v>#REF!</v>
      </c>
      <c r="J47" s="325" t="e">
        <f>(J49*$F$41*#REF!)+(J49*$F$42*$B$47)</f>
        <v>#REF!</v>
      </c>
      <c r="K47" s="325" t="e">
        <f>(K49*$F$41*#REF!)+(K49*$F$42*$B$47)</f>
        <v>#REF!</v>
      </c>
      <c r="L47" s="325" t="e">
        <f>(L49*$F$41*#REF!)+(L49*$F$42*$B$47)</f>
        <v>#REF!</v>
      </c>
      <c r="M47" s="563" t="e">
        <f>(M49*$F$41*#REF!)+(M49*$F$42*$B$47)</f>
        <v>#REF!</v>
      </c>
    </row>
    <row r="48" spans="1:13" ht="13.5" hidden="1" thickBot="1">
      <c r="A48" s="421" t="str">
        <f>Ingresos!A71</f>
        <v>Circuito Estero de Churute</v>
      </c>
      <c r="B48" s="436">
        <f>Ingresos!C99</f>
        <v>0.40944881889763785</v>
      </c>
      <c r="C48" s="352">
        <f>Ingresos!D15</f>
        <v>6</v>
      </c>
      <c r="D48" s="364" t="e">
        <f>(D49*$F$41*#REF!)+(D49*$F$42*$B$48)</f>
        <v>#REF!</v>
      </c>
      <c r="E48" s="364" t="e">
        <f>(E49*$F$41*#REF!)+(E49*$F$42*$B$48)</f>
        <v>#REF!</v>
      </c>
      <c r="F48" s="364" t="e">
        <f>(F49*$F$41*#REF!)+(F49*$F$42*$B$48)</f>
        <v>#REF!</v>
      </c>
      <c r="G48" s="364" t="e">
        <f>(G49*$F$41*#REF!)+(G49*$F$42*$B$48)</f>
        <v>#REF!</v>
      </c>
      <c r="H48" s="364" t="e">
        <f>(H49*$F$41*#REF!)+(H49*$F$42*$B$48)</f>
        <v>#REF!</v>
      </c>
      <c r="I48" s="364" t="e">
        <f>(I49*$F$41*#REF!)+(I49*$F$42*$B$48)</f>
        <v>#REF!</v>
      </c>
      <c r="J48" s="364" t="e">
        <f>(J49*$F$41*#REF!)+(J49*$F$42*$B$48)</f>
        <v>#REF!</v>
      </c>
      <c r="K48" s="364" t="e">
        <f>(K49*$F$41*#REF!)+(K49*$F$42*$B$48)</f>
        <v>#REF!</v>
      </c>
      <c r="L48" s="364" t="e">
        <f>(L49*$F$41*#REF!)+(L49*$F$42*$B$48)</f>
        <v>#REF!</v>
      </c>
      <c r="M48" s="564" t="e">
        <f>(M49*$F$41*#REF!)+(M49*$F$42*$B$48)</f>
        <v>#REF!</v>
      </c>
    </row>
    <row r="49" spans="1:13" ht="16.5" hidden="1" thickBot="1">
      <c r="A49" s="1082" t="s">
        <v>766</v>
      </c>
      <c r="B49" s="1083"/>
      <c r="C49" s="1083"/>
      <c r="D49" s="566" t="e">
        <f>B28/(($F$41*((#REF!*$C$45)+(#REF!*$C$46)+(#REF!*$C$47)+(#REF!*$C$48)))+($F$42*(($B$45*$C$45)+($B$46*$C$46)+($B$47*$C$47)+($B$48*$C$48))))</f>
        <v>#REF!</v>
      </c>
      <c r="E49" s="566" t="e">
        <f>C28/(($F$41*((#REF!*$C$45)+(#REF!*$C$46)+(#REF!*$C$47)+(#REF!*$C$48)))+($F$42*(($B$45*$C$45)+($B$46*$C$46)+($B$47*$C$47)+($B$48*$C$48))))</f>
        <v>#REF!</v>
      </c>
      <c r="F49" s="566" t="e">
        <f>D28/(($F$41*((#REF!*$C$45)+(#REF!*$C$46)+(#REF!*$C$47)+(#REF!*$C$48)))+($F$42*(($B$45*$C$45)+($B$46*$C$46)+($B$47*$C$47)+($B$48*$C$48))))</f>
        <v>#REF!</v>
      </c>
      <c r="G49" s="566" t="e">
        <f>E28/(($F$41*((#REF!*$C$45)+(#REF!*$C$46)+(#REF!*$C$47)+(#REF!*$C$48)))+($F$42*(($B$45*$C$45)+($B$46*$C$46)+($B$47*$C$47)+($B$48*$C$48))))</f>
        <v>#REF!</v>
      </c>
      <c r="H49" s="566" t="e">
        <f>F28/(($F$41*((#REF!*$C$45)+(#REF!*$C$46)+(#REF!*$C$47)+(#REF!*$C$48)))+($F$42*(($B$45*$C$45)+($B$46*$C$46)+($B$47*$C$47)+($B$48*$C$48))))</f>
        <v>#REF!</v>
      </c>
      <c r="I49" s="566" t="e">
        <f>G28/(($F$41*((#REF!*$C$45)+(#REF!*$C$46)+(#REF!*$C$47)+(#REF!*$C$48)))+($F$42*(($B$45*$C$45)+($B$46*$C$46)+($B$47*$C$47)+($B$48*$C$48))))</f>
        <v>#REF!</v>
      </c>
      <c r="J49" s="566" t="e">
        <f>H28/(($F$41*((#REF!*$C$45)+(#REF!*$C$46)+(#REF!*$C$47)+(#REF!*$C$48)))+($F$42*(($B$45*$C$45)+($B$46*$C$46)+($B$47*$C$47)+($B$48*$C$48))))</f>
        <v>#REF!</v>
      </c>
      <c r="K49" s="566" t="e">
        <f>I28/(($F$41*((#REF!*$C$45)+(#REF!*$C$46)+(#REF!*$C$47)+(#REF!*$C$48)))+($F$42*(($B$45*$C$45)+($B$46*$C$46)+($B$47*$C$47)+($B$48*$C$48))))</f>
        <v>#REF!</v>
      </c>
      <c r="L49" s="566" t="e">
        <f>J28/(($F$41*((#REF!*$C$45)+(#REF!*$C$46)+(#REF!*$C$47)+(#REF!*$C$48)))+($F$42*(($B$45*$C$45)+($B$46*$C$46)+($B$47*$C$47)+($B$48*$C$48))))</f>
        <v>#REF!</v>
      </c>
      <c r="M49" s="567" t="e">
        <f>K28/(($F$41*((#REF!*$C$45)+(#REF!*$C$46)+(#REF!*$C$47)+(#REF!*$C$48)))+($F$42*(($B$45*$C$45)+($B$46*$C$46)+($B$47*$C$47)+($B$48*$C$48))))</f>
        <v>#REF!</v>
      </c>
    </row>
    <row r="50" spans="4:13" ht="12.75" hidden="1">
      <c r="D50" s="281"/>
      <c r="E50" s="281"/>
      <c r="F50" s="281"/>
      <c r="G50" s="281"/>
      <c r="H50" s="281"/>
      <c r="I50" s="281"/>
      <c r="J50" s="281"/>
      <c r="K50" s="281"/>
      <c r="L50" s="281"/>
      <c r="M50" s="281"/>
    </row>
    <row r="51" spans="4:13" ht="12.75">
      <c r="D51" s="281"/>
      <c r="E51" s="281"/>
      <c r="F51" s="281"/>
      <c r="G51" s="281"/>
      <c r="H51" s="281"/>
      <c r="I51" s="281"/>
      <c r="J51" s="281"/>
      <c r="K51" s="281"/>
      <c r="L51" s="281"/>
      <c r="M51" s="281"/>
    </row>
    <row r="52" spans="4:13" ht="12.75">
      <c r="D52" s="281"/>
      <c r="E52" s="281"/>
      <c r="F52" s="281"/>
      <c r="G52" s="281"/>
      <c r="H52" s="281"/>
      <c r="I52" s="281"/>
      <c r="J52" s="281"/>
      <c r="K52" s="281"/>
      <c r="L52" s="281"/>
      <c r="M52" s="281"/>
    </row>
    <row r="53" spans="4:13" ht="12.75">
      <c r="D53" s="281"/>
      <c r="E53" s="281"/>
      <c r="F53" s="281"/>
      <c r="G53" s="281"/>
      <c r="H53" s="281"/>
      <c r="I53" s="281"/>
      <c r="J53" s="281"/>
      <c r="K53" s="281"/>
      <c r="L53" s="281"/>
      <c r="M53" s="281"/>
    </row>
    <row r="54" spans="4:13" ht="12.75">
      <c r="D54" s="281"/>
      <c r="E54" s="281"/>
      <c r="F54" s="281"/>
      <c r="G54" s="281"/>
      <c r="H54" s="281"/>
      <c r="I54" s="281"/>
      <c r="J54" s="281"/>
      <c r="K54" s="281"/>
      <c r="L54" s="281"/>
      <c r="M54" s="281"/>
    </row>
    <row r="55" spans="4:13" ht="12.75">
      <c r="D55" s="281"/>
      <c r="E55" s="281"/>
      <c r="F55" s="281"/>
      <c r="G55" s="281"/>
      <c r="H55" s="281"/>
      <c r="I55" s="281"/>
      <c r="J55" s="281"/>
      <c r="K55" s="281"/>
      <c r="L55" s="281"/>
      <c r="M55" s="281"/>
    </row>
    <row r="56" spans="4:13" ht="12.75">
      <c r="D56" s="281"/>
      <c r="E56" s="281"/>
      <c r="F56" s="281"/>
      <c r="G56" s="281"/>
      <c r="H56" s="281"/>
      <c r="I56" s="281"/>
      <c r="J56" s="281"/>
      <c r="K56" s="281"/>
      <c r="L56" s="281"/>
      <c r="M56" s="281"/>
    </row>
    <row r="57" spans="4:7" ht="12.75">
      <c r="D57" s="285"/>
      <c r="E57" s="285"/>
      <c r="F57" s="285"/>
      <c r="G57" s="285"/>
    </row>
    <row r="58" spans="4:7" ht="12.75">
      <c r="D58" s="285"/>
      <c r="E58" s="285"/>
      <c r="F58" s="285"/>
      <c r="G58" s="285"/>
    </row>
    <row r="59" spans="4:7" ht="12.75">
      <c r="D59" s="285"/>
      <c r="E59" s="285"/>
      <c r="F59" s="285"/>
      <c r="G59" s="285"/>
    </row>
    <row r="60" spans="4:12" ht="12.75">
      <c r="D60" s="285"/>
      <c r="E60" s="285"/>
      <c r="F60" s="285"/>
      <c r="G60" s="285"/>
      <c r="H60" s="317"/>
      <c r="I60" s="317"/>
      <c r="J60" s="317"/>
      <c r="K60" s="317"/>
      <c r="L60" s="317"/>
    </row>
    <row r="61" spans="4:7" ht="12.75">
      <c r="D61" s="285"/>
      <c r="E61" s="285"/>
      <c r="F61" s="285"/>
      <c r="G61" s="285"/>
    </row>
    <row r="62" spans="4:8" ht="12.75">
      <c r="D62" s="285"/>
      <c r="E62" s="285"/>
      <c r="F62" s="285"/>
      <c r="G62" s="285"/>
      <c r="H62" s="315"/>
    </row>
    <row r="63" spans="6:8" ht="12.75">
      <c r="F63" s="285"/>
      <c r="G63" s="281"/>
      <c r="H63" s="316"/>
    </row>
    <row r="64" spans="2:8" ht="12.75">
      <c r="B64" s="310"/>
      <c r="C64" s="310"/>
      <c r="F64" s="285"/>
      <c r="H64" s="281"/>
    </row>
    <row r="65" spans="3:8" ht="12.75">
      <c r="C65" s="310"/>
      <c r="F65" s="285"/>
      <c r="H65" s="285"/>
    </row>
    <row r="66" spans="3:8" ht="12.75">
      <c r="C66" s="310"/>
      <c r="H66" s="285"/>
    </row>
    <row r="67" spans="3:4" ht="12.75">
      <c r="C67" s="310"/>
      <c r="D67" s="310"/>
    </row>
    <row r="68" spans="3:4" ht="12.75">
      <c r="C68" s="310"/>
      <c r="D68" s="310"/>
    </row>
    <row r="69" spans="3:4" ht="12.75">
      <c r="C69" s="310"/>
      <c r="D69" s="310"/>
    </row>
    <row r="70" spans="3:4" ht="12.75">
      <c r="C70" s="310"/>
      <c r="D70" s="310"/>
    </row>
    <row r="71" spans="3:4" ht="12.75">
      <c r="C71" s="310"/>
      <c r="D71" s="310"/>
    </row>
    <row r="72" spans="3:4" ht="12.75">
      <c r="C72" s="310"/>
      <c r="D72" s="310"/>
    </row>
    <row r="73" spans="3:4" ht="12.75">
      <c r="C73" s="310"/>
      <c r="D73" s="310"/>
    </row>
    <row r="74" spans="3:4" ht="12.75">
      <c r="C74" s="310"/>
      <c r="D74" s="310"/>
    </row>
    <row r="75" ht="12.75">
      <c r="D75" s="310"/>
    </row>
    <row r="76" ht="12.75">
      <c r="D76" s="310"/>
    </row>
  </sheetData>
  <mergeCells count="7">
    <mergeCell ref="B25:K25"/>
    <mergeCell ref="A2:K2"/>
    <mergeCell ref="A49:C49"/>
    <mergeCell ref="A31:K31"/>
    <mergeCell ref="C39:D39"/>
    <mergeCell ref="B15:K15"/>
    <mergeCell ref="A3:K3"/>
  </mergeCells>
  <printOptions horizontalCentered="1"/>
  <pageMargins left="0.2755905511811024" right="0.75" top="0.35433070866141736" bottom="1" header="0" footer="0"/>
  <pageSetup orientation="landscape" paperSize="9" scale="72" r:id="rId5"/>
  <drawing r:id="rId4"/>
  <legacyDrawing r:id="rId3"/>
  <oleObjects>
    <oleObject progId="Equation.3" shapeId="1639532" r:id="rId1"/>
    <oleObject progId="Equation.3" shapeId="164001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F65"/>
  <sheetViews>
    <sheetView zoomScale="70" zoomScaleNormal="70" workbookViewId="0" topLeftCell="A40">
      <selection activeCell="B13" sqref="B13"/>
    </sheetView>
  </sheetViews>
  <sheetFormatPr defaultColWidth="11.421875" defaultRowHeight="12.75"/>
  <cols>
    <col min="1" max="1" width="4.7109375" style="0" customWidth="1"/>
    <col min="2" max="2" width="58.8515625" style="0" customWidth="1"/>
    <col min="3" max="3" width="12.140625" style="0" bestFit="1" customWidth="1"/>
    <col min="4" max="4" width="13.8515625" style="0" customWidth="1"/>
    <col min="5" max="5" width="16.57421875" style="0" bestFit="1" customWidth="1"/>
    <col min="6" max="6" width="16.140625" style="0" customWidth="1"/>
  </cols>
  <sheetData>
    <row r="1" ht="15.75">
      <c r="B1" s="347"/>
    </row>
    <row r="2" ht="15.75">
      <c r="B2" s="346"/>
    </row>
    <row r="3" spans="2:6" ht="15.75">
      <c r="B3" s="968" t="s">
        <v>865</v>
      </c>
      <c r="C3" s="968"/>
      <c r="D3" s="968"/>
      <c r="E3" s="968"/>
      <c r="F3" s="968"/>
    </row>
    <row r="4" spans="2:6" ht="18">
      <c r="B4" s="969" t="s">
        <v>346</v>
      </c>
      <c r="C4" s="969"/>
      <c r="D4" s="969"/>
      <c r="E4" s="969"/>
      <c r="F4" s="969"/>
    </row>
    <row r="5" spans="2:6" ht="13.5" thickBot="1">
      <c r="B5" s="1"/>
      <c r="C5" s="3"/>
      <c r="D5" s="6"/>
      <c r="E5" s="5"/>
      <c r="F5" s="5"/>
    </row>
    <row r="6" spans="2:6" ht="24.75" thickBot="1">
      <c r="B6" s="573" t="s">
        <v>3</v>
      </c>
      <c r="C6" s="574" t="s">
        <v>1</v>
      </c>
      <c r="D6" s="574" t="s">
        <v>359</v>
      </c>
      <c r="E6" s="575" t="s">
        <v>5</v>
      </c>
      <c r="F6" s="576" t="s">
        <v>353</v>
      </c>
    </row>
    <row r="7" spans="2:6" ht="15" thickBot="1">
      <c r="B7" s="754" t="s">
        <v>384</v>
      </c>
      <c r="C7" s="755"/>
      <c r="D7" s="755"/>
      <c r="E7" s="755"/>
      <c r="F7" s="757"/>
    </row>
    <row r="8" spans="2:6" ht="31.5">
      <c r="B8" s="751" t="s">
        <v>355</v>
      </c>
      <c r="C8" s="747"/>
      <c r="D8" s="748"/>
      <c r="E8" s="254">
        <f>SUM(D9:D13)</f>
        <v>75733.5202</v>
      </c>
      <c r="F8" s="255">
        <f>E8/$E$53</f>
        <v>0.2833673351366557</v>
      </c>
    </row>
    <row r="9" spans="2:6" ht="15.75">
      <c r="B9" s="256" t="s">
        <v>361</v>
      </c>
      <c r="C9" s="19" t="s">
        <v>360</v>
      </c>
      <c r="D9" s="23">
        <f>ANEXOS!F16</f>
        <v>31864.969999999998</v>
      </c>
      <c r="E9" s="14"/>
      <c r="F9" s="257">
        <f>D9/$E$53</f>
        <v>0.11922714815400168</v>
      </c>
    </row>
    <row r="10" spans="2:6" ht="15.75">
      <c r="B10" s="256" t="s">
        <v>362</v>
      </c>
      <c r="C10" s="19" t="s">
        <v>360</v>
      </c>
      <c r="D10" s="14">
        <f>ANEXOS!F75</f>
        <v>20593.47</v>
      </c>
      <c r="E10" s="14"/>
      <c r="F10" s="257">
        <f>D10/$E$53</f>
        <v>0.07705328762885982</v>
      </c>
    </row>
    <row r="11" spans="2:6" ht="15.75">
      <c r="B11" s="256" t="s">
        <v>363</v>
      </c>
      <c r="C11" s="19" t="s">
        <v>360</v>
      </c>
      <c r="D11" s="14">
        <f>ANEXOS!F189</f>
        <v>16175.097400000004</v>
      </c>
      <c r="E11" s="14"/>
      <c r="F11" s="257">
        <f>D11/$E$53</f>
        <v>0.06052134158968949</v>
      </c>
    </row>
    <row r="12" spans="2:6" ht="15.75">
      <c r="B12" s="256" t="s">
        <v>364</v>
      </c>
      <c r="C12" s="19" t="s">
        <v>360</v>
      </c>
      <c r="D12" s="14">
        <f>ANEXOS!F286</f>
        <v>4405.1228</v>
      </c>
      <c r="E12" s="14"/>
      <c r="F12" s="257">
        <f>D12/$E$53</f>
        <v>0.016482370098329632</v>
      </c>
    </row>
    <row r="13" spans="2:6" ht="16.5" thickBot="1">
      <c r="B13" s="258" t="s">
        <v>365</v>
      </c>
      <c r="C13" s="249" t="s">
        <v>360</v>
      </c>
      <c r="D13" s="250">
        <f>ANEXOS!F335</f>
        <v>2694.86</v>
      </c>
      <c r="E13" s="250"/>
      <c r="F13" s="259">
        <f>D13/$E$53</f>
        <v>0.010083187665775081</v>
      </c>
    </row>
    <row r="14" spans="2:6" ht="16.5" thickBot="1">
      <c r="B14" s="764" t="s">
        <v>356</v>
      </c>
      <c r="C14" s="765"/>
      <c r="D14" s="766"/>
      <c r="E14" s="797">
        <f>SUM(D15:D18)</f>
        <v>49040.094272896065</v>
      </c>
      <c r="F14" s="252">
        <f>E14/$E$53</f>
        <v>0.1834902272106576</v>
      </c>
    </row>
    <row r="15" spans="2:6" ht="15.75">
      <c r="B15" s="746" t="s">
        <v>470</v>
      </c>
      <c r="C15" s="794" t="s">
        <v>360</v>
      </c>
      <c r="D15" s="795">
        <f>ANEXOS!E397</f>
        <v>31055.966</v>
      </c>
      <c r="E15" s="362"/>
      <c r="F15" s="796">
        <f>D15/$E$53</f>
        <v>0.11620014892051174</v>
      </c>
    </row>
    <row r="16" spans="2:6" ht="15.75">
      <c r="B16" s="256" t="s">
        <v>785</v>
      </c>
      <c r="C16" s="19" t="s">
        <v>360</v>
      </c>
      <c r="D16" s="14">
        <f>ANEXOS!E490</f>
        <v>5332.038272896067</v>
      </c>
      <c r="E16" s="20"/>
      <c r="F16" s="257">
        <f>D16/$E$53</f>
        <v>0.019950551251904102</v>
      </c>
    </row>
    <row r="17" spans="2:6" ht="15.75">
      <c r="B17" s="265" t="s">
        <v>791</v>
      </c>
      <c r="C17" s="350" t="s">
        <v>360</v>
      </c>
      <c r="D17" s="14">
        <f>ANEXOS!E526</f>
        <v>12472.09</v>
      </c>
      <c r="E17" s="20"/>
      <c r="F17" s="257">
        <f>D17/$E$53</f>
        <v>0.04666603239293942</v>
      </c>
    </row>
    <row r="18" spans="2:6" ht="16.5" thickBot="1">
      <c r="B18" s="258" t="s">
        <v>638</v>
      </c>
      <c r="C18" s="260">
        <v>1</v>
      </c>
      <c r="D18" s="250">
        <v>180</v>
      </c>
      <c r="E18" s="251"/>
      <c r="F18" s="259">
        <f>D18/$E$53</f>
        <v>0.0006734946453023588</v>
      </c>
    </row>
    <row r="19" spans="2:6" ht="16.5" thickBot="1">
      <c r="B19" s="764" t="s">
        <v>354</v>
      </c>
      <c r="C19" s="765"/>
      <c r="D19" s="766"/>
      <c r="E19" s="797">
        <f>SUM(E20:E27)</f>
        <v>2220</v>
      </c>
      <c r="F19" s="252"/>
    </row>
    <row r="20" spans="2:6" ht="15.75">
      <c r="B20" s="256" t="s">
        <v>628</v>
      </c>
      <c r="C20" s="19">
        <v>2</v>
      </c>
      <c r="D20" s="14">
        <v>100</v>
      </c>
      <c r="E20" s="16">
        <f>C20*D20</f>
        <v>200</v>
      </c>
      <c r="F20" s="263">
        <f aca="true" t="shared" si="0" ref="F20:F28">E20/$E$53</f>
        <v>0.0007483273836692875</v>
      </c>
    </row>
    <row r="21" spans="2:6" ht="15.75">
      <c r="B21" s="256" t="s">
        <v>367</v>
      </c>
      <c r="C21" s="19">
        <v>2</v>
      </c>
      <c r="D21" s="14">
        <v>20</v>
      </c>
      <c r="E21" s="16">
        <f aca="true" t="shared" si="1" ref="E21:E27">D21*C21</f>
        <v>40</v>
      </c>
      <c r="F21" s="263">
        <f t="shared" si="0"/>
        <v>0.0001496654767338575</v>
      </c>
    </row>
    <row r="22" spans="2:6" ht="15.75">
      <c r="B22" s="256" t="s">
        <v>622</v>
      </c>
      <c r="C22" s="19">
        <v>2</v>
      </c>
      <c r="D22" s="14">
        <v>60</v>
      </c>
      <c r="E22" s="16">
        <f t="shared" si="1"/>
        <v>120</v>
      </c>
      <c r="F22" s="263">
        <f t="shared" si="0"/>
        <v>0.0004489964302015725</v>
      </c>
    </row>
    <row r="23" spans="2:6" ht="15.75">
      <c r="B23" s="256" t="s">
        <v>623</v>
      </c>
      <c r="C23" s="19">
        <v>2</v>
      </c>
      <c r="D23" s="14">
        <v>300</v>
      </c>
      <c r="E23" s="16">
        <f t="shared" si="1"/>
        <v>600</v>
      </c>
      <c r="F23" s="263">
        <f t="shared" si="0"/>
        <v>0.0022449821510078624</v>
      </c>
    </row>
    <row r="24" spans="2:6" ht="15.75">
      <c r="B24" s="256" t="s">
        <v>624</v>
      </c>
      <c r="C24" s="19">
        <v>3</v>
      </c>
      <c r="D24" s="14">
        <v>80</v>
      </c>
      <c r="E24" s="16">
        <f t="shared" si="1"/>
        <v>240</v>
      </c>
      <c r="F24" s="263">
        <f t="shared" si="0"/>
        <v>0.000897992860403145</v>
      </c>
    </row>
    <row r="25" spans="2:6" ht="15.75">
      <c r="B25" s="256" t="s">
        <v>625</v>
      </c>
      <c r="C25" s="19">
        <v>3</v>
      </c>
      <c r="D25" s="14">
        <v>100</v>
      </c>
      <c r="E25" s="16">
        <f t="shared" si="1"/>
        <v>300</v>
      </c>
      <c r="F25" s="263">
        <f t="shared" si="0"/>
        <v>0.0011224910755039312</v>
      </c>
    </row>
    <row r="26" spans="2:6" ht="15.75">
      <c r="B26" s="256" t="s">
        <v>626</v>
      </c>
      <c r="C26" s="19">
        <v>1</v>
      </c>
      <c r="D26" s="14">
        <v>120</v>
      </c>
      <c r="E26" s="16">
        <f t="shared" si="1"/>
        <v>120</v>
      </c>
      <c r="F26" s="263">
        <f t="shared" si="0"/>
        <v>0.0004489964302015725</v>
      </c>
    </row>
    <row r="27" spans="2:6" ht="16.5" thickBot="1">
      <c r="B27" s="258" t="s">
        <v>627</v>
      </c>
      <c r="C27" s="249">
        <v>4</v>
      </c>
      <c r="D27" s="250">
        <v>150</v>
      </c>
      <c r="E27" s="251">
        <f t="shared" si="1"/>
        <v>600</v>
      </c>
      <c r="F27" s="264">
        <f t="shared" si="0"/>
        <v>0.0022449821510078624</v>
      </c>
    </row>
    <row r="28" spans="2:6" ht="16.5" thickBot="1">
      <c r="B28" s="764" t="s">
        <v>629</v>
      </c>
      <c r="C28" s="765"/>
      <c r="D28" s="766"/>
      <c r="E28" s="797">
        <f>E29</f>
        <v>1600</v>
      </c>
      <c r="F28" s="252">
        <f t="shared" si="0"/>
        <v>0.0059866190693543</v>
      </c>
    </row>
    <row r="29" spans="2:6" ht="16.5" thickBot="1">
      <c r="B29" s="258" t="s">
        <v>630</v>
      </c>
      <c r="C29" s="249">
        <v>2</v>
      </c>
      <c r="D29" s="250">
        <v>800</v>
      </c>
      <c r="E29" s="251">
        <f>D29*C29</f>
        <v>1600</v>
      </c>
      <c r="F29" s="264">
        <f aca="true" t="shared" si="2" ref="F29:F40">E29/$E$53</f>
        <v>0.0059866190693543</v>
      </c>
    </row>
    <row r="30" spans="2:6" ht="16.5" thickBot="1">
      <c r="B30" s="764" t="s">
        <v>886</v>
      </c>
      <c r="C30" s="765"/>
      <c r="D30" s="766"/>
      <c r="E30" s="797">
        <f>SUM(E31:E35)</f>
        <v>2156</v>
      </c>
      <c r="F30" s="252">
        <f t="shared" si="2"/>
        <v>0.00806696919595492</v>
      </c>
    </row>
    <row r="31" spans="2:6" ht="15.75">
      <c r="B31" s="256" t="s">
        <v>366</v>
      </c>
      <c r="C31" s="19">
        <v>4</v>
      </c>
      <c r="D31" s="14">
        <v>190</v>
      </c>
      <c r="E31" s="16">
        <f>D31*C31</f>
        <v>760</v>
      </c>
      <c r="F31" s="263">
        <f t="shared" si="2"/>
        <v>0.0028436440579432927</v>
      </c>
    </row>
    <row r="32" spans="2:6" ht="15.75">
      <c r="B32" s="256" t="s">
        <v>367</v>
      </c>
      <c r="C32" s="19">
        <v>12</v>
      </c>
      <c r="D32" s="14">
        <v>38</v>
      </c>
      <c r="E32" s="16">
        <f>D32*C32</f>
        <v>456</v>
      </c>
      <c r="F32" s="263">
        <f t="shared" si="2"/>
        <v>0.0017061864347659756</v>
      </c>
    </row>
    <row r="33" spans="2:6" ht="15.75">
      <c r="B33" s="256" t="s">
        <v>368</v>
      </c>
      <c r="C33" s="19">
        <v>4</v>
      </c>
      <c r="D33" s="14">
        <v>90</v>
      </c>
      <c r="E33" s="16">
        <f>D33*C33</f>
        <v>360</v>
      </c>
      <c r="F33" s="263">
        <f t="shared" si="2"/>
        <v>0.0013469892906047176</v>
      </c>
    </row>
    <row r="34" spans="2:6" ht="15.75">
      <c r="B34" s="256" t="s">
        <v>369</v>
      </c>
      <c r="C34" s="19">
        <v>1</v>
      </c>
      <c r="D34" s="14">
        <v>400</v>
      </c>
      <c r="E34" s="16">
        <f>D34*C34</f>
        <v>400</v>
      </c>
      <c r="F34" s="263">
        <f t="shared" si="2"/>
        <v>0.001496654767338575</v>
      </c>
    </row>
    <row r="35" spans="2:6" ht="16.5" thickBot="1">
      <c r="B35" s="258" t="s">
        <v>385</v>
      </c>
      <c r="C35" s="260">
        <v>4</v>
      </c>
      <c r="D35" s="261">
        <v>45</v>
      </c>
      <c r="E35" s="262">
        <f>D35*C35</f>
        <v>180</v>
      </c>
      <c r="F35" s="264">
        <f t="shared" si="2"/>
        <v>0.0006734946453023588</v>
      </c>
    </row>
    <row r="36" spans="2:6" ht="16.5" thickBot="1">
      <c r="B36" s="764" t="s">
        <v>887</v>
      </c>
      <c r="C36" s="765"/>
      <c r="D36" s="766"/>
      <c r="E36" s="797">
        <f>SUM(E37:E38)</f>
        <v>55000</v>
      </c>
      <c r="F36" s="252">
        <f t="shared" si="2"/>
        <v>0.20579003050905406</v>
      </c>
    </row>
    <row r="37" spans="2:6" ht="15.75">
      <c r="B37" s="256" t="s">
        <v>508</v>
      </c>
      <c r="C37" s="19">
        <v>1</v>
      </c>
      <c r="D37" s="14">
        <v>30000</v>
      </c>
      <c r="E37" s="16">
        <f>D37*C37</f>
        <v>30000</v>
      </c>
      <c r="F37" s="263">
        <f t="shared" si="2"/>
        <v>0.11224910755039313</v>
      </c>
    </row>
    <row r="38" spans="2:6" ht="16.5" thickBot="1">
      <c r="B38" s="258" t="s">
        <v>509</v>
      </c>
      <c r="C38" s="249">
        <v>1</v>
      </c>
      <c r="D38" s="250">
        <v>25000</v>
      </c>
      <c r="E38" s="251">
        <f>D38*C38</f>
        <v>25000</v>
      </c>
      <c r="F38" s="264">
        <f t="shared" si="2"/>
        <v>0.09354092295866094</v>
      </c>
    </row>
    <row r="39" spans="2:6" ht="16.5" thickBot="1">
      <c r="B39" s="767" t="s">
        <v>793</v>
      </c>
      <c r="C39" s="749"/>
      <c r="D39" s="750"/>
      <c r="E39" s="568">
        <f>SUM(E8:E38)</f>
        <v>246725.61447289606</v>
      </c>
      <c r="F39" s="569">
        <f t="shared" si="2"/>
        <v>0.9231576678134981</v>
      </c>
    </row>
    <row r="40" spans="2:6" ht="17.25" thickBot="1" thickTop="1">
      <c r="B40" s="761" t="s">
        <v>888</v>
      </c>
      <c r="C40" s="762"/>
      <c r="D40" s="763"/>
      <c r="E40" s="375">
        <f>E39*0.01</f>
        <v>2467.256144728961</v>
      </c>
      <c r="F40" s="376">
        <f t="shared" si="2"/>
        <v>0.009231576678134982</v>
      </c>
    </row>
    <row r="41" spans="2:6" ht="16.5" thickBot="1">
      <c r="B41" s="377"/>
      <c r="C41" s="377"/>
      <c r="D41" s="378"/>
      <c r="E41" s="271"/>
      <c r="F41" s="379"/>
    </row>
    <row r="42" spans="2:6" ht="15" thickBot="1">
      <c r="B42" s="754" t="s">
        <v>645</v>
      </c>
      <c r="C42" s="755"/>
      <c r="D42" s="755"/>
      <c r="E42" s="755"/>
      <c r="F42" s="757"/>
    </row>
    <row r="43" spans="2:6" ht="15.75">
      <c r="B43" s="266" t="s">
        <v>889</v>
      </c>
      <c r="C43" s="267"/>
      <c r="D43" s="267"/>
      <c r="E43" s="254">
        <f>SUM(D44:D46)</f>
        <v>2436.5</v>
      </c>
      <c r="F43" s="268"/>
    </row>
    <row r="44" spans="2:6" ht="15.75">
      <c r="B44" s="269" t="s">
        <v>648</v>
      </c>
      <c r="C44" s="19" t="s">
        <v>360</v>
      </c>
      <c r="D44" s="14">
        <f>ANEXOS!E539</f>
        <v>937.5</v>
      </c>
      <c r="E44" s="16"/>
      <c r="F44" s="263">
        <f>D44/$E$53</f>
        <v>0.0035077846109497855</v>
      </c>
    </row>
    <row r="45" spans="2:6" ht="15.75">
      <c r="B45" s="256" t="s">
        <v>647</v>
      </c>
      <c r="C45" s="25" t="s">
        <v>360</v>
      </c>
      <c r="D45" s="26">
        <f>ANEXOS!E554</f>
        <v>499</v>
      </c>
      <c r="E45" s="27"/>
      <c r="F45" s="263">
        <f>D45/$E$53</f>
        <v>0.0018670768222548723</v>
      </c>
    </row>
    <row r="46" spans="2:6" ht="16.5" thickBot="1">
      <c r="B46" s="258" t="s">
        <v>649</v>
      </c>
      <c r="C46" s="260" t="s">
        <v>360</v>
      </c>
      <c r="D46" s="261">
        <v>1000</v>
      </c>
      <c r="E46" s="262"/>
      <c r="F46" s="264">
        <f>D46/$E$53</f>
        <v>0.0037416369183464375</v>
      </c>
    </row>
    <row r="47" spans="2:6" ht="16.5" thickBot="1">
      <c r="B47" s="764" t="s">
        <v>890</v>
      </c>
      <c r="C47" s="765"/>
      <c r="D47" s="766"/>
      <c r="E47" s="270">
        <v>1500</v>
      </c>
      <c r="F47" s="252"/>
    </row>
    <row r="48" spans="2:6" ht="16.5" thickBot="1">
      <c r="B48" s="764" t="s">
        <v>891</v>
      </c>
      <c r="C48" s="765"/>
      <c r="D48" s="766"/>
      <c r="E48" s="270">
        <v>800</v>
      </c>
      <c r="F48" s="252">
        <f>E48/E53</f>
        <v>0.00299330953467715</v>
      </c>
    </row>
    <row r="49" spans="2:6" ht="16.5" thickBot="1">
      <c r="B49" s="758" t="s">
        <v>794</v>
      </c>
      <c r="C49" s="759"/>
      <c r="D49" s="760"/>
      <c r="E49" s="381">
        <f>SUM(E43:E48)</f>
        <v>4736.5</v>
      </c>
      <c r="F49" s="382">
        <f>E49/$E$53</f>
        <v>0.0177222632637479</v>
      </c>
    </row>
    <row r="50" spans="2:6" ht="17.25" thickBot="1">
      <c r="B50" s="571" t="s">
        <v>693</v>
      </c>
      <c r="C50" s="272"/>
      <c r="D50" s="273"/>
      <c r="E50" s="572">
        <f>E49+E39+E40</f>
        <v>253929.370617625</v>
      </c>
      <c r="F50" s="348">
        <f>E50/$E$53</f>
        <v>0.9501115077553809</v>
      </c>
    </row>
    <row r="51" spans="2:6" ht="16.5" thickBot="1">
      <c r="B51" s="377"/>
      <c r="C51" s="383"/>
      <c r="D51" s="384"/>
      <c r="E51" s="385"/>
      <c r="F51" s="294"/>
    </row>
    <row r="52" spans="2:6" ht="15" thickBot="1">
      <c r="B52" s="754" t="s">
        <v>650</v>
      </c>
      <c r="C52" s="755"/>
      <c r="D52" s="756"/>
      <c r="E52" s="274">
        <f>'Cap Operac'!D21</f>
        <v>13333.333333333334</v>
      </c>
      <c r="F52" s="348">
        <f>E52/$E$53</f>
        <v>0.04988849224461917</v>
      </c>
    </row>
    <row r="53" spans="2:6" ht="15.75">
      <c r="B53" s="21" t="s">
        <v>352</v>
      </c>
      <c r="C53" s="22"/>
      <c r="D53" s="15"/>
      <c r="E53" s="18">
        <f>E50+E52</f>
        <v>267262.7039509583</v>
      </c>
      <c r="F53" s="17">
        <f>E53/$E$53</f>
        <v>1</v>
      </c>
    </row>
    <row r="54" spans="2:6" ht="15.75">
      <c r="B54" s="295"/>
      <c r="C54" s="296"/>
      <c r="D54" s="297"/>
      <c r="E54" s="298"/>
      <c r="F54" s="299"/>
    </row>
    <row r="55" spans="2:6" ht="14.25">
      <c r="B55" s="300" t="s">
        <v>745</v>
      </c>
      <c r="C55" s="301"/>
      <c r="D55" s="302"/>
      <c r="E55" s="303">
        <v>75000</v>
      </c>
      <c r="F55" s="17">
        <f>E55/E53</f>
        <v>0.2806227688759828</v>
      </c>
    </row>
    <row r="56" spans="2:6" ht="15" thickBot="1">
      <c r="B56" s="577" t="s">
        <v>833</v>
      </c>
      <c r="C56" s="578"/>
      <c r="D56" s="579"/>
      <c r="E56" s="580">
        <f>E53-E55</f>
        <v>192262.70395095833</v>
      </c>
      <c r="F56" s="581">
        <f>E56/E53</f>
        <v>0.7193772311240172</v>
      </c>
    </row>
    <row r="57" spans="2:6" ht="29.25" thickBot="1">
      <c r="B57" s="754" t="s">
        <v>834</v>
      </c>
      <c r="C57" s="755"/>
      <c r="D57" s="756"/>
      <c r="E57" s="274">
        <f>(E56/(1-('Anex Est Result - Gast'!G85/2)))*('Anex Est Result - Gast'!G85/2)</f>
        <v>12272.087486231383</v>
      </c>
      <c r="F57" s="348"/>
    </row>
    <row r="58" spans="2:6" ht="29.25" thickBot="1">
      <c r="B58" s="752" t="s">
        <v>836</v>
      </c>
      <c r="C58" s="753"/>
      <c r="D58" s="753"/>
      <c r="E58" s="695">
        <f>E56+E57</f>
        <v>204534.7914371897</v>
      </c>
      <c r="F58" s="696"/>
    </row>
    <row r="59" spans="2:6" ht="20.25" thickBot="1">
      <c r="B59" s="697" t="s">
        <v>858</v>
      </c>
      <c r="C59" s="698"/>
      <c r="D59" s="699"/>
      <c r="E59" s="700">
        <f>+E58+E55</f>
        <v>279534.7914371897</v>
      </c>
      <c r="F59" s="701"/>
    </row>
    <row r="60" spans="2:6" ht="15.75">
      <c r="B60" s="290"/>
      <c r="C60" s="291"/>
      <c r="D60" s="292"/>
      <c r="E60" s="293"/>
      <c r="F60" s="294"/>
    </row>
    <row r="61" ht="12.75">
      <c r="B61" t="s">
        <v>357</v>
      </c>
    </row>
    <row r="62" ht="12.75">
      <c r="B62" t="s">
        <v>358</v>
      </c>
    </row>
    <row r="63" ht="12.75">
      <c r="B63" t="s">
        <v>646</v>
      </c>
    </row>
    <row r="64" ht="12.75">
      <c r="B64" t="s">
        <v>375</v>
      </c>
    </row>
    <row r="65" ht="12.75">
      <c r="B65" t="s">
        <v>835</v>
      </c>
    </row>
  </sheetData>
  <mergeCells count="2">
    <mergeCell ref="B3:F3"/>
    <mergeCell ref="B4:F4"/>
  </mergeCells>
  <printOptions horizontalCentered="1"/>
  <pageMargins left="0.35" right="0.75" top="0.69" bottom="1" header="0" footer="0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H21"/>
  <sheetViews>
    <sheetView zoomScale="85" zoomScaleNormal="85" workbookViewId="0" topLeftCell="A1">
      <selection activeCell="B6" sqref="B6"/>
    </sheetView>
  </sheetViews>
  <sheetFormatPr defaultColWidth="11.421875" defaultRowHeight="12.75"/>
  <cols>
    <col min="1" max="1" width="27.421875" style="0" bestFit="1" customWidth="1"/>
    <col min="2" max="3" width="11.57421875" style="0" bestFit="1" customWidth="1"/>
    <col min="4" max="4" width="13.8515625" style="0" bestFit="1" customWidth="1"/>
  </cols>
  <sheetData>
    <row r="2" spans="1:8" ht="18">
      <c r="A2" s="956" t="s">
        <v>386</v>
      </c>
      <c r="B2" s="956"/>
      <c r="C2" s="956"/>
      <c r="D2" s="956"/>
      <c r="E2" s="956"/>
      <c r="F2" s="956"/>
      <c r="G2" s="956"/>
      <c r="H2" s="956"/>
    </row>
    <row r="3" spans="1:8" s="32" customFormat="1" ht="15.75">
      <c r="A3" s="31"/>
      <c r="B3" s="31"/>
      <c r="C3" s="31"/>
      <c r="D3" s="31"/>
      <c r="E3" s="31"/>
      <c r="F3" s="31"/>
      <c r="G3" s="31"/>
      <c r="H3" s="31"/>
    </row>
    <row r="4" spans="1:8" ht="12.75">
      <c r="A4" s="973" t="s">
        <v>399</v>
      </c>
      <c r="B4" s="974"/>
      <c r="C4" s="974"/>
      <c r="D4" s="974"/>
      <c r="E4" s="974"/>
      <c r="F4" s="974"/>
      <c r="G4" s="974"/>
      <c r="H4" s="974"/>
    </row>
    <row r="5" spans="1:8" ht="12.75">
      <c r="A5" s="974"/>
      <c r="B5" s="974"/>
      <c r="C5" s="974"/>
      <c r="D5" s="974"/>
      <c r="E5" s="974"/>
      <c r="F5" s="974"/>
      <c r="G5" s="974"/>
      <c r="H5" s="974"/>
    </row>
    <row r="6" ht="13.5" thickBot="1"/>
    <row r="7" spans="3:4" ht="13.5" thickBot="1">
      <c r="C7" s="394" t="s">
        <v>400</v>
      </c>
      <c r="D7" s="395">
        <v>2</v>
      </c>
    </row>
    <row r="8" ht="13.5" thickBot="1"/>
    <row r="9" spans="1:8" s="28" customFormat="1" ht="13.5" thickBot="1">
      <c r="A9" s="393" t="s">
        <v>3</v>
      </c>
      <c r="B9" s="373" t="s">
        <v>387</v>
      </c>
      <c r="C9" s="373" t="s">
        <v>388</v>
      </c>
      <c r="D9" s="373" t="s">
        <v>5</v>
      </c>
      <c r="E9" s="959" t="s">
        <v>397</v>
      </c>
      <c r="F9" s="959"/>
      <c r="G9" s="959"/>
      <c r="H9" s="951"/>
    </row>
    <row r="10" spans="1:8" s="29" customFormat="1" ht="25.5" customHeight="1">
      <c r="A10" s="391" t="s">
        <v>389</v>
      </c>
      <c r="B10" s="392"/>
      <c r="C10" s="392"/>
      <c r="D10" s="392"/>
      <c r="E10" s="952"/>
      <c r="F10" s="952"/>
      <c r="G10" s="952"/>
      <c r="H10" s="953"/>
    </row>
    <row r="11" spans="1:8" s="29" customFormat="1" ht="25.5" customHeight="1">
      <c r="A11" s="387" t="s">
        <v>436</v>
      </c>
      <c r="B11" s="30">
        <v>1</v>
      </c>
      <c r="C11" s="33">
        <v>430</v>
      </c>
      <c r="D11" s="33">
        <f>B11*C11*$D$7</f>
        <v>860</v>
      </c>
      <c r="E11" s="954"/>
      <c r="F11" s="954"/>
      <c r="G11" s="954"/>
      <c r="H11" s="955"/>
    </row>
    <row r="12" spans="1:8" s="29" customFormat="1" ht="25.5" customHeight="1">
      <c r="A12" s="387" t="s">
        <v>425</v>
      </c>
      <c r="B12" s="30">
        <v>1</v>
      </c>
      <c r="C12" s="33">
        <v>320</v>
      </c>
      <c r="D12" s="33">
        <f aca="true" t="shared" si="0" ref="D12:D20">B12*C12*$D$7</f>
        <v>640</v>
      </c>
      <c r="E12" s="954"/>
      <c r="F12" s="954"/>
      <c r="G12" s="954"/>
      <c r="H12" s="955"/>
    </row>
    <row r="13" spans="1:8" s="29" customFormat="1" ht="25.5" customHeight="1">
      <c r="A13" s="387" t="s">
        <v>390</v>
      </c>
      <c r="B13" s="30">
        <v>1</v>
      </c>
      <c r="C13" s="33">
        <v>380</v>
      </c>
      <c r="D13" s="33">
        <f t="shared" si="0"/>
        <v>760</v>
      </c>
      <c r="E13" s="954"/>
      <c r="F13" s="954"/>
      <c r="G13" s="954"/>
      <c r="H13" s="955"/>
    </row>
    <row r="14" spans="1:8" s="29" customFormat="1" ht="25.5" customHeight="1">
      <c r="A14" s="387" t="s">
        <v>394</v>
      </c>
      <c r="B14" s="30">
        <v>1</v>
      </c>
      <c r="C14" s="33">
        <v>150</v>
      </c>
      <c r="D14" s="33">
        <f>B14*C14*$D$7</f>
        <v>300</v>
      </c>
      <c r="E14" s="954"/>
      <c r="F14" s="954"/>
      <c r="G14" s="954"/>
      <c r="H14" s="955"/>
    </row>
    <row r="15" spans="1:8" s="29" customFormat="1" ht="25.5" customHeight="1">
      <c r="A15" s="386" t="s">
        <v>441</v>
      </c>
      <c r="B15" s="30"/>
      <c r="C15" s="33"/>
      <c r="D15" s="33"/>
      <c r="E15" s="954"/>
      <c r="F15" s="954"/>
      <c r="G15" s="954"/>
      <c r="H15" s="955"/>
    </row>
    <row r="16" spans="1:8" s="29" customFormat="1" ht="25.5" customHeight="1">
      <c r="A16" s="387" t="s">
        <v>391</v>
      </c>
      <c r="B16" s="30">
        <v>1</v>
      </c>
      <c r="C16" s="33">
        <v>380</v>
      </c>
      <c r="D16" s="33">
        <f t="shared" si="0"/>
        <v>760</v>
      </c>
      <c r="E16" s="954"/>
      <c r="F16" s="954"/>
      <c r="G16" s="954"/>
      <c r="H16" s="955"/>
    </row>
    <row r="17" spans="1:8" s="29" customFormat="1" ht="25.5" customHeight="1">
      <c r="A17" s="387" t="s">
        <v>392</v>
      </c>
      <c r="B17" s="30">
        <v>10</v>
      </c>
      <c r="C17" s="33">
        <v>250</v>
      </c>
      <c r="D17" s="33">
        <f t="shared" si="0"/>
        <v>5000</v>
      </c>
      <c r="E17" s="954" t="s">
        <v>401</v>
      </c>
      <c r="F17" s="954"/>
      <c r="G17" s="954"/>
      <c r="H17" s="955"/>
    </row>
    <row r="18" spans="1:8" s="29" customFormat="1" ht="25.5" customHeight="1">
      <c r="A18" s="387" t="s">
        <v>393</v>
      </c>
      <c r="B18" s="30">
        <v>8</v>
      </c>
      <c r="C18" s="33">
        <v>280</v>
      </c>
      <c r="D18" s="33">
        <f>B18*C18*$D$7</f>
        <v>4480</v>
      </c>
      <c r="E18" s="954"/>
      <c r="F18" s="954"/>
      <c r="G18" s="954"/>
      <c r="H18" s="955"/>
    </row>
    <row r="19" spans="1:8" s="29" customFormat="1" ht="25.5" customHeight="1">
      <c r="A19" s="386" t="s">
        <v>395</v>
      </c>
      <c r="B19" s="30">
        <v>1</v>
      </c>
      <c r="C19" s="33">
        <f>'gastos publicid'!B27</f>
        <v>323.33333333333337</v>
      </c>
      <c r="D19" s="33">
        <f>B19*C19</f>
        <v>323.33333333333337</v>
      </c>
      <c r="E19" s="954" t="s">
        <v>424</v>
      </c>
      <c r="F19" s="954"/>
      <c r="G19" s="954"/>
      <c r="H19" s="955"/>
    </row>
    <row r="20" spans="1:8" s="29" customFormat="1" ht="25.5" customHeight="1" thickBot="1">
      <c r="A20" s="388" t="s">
        <v>396</v>
      </c>
      <c r="B20" s="389">
        <v>1</v>
      </c>
      <c r="C20" s="390">
        <f>'Anex Est Result - Gast'!B38/12</f>
        <v>105</v>
      </c>
      <c r="D20" s="390">
        <f t="shared" si="0"/>
        <v>210</v>
      </c>
      <c r="E20" s="957" t="s">
        <v>398</v>
      </c>
      <c r="F20" s="957"/>
      <c r="G20" s="957"/>
      <c r="H20" s="958"/>
    </row>
    <row r="21" spans="1:4" s="29" customFormat="1" ht="25.5" customHeight="1" thickBot="1">
      <c r="A21" s="970" t="s">
        <v>5</v>
      </c>
      <c r="B21" s="971"/>
      <c r="C21" s="972"/>
      <c r="D21" s="396">
        <f>SUM(D11:D20)</f>
        <v>13333.333333333334</v>
      </c>
    </row>
  </sheetData>
  <mergeCells count="15">
    <mergeCell ref="A2:H2"/>
    <mergeCell ref="E17:H17"/>
    <mergeCell ref="E20:H20"/>
    <mergeCell ref="E9:H9"/>
    <mergeCell ref="E10:H10"/>
    <mergeCell ref="E11:H11"/>
    <mergeCell ref="E12:H12"/>
    <mergeCell ref="E13:H13"/>
    <mergeCell ref="E15:H15"/>
    <mergeCell ref="E16:H16"/>
    <mergeCell ref="A21:C21"/>
    <mergeCell ref="A4:H5"/>
    <mergeCell ref="E18:H18"/>
    <mergeCell ref="E14:H14"/>
    <mergeCell ref="E19:H19"/>
  </mergeCells>
  <printOptions horizontalCentered="1"/>
  <pageMargins left="0.3937007874015748" right="0.75" top="0.51" bottom="1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M28"/>
  <sheetViews>
    <sheetView zoomScale="90" zoomScaleNormal="90" workbookViewId="0" topLeftCell="A1">
      <selection activeCell="C34" sqref="C34"/>
    </sheetView>
  </sheetViews>
  <sheetFormatPr defaultColWidth="11.421875" defaultRowHeight="12.75"/>
  <cols>
    <col min="1" max="1" width="17.7109375" style="0" customWidth="1"/>
    <col min="2" max="2" width="11.140625" style="0" bestFit="1" customWidth="1"/>
    <col min="3" max="3" width="11.57421875" style="34" bestFit="1" customWidth="1"/>
    <col min="4" max="4" width="11.57421875" style="34" customWidth="1"/>
    <col min="5" max="13" width="11.57421875" style="0" bestFit="1" customWidth="1"/>
  </cols>
  <sheetData>
    <row r="2" spans="1:13" ht="15.75">
      <c r="A2" s="968" t="s">
        <v>870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</row>
    <row r="3" spans="1:13" ht="18">
      <c r="A3" s="940" t="s">
        <v>403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</row>
    <row r="4" ht="13.5" thickBot="1"/>
    <row r="5" spans="1:13" ht="13.5" thickBot="1">
      <c r="A5" s="941" t="s">
        <v>435</v>
      </c>
      <c r="B5" s="941"/>
      <c r="C5" s="941"/>
      <c r="D5" s="942"/>
      <c r="E5" s="397">
        <v>0.05</v>
      </c>
      <c r="F5" s="398">
        <v>0.05</v>
      </c>
      <c r="G5" s="398">
        <v>0.05</v>
      </c>
      <c r="H5" s="398">
        <v>0.05</v>
      </c>
      <c r="I5" s="398">
        <v>0.05</v>
      </c>
      <c r="J5" s="398">
        <v>0.05</v>
      </c>
      <c r="K5" s="398">
        <v>0.05</v>
      </c>
      <c r="L5" s="398">
        <v>0.05</v>
      </c>
      <c r="M5" s="399">
        <v>0.05</v>
      </c>
    </row>
    <row r="6" ht="13.5" thickBot="1"/>
    <row r="7" spans="2:13" ht="13.5" thickBot="1">
      <c r="B7" s="943" t="s">
        <v>404</v>
      </c>
      <c r="C7" s="944"/>
      <c r="D7" s="944"/>
      <c r="E7" s="370" t="s">
        <v>426</v>
      </c>
      <c r="F7" s="370" t="s">
        <v>427</v>
      </c>
      <c r="G7" s="370" t="s">
        <v>428</v>
      </c>
      <c r="H7" s="370" t="s">
        <v>429</v>
      </c>
      <c r="I7" s="370" t="s">
        <v>430</v>
      </c>
      <c r="J7" s="370" t="s">
        <v>431</v>
      </c>
      <c r="K7" s="370" t="s">
        <v>432</v>
      </c>
      <c r="L7" s="370" t="s">
        <v>433</v>
      </c>
      <c r="M7" s="401" t="s">
        <v>434</v>
      </c>
    </row>
    <row r="8" spans="2:13" ht="13.5" thickBot="1">
      <c r="B8" s="402" t="s">
        <v>417</v>
      </c>
      <c r="C8" s="403" t="s">
        <v>418</v>
      </c>
      <c r="D8" s="403" t="s">
        <v>419</v>
      </c>
      <c r="E8" s="403" t="s">
        <v>419</v>
      </c>
      <c r="F8" s="403" t="s">
        <v>419</v>
      </c>
      <c r="G8" s="403" t="s">
        <v>419</v>
      </c>
      <c r="H8" s="403" t="s">
        <v>419</v>
      </c>
      <c r="I8" s="403" t="s">
        <v>419</v>
      </c>
      <c r="J8" s="403" t="s">
        <v>419</v>
      </c>
      <c r="K8" s="403" t="s">
        <v>419</v>
      </c>
      <c r="L8" s="403" t="s">
        <v>419</v>
      </c>
      <c r="M8" s="404" t="s">
        <v>419</v>
      </c>
    </row>
    <row r="9" spans="1:13" ht="12.75">
      <c r="A9" s="405" t="s">
        <v>416</v>
      </c>
      <c r="B9" s="267">
        <v>100</v>
      </c>
      <c r="C9" s="406">
        <v>0.3</v>
      </c>
      <c r="D9" s="406">
        <f>C9*B9</f>
        <v>30</v>
      </c>
      <c r="E9" s="406">
        <f>D9*(1+$E$5)</f>
        <v>31.5</v>
      </c>
      <c r="F9" s="406">
        <f>E9*(1+$F$5)</f>
        <v>33.075</v>
      </c>
      <c r="G9" s="406">
        <f>F9*(1+$G$5)</f>
        <v>34.728750000000005</v>
      </c>
      <c r="H9" s="406">
        <f>G9*(1+$H$5)</f>
        <v>36.465187500000006</v>
      </c>
      <c r="I9" s="406">
        <f>H9*(1+$I$5)</f>
        <v>38.288446875000005</v>
      </c>
      <c r="J9" s="406">
        <f>I9*(1+$J$5)</f>
        <v>40.20286921875001</v>
      </c>
      <c r="K9" s="406">
        <f>J9*(1+$K$5)</f>
        <v>42.21301267968751</v>
      </c>
      <c r="L9" s="406">
        <f>K9*(1+$L$5)</f>
        <v>44.32366331367189</v>
      </c>
      <c r="M9" s="407">
        <f>L9*(1+$M$5)</f>
        <v>46.53984647935548</v>
      </c>
    </row>
    <row r="10" spans="1:13" ht="12.75">
      <c r="A10" s="408" t="s">
        <v>405</v>
      </c>
      <c r="B10" s="20">
        <v>600</v>
      </c>
      <c r="C10" s="35">
        <v>0.2</v>
      </c>
      <c r="D10" s="35">
        <f>C10*B10</f>
        <v>120</v>
      </c>
      <c r="E10" s="35">
        <f>D10*(1+$E$5)</f>
        <v>126</v>
      </c>
      <c r="F10" s="35">
        <f aca="true" t="shared" si="0" ref="F10:F20">E10*(1+$F$5)</f>
        <v>132.3</v>
      </c>
      <c r="G10" s="35">
        <f aca="true" t="shared" si="1" ref="G10:G20">F10*(1+$G$5)</f>
        <v>138.91500000000002</v>
      </c>
      <c r="H10" s="35">
        <f aca="true" t="shared" si="2" ref="H10:H20">G10*(1+$H$5)</f>
        <v>145.86075000000002</v>
      </c>
      <c r="I10" s="35">
        <f aca="true" t="shared" si="3" ref="I10:I20">H10*(1+$I$5)</f>
        <v>153.15378750000002</v>
      </c>
      <c r="J10" s="35">
        <f aca="true" t="shared" si="4" ref="J10:J20">I10*(1+$J$5)</f>
        <v>160.81147687500004</v>
      </c>
      <c r="K10" s="35">
        <f aca="true" t="shared" si="5" ref="K10:K20">J10*(1+$K$5)</f>
        <v>168.85205071875004</v>
      </c>
      <c r="L10" s="35">
        <f aca="true" t="shared" si="6" ref="L10:L20">K10*(1+$L$5)</f>
        <v>177.29465325468755</v>
      </c>
      <c r="M10" s="409">
        <f aca="true" t="shared" si="7" ref="M10:M20">L10*(1+$M$5)</f>
        <v>186.15938591742193</v>
      </c>
    </row>
    <row r="11" spans="1:13" ht="12.75">
      <c r="A11" s="408" t="s">
        <v>406</v>
      </c>
      <c r="B11" s="20">
        <v>4000</v>
      </c>
      <c r="C11" s="35">
        <v>0.03</v>
      </c>
      <c r="D11" s="35">
        <f>C11*B11</f>
        <v>120</v>
      </c>
      <c r="E11" s="35">
        <f aca="true" t="shared" si="8" ref="E11:E20">D11*(1+$E$5)</f>
        <v>126</v>
      </c>
      <c r="F11" s="35">
        <f t="shared" si="0"/>
        <v>132.3</v>
      </c>
      <c r="G11" s="35">
        <f t="shared" si="1"/>
        <v>138.91500000000002</v>
      </c>
      <c r="H11" s="35">
        <f t="shared" si="2"/>
        <v>145.86075000000002</v>
      </c>
      <c r="I11" s="35">
        <f t="shared" si="3"/>
        <v>153.15378750000002</v>
      </c>
      <c r="J11" s="35">
        <f t="shared" si="4"/>
        <v>160.81147687500004</v>
      </c>
      <c r="K11" s="35">
        <f t="shared" si="5"/>
        <v>168.85205071875004</v>
      </c>
      <c r="L11" s="35">
        <f t="shared" si="6"/>
        <v>177.29465325468755</v>
      </c>
      <c r="M11" s="409">
        <f t="shared" si="7"/>
        <v>186.15938591742193</v>
      </c>
    </row>
    <row r="12" spans="1:13" ht="12.75">
      <c r="A12" s="408" t="s">
        <v>407</v>
      </c>
      <c r="B12" s="20">
        <v>1</v>
      </c>
      <c r="C12" s="35">
        <v>1100</v>
      </c>
      <c r="D12" s="35">
        <f aca="true" t="shared" si="9" ref="D12:D19">C12*B12</f>
        <v>1100</v>
      </c>
      <c r="E12" s="35">
        <f t="shared" si="8"/>
        <v>1155</v>
      </c>
      <c r="F12" s="35">
        <f t="shared" si="0"/>
        <v>1212.75</v>
      </c>
      <c r="G12" s="35">
        <f t="shared" si="1"/>
        <v>1273.3875</v>
      </c>
      <c r="H12" s="35">
        <f>G12*(1+$H$5)</f>
        <v>1337.056875</v>
      </c>
      <c r="I12" s="35">
        <f t="shared" si="3"/>
        <v>1403.9097187500001</v>
      </c>
      <c r="J12" s="35">
        <f t="shared" si="4"/>
        <v>1474.1052046875002</v>
      </c>
      <c r="K12" s="35">
        <f t="shared" si="5"/>
        <v>1547.8104649218753</v>
      </c>
      <c r="L12" s="35">
        <f t="shared" si="6"/>
        <v>1625.2009881679692</v>
      </c>
      <c r="M12" s="409">
        <f t="shared" si="7"/>
        <v>1706.4610375763677</v>
      </c>
    </row>
    <row r="13" spans="1:13" ht="25.5">
      <c r="A13" s="410" t="s">
        <v>408</v>
      </c>
      <c r="B13" s="20">
        <v>1</v>
      </c>
      <c r="C13" s="35">
        <v>3500</v>
      </c>
      <c r="D13" s="35">
        <f t="shared" si="9"/>
        <v>3500</v>
      </c>
      <c r="E13" s="35">
        <f t="shared" si="8"/>
        <v>3675</v>
      </c>
      <c r="F13" s="35">
        <f t="shared" si="0"/>
        <v>3858.75</v>
      </c>
      <c r="G13" s="35">
        <f t="shared" si="1"/>
        <v>4051.6875</v>
      </c>
      <c r="H13" s="35">
        <f t="shared" si="2"/>
        <v>4254.271875</v>
      </c>
      <c r="I13" s="35">
        <f t="shared" si="3"/>
        <v>4466.985468750001</v>
      </c>
      <c r="J13" s="35">
        <f t="shared" si="4"/>
        <v>4690.334742187501</v>
      </c>
      <c r="K13" s="35">
        <f t="shared" si="5"/>
        <v>4924.851479296876</v>
      </c>
      <c r="L13" s="35">
        <f t="shared" si="6"/>
        <v>5171.094053261721</v>
      </c>
      <c r="M13" s="409">
        <f t="shared" si="7"/>
        <v>5429.648755924807</v>
      </c>
    </row>
    <row r="14" spans="1:13" ht="12.75">
      <c r="A14" s="408" t="s">
        <v>409</v>
      </c>
      <c r="B14" s="20">
        <v>200</v>
      </c>
      <c r="C14" s="35">
        <v>6</v>
      </c>
      <c r="D14" s="35">
        <f t="shared" si="9"/>
        <v>1200</v>
      </c>
      <c r="E14" s="35">
        <f t="shared" si="8"/>
        <v>1260</v>
      </c>
      <c r="F14" s="35">
        <f t="shared" si="0"/>
        <v>1323</v>
      </c>
      <c r="G14" s="35">
        <f t="shared" si="1"/>
        <v>1389.15</v>
      </c>
      <c r="H14" s="35">
        <f t="shared" si="2"/>
        <v>1458.6075</v>
      </c>
      <c r="I14" s="35">
        <f t="shared" si="3"/>
        <v>1531.5378750000002</v>
      </c>
      <c r="J14" s="35">
        <f t="shared" si="4"/>
        <v>1608.1147687500004</v>
      </c>
      <c r="K14" s="35">
        <f t="shared" si="5"/>
        <v>1688.5205071875005</v>
      </c>
      <c r="L14" s="35">
        <f t="shared" si="6"/>
        <v>1772.9465325468755</v>
      </c>
      <c r="M14" s="409">
        <f t="shared" si="7"/>
        <v>1861.5938591742192</v>
      </c>
    </row>
    <row r="15" spans="1:13" ht="12.75">
      <c r="A15" s="408" t="s">
        <v>410</v>
      </c>
      <c r="B15" s="20">
        <v>80</v>
      </c>
      <c r="C15" s="35">
        <v>3</v>
      </c>
      <c r="D15" s="35">
        <f t="shared" si="9"/>
        <v>240</v>
      </c>
      <c r="E15" s="35">
        <f t="shared" si="8"/>
        <v>252</v>
      </c>
      <c r="F15" s="35">
        <f t="shared" si="0"/>
        <v>264.6</v>
      </c>
      <c r="G15" s="35">
        <f t="shared" si="1"/>
        <v>277.83000000000004</v>
      </c>
      <c r="H15" s="35">
        <f t="shared" si="2"/>
        <v>291.72150000000005</v>
      </c>
      <c r="I15" s="35">
        <f>H15*(1+$I$5)</f>
        <v>306.30757500000004</v>
      </c>
      <c r="J15" s="35">
        <f t="shared" si="4"/>
        <v>321.6229537500001</v>
      </c>
      <c r="K15" s="35">
        <f t="shared" si="5"/>
        <v>337.70410143750007</v>
      </c>
      <c r="L15" s="35">
        <f t="shared" si="6"/>
        <v>354.5893065093751</v>
      </c>
      <c r="M15" s="409">
        <f t="shared" si="7"/>
        <v>372.31877183484386</v>
      </c>
    </row>
    <row r="16" spans="1:13" ht="12.75">
      <c r="A16" s="408" t="s">
        <v>411</v>
      </c>
      <c r="B16" s="20">
        <v>250</v>
      </c>
      <c r="C16" s="35">
        <v>1</v>
      </c>
      <c r="D16" s="35">
        <f t="shared" si="9"/>
        <v>250</v>
      </c>
      <c r="E16" s="35">
        <f t="shared" si="8"/>
        <v>262.5</v>
      </c>
      <c r="F16" s="35">
        <f t="shared" si="0"/>
        <v>275.625</v>
      </c>
      <c r="G16" s="35">
        <f t="shared" si="1"/>
        <v>289.40625</v>
      </c>
      <c r="H16" s="35">
        <f t="shared" si="2"/>
        <v>303.87656250000003</v>
      </c>
      <c r="I16" s="35">
        <f t="shared" si="3"/>
        <v>319.0703906250001</v>
      </c>
      <c r="J16" s="35">
        <f t="shared" si="4"/>
        <v>335.0239101562501</v>
      </c>
      <c r="K16" s="35">
        <f t="shared" si="5"/>
        <v>351.7751056640626</v>
      </c>
      <c r="L16" s="35">
        <f t="shared" si="6"/>
        <v>369.3638609472658</v>
      </c>
      <c r="M16" s="409">
        <f t="shared" si="7"/>
        <v>387.83205399462906</v>
      </c>
    </row>
    <row r="17" spans="1:13" ht="12.75">
      <c r="A17" s="408" t="s">
        <v>412</v>
      </c>
      <c r="B17" s="20">
        <v>250</v>
      </c>
      <c r="C17" s="35">
        <v>0.6</v>
      </c>
      <c r="D17" s="35">
        <f t="shared" si="9"/>
        <v>150</v>
      </c>
      <c r="E17" s="35">
        <f t="shared" si="8"/>
        <v>157.5</v>
      </c>
      <c r="F17" s="35">
        <f t="shared" si="0"/>
        <v>165.375</v>
      </c>
      <c r="G17" s="35">
        <f t="shared" si="1"/>
        <v>173.64375</v>
      </c>
      <c r="H17" s="35">
        <f t="shared" si="2"/>
        <v>182.3259375</v>
      </c>
      <c r="I17" s="35">
        <f t="shared" si="3"/>
        <v>191.44223437500003</v>
      </c>
      <c r="J17" s="35">
        <f t="shared" si="4"/>
        <v>201.01434609375005</v>
      </c>
      <c r="K17" s="35">
        <f t="shared" si="5"/>
        <v>211.06506339843756</v>
      </c>
      <c r="L17" s="35">
        <f t="shared" si="6"/>
        <v>221.61831656835943</v>
      </c>
      <c r="M17" s="409">
        <f t="shared" si="7"/>
        <v>232.6992323967774</v>
      </c>
    </row>
    <row r="18" spans="1:13" ht="12.75">
      <c r="A18" s="408" t="s">
        <v>413</v>
      </c>
      <c r="B18" s="20">
        <v>250</v>
      </c>
      <c r="C18" s="35">
        <v>0.4</v>
      </c>
      <c r="D18" s="35">
        <f t="shared" si="9"/>
        <v>100</v>
      </c>
      <c r="E18" s="35">
        <f t="shared" si="8"/>
        <v>105</v>
      </c>
      <c r="F18" s="35">
        <f t="shared" si="0"/>
        <v>110.25</v>
      </c>
      <c r="G18" s="35">
        <f t="shared" si="1"/>
        <v>115.7625</v>
      </c>
      <c r="H18" s="35">
        <f t="shared" si="2"/>
        <v>121.55062500000001</v>
      </c>
      <c r="I18" s="35">
        <f t="shared" si="3"/>
        <v>127.62815625000002</v>
      </c>
      <c r="J18" s="35">
        <f t="shared" si="4"/>
        <v>134.00956406250003</v>
      </c>
      <c r="K18" s="35">
        <f t="shared" si="5"/>
        <v>140.71004226562505</v>
      </c>
      <c r="L18" s="35">
        <f t="shared" si="6"/>
        <v>147.74554437890632</v>
      </c>
      <c r="M18" s="409">
        <f t="shared" si="7"/>
        <v>155.13282159785163</v>
      </c>
    </row>
    <row r="19" spans="1:13" ht="12.75">
      <c r="A19" s="408" t="s">
        <v>414</v>
      </c>
      <c r="B19" s="20">
        <v>1500</v>
      </c>
      <c r="C19" s="35">
        <v>0.2</v>
      </c>
      <c r="D19" s="35">
        <f t="shared" si="9"/>
        <v>300</v>
      </c>
      <c r="E19" s="35">
        <f t="shared" si="8"/>
        <v>315</v>
      </c>
      <c r="F19" s="35">
        <f t="shared" si="0"/>
        <v>330.75</v>
      </c>
      <c r="G19" s="35">
        <f t="shared" si="1"/>
        <v>347.2875</v>
      </c>
      <c r="H19" s="35">
        <f t="shared" si="2"/>
        <v>364.651875</v>
      </c>
      <c r="I19" s="35">
        <f t="shared" si="3"/>
        <v>382.88446875000005</v>
      </c>
      <c r="J19" s="35">
        <f t="shared" si="4"/>
        <v>402.0286921875001</v>
      </c>
      <c r="K19" s="35">
        <f t="shared" si="5"/>
        <v>422.1301267968751</v>
      </c>
      <c r="L19" s="35">
        <f t="shared" si="6"/>
        <v>443.23663313671886</v>
      </c>
      <c r="M19" s="409">
        <f t="shared" si="7"/>
        <v>465.3984647935548</v>
      </c>
    </row>
    <row r="20" spans="1:13" ht="12.75">
      <c r="A20" s="408" t="s">
        <v>415</v>
      </c>
      <c r="B20" s="20"/>
      <c r="C20" s="253" t="s">
        <v>360</v>
      </c>
      <c r="D20" s="35">
        <v>200</v>
      </c>
      <c r="E20" s="35">
        <f t="shared" si="8"/>
        <v>210</v>
      </c>
      <c r="F20" s="35">
        <f t="shared" si="0"/>
        <v>220.5</v>
      </c>
      <c r="G20" s="35">
        <f t="shared" si="1"/>
        <v>231.525</v>
      </c>
      <c r="H20" s="35">
        <f t="shared" si="2"/>
        <v>243.10125000000002</v>
      </c>
      <c r="I20" s="35">
        <f t="shared" si="3"/>
        <v>255.25631250000004</v>
      </c>
      <c r="J20" s="35">
        <f t="shared" si="4"/>
        <v>268.01912812500007</v>
      </c>
      <c r="K20" s="35">
        <f t="shared" si="5"/>
        <v>281.4200845312501</v>
      </c>
      <c r="L20" s="35">
        <f t="shared" si="6"/>
        <v>295.49108875781263</v>
      </c>
      <c r="M20" s="409">
        <f t="shared" si="7"/>
        <v>310.26564319570326</v>
      </c>
    </row>
    <row r="21" spans="1:13" ht="13.5" thickBot="1">
      <c r="A21" s="945" t="s">
        <v>5</v>
      </c>
      <c r="B21" s="946"/>
      <c r="C21" s="946"/>
      <c r="D21" s="411">
        <f>SUM(D9:D20)</f>
        <v>7310</v>
      </c>
      <c r="E21" s="411">
        <f>SUM(E9:E20)</f>
        <v>7675.5</v>
      </c>
      <c r="F21" s="412">
        <f aca="true" t="shared" si="10" ref="F21:M21">E21*1.1</f>
        <v>8443.050000000001</v>
      </c>
      <c r="G21" s="412">
        <f t="shared" si="10"/>
        <v>9287.355000000001</v>
      </c>
      <c r="H21" s="412">
        <f t="shared" si="10"/>
        <v>10216.090500000002</v>
      </c>
      <c r="I21" s="412">
        <f t="shared" si="10"/>
        <v>11237.699550000003</v>
      </c>
      <c r="J21" s="412">
        <f t="shared" si="10"/>
        <v>12361.469505000005</v>
      </c>
      <c r="K21" s="412">
        <f t="shared" si="10"/>
        <v>13597.616455500007</v>
      </c>
      <c r="L21" s="412">
        <f t="shared" si="10"/>
        <v>14957.378101050008</v>
      </c>
      <c r="M21" s="413">
        <f t="shared" si="10"/>
        <v>16453.11591115501</v>
      </c>
    </row>
    <row r="24" ht="12.75">
      <c r="A24" t="s">
        <v>422</v>
      </c>
    </row>
    <row r="25" spans="1:9" ht="12.75">
      <c r="A25" s="939" t="s">
        <v>423</v>
      </c>
      <c r="B25" s="939"/>
      <c r="C25" s="939"/>
      <c r="D25" s="939"/>
      <c r="E25" s="939"/>
      <c r="F25" s="939"/>
      <c r="G25" s="939"/>
      <c r="H25" s="939"/>
      <c r="I25" s="939"/>
    </row>
    <row r="26" spans="1:9" ht="12.75">
      <c r="A26" s="939"/>
      <c r="B26" s="939"/>
      <c r="C26" s="939"/>
      <c r="D26" s="939"/>
      <c r="E26" s="939"/>
      <c r="F26" s="939"/>
      <c r="G26" s="939"/>
      <c r="H26" s="939"/>
      <c r="I26" s="939"/>
    </row>
    <row r="27" spans="1:4" ht="12.75">
      <c r="A27" s="37" t="s">
        <v>420</v>
      </c>
      <c r="B27" s="38">
        <f>D9+SUM(D10:D11)*0.5+SUM(D15:D19)/12*2</f>
        <v>323.33333333333337</v>
      </c>
      <c r="C27" s="36" t="s">
        <v>421</v>
      </c>
      <c r="D27" s="36"/>
    </row>
    <row r="28" ht="12.75">
      <c r="A28" t="s">
        <v>770</v>
      </c>
    </row>
  </sheetData>
  <mergeCells count="6">
    <mergeCell ref="A2:M2"/>
    <mergeCell ref="A25:I26"/>
    <mergeCell ref="A3:M3"/>
    <mergeCell ref="A5:D5"/>
    <mergeCell ref="B7:D7"/>
    <mergeCell ref="A21:C21"/>
  </mergeCells>
  <printOptions horizontalCentered="1"/>
  <pageMargins left="0.35433070866141736" right="0.75" top="0.68" bottom="1" header="0" footer="0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K23"/>
  <sheetViews>
    <sheetView zoomScale="85" zoomScaleNormal="85" workbookViewId="0" topLeftCell="A1">
      <selection activeCell="A2" sqref="A2:J23"/>
    </sheetView>
  </sheetViews>
  <sheetFormatPr defaultColWidth="11.421875" defaultRowHeight="12.75"/>
  <cols>
    <col min="1" max="1" width="12.140625" style="0" customWidth="1"/>
    <col min="2" max="2" width="23.28125" style="0" customWidth="1"/>
    <col min="3" max="3" width="10.8515625" style="0" customWidth="1"/>
    <col min="4" max="4" width="11.00390625" style="0" customWidth="1"/>
    <col min="5" max="5" width="10.8515625" style="0" customWidth="1"/>
    <col min="8" max="8" width="17.140625" style="0" customWidth="1"/>
  </cols>
  <sheetData>
    <row r="2" spans="1:11" ht="15.75">
      <c r="A2" s="947" t="s">
        <v>471</v>
      </c>
      <c r="B2" s="947"/>
      <c r="C2" s="947"/>
      <c r="D2" s="947"/>
      <c r="E2" s="947"/>
      <c r="F2" s="947"/>
      <c r="G2" s="947"/>
      <c r="H2" s="947"/>
      <c r="I2" s="947"/>
      <c r="J2" s="947"/>
      <c r="K2" s="46"/>
    </row>
    <row r="3" spans="1:11" ht="15.75">
      <c r="A3" s="947"/>
      <c r="B3" s="947"/>
      <c r="C3" s="947"/>
      <c r="D3" s="947"/>
      <c r="E3" s="947"/>
      <c r="F3" s="947"/>
      <c r="G3" s="947"/>
      <c r="H3" s="947"/>
      <c r="I3" s="947"/>
      <c r="J3" s="947"/>
      <c r="K3" s="46"/>
    </row>
    <row r="4" spans="1:11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2:9" s="47" customFormat="1" ht="12.75">
      <c r="B5" s="937" t="s">
        <v>475</v>
      </c>
      <c r="C5" s="937"/>
      <c r="D5" s="937"/>
      <c r="E5" s="937"/>
      <c r="F5" s="937"/>
      <c r="G5" s="937"/>
      <c r="H5" s="937"/>
      <c r="I5" s="937"/>
    </row>
    <row r="6" spans="2:9" s="47" customFormat="1" ht="12.75">
      <c r="B6" s="938" t="s">
        <v>531</v>
      </c>
      <c r="C6" s="938"/>
      <c r="D6" s="938"/>
      <c r="E6" s="938"/>
      <c r="F6" s="938"/>
      <c r="G6" s="938"/>
      <c r="H6" s="938"/>
      <c r="I6" s="938"/>
    </row>
    <row r="7" spans="3:8" s="47" customFormat="1" ht="13.5" thickBot="1">
      <c r="C7" s="361"/>
      <c r="D7" s="361"/>
      <c r="E7" s="361"/>
      <c r="F7" s="361"/>
      <c r="G7" s="361"/>
      <c r="H7" s="361"/>
    </row>
    <row r="8" spans="2:9" s="52" customFormat="1" ht="65.25" customHeight="1" thickBot="1">
      <c r="B8" s="371" t="s">
        <v>486</v>
      </c>
      <c r="C8" s="372" t="s">
        <v>477</v>
      </c>
      <c r="D8" s="372" t="s">
        <v>484</v>
      </c>
      <c r="E8" s="372" t="s">
        <v>476</v>
      </c>
      <c r="F8" s="372" t="s">
        <v>484</v>
      </c>
      <c r="G8" s="372" t="s">
        <v>482</v>
      </c>
      <c r="H8" s="372" t="s">
        <v>532</v>
      </c>
      <c r="I8" s="420" t="s">
        <v>488</v>
      </c>
    </row>
    <row r="9" spans="2:9" s="47" customFormat="1" ht="12.75">
      <c r="B9" s="417" t="s">
        <v>468</v>
      </c>
      <c r="C9" s="320">
        <v>524</v>
      </c>
      <c r="D9" s="418">
        <f>C9/E17</f>
        <v>3.493333333333333</v>
      </c>
      <c r="E9" s="320">
        <v>2376</v>
      </c>
      <c r="F9" s="418">
        <f>E9/E16</f>
        <v>11.154929577464788</v>
      </c>
      <c r="G9" s="320">
        <f>C9+E9</f>
        <v>2900</v>
      </c>
      <c r="H9" s="320">
        <f>G9*9</f>
        <v>26100</v>
      </c>
      <c r="I9" s="419">
        <v>0.08333333333333333</v>
      </c>
    </row>
    <row r="10" spans="2:9" s="47" customFormat="1" ht="12.75">
      <c r="B10" s="414" t="s">
        <v>467</v>
      </c>
      <c r="C10" s="48">
        <v>194</v>
      </c>
      <c r="D10" s="49">
        <f>C10/$E$17</f>
        <v>1.2933333333333332</v>
      </c>
      <c r="E10" s="48">
        <v>1830</v>
      </c>
      <c r="F10" s="49">
        <f>E10/E16</f>
        <v>8.591549295774648</v>
      </c>
      <c r="G10" s="48">
        <f>E10+C10</f>
        <v>2024</v>
      </c>
      <c r="H10" s="49">
        <f>G10*9</f>
        <v>18216</v>
      </c>
      <c r="I10" s="415">
        <v>0.09375</v>
      </c>
    </row>
    <row r="11" spans="2:9" s="47" customFormat="1" ht="12.75">
      <c r="B11" s="416" t="s">
        <v>472</v>
      </c>
      <c r="C11" s="48">
        <f>(10*0.46)*150</f>
        <v>690.0000000000001</v>
      </c>
      <c r="D11" s="49">
        <f>C11/$E$17</f>
        <v>4.6000000000000005</v>
      </c>
      <c r="E11" s="49">
        <f>(20*0.46)*213</f>
        <v>1959.6000000000001</v>
      </c>
      <c r="F11" s="49">
        <f>E11/E16</f>
        <v>9.200000000000001</v>
      </c>
      <c r="G11" s="49">
        <f>E11+C11</f>
        <v>2649.6000000000004</v>
      </c>
      <c r="H11" s="49">
        <f>G11*9</f>
        <v>23846.4</v>
      </c>
      <c r="I11" s="415">
        <v>0.03125</v>
      </c>
    </row>
    <row r="12" spans="2:9" s="47" customFormat="1" ht="13.5" thickBot="1">
      <c r="B12" s="421" t="s">
        <v>487</v>
      </c>
      <c r="C12" s="109">
        <f>E17*1</f>
        <v>150</v>
      </c>
      <c r="D12" s="422">
        <f>C12/$E$17</f>
        <v>1</v>
      </c>
      <c r="E12" s="422">
        <f>E16*1</f>
        <v>213</v>
      </c>
      <c r="F12" s="422">
        <f>E12/E16</f>
        <v>1</v>
      </c>
      <c r="G12" s="422">
        <f>E12+C12</f>
        <v>363</v>
      </c>
      <c r="H12" s="422">
        <f>G12*9</f>
        <v>3267</v>
      </c>
      <c r="I12" s="423">
        <v>0.16666666666666666</v>
      </c>
    </row>
    <row r="13" spans="2:9" s="47" customFormat="1" ht="13.5" thickBot="1">
      <c r="B13" s="424" t="s">
        <v>485</v>
      </c>
      <c r="C13" s="425">
        <f>SUM(C9:C11)</f>
        <v>1408</v>
      </c>
      <c r="D13" s="426"/>
      <c r="E13" s="425">
        <f>SUM(E9:E12)</f>
        <v>6378.6</v>
      </c>
      <c r="F13" s="426"/>
      <c r="G13" s="425">
        <f>SUM(G9:G12)</f>
        <v>7936.6</v>
      </c>
      <c r="H13" s="427">
        <f>SUM(H9:H12)</f>
        <v>71429.4</v>
      </c>
      <c r="I13" s="428"/>
    </row>
    <row r="14" s="47" customFormat="1" ht="13.5" thickBot="1"/>
    <row r="15" spans="3:6" s="11" customFormat="1" ht="36.75" customHeight="1" thickBot="1">
      <c r="C15" s="949" t="s">
        <v>480</v>
      </c>
      <c r="D15" s="950"/>
      <c r="E15" s="420" t="s">
        <v>481</v>
      </c>
      <c r="F15" s="45"/>
    </row>
    <row r="16" spans="3:5" s="47" customFormat="1" ht="12.75">
      <c r="C16" s="417" t="s">
        <v>478</v>
      </c>
      <c r="D16" s="320"/>
      <c r="E16" s="432">
        <v>213</v>
      </c>
    </row>
    <row r="17" spans="3:5" s="47" customFormat="1" ht="13.5" thickBot="1">
      <c r="C17" s="429" t="s">
        <v>479</v>
      </c>
      <c r="D17" s="430"/>
      <c r="E17" s="431">
        <v>150</v>
      </c>
    </row>
    <row r="19" ht="12.75">
      <c r="A19" s="41" t="s">
        <v>489</v>
      </c>
    </row>
    <row r="20" spans="1:10" ht="12.75">
      <c r="A20" s="948" t="s">
        <v>473</v>
      </c>
      <c r="B20" s="948"/>
      <c r="C20" s="948"/>
      <c r="D20" s="948"/>
      <c r="E20" s="948"/>
      <c r="F20" s="948"/>
      <c r="G20" s="948"/>
      <c r="H20" s="948"/>
      <c r="I20" s="948"/>
      <c r="J20" s="948"/>
    </row>
    <row r="21" spans="1:10" ht="12.75">
      <c r="A21" s="948"/>
      <c r="B21" s="948"/>
      <c r="C21" s="948"/>
      <c r="D21" s="948"/>
      <c r="E21" s="948"/>
      <c r="F21" s="948"/>
      <c r="G21" s="948"/>
      <c r="H21" s="948"/>
      <c r="I21" s="948"/>
      <c r="J21" s="948"/>
    </row>
    <row r="22" ht="12.75">
      <c r="A22" t="s">
        <v>474</v>
      </c>
    </row>
    <row r="23" ht="12.75">
      <c r="A23" t="s">
        <v>483</v>
      </c>
    </row>
  </sheetData>
  <mergeCells count="5">
    <mergeCell ref="A2:J3"/>
    <mergeCell ref="A20:J21"/>
    <mergeCell ref="C15:D15"/>
    <mergeCell ref="B5:I5"/>
    <mergeCell ref="B6:I6"/>
  </mergeCells>
  <printOptions horizontalCentered="1"/>
  <pageMargins left="0.75" right="0.75" top="0.65" bottom="1" header="0" footer="0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W223"/>
  <sheetViews>
    <sheetView zoomScale="80" zoomScaleNormal="80" workbookViewId="0" topLeftCell="Q3">
      <selection activeCell="S18" sqref="S18"/>
    </sheetView>
  </sheetViews>
  <sheetFormatPr defaultColWidth="11.421875" defaultRowHeight="12.75"/>
  <cols>
    <col min="1" max="1" width="12.57421875" style="0" hidden="1" customWidth="1"/>
    <col min="2" max="2" width="42.421875" style="0" hidden="1" customWidth="1"/>
    <col min="3" max="3" width="10.57421875" style="0" hidden="1" customWidth="1"/>
    <col min="4" max="4" width="12.28125" style="0" hidden="1" customWidth="1"/>
    <col min="5" max="5" width="15.140625" style="0" hidden="1" customWidth="1"/>
    <col min="6" max="6" width="16.7109375" style="0" hidden="1" customWidth="1"/>
    <col min="7" max="7" width="18.00390625" style="0" hidden="1" customWidth="1"/>
    <col min="8" max="8" width="9.421875" style="0" hidden="1" customWidth="1"/>
    <col min="9" max="9" width="12.421875" style="0" hidden="1" customWidth="1"/>
    <col min="10" max="10" width="12.140625" style="0" hidden="1" customWidth="1"/>
    <col min="11" max="11" width="10.28125" style="0" hidden="1" customWidth="1"/>
    <col min="12" max="12" width="12.421875" style="0" hidden="1" customWidth="1"/>
    <col min="13" max="13" width="13.421875" style="0" hidden="1" customWidth="1"/>
    <col min="14" max="16" width="0" style="0" hidden="1" customWidth="1"/>
    <col min="18" max="18" width="23.421875" style="0" bestFit="1" customWidth="1"/>
    <col min="19" max="19" width="21.00390625" style="0" bestFit="1" customWidth="1"/>
    <col min="20" max="20" width="11.7109375" style="0" bestFit="1" customWidth="1"/>
    <col min="21" max="21" width="13.7109375" style="0" bestFit="1" customWidth="1"/>
    <col min="22" max="22" width="23.140625" style="0" bestFit="1" customWidth="1"/>
    <col min="23" max="23" width="23.421875" style="0" bestFit="1" customWidth="1"/>
  </cols>
  <sheetData>
    <row r="2" ht="12.75">
      <c r="B2" t="s">
        <v>605</v>
      </c>
    </row>
    <row r="3" ht="27" customHeight="1"/>
    <row r="4" spans="2:13" ht="18">
      <c r="B4" s="788" t="s">
        <v>611</v>
      </c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</row>
    <row r="5" spans="2:23" ht="39.75" customHeight="1">
      <c r="B5" s="4" t="s">
        <v>606</v>
      </c>
      <c r="C5" s="4" t="s">
        <v>575</v>
      </c>
      <c r="D5" s="4" t="s">
        <v>608</v>
      </c>
      <c r="E5" s="4" t="s">
        <v>576</v>
      </c>
      <c r="F5" s="4" t="s">
        <v>608</v>
      </c>
      <c r="G5" s="4" t="s">
        <v>577</v>
      </c>
      <c r="H5" s="4" t="s">
        <v>608</v>
      </c>
      <c r="I5" s="4" t="s">
        <v>578</v>
      </c>
      <c r="J5" s="4" t="s">
        <v>608</v>
      </c>
      <c r="K5" s="4" t="s">
        <v>579</v>
      </c>
      <c r="L5" s="24" t="s">
        <v>608</v>
      </c>
      <c r="M5" s="122" t="s">
        <v>609</v>
      </c>
      <c r="N5" s="122" t="s">
        <v>608</v>
      </c>
      <c r="R5" s="4" t="s">
        <v>486</v>
      </c>
      <c r="S5" s="127" t="s">
        <v>557</v>
      </c>
      <c r="T5" s="127" t="s">
        <v>488</v>
      </c>
      <c r="U5" s="127" t="s">
        <v>613</v>
      </c>
      <c r="V5" s="127" t="s">
        <v>615</v>
      </c>
      <c r="W5" s="127" t="s">
        <v>616</v>
      </c>
    </row>
    <row r="6" spans="2:23" ht="15">
      <c r="B6" s="132" t="s">
        <v>580</v>
      </c>
      <c r="C6" s="186"/>
      <c r="D6" s="187">
        <v>0</v>
      </c>
      <c r="E6" s="183">
        <v>2</v>
      </c>
      <c r="F6" s="182">
        <f aca="true" t="shared" si="0" ref="F6:F19">E6/$M$19</f>
        <v>0.015748031496062992</v>
      </c>
      <c r="G6" s="183">
        <v>1</v>
      </c>
      <c r="H6" s="182">
        <f aca="true" t="shared" si="1" ref="H6:H19">G6/$M$19</f>
        <v>0.007874015748031496</v>
      </c>
      <c r="I6" s="183">
        <v>10</v>
      </c>
      <c r="J6" s="182">
        <f aca="true" t="shared" si="2" ref="J6:J11">I6/$M$19</f>
        <v>0.07874015748031496</v>
      </c>
      <c r="K6" s="183">
        <v>2</v>
      </c>
      <c r="L6" s="182">
        <f aca="true" t="shared" si="3" ref="L6:L19">K6/$M$19</f>
        <v>0.015748031496062992</v>
      </c>
      <c r="M6" s="20">
        <f>C6+E6+G6+I6+K6</f>
        <v>15</v>
      </c>
      <c r="N6" s="97">
        <f aca="true" t="shared" si="4" ref="N6:N18">M6/$M$19</f>
        <v>0.11811023622047244</v>
      </c>
      <c r="O6" s="55"/>
      <c r="R6" s="222" t="s">
        <v>468</v>
      </c>
      <c r="S6" s="223" t="s">
        <v>558</v>
      </c>
      <c r="T6" s="224">
        <v>0.08333333333333333</v>
      </c>
      <c r="U6" s="224" t="s">
        <v>600</v>
      </c>
      <c r="V6" s="225">
        <f aca="true" t="shared" si="5" ref="V6:W10">F22</f>
        <v>0.26771653543307083</v>
      </c>
      <c r="W6" s="225">
        <f t="shared" si="5"/>
        <v>0.41860465116279066</v>
      </c>
    </row>
    <row r="7" spans="1:23" ht="15">
      <c r="A7">
        <v>2</v>
      </c>
      <c r="B7" s="132" t="s">
        <v>583</v>
      </c>
      <c r="C7" s="184">
        <v>1</v>
      </c>
      <c r="D7" s="185">
        <f aca="true" t="shared" si="6" ref="D7:D19">C7/$M$19</f>
        <v>0.007874015748031496</v>
      </c>
      <c r="E7" s="186"/>
      <c r="F7" s="187">
        <f t="shared" si="0"/>
        <v>0</v>
      </c>
      <c r="G7" s="188">
        <v>2</v>
      </c>
      <c r="H7" s="189">
        <f t="shared" si="1"/>
        <v>0.015748031496062992</v>
      </c>
      <c r="I7" s="188">
        <v>7</v>
      </c>
      <c r="J7" s="189">
        <f t="shared" si="2"/>
        <v>0.05511811023622047</v>
      </c>
      <c r="K7" s="188">
        <v>6</v>
      </c>
      <c r="L7" s="189">
        <f t="shared" si="3"/>
        <v>0.047244094488188976</v>
      </c>
      <c r="M7" s="20">
        <f>C7+E7+G7+I7+K7</f>
        <v>16</v>
      </c>
      <c r="N7" s="97">
        <f t="shared" si="4"/>
        <v>0.12598425196850394</v>
      </c>
      <c r="O7" s="55"/>
      <c r="R7" s="222" t="s">
        <v>467</v>
      </c>
      <c r="S7" s="223" t="s">
        <v>559</v>
      </c>
      <c r="T7" s="224">
        <v>0.09375</v>
      </c>
      <c r="U7" s="224" t="s">
        <v>614</v>
      </c>
      <c r="V7" s="225">
        <f t="shared" si="5"/>
        <v>0.25196850393700787</v>
      </c>
      <c r="W7" s="225">
        <f t="shared" si="5"/>
        <v>0.11627906976744186</v>
      </c>
    </row>
    <row r="8" spans="1:23" ht="15">
      <c r="A8">
        <v>3</v>
      </c>
      <c r="B8" s="132" t="s">
        <v>584</v>
      </c>
      <c r="C8" s="184">
        <v>1</v>
      </c>
      <c r="D8" s="185">
        <f t="shared" si="6"/>
        <v>0.007874015748031496</v>
      </c>
      <c r="E8" s="190">
        <v>0</v>
      </c>
      <c r="F8" s="191">
        <f t="shared" si="0"/>
        <v>0</v>
      </c>
      <c r="G8" s="190">
        <v>0</v>
      </c>
      <c r="H8" s="191">
        <f t="shared" si="1"/>
        <v>0</v>
      </c>
      <c r="I8" s="190">
        <v>0</v>
      </c>
      <c r="J8" s="191">
        <f t="shared" si="2"/>
        <v>0</v>
      </c>
      <c r="K8" s="190">
        <v>0</v>
      </c>
      <c r="L8" s="191">
        <f t="shared" si="3"/>
        <v>0</v>
      </c>
      <c r="M8" s="20">
        <f aca="true" t="shared" si="7" ref="M8:M17">C8+E8+G8+I8+K8</f>
        <v>1</v>
      </c>
      <c r="N8" s="97">
        <f t="shared" si="4"/>
        <v>0.007874015748031496</v>
      </c>
      <c r="O8" s="55"/>
      <c r="R8" s="222" t="s">
        <v>469</v>
      </c>
      <c r="S8" s="223" t="s">
        <v>584</v>
      </c>
      <c r="T8" s="224">
        <v>0.0625</v>
      </c>
      <c r="U8" s="224" t="s">
        <v>601</v>
      </c>
      <c r="V8" s="225">
        <f t="shared" si="5"/>
        <v>0</v>
      </c>
      <c r="W8" s="225">
        <f t="shared" si="5"/>
        <v>0</v>
      </c>
    </row>
    <row r="9" spans="1:23" ht="15">
      <c r="A9">
        <v>4</v>
      </c>
      <c r="B9" s="132" t="s">
        <v>585</v>
      </c>
      <c r="C9" s="186"/>
      <c r="D9" s="187">
        <f t="shared" si="6"/>
        <v>0</v>
      </c>
      <c r="E9" s="192">
        <v>2</v>
      </c>
      <c r="F9" s="193">
        <f t="shared" si="0"/>
        <v>0.015748031496062992</v>
      </c>
      <c r="G9" s="192">
        <v>7</v>
      </c>
      <c r="H9" s="193">
        <f t="shared" si="1"/>
        <v>0.05511811023622047</v>
      </c>
      <c r="I9" s="192">
        <v>6</v>
      </c>
      <c r="J9" s="193">
        <f t="shared" si="2"/>
        <v>0.047244094488188976</v>
      </c>
      <c r="K9" s="192">
        <v>6</v>
      </c>
      <c r="L9" s="193">
        <f t="shared" si="3"/>
        <v>0.047244094488188976</v>
      </c>
      <c r="M9" s="20">
        <f t="shared" si="7"/>
        <v>21</v>
      </c>
      <c r="N9" s="97">
        <f t="shared" si="4"/>
        <v>0.16535433070866143</v>
      </c>
      <c r="O9" s="55"/>
      <c r="R9" s="222" t="s">
        <v>472</v>
      </c>
      <c r="S9" s="223" t="s">
        <v>558</v>
      </c>
      <c r="T9" s="224">
        <v>0.03125</v>
      </c>
      <c r="U9" s="224" t="s">
        <v>602</v>
      </c>
      <c r="V9" s="225">
        <f t="shared" si="5"/>
        <v>0.07086614173228346</v>
      </c>
      <c r="W9" s="225">
        <f t="shared" si="5"/>
        <v>0.046511627906976744</v>
      </c>
    </row>
    <row r="10" spans="1:23" ht="15">
      <c r="A10">
        <v>5</v>
      </c>
      <c r="B10" s="132" t="s">
        <v>586</v>
      </c>
      <c r="C10" s="186"/>
      <c r="D10" s="187">
        <f t="shared" si="6"/>
        <v>0</v>
      </c>
      <c r="E10" s="184">
        <v>1</v>
      </c>
      <c r="F10" s="185">
        <f t="shared" si="0"/>
        <v>0.007874015748031496</v>
      </c>
      <c r="G10" s="188"/>
      <c r="H10" s="189">
        <f t="shared" si="1"/>
        <v>0</v>
      </c>
      <c r="I10" s="183">
        <v>1</v>
      </c>
      <c r="J10" s="182">
        <f t="shared" si="2"/>
        <v>0.007874015748031496</v>
      </c>
      <c r="K10" s="186"/>
      <c r="L10" s="187">
        <f t="shared" si="3"/>
        <v>0</v>
      </c>
      <c r="M10" s="20">
        <f t="shared" si="7"/>
        <v>2</v>
      </c>
      <c r="N10" s="97">
        <f t="shared" si="4"/>
        <v>0.015748031496062992</v>
      </c>
      <c r="O10" s="55"/>
      <c r="R10" s="222" t="s">
        <v>487</v>
      </c>
      <c r="S10" s="223" t="s">
        <v>560</v>
      </c>
      <c r="T10" s="224">
        <v>0.16666666666666666</v>
      </c>
      <c r="U10" s="224" t="s">
        <v>603</v>
      </c>
      <c r="V10" s="225">
        <f t="shared" si="5"/>
        <v>0.40944881889763785</v>
      </c>
      <c r="W10" s="225">
        <f t="shared" si="5"/>
        <v>0.4186046511627907</v>
      </c>
    </row>
    <row r="11" spans="1:23" ht="15.75">
      <c r="A11">
        <v>6</v>
      </c>
      <c r="B11" s="132" t="s">
        <v>587</v>
      </c>
      <c r="C11" s="184">
        <v>1</v>
      </c>
      <c r="D11" s="185">
        <f t="shared" si="6"/>
        <v>0.007874015748031496</v>
      </c>
      <c r="E11" s="184">
        <v>1</v>
      </c>
      <c r="F11" s="185">
        <f t="shared" si="0"/>
        <v>0.007874015748031496</v>
      </c>
      <c r="G11" s="186"/>
      <c r="H11" s="187">
        <f t="shared" si="1"/>
        <v>0</v>
      </c>
      <c r="I11" s="183">
        <v>10</v>
      </c>
      <c r="J11" s="182">
        <f t="shared" si="2"/>
        <v>0.07874015748031496</v>
      </c>
      <c r="K11" s="192">
        <v>10</v>
      </c>
      <c r="L11" s="193">
        <f t="shared" si="3"/>
        <v>0.07874015748031496</v>
      </c>
      <c r="M11" s="20">
        <f t="shared" si="7"/>
        <v>22</v>
      </c>
      <c r="N11" s="97">
        <f t="shared" si="4"/>
        <v>0.1732283464566929</v>
      </c>
      <c r="O11" s="55"/>
      <c r="R11" s="819" t="s">
        <v>617</v>
      </c>
      <c r="S11" s="819"/>
      <c r="T11" s="819"/>
      <c r="U11" s="819"/>
      <c r="V11" s="226">
        <f>SUM(V6:V10)</f>
        <v>1</v>
      </c>
      <c r="W11" s="226">
        <f>SUM(W6:W10)</f>
        <v>1</v>
      </c>
    </row>
    <row r="12" spans="1:15" ht="12.75">
      <c r="A12">
        <v>7</v>
      </c>
      <c r="B12" s="132" t="s">
        <v>588</v>
      </c>
      <c r="C12" s="186"/>
      <c r="D12" s="187">
        <f t="shared" si="6"/>
        <v>0</v>
      </c>
      <c r="E12" s="186"/>
      <c r="F12" s="187">
        <f t="shared" si="0"/>
        <v>0</v>
      </c>
      <c r="G12" s="188">
        <v>3</v>
      </c>
      <c r="H12" s="189">
        <f t="shared" si="1"/>
        <v>0.023622047244094488</v>
      </c>
      <c r="I12" s="188"/>
      <c r="J12" s="189"/>
      <c r="K12" s="188">
        <v>1</v>
      </c>
      <c r="L12" s="189">
        <f t="shared" si="3"/>
        <v>0.007874015748031496</v>
      </c>
      <c r="M12" s="20">
        <f t="shared" si="7"/>
        <v>4</v>
      </c>
      <c r="N12" s="97">
        <f t="shared" si="4"/>
        <v>0.031496062992125984</v>
      </c>
      <c r="O12" s="55"/>
    </row>
    <row r="13" spans="1:15" ht="12.75">
      <c r="A13">
        <v>8</v>
      </c>
      <c r="B13" s="132" t="s">
        <v>589</v>
      </c>
      <c r="C13" s="186"/>
      <c r="D13" s="187">
        <f t="shared" si="6"/>
        <v>0</v>
      </c>
      <c r="E13" s="184">
        <v>2</v>
      </c>
      <c r="F13" s="185">
        <f t="shared" si="0"/>
        <v>0.015748031496062992</v>
      </c>
      <c r="G13" s="188">
        <v>5</v>
      </c>
      <c r="H13" s="189">
        <f t="shared" si="1"/>
        <v>0.03937007874015748</v>
      </c>
      <c r="I13" s="188">
        <v>5</v>
      </c>
      <c r="J13" s="189">
        <f aca="true" t="shared" si="8" ref="J13:J19">I13/$M$19</f>
        <v>0.03937007874015748</v>
      </c>
      <c r="K13" s="192">
        <v>8</v>
      </c>
      <c r="L13" s="193">
        <f t="shared" si="3"/>
        <v>0.06299212598425197</v>
      </c>
      <c r="M13" s="20">
        <f t="shared" si="7"/>
        <v>20</v>
      </c>
      <c r="N13" s="97">
        <f t="shared" si="4"/>
        <v>0.15748031496062992</v>
      </c>
      <c r="O13" s="55"/>
    </row>
    <row r="14" spans="1:15" ht="12.75">
      <c r="A14">
        <v>9</v>
      </c>
      <c r="B14" s="132" t="s">
        <v>590</v>
      </c>
      <c r="C14" s="184">
        <v>1</v>
      </c>
      <c r="D14" s="185">
        <f t="shared" si="6"/>
        <v>0.007874015748031496</v>
      </c>
      <c r="E14" s="190">
        <v>0</v>
      </c>
      <c r="F14" s="191">
        <f t="shared" si="0"/>
        <v>0</v>
      </c>
      <c r="G14" s="190">
        <v>0</v>
      </c>
      <c r="H14" s="191">
        <f t="shared" si="1"/>
        <v>0</v>
      </c>
      <c r="I14" s="190">
        <v>0</v>
      </c>
      <c r="J14" s="191">
        <f t="shared" si="8"/>
        <v>0</v>
      </c>
      <c r="K14" s="192">
        <v>3</v>
      </c>
      <c r="L14" s="193">
        <f t="shared" si="3"/>
        <v>0.023622047244094488</v>
      </c>
      <c r="M14" s="20">
        <f t="shared" si="7"/>
        <v>4</v>
      </c>
      <c r="N14" s="97">
        <f t="shared" si="4"/>
        <v>0.031496062992125984</v>
      </c>
      <c r="O14" s="55"/>
    </row>
    <row r="15" spans="1:15" ht="12.75">
      <c r="A15">
        <v>10</v>
      </c>
      <c r="B15" s="132" t="s">
        <v>591</v>
      </c>
      <c r="C15" s="186"/>
      <c r="D15" s="187">
        <f t="shared" si="6"/>
        <v>0</v>
      </c>
      <c r="E15" s="186"/>
      <c r="F15" s="187">
        <f t="shared" si="0"/>
        <v>0</v>
      </c>
      <c r="G15" s="188">
        <v>1</v>
      </c>
      <c r="H15" s="189">
        <f t="shared" si="1"/>
        <v>0.007874015748031496</v>
      </c>
      <c r="I15" s="186"/>
      <c r="J15" s="187">
        <f t="shared" si="8"/>
        <v>0</v>
      </c>
      <c r="K15" s="186"/>
      <c r="L15" s="187">
        <f t="shared" si="3"/>
        <v>0</v>
      </c>
      <c r="M15" s="20">
        <f t="shared" si="7"/>
        <v>1</v>
      </c>
      <c r="N15" s="97">
        <f t="shared" si="4"/>
        <v>0.007874015748031496</v>
      </c>
      <c r="O15" s="55"/>
    </row>
    <row r="16" spans="1:15" ht="12.75">
      <c r="A16">
        <v>11</v>
      </c>
      <c r="B16" s="132" t="s">
        <v>592</v>
      </c>
      <c r="C16" s="186"/>
      <c r="D16" s="187">
        <f t="shared" si="6"/>
        <v>0</v>
      </c>
      <c r="E16" s="186"/>
      <c r="F16" s="187">
        <f t="shared" si="0"/>
        <v>0</v>
      </c>
      <c r="G16" s="186"/>
      <c r="H16" s="187">
        <f t="shared" si="1"/>
        <v>0</v>
      </c>
      <c r="I16" s="183">
        <v>1</v>
      </c>
      <c r="J16" s="182">
        <f t="shared" si="8"/>
        <v>0.007874015748031496</v>
      </c>
      <c r="K16" s="192">
        <v>3</v>
      </c>
      <c r="L16" s="193">
        <f t="shared" si="3"/>
        <v>0.023622047244094488</v>
      </c>
      <c r="M16" s="20">
        <f t="shared" si="7"/>
        <v>4</v>
      </c>
      <c r="N16" s="97">
        <f t="shared" si="4"/>
        <v>0.031496062992125984</v>
      </c>
      <c r="O16" s="55"/>
    </row>
    <row r="17" spans="1:15" ht="12.75">
      <c r="A17">
        <v>12</v>
      </c>
      <c r="B17" s="132" t="s">
        <v>593</v>
      </c>
      <c r="C17" s="184">
        <v>1</v>
      </c>
      <c r="D17" s="185">
        <f t="shared" si="6"/>
        <v>0.007874015748031496</v>
      </c>
      <c r="E17" s="186"/>
      <c r="F17" s="187">
        <f t="shared" si="0"/>
        <v>0</v>
      </c>
      <c r="G17" s="188">
        <v>1</v>
      </c>
      <c r="H17" s="189">
        <f t="shared" si="1"/>
        <v>0.007874015748031496</v>
      </c>
      <c r="I17" s="188">
        <v>1</v>
      </c>
      <c r="J17" s="189">
        <f t="shared" si="8"/>
        <v>0.007874015748031496</v>
      </c>
      <c r="K17" s="192">
        <v>4</v>
      </c>
      <c r="L17" s="193">
        <f t="shared" si="3"/>
        <v>0.031496062992125984</v>
      </c>
      <c r="M17" s="20">
        <f t="shared" si="7"/>
        <v>7</v>
      </c>
      <c r="N17" s="97">
        <f t="shared" si="4"/>
        <v>0.05511811023622047</v>
      </c>
      <c r="O17" s="55"/>
    </row>
    <row r="18" spans="1:15" ht="12.75">
      <c r="A18" s="61">
        <v>13</v>
      </c>
      <c r="B18" s="132" t="s">
        <v>594</v>
      </c>
      <c r="C18" s="186"/>
      <c r="D18" s="187">
        <f t="shared" si="6"/>
        <v>0</v>
      </c>
      <c r="E18" s="186"/>
      <c r="F18" s="187">
        <f t="shared" si="0"/>
        <v>0</v>
      </c>
      <c r="G18" s="188">
        <v>2</v>
      </c>
      <c r="H18" s="189">
        <f t="shared" si="1"/>
        <v>0.015748031496062992</v>
      </c>
      <c r="I18" s="183">
        <v>5</v>
      </c>
      <c r="J18" s="182">
        <f t="shared" si="8"/>
        <v>0.03937007874015748</v>
      </c>
      <c r="K18" s="192">
        <v>3</v>
      </c>
      <c r="L18" s="193">
        <f t="shared" si="3"/>
        <v>0.023622047244094488</v>
      </c>
      <c r="M18" s="20">
        <f>C18+E18+G18+I18+K18</f>
        <v>10</v>
      </c>
      <c r="N18" s="97">
        <f t="shared" si="4"/>
        <v>0.07874015748031496</v>
      </c>
      <c r="O18" s="55"/>
    </row>
    <row r="19" spans="2:15" ht="12.75">
      <c r="B19" s="132" t="s">
        <v>610</v>
      </c>
      <c r="C19" s="132">
        <f>SUM(C6:C18)</f>
        <v>5</v>
      </c>
      <c r="D19" s="194">
        <f t="shared" si="6"/>
        <v>0.03937007874015748</v>
      </c>
      <c r="E19" s="132">
        <f>SUM(E6:E18)</f>
        <v>8</v>
      </c>
      <c r="F19" s="194">
        <f t="shared" si="0"/>
        <v>0.06299212598425197</v>
      </c>
      <c r="G19" s="132">
        <f>SUM(G6:G18)</f>
        <v>22</v>
      </c>
      <c r="H19" s="194">
        <f t="shared" si="1"/>
        <v>0.1732283464566929</v>
      </c>
      <c r="I19" s="132">
        <f>SUM(I6:I18)</f>
        <v>46</v>
      </c>
      <c r="J19" s="194">
        <f t="shared" si="8"/>
        <v>0.36220472440944884</v>
      </c>
      <c r="K19" s="132">
        <f>SUM(K6:K18)</f>
        <v>46</v>
      </c>
      <c r="L19" s="194">
        <f t="shared" si="3"/>
        <v>0.36220472440944884</v>
      </c>
      <c r="M19" s="132">
        <f>SUM(M6:M18)</f>
        <v>127</v>
      </c>
      <c r="N19" s="194">
        <f>SUM(N6:N18)</f>
        <v>0.9999999999999998</v>
      </c>
      <c r="O19" s="58"/>
    </row>
    <row r="20" spans="2:15" ht="12.75">
      <c r="B20" s="196"/>
      <c r="C20" s="196"/>
      <c r="D20" s="197"/>
      <c r="E20" s="196"/>
      <c r="F20" s="197"/>
      <c r="G20" s="196"/>
      <c r="H20" s="197"/>
      <c r="I20" s="196"/>
      <c r="J20" s="197"/>
      <c r="K20" s="196"/>
      <c r="L20" s="197"/>
      <c r="M20" s="61"/>
      <c r="N20" s="195"/>
      <c r="O20" s="58"/>
    </row>
    <row r="21" spans="2:12" ht="62.25" customHeight="1">
      <c r="B21" s="4" t="s">
        <v>486</v>
      </c>
      <c r="C21" s="127" t="s">
        <v>557</v>
      </c>
      <c r="D21" s="127" t="s">
        <v>488</v>
      </c>
      <c r="E21" s="127" t="s">
        <v>613</v>
      </c>
      <c r="F21" s="127" t="s">
        <v>615</v>
      </c>
      <c r="G21" s="127" t="s">
        <v>616</v>
      </c>
      <c r="H21" s="197"/>
      <c r="I21" s="4" t="s">
        <v>561</v>
      </c>
      <c r="J21" s="4" t="s">
        <v>562</v>
      </c>
      <c r="K21" s="58"/>
      <c r="L21" s="219" t="s">
        <v>597</v>
      </c>
    </row>
    <row r="22" spans="2:12" ht="15">
      <c r="B22" s="214" t="s">
        <v>468</v>
      </c>
      <c r="C22" s="200" t="s">
        <v>558</v>
      </c>
      <c r="D22" s="201">
        <v>0.08333333333333333</v>
      </c>
      <c r="E22" s="201" t="s">
        <v>600</v>
      </c>
      <c r="F22" s="202">
        <f>H7+H10+H12+H13+H15+H17+H18+J7+J13+J17+L12+L7+J12</f>
        <v>0.26771653543307083</v>
      </c>
      <c r="G22" s="202">
        <f>H32+H35+H37+H38+H40+H42+H43+J32+L32+L37+J37+J38</f>
        <v>0.41860465116279066</v>
      </c>
      <c r="H22" s="197"/>
      <c r="I22" s="96">
        <v>0.23</v>
      </c>
      <c r="J22" s="96">
        <v>0.22</v>
      </c>
      <c r="L22" s="220">
        <v>26</v>
      </c>
    </row>
    <row r="23" spans="2:12" ht="15">
      <c r="B23" s="215" t="s">
        <v>467</v>
      </c>
      <c r="C23" s="203" t="s">
        <v>559</v>
      </c>
      <c r="D23" s="204">
        <v>0.09375</v>
      </c>
      <c r="E23" s="204" t="s">
        <v>614</v>
      </c>
      <c r="F23" s="205">
        <f>F6+H6+J6+L6+J10+J11+J16+J18</f>
        <v>0.25196850393700787</v>
      </c>
      <c r="G23" s="205">
        <f>F31+H31+J31+L31+J35+J36+J41+J43</f>
        <v>0.11627906976744186</v>
      </c>
      <c r="H23" s="197"/>
      <c r="I23" s="96">
        <v>0.18</v>
      </c>
      <c r="J23" s="96">
        <v>0.26</v>
      </c>
      <c r="L23" s="220">
        <v>18.5</v>
      </c>
    </row>
    <row r="24" spans="2:12" ht="15">
      <c r="B24" s="216" t="s">
        <v>469</v>
      </c>
      <c r="C24" s="206" t="s">
        <v>584</v>
      </c>
      <c r="D24" s="207">
        <v>0.0625</v>
      </c>
      <c r="E24" s="207" t="s">
        <v>601</v>
      </c>
      <c r="F24" s="208">
        <f>F8+F14+H8+H14+J8+J14+L8</f>
        <v>0</v>
      </c>
      <c r="G24" s="208">
        <f>F33+F39+H33+H39+J33+J39+L33</f>
        <v>0</v>
      </c>
      <c r="H24" s="197"/>
      <c r="I24" s="96">
        <v>0.16</v>
      </c>
      <c r="J24" s="96">
        <v>0.14</v>
      </c>
      <c r="L24" s="220">
        <v>15</v>
      </c>
    </row>
    <row r="25" spans="2:12" ht="15">
      <c r="B25" s="217" t="s">
        <v>472</v>
      </c>
      <c r="C25" s="209" t="s">
        <v>558</v>
      </c>
      <c r="D25" s="210">
        <v>0.03125</v>
      </c>
      <c r="E25" s="210" t="s">
        <v>602</v>
      </c>
      <c r="F25" s="211">
        <f>D7+D8+D11+D14+D17+F10+F11+F13</f>
        <v>0.07086614173228346</v>
      </c>
      <c r="G25" s="211">
        <f>D32+D33+D36+D39+D42+F35+F36+F38</f>
        <v>0.046511627906976744</v>
      </c>
      <c r="H25" s="197"/>
      <c r="I25" s="96">
        <v>0.27</v>
      </c>
      <c r="J25" s="96">
        <v>0.13</v>
      </c>
      <c r="L25" s="220">
        <v>5.5</v>
      </c>
    </row>
    <row r="26" spans="2:12" ht="15">
      <c r="B26" s="218" t="s">
        <v>487</v>
      </c>
      <c r="C26" s="198" t="s">
        <v>560</v>
      </c>
      <c r="D26" s="199">
        <v>0.16666666666666666</v>
      </c>
      <c r="E26" s="199" t="s">
        <v>603</v>
      </c>
      <c r="F26" s="212">
        <f>F9+H9+J9+L9+L11+L13+L14+L16+L17+L18</f>
        <v>0.40944881889763785</v>
      </c>
      <c r="G26" s="212">
        <f>F34+H34+J34+L34+L36+L38+L39+L41+L42+L43</f>
        <v>0.4186046511627907</v>
      </c>
      <c r="H26" s="197"/>
      <c r="I26" s="96">
        <v>0.16</v>
      </c>
      <c r="J26" s="114">
        <v>0.25</v>
      </c>
      <c r="L26" s="220">
        <v>35</v>
      </c>
    </row>
    <row r="27" spans="2:14" ht="15.75">
      <c r="B27" s="975" t="s">
        <v>617</v>
      </c>
      <c r="C27" s="975"/>
      <c r="D27" s="975"/>
      <c r="E27" s="975"/>
      <c r="F27" s="213">
        <f>SUM(F22:F26)</f>
        <v>1</v>
      </c>
      <c r="G27" s="213">
        <f>SUM(G22:G26)</f>
        <v>1</v>
      </c>
      <c r="H27" s="130"/>
      <c r="I27" s="115">
        <f>SUM(I22:I26)</f>
        <v>1</v>
      </c>
      <c r="J27" s="115">
        <f>SUM(J22:J26)</f>
        <v>1</v>
      </c>
      <c r="K27" s="196"/>
      <c r="L27" s="221">
        <f>SUM(L22:L26)</f>
        <v>100</v>
      </c>
      <c r="M27" s="61"/>
      <c r="N27" s="195"/>
    </row>
    <row r="28" spans="2:14" ht="12.75">
      <c r="B28" s="196"/>
      <c r="C28" s="196"/>
      <c r="D28" s="197"/>
      <c r="E28" s="196"/>
      <c r="F28" s="197"/>
      <c r="G28" s="196"/>
      <c r="H28" s="197"/>
      <c r="I28" s="196"/>
      <c r="J28" s="197"/>
      <c r="K28" s="196"/>
      <c r="L28" s="197"/>
      <c r="M28" s="61"/>
      <c r="N28" s="195"/>
    </row>
    <row r="29" spans="2:14" ht="18">
      <c r="B29" s="788" t="s">
        <v>612</v>
      </c>
      <c r="C29" s="788"/>
      <c r="D29" s="788"/>
      <c r="E29" s="788"/>
      <c r="F29" s="788"/>
      <c r="G29" s="788"/>
      <c r="H29" s="788"/>
      <c r="I29" s="788"/>
      <c r="J29" s="788"/>
      <c r="K29" s="788"/>
      <c r="L29" s="788"/>
      <c r="M29" s="788"/>
      <c r="N29" s="195"/>
    </row>
    <row r="30" spans="2:14" ht="25.5">
      <c r="B30" s="4" t="s">
        <v>607</v>
      </c>
      <c r="C30" s="4" t="s">
        <v>575</v>
      </c>
      <c r="D30" s="4" t="s">
        <v>608</v>
      </c>
      <c r="E30" s="4" t="s">
        <v>576</v>
      </c>
      <c r="F30" s="4" t="s">
        <v>608</v>
      </c>
      <c r="G30" s="4" t="s">
        <v>577</v>
      </c>
      <c r="H30" s="4" t="s">
        <v>608</v>
      </c>
      <c r="I30" s="4" t="s">
        <v>578</v>
      </c>
      <c r="J30" s="4" t="s">
        <v>608</v>
      </c>
      <c r="K30" s="4" t="s">
        <v>579</v>
      </c>
      <c r="L30" s="24" t="s">
        <v>608</v>
      </c>
      <c r="M30" s="122" t="s">
        <v>609</v>
      </c>
      <c r="N30" s="122" t="s">
        <v>608</v>
      </c>
    </row>
    <row r="31" spans="1:14" ht="12.75">
      <c r="A31">
        <v>1</v>
      </c>
      <c r="B31" s="132" t="s">
        <v>580</v>
      </c>
      <c r="C31" s="186"/>
      <c r="D31" s="187">
        <f aca="true" t="shared" si="9" ref="D31:D43">C31/$M$44</f>
        <v>0</v>
      </c>
      <c r="E31" s="183"/>
      <c r="F31" s="182">
        <f aca="true" t="shared" si="10" ref="F31:F43">E31/$M$44</f>
        <v>0</v>
      </c>
      <c r="G31" s="183"/>
      <c r="H31" s="182">
        <f aca="true" t="shared" si="11" ref="H31:H43">G31/$M$44</f>
        <v>0</v>
      </c>
      <c r="I31" s="183">
        <v>3</v>
      </c>
      <c r="J31" s="182">
        <f aca="true" t="shared" si="12" ref="J31:J43">I31/$M$44</f>
        <v>0.06976744186046512</v>
      </c>
      <c r="K31" s="183">
        <v>2</v>
      </c>
      <c r="L31" s="182">
        <f aca="true" t="shared" si="13" ref="L31:L43">K31/$M$44</f>
        <v>0.046511627906976744</v>
      </c>
      <c r="M31" s="20">
        <f>C31+E31+G31+I31+K31</f>
        <v>5</v>
      </c>
      <c r="N31" s="97">
        <f aca="true" t="shared" si="14" ref="N31:N43">M31/$M$44</f>
        <v>0.11627906976744186</v>
      </c>
    </row>
    <row r="32" spans="1:14" ht="12.75">
      <c r="A32">
        <v>2</v>
      </c>
      <c r="B32" s="132" t="s">
        <v>583</v>
      </c>
      <c r="C32" s="184">
        <v>2</v>
      </c>
      <c r="D32" s="185">
        <f t="shared" si="9"/>
        <v>0.046511627906976744</v>
      </c>
      <c r="E32" s="186"/>
      <c r="F32" s="187">
        <f t="shared" si="10"/>
        <v>0</v>
      </c>
      <c r="G32" s="188"/>
      <c r="H32" s="189">
        <f t="shared" si="11"/>
        <v>0</v>
      </c>
      <c r="I32" s="188"/>
      <c r="J32" s="189">
        <f t="shared" si="12"/>
        <v>0</v>
      </c>
      <c r="K32" s="188">
        <v>2</v>
      </c>
      <c r="L32" s="189">
        <f t="shared" si="13"/>
        <v>0.046511627906976744</v>
      </c>
      <c r="M32" s="20">
        <f aca="true" t="shared" si="15" ref="M32:M43">C32+E32+G32+I32+K32</f>
        <v>4</v>
      </c>
      <c r="N32" s="97">
        <f t="shared" si="14"/>
        <v>0.09302325581395349</v>
      </c>
    </row>
    <row r="33" spans="1:14" ht="12.75">
      <c r="A33">
        <v>3</v>
      </c>
      <c r="B33" s="132" t="s">
        <v>584</v>
      </c>
      <c r="C33" s="184"/>
      <c r="D33" s="185">
        <f t="shared" si="9"/>
        <v>0</v>
      </c>
      <c r="E33" s="190"/>
      <c r="F33" s="191">
        <f t="shared" si="10"/>
        <v>0</v>
      </c>
      <c r="G33" s="190">
        <v>0</v>
      </c>
      <c r="H33" s="191">
        <f>G33/$M$44</f>
        <v>0</v>
      </c>
      <c r="I33" s="190"/>
      <c r="J33" s="191">
        <f t="shared" si="12"/>
        <v>0</v>
      </c>
      <c r="K33" s="190">
        <v>0</v>
      </c>
      <c r="L33" s="191">
        <f t="shared" si="13"/>
        <v>0</v>
      </c>
      <c r="M33" s="20">
        <f t="shared" si="15"/>
        <v>0</v>
      </c>
      <c r="N33" s="97">
        <f t="shared" si="14"/>
        <v>0</v>
      </c>
    </row>
    <row r="34" spans="1:14" ht="12.75">
      <c r="A34">
        <v>4</v>
      </c>
      <c r="B34" s="132" t="s">
        <v>585</v>
      </c>
      <c r="C34" s="186"/>
      <c r="D34" s="187">
        <f t="shared" si="9"/>
        <v>0</v>
      </c>
      <c r="E34" s="192">
        <v>2</v>
      </c>
      <c r="F34" s="193">
        <f t="shared" si="10"/>
        <v>0.046511627906976744</v>
      </c>
      <c r="G34" s="192"/>
      <c r="H34" s="193">
        <f t="shared" si="11"/>
        <v>0</v>
      </c>
      <c r="I34" s="192"/>
      <c r="J34" s="193">
        <f t="shared" si="12"/>
        <v>0</v>
      </c>
      <c r="K34" s="192"/>
      <c r="L34" s="193">
        <f t="shared" si="13"/>
        <v>0</v>
      </c>
      <c r="M34" s="20">
        <f t="shared" si="15"/>
        <v>2</v>
      </c>
      <c r="N34" s="97">
        <f t="shared" si="14"/>
        <v>0.046511627906976744</v>
      </c>
    </row>
    <row r="35" spans="1:14" ht="28.5" customHeight="1">
      <c r="A35">
        <v>5</v>
      </c>
      <c r="B35" s="132" t="s">
        <v>586</v>
      </c>
      <c r="C35" s="186"/>
      <c r="D35" s="187">
        <f t="shared" si="9"/>
        <v>0</v>
      </c>
      <c r="E35" s="184"/>
      <c r="F35" s="185">
        <f t="shared" si="10"/>
        <v>0</v>
      </c>
      <c r="G35" s="188">
        <v>2</v>
      </c>
      <c r="H35" s="189">
        <f t="shared" si="11"/>
        <v>0.046511627906976744</v>
      </c>
      <c r="I35" s="183"/>
      <c r="J35" s="182">
        <f t="shared" si="12"/>
        <v>0</v>
      </c>
      <c r="K35" s="186"/>
      <c r="L35" s="187">
        <f t="shared" si="13"/>
        <v>0</v>
      </c>
      <c r="M35" s="20">
        <f t="shared" si="15"/>
        <v>2</v>
      </c>
      <c r="N35" s="97">
        <f t="shared" si="14"/>
        <v>0.046511627906976744</v>
      </c>
    </row>
    <row r="36" spans="1:14" ht="12.75">
      <c r="A36">
        <v>6</v>
      </c>
      <c r="B36" s="132" t="s">
        <v>587</v>
      </c>
      <c r="C36" s="184"/>
      <c r="D36" s="185">
        <f t="shared" si="9"/>
        <v>0</v>
      </c>
      <c r="E36" s="184"/>
      <c r="F36" s="185">
        <f t="shared" si="10"/>
        <v>0</v>
      </c>
      <c r="G36" s="186"/>
      <c r="H36" s="187">
        <f t="shared" si="11"/>
        <v>0</v>
      </c>
      <c r="I36" s="183"/>
      <c r="J36" s="182">
        <f t="shared" si="12"/>
        <v>0</v>
      </c>
      <c r="K36" s="192">
        <v>10</v>
      </c>
      <c r="L36" s="193">
        <f t="shared" si="13"/>
        <v>0.23255813953488372</v>
      </c>
      <c r="M36" s="20">
        <f t="shared" si="15"/>
        <v>10</v>
      </c>
      <c r="N36" s="97">
        <f t="shared" si="14"/>
        <v>0.23255813953488372</v>
      </c>
    </row>
    <row r="37" spans="1:14" ht="12.75">
      <c r="A37">
        <v>7</v>
      </c>
      <c r="B37" s="132" t="s">
        <v>588</v>
      </c>
      <c r="C37" s="186"/>
      <c r="D37" s="187">
        <f t="shared" si="9"/>
        <v>0</v>
      </c>
      <c r="E37" s="186"/>
      <c r="F37" s="187">
        <f t="shared" si="10"/>
        <v>0</v>
      </c>
      <c r="G37" s="188"/>
      <c r="H37" s="189">
        <f t="shared" si="11"/>
        <v>0</v>
      </c>
      <c r="I37" s="188">
        <v>1</v>
      </c>
      <c r="J37" s="189">
        <f t="shared" si="12"/>
        <v>0.023255813953488372</v>
      </c>
      <c r="K37" s="188">
        <v>2</v>
      </c>
      <c r="L37" s="189">
        <f t="shared" si="13"/>
        <v>0.046511627906976744</v>
      </c>
      <c r="M37" s="20">
        <f t="shared" si="15"/>
        <v>3</v>
      </c>
      <c r="N37" s="97">
        <f t="shared" si="14"/>
        <v>0.06976744186046512</v>
      </c>
    </row>
    <row r="38" spans="1:14" ht="12.75">
      <c r="A38">
        <v>8</v>
      </c>
      <c r="B38" s="132" t="s">
        <v>589</v>
      </c>
      <c r="C38" s="186"/>
      <c r="D38" s="187">
        <f t="shared" si="9"/>
        <v>0</v>
      </c>
      <c r="E38" s="184"/>
      <c r="F38" s="185">
        <f t="shared" si="10"/>
        <v>0</v>
      </c>
      <c r="G38" s="188">
        <v>4</v>
      </c>
      <c r="H38" s="189">
        <f t="shared" si="11"/>
        <v>0.09302325581395349</v>
      </c>
      <c r="I38" s="188">
        <v>1</v>
      </c>
      <c r="J38" s="189">
        <f t="shared" si="12"/>
        <v>0.023255813953488372</v>
      </c>
      <c r="K38" s="192"/>
      <c r="L38" s="193">
        <f t="shared" si="13"/>
        <v>0</v>
      </c>
      <c r="M38" s="20">
        <f t="shared" si="15"/>
        <v>5</v>
      </c>
      <c r="N38" s="97">
        <f t="shared" si="14"/>
        <v>0.11627906976744186</v>
      </c>
    </row>
    <row r="39" spans="1:14" ht="12.75">
      <c r="A39">
        <v>9</v>
      </c>
      <c r="B39" s="132" t="s">
        <v>590</v>
      </c>
      <c r="C39" s="184"/>
      <c r="D39" s="185">
        <f t="shared" si="9"/>
        <v>0</v>
      </c>
      <c r="E39" s="190"/>
      <c r="F39" s="191">
        <f t="shared" si="10"/>
        <v>0</v>
      </c>
      <c r="G39" s="190"/>
      <c r="H39" s="191">
        <f t="shared" si="11"/>
        <v>0</v>
      </c>
      <c r="I39" s="190">
        <v>0</v>
      </c>
      <c r="J39" s="191">
        <f t="shared" si="12"/>
        <v>0</v>
      </c>
      <c r="K39" s="192">
        <v>2</v>
      </c>
      <c r="L39" s="193">
        <f t="shared" si="13"/>
        <v>0.046511627906976744</v>
      </c>
      <c r="M39" s="20">
        <f t="shared" si="15"/>
        <v>2</v>
      </c>
      <c r="N39" s="97">
        <f t="shared" si="14"/>
        <v>0.046511627906976744</v>
      </c>
    </row>
    <row r="40" spans="1:14" ht="12.75">
      <c r="A40">
        <v>10</v>
      </c>
      <c r="B40" s="132" t="s">
        <v>591</v>
      </c>
      <c r="C40" s="186"/>
      <c r="D40" s="187">
        <f t="shared" si="9"/>
        <v>0</v>
      </c>
      <c r="E40" s="186"/>
      <c r="F40" s="187">
        <f t="shared" si="10"/>
        <v>0</v>
      </c>
      <c r="G40" s="188">
        <v>6</v>
      </c>
      <c r="H40" s="189">
        <f t="shared" si="11"/>
        <v>0.13953488372093023</v>
      </c>
      <c r="I40" s="186"/>
      <c r="J40" s="187">
        <f t="shared" si="12"/>
        <v>0</v>
      </c>
      <c r="K40" s="186"/>
      <c r="L40" s="187">
        <f t="shared" si="13"/>
        <v>0</v>
      </c>
      <c r="M40" s="20">
        <f t="shared" si="15"/>
        <v>6</v>
      </c>
      <c r="N40" s="97">
        <f t="shared" si="14"/>
        <v>0.13953488372093023</v>
      </c>
    </row>
    <row r="41" spans="1:14" ht="12.75">
      <c r="A41">
        <v>11</v>
      </c>
      <c r="B41" s="132" t="s">
        <v>592</v>
      </c>
      <c r="C41" s="186"/>
      <c r="D41" s="187">
        <f t="shared" si="9"/>
        <v>0</v>
      </c>
      <c r="E41" s="186"/>
      <c r="F41" s="187">
        <f t="shared" si="10"/>
        <v>0</v>
      </c>
      <c r="G41" s="186"/>
      <c r="H41" s="187">
        <f t="shared" si="11"/>
        <v>0</v>
      </c>
      <c r="I41" s="183"/>
      <c r="J41" s="182">
        <f t="shared" si="12"/>
        <v>0</v>
      </c>
      <c r="K41" s="192">
        <v>1</v>
      </c>
      <c r="L41" s="193">
        <f t="shared" si="13"/>
        <v>0.023255813953488372</v>
      </c>
      <c r="M41" s="20">
        <f t="shared" si="15"/>
        <v>1</v>
      </c>
      <c r="N41" s="97">
        <f t="shared" si="14"/>
        <v>0.023255813953488372</v>
      </c>
    </row>
    <row r="42" spans="1:14" ht="12.75">
      <c r="A42">
        <v>12</v>
      </c>
      <c r="B42" s="132" t="s">
        <v>593</v>
      </c>
      <c r="C42" s="184"/>
      <c r="D42" s="185">
        <f t="shared" si="9"/>
        <v>0</v>
      </c>
      <c r="E42" s="186"/>
      <c r="F42" s="187">
        <f t="shared" si="10"/>
        <v>0</v>
      </c>
      <c r="G42" s="188"/>
      <c r="H42" s="189">
        <f t="shared" si="11"/>
        <v>0</v>
      </c>
      <c r="I42" s="188"/>
      <c r="J42" s="189">
        <f t="shared" si="12"/>
        <v>0</v>
      </c>
      <c r="K42" s="192"/>
      <c r="L42" s="193">
        <f t="shared" si="13"/>
        <v>0</v>
      </c>
      <c r="M42" s="20">
        <f t="shared" si="15"/>
        <v>0</v>
      </c>
      <c r="N42" s="97">
        <f t="shared" si="14"/>
        <v>0</v>
      </c>
    </row>
    <row r="43" spans="1:14" ht="12.75">
      <c r="A43">
        <v>13</v>
      </c>
      <c r="B43" s="132" t="s">
        <v>594</v>
      </c>
      <c r="C43" s="186"/>
      <c r="D43" s="187">
        <f t="shared" si="9"/>
        <v>0</v>
      </c>
      <c r="E43" s="186"/>
      <c r="F43" s="187">
        <f t="shared" si="10"/>
        <v>0</v>
      </c>
      <c r="G43" s="188"/>
      <c r="H43" s="189">
        <f t="shared" si="11"/>
        <v>0</v>
      </c>
      <c r="I43" s="183"/>
      <c r="J43" s="182">
        <f t="shared" si="12"/>
        <v>0</v>
      </c>
      <c r="K43" s="192">
        <v>3</v>
      </c>
      <c r="L43" s="193">
        <f t="shared" si="13"/>
        <v>0.06976744186046512</v>
      </c>
      <c r="M43" s="20">
        <f t="shared" si="15"/>
        <v>3</v>
      </c>
      <c r="N43" s="97">
        <f t="shared" si="14"/>
        <v>0.06976744186046512</v>
      </c>
    </row>
    <row r="44" spans="2:14" ht="12.75">
      <c r="B44" s="132" t="s">
        <v>610</v>
      </c>
      <c r="C44" s="132">
        <v>2</v>
      </c>
      <c r="D44" s="97">
        <f>SUM(D31:D43)</f>
        <v>0.046511627906976744</v>
      </c>
      <c r="E44" s="132">
        <v>2</v>
      </c>
      <c r="F44" s="97">
        <f>SUM(F31:F43)</f>
        <v>0.046511627906976744</v>
      </c>
      <c r="G44" s="132">
        <v>15</v>
      </c>
      <c r="H44" s="97">
        <f>SUM(H31:H43)</f>
        <v>0.27906976744186046</v>
      </c>
      <c r="I44" s="132">
        <v>7</v>
      </c>
      <c r="J44" s="97">
        <f>SUM(J31:J43)</f>
        <v>0.11627906976744186</v>
      </c>
      <c r="K44" s="132">
        <v>24</v>
      </c>
      <c r="L44" s="97">
        <f>SUM(L31:L43)</f>
        <v>0.5116279069767441</v>
      </c>
      <c r="M44" s="132">
        <f>SUM(M31:M43)</f>
        <v>43</v>
      </c>
      <c r="N44" s="97">
        <f>SUM(L44+J44+H44+F44+D44)</f>
        <v>0.9999999999999998</v>
      </c>
    </row>
    <row r="45" ht="12.75">
      <c r="E45" t="s">
        <v>596</v>
      </c>
    </row>
    <row r="46" spans="1:13" ht="12.75">
      <c r="A46" t="s">
        <v>595</v>
      </c>
      <c r="C46" t="s">
        <v>575</v>
      </c>
      <c r="E46" t="s">
        <v>576</v>
      </c>
      <c r="G46" t="s">
        <v>577</v>
      </c>
      <c r="I46" t="s">
        <v>578</v>
      </c>
      <c r="K46" t="s">
        <v>579</v>
      </c>
      <c r="M46" t="s">
        <v>419</v>
      </c>
    </row>
    <row r="47" spans="1:13" ht="12.75">
      <c r="A47" s="798" t="s">
        <v>580</v>
      </c>
      <c r="B47" s="20" t="s">
        <v>581</v>
      </c>
      <c r="C47" s="128"/>
      <c r="D47" s="128"/>
      <c r="E47" s="134">
        <v>2</v>
      </c>
      <c r="F47" s="134"/>
      <c r="G47" s="134">
        <v>1</v>
      </c>
      <c r="H47" s="134"/>
      <c r="I47" s="134">
        <v>13</v>
      </c>
      <c r="J47" s="134"/>
      <c r="K47" s="134">
        <v>4</v>
      </c>
      <c r="L47" s="134"/>
      <c r="M47" s="128">
        <v>20</v>
      </c>
    </row>
    <row r="48" spans="1:13" ht="15" customHeight="1">
      <c r="A48" s="952"/>
      <c r="B48" s="132" t="s">
        <v>582</v>
      </c>
      <c r="C48" s="133"/>
      <c r="D48" s="133"/>
      <c r="E48" s="135">
        <v>1</v>
      </c>
      <c r="F48" s="135"/>
      <c r="G48" s="135">
        <v>0.5</v>
      </c>
      <c r="H48" s="135"/>
      <c r="I48" s="135">
        <v>6.5</v>
      </c>
      <c r="J48" s="135"/>
      <c r="K48" s="135">
        <v>2</v>
      </c>
      <c r="L48" s="135"/>
      <c r="M48" s="133">
        <v>10</v>
      </c>
    </row>
    <row r="49" spans="1:13" ht="12.75">
      <c r="A49" s="786" t="s">
        <v>583</v>
      </c>
      <c r="B49" s="171" t="s">
        <v>581</v>
      </c>
      <c r="C49" s="165">
        <v>3</v>
      </c>
      <c r="D49" s="165"/>
      <c r="E49" s="145"/>
      <c r="F49" s="145"/>
      <c r="G49" s="141">
        <v>2</v>
      </c>
      <c r="H49" s="141"/>
      <c r="I49" s="141">
        <v>7</v>
      </c>
      <c r="J49" s="141"/>
      <c r="K49" s="141">
        <v>8</v>
      </c>
      <c r="L49" s="141"/>
      <c r="M49" s="145">
        <v>20</v>
      </c>
    </row>
    <row r="50" spans="1:13" ht="12.75">
      <c r="A50" s="787"/>
      <c r="B50" s="172" t="s">
        <v>582</v>
      </c>
      <c r="C50" s="166">
        <v>1.5</v>
      </c>
      <c r="D50" s="166"/>
      <c r="E50" s="146"/>
      <c r="F50" s="146"/>
      <c r="G50" s="142">
        <v>1</v>
      </c>
      <c r="H50" s="142"/>
      <c r="I50" s="142">
        <v>3.5</v>
      </c>
      <c r="J50" s="142"/>
      <c r="K50" s="142">
        <v>4</v>
      </c>
      <c r="L50" s="142"/>
      <c r="M50" s="146">
        <v>10</v>
      </c>
    </row>
    <row r="51" spans="1:13" ht="12.75">
      <c r="A51" s="786" t="s">
        <v>584</v>
      </c>
      <c r="B51" s="171" t="s">
        <v>581</v>
      </c>
      <c r="C51" s="165">
        <v>1</v>
      </c>
      <c r="D51" s="165"/>
      <c r="E51" s="159">
        <v>2</v>
      </c>
      <c r="F51" s="159"/>
      <c r="G51" s="159">
        <v>8</v>
      </c>
      <c r="H51" s="159"/>
      <c r="I51" s="159">
        <v>1</v>
      </c>
      <c r="J51" s="159"/>
      <c r="K51" s="159">
        <v>4</v>
      </c>
      <c r="L51" s="159"/>
      <c r="M51" s="145">
        <v>16</v>
      </c>
    </row>
    <row r="52" spans="1:13" ht="12.75">
      <c r="A52" s="787"/>
      <c r="B52" s="172" t="s">
        <v>582</v>
      </c>
      <c r="C52" s="166">
        <v>0.5</v>
      </c>
      <c r="D52" s="166"/>
      <c r="E52" s="160">
        <v>1</v>
      </c>
      <c r="F52" s="160"/>
      <c r="G52" s="160">
        <v>4</v>
      </c>
      <c r="H52" s="160"/>
      <c r="I52" s="160">
        <v>0.5</v>
      </c>
      <c r="J52" s="160"/>
      <c r="K52" s="160">
        <v>2</v>
      </c>
      <c r="L52" s="160"/>
      <c r="M52" s="146">
        <v>8</v>
      </c>
    </row>
    <row r="53" spans="1:13" ht="12.75">
      <c r="A53" s="798" t="s">
        <v>585</v>
      </c>
      <c r="B53" s="20" t="s">
        <v>581</v>
      </c>
      <c r="C53" s="128"/>
      <c r="D53" s="128"/>
      <c r="E53" s="143">
        <v>4</v>
      </c>
      <c r="F53" s="143"/>
      <c r="G53" s="143">
        <v>7</v>
      </c>
      <c r="H53" s="143"/>
      <c r="I53" s="143">
        <v>6</v>
      </c>
      <c r="J53" s="143"/>
      <c r="K53" s="143">
        <v>6</v>
      </c>
      <c r="L53" s="143"/>
      <c r="M53" s="128">
        <v>23</v>
      </c>
    </row>
    <row r="54" spans="1:13" ht="12.75">
      <c r="A54" s="952"/>
      <c r="B54" s="132" t="s">
        <v>582</v>
      </c>
      <c r="C54" s="133"/>
      <c r="D54" s="133"/>
      <c r="E54" s="144">
        <v>2</v>
      </c>
      <c r="F54" s="144"/>
      <c r="G54" s="144">
        <v>3.5</v>
      </c>
      <c r="H54" s="144"/>
      <c r="I54" s="144">
        <v>3</v>
      </c>
      <c r="J54" s="144"/>
      <c r="K54" s="144">
        <v>3</v>
      </c>
      <c r="L54" s="144"/>
      <c r="M54" s="133">
        <v>11.5</v>
      </c>
    </row>
    <row r="55" spans="1:13" ht="12.75">
      <c r="A55" s="798" t="s">
        <v>586</v>
      </c>
      <c r="B55" s="20" t="s">
        <v>581</v>
      </c>
      <c r="C55" s="145"/>
      <c r="D55" s="145"/>
      <c r="E55" s="165">
        <v>1</v>
      </c>
      <c r="F55" s="165"/>
      <c r="G55" s="141">
        <v>2</v>
      </c>
      <c r="H55" s="141"/>
      <c r="I55" s="134">
        <v>1</v>
      </c>
      <c r="J55" s="134"/>
      <c r="K55" s="145"/>
      <c r="L55" s="145"/>
      <c r="M55" s="128">
        <v>4</v>
      </c>
    </row>
    <row r="56" spans="1:13" ht="12.75">
      <c r="A56" s="952"/>
      <c r="B56" s="132" t="s">
        <v>582</v>
      </c>
      <c r="C56" s="146"/>
      <c r="D56" s="146"/>
      <c r="E56" s="166">
        <v>0.5</v>
      </c>
      <c r="F56" s="166"/>
      <c r="G56" s="142">
        <v>1</v>
      </c>
      <c r="H56" s="142"/>
      <c r="I56" s="135">
        <v>0.5</v>
      </c>
      <c r="J56" s="135"/>
      <c r="K56" s="146"/>
      <c r="L56" s="146"/>
      <c r="M56" s="133">
        <v>2</v>
      </c>
    </row>
    <row r="57" spans="1:13" ht="12.75">
      <c r="A57" s="798" t="s">
        <v>587</v>
      </c>
      <c r="B57" s="20" t="s">
        <v>581</v>
      </c>
      <c r="C57" s="165">
        <v>1</v>
      </c>
      <c r="D57" s="165"/>
      <c r="E57" s="165">
        <v>1</v>
      </c>
      <c r="F57" s="165"/>
      <c r="G57" s="128"/>
      <c r="H57" s="128"/>
      <c r="I57" s="134">
        <v>10</v>
      </c>
      <c r="J57" s="134"/>
      <c r="K57" s="143">
        <v>20</v>
      </c>
      <c r="L57" s="143"/>
      <c r="M57" s="128">
        <v>32</v>
      </c>
    </row>
    <row r="58" spans="1:13" ht="12.75">
      <c r="A58" s="952"/>
      <c r="B58" s="132" t="s">
        <v>582</v>
      </c>
      <c r="C58" s="166">
        <v>0.5</v>
      </c>
      <c r="D58" s="166"/>
      <c r="E58" s="166">
        <v>0.5</v>
      </c>
      <c r="F58" s="166"/>
      <c r="G58" s="133"/>
      <c r="H58" s="133"/>
      <c r="I58" s="135">
        <v>5</v>
      </c>
      <c r="J58" s="135"/>
      <c r="K58" s="144">
        <v>10</v>
      </c>
      <c r="L58" s="144"/>
      <c r="M58" s="133">
        <v>16</v>
      </c>
    </row>
    <row r="59" spans="1:13" ht="12.75">
      <c r="A59" s="786" t="s">
        <v>588</v>
      </c>
      <c r="B59" s="171" t="s">
        <v>581</v>
      </c>
      <c r="C59" s="145"/>
      <c r="D59" s="145"/>
      <c r="E59" s="145"/>
      <c r="F59" s="145"/>
      <c r="G59" s="141">
        <v>2</v>
      </c>
      <c r="H59" s="141"/>
      <c r="I59" s="141">
        <v>1</v>
      </c>
      <c r="J59" s="141"/>
      <c r="K59" s="141">
        <v>3</v>
      </c>
      <c r="L59" s="141"/>
      <c r="M59" s="145">
        <v>6</v>
      </c>
    </row>
    <row r="60" spans="1:13" ht="12.75">
      <c r="A60" s="787"/>
      <c r="B60" s="172" t="s">
        <v>582</v>
      </c>
      <c r="C60" s="146"/>
      <c r="D60" s="146"/>
      <c r="E60" s="146"/>
      <c r="F60" s="146"/>
      <c r="G60" s="142">
        <v>1</v>
      </c>
      <c r="H60" s="142"/>
      <c r="I60" s="142">
        <v>0.5</v>
      </c>
      <c r="J60" s="142"/>
      <c r="K60" s="142">
        <v>1.5</v>
      </c>
      <c r="L60" s="142"/>
      <c r="M60" s="146">
        <v>3</v>
      </c>
    </row>
    <row r="61" spans="1:13" ht="12.75">
      <c r="A61" s="798" t="s">
        <v>589</v>
      </c>
      <c r="B61" s="20" t="s">
        <v>581</v>
      </c>
      <c r="C61" s="145"/>
      <c r="D61" s="145"/>
      <c r="E61" s="165">
        <v>2</v>
      </c>
      <c r="F61" s="165"/>
      <c r="G61" s="141">
        <v>10</v>
      </c>
      <c r="H61" s="141"/>
      <c r="I61" s="141">
        <v>6</v>
      </c>
      <c r="J61" s="141"/>
      <c r="K61" s="143">
        <v>8</v>
      </c>
      <c r="L61" s="143"/>
      <c r="M61" s="128">
        <v>26</v>
      </c>
    </row>
    <row r="62" spans="1:13" ht="12.75">
      <c r="A62" s="952"/>
      <c r="B62" s="132" t="s">
        <v>582</v>
      </c>
      <c r="C62" s="146"/>
      <c r="D62" s="146"/>
      <c r="E62" s="166">
        <v>1</v>
      </c>
      <c r="F62" s="166"/>
      <c r="G62" s="142">
        <v>5</v>
      </c>
      <c r="H62" s="142"/>
      <c r="I62" s="142">
        <v>3</v>
      </c>
      <c r="J62" s="142"/>
      <c r="K62" s="144">
        <v>4</v>
      </c>
      <c r="L62" s="144"/>
      <c r="M62" s="133">
        <v>13</v>
      </c>
    </row>
    <row r="63" spans="1:13" ht="12.75">
      <c r="A63" s="798" t="s">
        <v>590</v>
      </c>
      <c r="B63" s="20" t="s">
        <v>581</v>
      </c>
      <c r="C63" s="165">
        <v>1</v>
      </c>
      <c r="D63" s="165"/>
      <c r="E63" s="159">
        <v>2</v>
      </c>
      <c r="F63" s="159"/>
      <c r="G63" s="159">
        <v>3</v>
      </c>
      <c r="H63" s="159"/>
      <c r="I63" s="159">
        <v>10</v>
      </c>
      <c r="J63" s="159"/>
      <c r="K63" s="143">
        <v>5</v>
      </c>
      <c r="L63" s="143"/>
      <c r="M63" s="128">
        <v>21</v>
      </c>
    </row>
    <row r="64" spans="1:13" ht="12.75">
      <c r="A64" s="952"/>
      <c r="B64" s="132" t="s">
        <v>582</v>
      </c>
      <c r="C64" s="166">
        <v>0.5</v>
      </c>
      <c r="D64" s="166"/>
      <c r="E64" s="160">
        <v>1</v>
      </c>
      <c r="F64" s="160"/>
      <c r="G64" s="160">
        <v>1.5</v>
      </c>
      <c r="H64" s="160"/>
      <c r="I64" s="160">
        <v>5</v>
      </c>
      <c r="J64" s="160"/>
      <c r="K64" s="144">
        <v>2.5</v>
      </c>
      <c r="L64" s="144"/>
      <c r="M64" s="133">
        <v>10.5</v>
      </c>
    </row>
    <row r="65" spans="1:13" ht="27" customHeight="1">
      <c r="A65" s="798" t="s">
        <v>591</v>
      </c>
      <c r="B65" s="20" t="s">
        <v>581</v>
      </c>
      <c r="C65" s="145"/>
      <c r="D65" s="145"/>
      <c r="E65" s="145"/>
      <c r="F65" s="145"/>
      <c r="G65" s="141">
        <v>7</v>
      </c>
      <c r="H65" s="141"/>
      <c r="I65" s="145"/>
      <c r="J65" s="145"/>
      <c r="K65" s="145"/>
      <c r="L65" s="145"/>
      <c r="M65" s="128">
        <v>7</v>
      </c>
    </row>
    <row r="66" spans="1:13" ht="12.75">
      <c r="A66" s="952"/>
      <c r="B66" s="132" t="s">
        <v>582</v>
      </c>
      <c r="C66" s="146"/>
      <c r="D66" s="146"/>
      <c r="E66" s="146"/>
      <c r="F66" s="146"/>
      <c r="G66" s="142">
        <v>3.5</v>
      </c>
      <c r="H66" s="142"/>
      <c r="I66" s="146"/>
      <c r="J66" s="146"/>
      <c r="K66" s="146"/>
      <c r="L66" s="146"/>
      <c r="M66" s="133">
        <v>3.5</v>
      </c>
    </row>
    <row r="67" spans="1:13" ht="12.75">
      <c r="A67" s="798" t="s">
        <v>592</v>
      </c>
      <c r="B67" s="20" t="s">
        <v>581</v>
      </c>
      <c r="C67" s="145"/>
      <c r="D67" s="145"/>
      <c r="E67" s="128"/>
      <c r="F67" s="128"/>
      <c r="G67" s="128"/>
      <c r="H67" s="128"/>
      <c r="I67" s="134">
        <v>1</v>
      </c>
      <c r="J67" s="134"/>
      <c r="K67" s="143">
        <v>4</v>
      </c>
      <c r="L67" s="143"/>
      <c r="M67" s="128">
        <v>5</v>
      </c>
    </row>
    <row r="68" spans="1:13" ht="12.75">
      <c r="A68" s="952"/>
      <c r="B68" s="132" t="s">
        <v>582</v>
      </c>
      <c r="C68" s="146"/>
      <c r="D68" s="146"/>
      <c r="E68" s="133"/>
      <c r="F68" s="133"/>
      <c r="G68" s="133"/>
      <c r="H68" s="133"/>
      <c r="I68" s="135">
        <v>0.5</v>
      </c>
      <c r="J68" s="135"/>
      <c r="K68" s="144">
        <v>2</v>
      </c>
      <c r="L68" s="144"/>
      <c r="M68" s="133">
        <v>2.5</v>
      </c>
    </row>
    <row r="69" spans="1:13" ht="12.75">
      <c r="A69" s="798" t="s">
        <v>593</v>
      </c>
      <c r="B69" s="20" t="s">
        <v>581</v>
      </c>
      <c r="C69" s="165">
        <v>1</v>
      </c>
      <c r="D69" s="165"/>
      <c r="E69" s="145"/>
      <c r="F69" s="145"/>
      <c r="G69" s="141">
        <v>1</v>
      </c>
      <c r="H69" s="141"/>
      <c r="I69" s="141">
        <v>1</v>
      </c>
      <c r="J69" s="141"/>
      <c r="K69" s="143">
        <v>4</v>
      </c>
      <c r="L69" s="143"/>
      <c r="M69" s="128">
        <v>7</v>
      </c>
    </row>
    <row r="70" spans="1:13" ht="12.75">
      <c r="A70" s="952"/>
      <c r="B70" s="132" t="s">
        <v>582</v>
      </c>
      <c r="C70" s="166">
        <v>0.5</v>
      </c>
      <c r="D70" s="166"/>
      <c r="E70" s="146"/>
      <c r="F70" s="146"/>
      <c r="G70" s="142">
        <v>0.5</v>
      </c>
      <c r="H70" s="142"/>
      <c r="I70" s="142">
        <v>0.5</v>
      </c>
      <c r="J70" s="142"/>
      <c r="K70" s="144">
        <v>2</v>
      </c>
      <c r="L70" s="144"/>
      <c r="M70" s="133">
        <v>3.5</v>
      </c>
    </row>
    <row r="71" spans="1:13" ht="12.75">
      <c r="A71" s="798" t="s">
        <v>594</v>
      </c>
      <c r="B71" s="20" t="s">
        <v>581</v>
      </c>
      <c r="C71" s="145"/>
      <c r="D71" s="145"/>
      <c r="E71" s="145"/>
      <c r="F71" s="145"/>
      <c r="G71" s="141">
        <v>2</v>
      </c>
      <c r="H71" s="141"/>
      <c r="I71" s="134">
        <v>5</v>
      </c>
      <c r="J71" s="134"/>
      <c r="K71" s="143">
        <v>6</v>
      </c>
      <c r="L71" s="143"/>
      <c r="M71" s="128">
        <v>13</v>
      </c>
    </row>
    <row r="72" spans="1:13" ht="12.75">
      <c r="A72" s="952"/>
      <c r="B72" s="132" t="s">
        <v>582</v>
      </c>
      <c r="C72" s="146"/>
      <c r="D72" s="146"/>
      <c r="E72" s="146"/>
      <c r="F72" s="146"/>
      <c r="G72" s="142">
        <v>1</v>
      </c>
      <c r="H72" s="142"/>
      <c r="I72" s="135">
        <v>2.5</v>
      </c>
      <c r="J72" s="135"/>
      <c r="K72" s="144">
        <v>3</v>
      </c>
      <c r="L72" s="144"/>
      <c r="M72" s="133">
        <v>6.5</v>
      </c>
    </row>
    <row r="73" spans="1:13" ht="12.75">
      <c r="A73" s="20" t="s">
        <v>419</v>
      </c>
      <c r="B73" s="20" t="s">
        <v>581</v>
      </c>
      <c r="C73" s="128">
        <v>7</v>
      </c>
      <c r="D73" s="128"/>
      <c r="E73" s="128">
        <v>14</v>
      </c>
      <c r="F73" s="128"/>
      <c r="G73" s="128">
        <v>45</v>
      </c>
      <c r="H73" s="128"/>
      <c r="I73" s="128">
        <v>62</v>
      </c>
      <c r="J73" s="128"/>
      <c r="K73" s="128">
        <v>72</v>
      </c>
      <c r="L73" s="128"/>
      <c r="M73" s="128">
        <v>200</v>
      </c>
    </row>
    <row r="74" spans="1:13" ht="12.75">
      <c r="A74" s="20"/>
      <c r="B74" s="132" t="s">
        <v>582</v>
      </c>
      <c r="C74" s="133">
        <v>3.5</v>
      </c>
      <c r="D74" s="133"/>
      <c r="E74" s="133">
        <v>7</v>
      </c>
      <c r="F74" s="133"/>
      <c r="G74" s="133">
        <v>22.5</v>
      </c>
      <c r="H74" s="133"/>
      <c r="I74" s="133">
        <v>31</v>
      </c>
      <c r="J74" s="133"/>
      <c r="K74" s="133">
        <v>36</v>
      </c>
      <c r="L74" s="133"/>
      <c r="M74" s="133">
        <v>100</v>
      </c>
    </row>
    <row r="76" spans="1:12" ht="89.25">
      <c r="A76" s="990" t="s">
        <v>486</v>
      </c>
      <c r="B76" s="991"/>
      <c r="C76" s="136" t="s">
        <v>557</v>
      </c>
      <c r="D76" s="136"/>
      <c r="E76" s="136" t="s">
        <v>488</v>
      </c>
      <c r="F76" s="136"/>
      <c r="G76" s="136" t="s">
        <v>599</v>
      </c>
      <c r="H76" s="136"/>
      <c r="I76" s="137" t="s">
        <v>597</v>
      </c>
      <c r="J76" s="137"/>
      <c r="K76" s="137" t="s">
        <v>598</v>
      </c>
      <c r="L76" s="175"/>
    </row>
    <row r="77" spans="1:12" ht="12.75">
      <c r="A77" s="1089" t="s">
        <v>468</v>
      </c>
      <c r="B77" s="155"/>
      <c r="C77" s="156" t="s">
        <v>558</v>
      </c>
      <c r="D77" s="156"/>
      <c r="E77" s="157">
        <v>0.08333333333333333</v>
      </c>
      <c r="F77" s="157"/>
      <c r="G77" s="157" t="s">
        <v>600</v>
      </c>
      <c r="H77" s="157"/>
      <c r="I77" s="158">
        <f>G50+G56+G60+G62+G66+G70+G72+K50+K60+I50+I60+I62+I70</f>
        <v>26</v>
      </c>
      <c r="J77" s="158"/>
      <c r="K77" s="158"/>
      <c r="L77" s="176"/>
    </row>
    <row r="78" spans="1:12" ht="12.75">
      <c r="A78" s="1090" t="s">
        <v>467</v>
      </c>
      <c r="B78" s="150"/>
      <c r="C78" s="147" t="s">
        <v>559</v>
      </c>
      <c r="D78" s="147"/>
      <c r="E78" s="148">
        <v>0.09375</v>
      </c>
      <c r="F78" s="148"/>
      <c r="G78" s="148" t="s">
        <v>604</v>
      </c>
      <c r="H78" s="148"/>
      <c r="I78" s="149">
        <f>I48+I56+I58+I68+I72+K48+G48+E48</f>
        <v>18.5</v>
      </c>
      <c r="J78" s="149"/>
      <c r="K78" s="149"/>
      <c r="L78" s="177"/>
    </row>
    <row r="79" spans="1:12" ht="12.75">
      <c r="A79" s="1091" t="s">
        <v>469</v>
      </c>
      <c r="B79" s="161"/>
      <c r="C79" s="162" t="s">
        <v>584</v>
      </c>
      <c r="D79" s="162"/>
      <c r="E79" s="163">
        <v>0.0625</v>
      </c>
      <c r="F79" s="163"/>
      <c r="G79" s="163" t="s">
        <v>601</v>
      </c>
      <c r="H79" s="163"/>
      <c r="I79" s="164">
        <f>E52+E64+K52+I52+G52+G64+I64</f>
        <v>15</v>
      </c>
      <c r="J79" s="164"/>
      <c r="K79" s="164"/>
      <c r="L79" s="178"/>
    </row>
    <row r="80" spans="1:12" ht="12.75">
      <c r="A80" s="1092" t="s">
        <v>472</v>
      </c>
      <c r="B80" s="167"/>
      <c r="C80" s="168" t="s">
        <v>558</v>
      </c>
      <c r="D80" s="168"/>
      <c r="E80" s="169">
        <v>0.03125</v>
      </c>
      <c r="F80" s="169"/>
      <c r="G80" s="169" t="s">
        <v>602</v>
      </c>
      <c r="H80" s="169"/>
      <c r="I80" s="170">
        <f>C58+C70+C64+C50+C52+E62+E56+E58</f>
        <v>5.5</v>
      </c>
      <c r="J80" s="170"/>
      <c r="K80" s="170"/>
      <c r="L80" s="179"/>
    </row>
    <row r="81" spans="1:12" ht="12.75">
      <c r="A81" s="1093" t="s">
        <v>487</v>
      </c>
      <c r="B81" s="151"/>
      <c r="C81" s="152" t="s">
        <v>560</v>
      </c>
      <c r="D81" s="152"/>
      <c r="E81" s="153">
        <v>0.16666666666666666</v>
      </c>
      <c r="F81" s="153"/>
      <c r="G81" s="153" t="s">
        <v>603</v>
      </c>
      <c r="H81" s="153"/>
      <c r="I81" s="154">
        <f>K54+K58+K62+K64+K68+K70+K72+I54+G54+E54</f>
        <v>35</v>
      </c>
      <c r="J81" s="154"/>
      <c r="K81" s="154"/>
      <c r="L81" s="180"/>
    </row>
    <row r="82" spans="1:12" ht="15.75">
      <c r="A82" s="1094" t="s">
        <v>485</v>
      </c>
      <c r="B82" s="1094"/>
      <c r="C82" s="138"/>
      <c r="D82" s="174"/>
      <c r="E82" s="130"/>
      <c r="F82" s="130"/>
      <c r="G82" s="130"/>
      <c r="H82" s="130"/>
      <c r="I82" s="140">
        <f>SUM(I77:I81)</f>
        <v>100</v>
      </c>
      <c r="J82" s="139"/>
      <c r="K82" s="139"/>
      <c r="L82" s="181"/>
    </row>
    <row r="84" ht="33.75" customHeight="1"/>
    <row r="95" ht="33" customHeight="1"/>
    <row r="123" ht="29.25" customHeight="1"/>
    <row r="146" ht="12.75">
      <c r="O146" s="32"/>
    </row>
    <row r="147" ht="12.75">
      <c r="O147" s="32"/>
    </row>
    <row r="148" ht="12.75">
      <c r="O148" s="32"/>
    </row>
    <row r="149" ht="12.75">
      <c r="O149" s="32"/>
    </row>
    <row r="156" ht="12.75">
      <c r="O156" s="32"/>
    </row>
    <row r="157" ht="12.75">
      <c r="O157" s="32"/>
    </row>
    <row r="158" spans="1:17" s="32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6" s="32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4:16" s="32" customFormat="1" ht="12.75">
      <c r="N160"/>
      <c r="O160"/>
      <c r="P160"/>
    </row>
    <row r="161" spans="15:16" s="32" customFormat="1" ht="12.75">
      <c r="O161"/>
      <c r="P161"/>
    </row>
    <row r="162" spans="1:17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Q162" s="32"/>
    </row>
    <row r="163" spans="1:16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P163" s="32"/>
    </row>
    <row r="164" spans="14:16" ht="12.75">
      <c r="N164" s="32"/>
      <c r="P164" s="32"/>
    </row>
    <row r="165" ht="12.75">
      <c r="P165" s="32"/>
    </row>
    <row r="166" ht="12.75">
      <c r="P166" s="32"/>
    </row>
    <row r="168" spans="1:17" s="32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6" s="32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7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Q170" s="32"/>
    </row>
    <row r="171" spans="1:14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ht="12.75">
      <c r="N172" s="32"/>
    </row>
    <row r="173" ht="12.75">
      <c r="P173" s="32"/>
    </row>
    <row r="174" ht="12.75">
      <c r="P174" s="32"/>
    </row>
    <row r="193" ht="15">
      <c r="O193" s="173"/>
    </row>
    <row r="205" spans="1:17" s="173" customFormat="1" ht="42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2:17" ht="15">
      <c r="B206" t="s">
        <v>419</v>
      </c>
      <c r="Q206" s="173"/>
    </row>
    <row r="207" spans="1:13" ht="15">
      <c r="A207" s="173" t="s">
        <v>594</v>
      </c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</row>
    <row r="208" spans="1:14" ht="15">
      <c r="A208">
        <v>9</v>
      </c>
      <c r="B208">
        <v>130</v>
      </c>
      <c r="N208" s="173"/>
    </row>
    <row r="209" spans="1:2" ht="12.75">
      <c r="A209">
        <v>6.923076923076923</v>
      </c>
      <c r="B209">
        <v>100</v>
      </c>
    </row>
    <row r="210" spans="1:16" ht="15">
      <c r="A210">
        <v>69.23076923076923</v>
      </c>
      <c r="B210">
        <v>65</v>
      </c>
      <c r="P210" s="173"/>
    </row>
    <row r="211" spans="1:2" ht="12.75">
      <c r="A211">
        <v>4.5</v>
      </c>
      <c r="B211">
        <v>65</v>
      </c>
    </row>
    <row r="212" spans="1:2" ht="12.75">
      <c r="A212">
        <v>1</v>
      </c>
      <c r="B212">
        <v>20</v>
      </c>
    </row>
    <row r="213" spans="1:2" ht="12.75">
      <c r="A213">
        <v>5</v>
      </c>
      <c r="B213">
        <v>100</v>
      </c>
    </row>
    <row r="214" spans="1:2" ht="12.75">
      <c r="A214">
        <v>7.6923076923076925</v>
      </c>
      <c r="B214">
        <v>10</v>
      </c>
    </row>
    <row r="215" spans="1:2" ht="12.75">
      <c r="A215">
        <v>0.5</v>
      </c>
      <c r="B215">
        <v>10</v>
      </c>
    </row>
    <row r="216" spans="1:2" ht="12.75">
      <c r="A216">
        <v>3</v>
      </c>
      <c r="B216">
        <v>50</v>
      </c>
    </row>
    <row r="217" spans="1:2" ht="12.75">
      <c r="A217">
        <v>6</v>
      </c>
      <c r="B217">
        <v>100</v>
      </c>
    </row>
    <row r="218" spans="1:2" ht="12.75">
      <c r="A218">
        <v>23.076923076923077</v>
      </c>
      <c r="B218">
        <v>25</v>
      </c>
    </row>
    <row r="219" spans="1:2" ht="12.75">
      <c r="A219">
        <v>1.5</v>
      </c>
      <c r="B219">
        <v>25</v>
      </c>
    </row>
    <row r="220" spans="1:2" ht="12.75">
      <c r="A220">
        <v>13</v>
      </c>
      <c r="B220">
        <v>200</v>
      </c>
    </row>
    <row r="221" spans="1:2" ht="12.75">
      <c r="A221">
        <v>6.5</v>
      </c>
      <c r="B221">
        <v>100</v>
      </c>
    </row>
    <row r="222" spans="1:2" ht="12.75">
      <c r="A222">
        <v>100</v>
      </c>
      <c r="B222">
        <v>100</v>
      </c>
    </row>
    <row r="223" spans="1:2" ht="12.75">
      <c r="A223">
        <v>6.5</v>
      </c>
      <c r="B223">
        <v>100</v>
      </c>
    </row>
  </sheetData>
  <mergeCells count="19">
    <mergeCell ref="A76:B76"/>
    <mergeCell ref="A82:B82"/>
    <mergeCell ref="B4:M4"/>
    <mergeCell ref="B29:M29"/>
    <mergeCell ref="B27:E27"/>
    <mergeCell ref="A71:A72"/>
    <mergeCell ref="A63:A64"/>
    <mergeCell ref="A65:A66"/>
    <mergeCell ref="A67:A68"/>
    <mergeCell ref="A69:A70"/>
    <mergeCell ref="A55:A56"/>
    <mergeCell ref="A57:A58"/>
    <mergeCell ref="A59:A60"/>
    <mergeCell ref="A61:A62"/>
    <mergeCell ref="A47:A48"/>
    <mergeCell ref="A49:A50"/>
    <mergeCell ref="A51:A52"/>
    <mergeCell ref="A53:A54"/>
    <mergeCell ref="R11:U11"/>
  </mergeCells>
  <printOptions/>
  <pageMargins left="0.75" right="0.75" top="1.08" bottom="1" header="0" footer="0"/>
  <pageSetup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B3:M13"/>
  <sheetViews>
    <sheetView zoomScale="85" zoomScaleNormal="85" workbookViewId="0" topLeftCell="A1">
      <selection activeCell="E28" sqref="E28"/>
    </sheetView>
  </sheetViews>
  <sheetFormatPr defaultColWidth="11.421875" defaultRowHeight="12.75"/>
  <cols>
    <col min="2" max="2" width="23.140625" style="0" bestFit="1" customWidth="1"/>
    <col min="3" max="3" width="20.00390625" style="0" customWidth="1"/>
    <col min="5" max="5" width="12.421875" style="0" customWidth="1"/>
    <col min="7" max="7" width="9.7109375" style="0" customWidth="1"/>
    <col min="8" max="8" width="9.140625" style="0" customWidth="1"/>
    <col min="9" max="9" width="11.140625" style="0" customWidth="1"/>
    <col min="10" max="10" width="8.8515625" style="0" customWidth="1"/>
    <col min="11" max="11" width="9.421875" style="0" customWidth="1"/>
    <col min="12" max="12" width="12.140625" style="0" customWidth="1"/>
  </cols>
  <sheetData>
    <row r="2" ht="13.5" thickBot="1"/>
    <row r="3" spans="2:12" ht="77.25" thickBot="1">
      <c r="B3" s="371" t="s">
        <v>486</v>
      </c>
      <c r="C3" s="372" t="s">
        <v>557</v>
      </c>
      <c r="D3" s="372" t="s">
        <v>488</v>
      </c>
      <c r="E3" s="372" t="s">
        <v>561</v>
      </c>
      <c r="F3" s="372" t="s">
        <v>562</v>
      </c>
      <c r="G3" s="372" t="s">
        <v>477</v>
      </c>
      <c r="H3" s="372" t="s">
        <v>484</v>
      </c>
      <c r="I3" s="372" t="s">
        <v>476</v>
      </c>
      <c r="J3" s="372" t="s">
        <v>484</v>
      </c>
      <c r="K3" s="372" t="s">
        <v>482</v>
      </c>
      <c r="L3" s="420" t="s">
        <v>532</v>
      </c>
    </row>
    <row r="4" spans="2:12" ht="12.75">
      <c r="B4" s="417" t="s">
        <v>468</v>
      </c>
      <c r="C4" s="320" t="s">
        <v>558</v>
      </c>
      <c r="D4" s="439">
        <v>0.08333333333333333</v>
      </c>
      <c r="E4" s="321">
        <f>'Result Encues'!F22</f>
        <v>0.26771653543307083</v>
      </c>
      <c r="F4" s="321">
        <f>'Result Encues'!G22</f>
        <v>0.41860465116279066</v>
      </c>
      <c r="G4" s="320">
        <v>524</v>
      </c>
      <c r="H4" s="418">
        <f>G4/$F$13</f>
        <v>3.493333333333333</v>
      </c>
      <c r="I4" s="320">
        <v>2376</v>
      </c>
      <c r="J4" s="418">
        <f>I4/F12</f>
        <v>11.154929577464788</v>
      </c>
      <c r="K4" s="320">
        <f>G4+I4</f>
        <v>2900</v>
      </c>
      <c r="L4" s="432">
        <f>K4*9</f>
        <v>26100</v>
      </c>
    </row>
    <row r="5" spans="2:12" ht="12.75">
      <c r="B5" s="414" t="s">
        <v>467</v>
      </c>
      <c r="C5" s="48" t="s">
        <v>559</v>
      </c>
      <c r="D5" s="53">
        <v>0.09375</v>
      </c>
      <c r="E5" s="96">
        <f>'Result Encues'!F23</f>
        <v>0.25196850393700787</v>
      </c>
      <c r="F5" s="96">
        <f>'Result Encues'!G23</f>
        <v>0.11627906976744186</v>
      </c>
      <c r="G5" s="48">
        <v>194</v>
      </c>
      <c r="H5" s="49">
        <f>G5/$F$13</f>
        <v>1.2933333333333332</v>
      </c>
      <c r="I5" s="48">
        <v>1830</v>
      </c>
      <c r="J5" s="49">
        <f>I5/F12</f>
        <v>8.591549295774648</v>
      </c>
      <c r="K5" s="48">
        <f>I5+G5</f>
        <v>2024</v>
      </c>
      <c r="L5" s="433">
        <f>K5*9</f>
        <v>18216</v>
      </c>
    </row>
    <row r="6" spans="2:12" ht="12.75">
      <c r="B6" s="414" t="s">
        <v>469</v>
      </c>
      <c r="C6" s="48" t="s">
        <v>584</v>
      </c>
      <c r="D6" s="53">
        <v>0.0625</v>
      </c>
      <c r="E6" s="96">
        <f>'Result Encues'!F24</f>
        <v>0</v>
      </c>
      <c r="F6" s="96">
        <f>'Result Encues'!G24</f>
        <v>0</v>
      </c>
      <c r="G6" s="48">
        <v>96</v>
      </c>
      <c r="H6" s="49">
        <f>G6/$F$13</f>
        <v>0.64</v>
      </c>
      <c r="I6" s="48">
        <v>993</v>
      </c>
      <c r="J6" s="49">
        <f>I6/F12</f>
        <v>4.661971830985915</v>
      </c>
      <c r="K6" s="48">
        <f>I6+G6</f>
        <v>1089</v>
      </c>
      <c r="L6" s="433">
        <f>K6*9</f>
        <v>9801</v>
      </c>
    </row>
    <row r="7" spans="2:12" ht="12.75">
      <c r="B7" s="434" t="s">
        <v>472</v>
      </c>
      <c r="C7" s="124" t="s">
        <v>558</v>
      </c>
      <c r="D7" s="53">
        <v>0.03125</v>
      </c>
      <c r="E7" s="96">
        <f>'Result Encues'!F25</f>
        <v>0.07086614173228346</v>
      </c>
      <c r="F7" s="96">
        <f>'Result Encues'!G25</f>
        <v>0.046511627906976744</v>
      </c>
      <c r="G7" s="48">
        <f>(10*0.46)*150</f>
        <v>690.0000000000001</v>
      </c>
      <c r="H7" s="49">
        <f>G7/$F$13</f>
        <v>4.6000000000000005</v>
      </c>
      <c r="I7" s="49">
        <f>(20*0.46)*213</f>
        <v>1959.6000000000001</v>
      </c>
      <c r="J7" s="49">
        <f>I7/F12</f>
        <v>9.200000000000001</v>
      </c>
      <c r="K7" s="49">
        <f>I7+G7</f>
        <v>2649.6000000000004</v>
      </c>
      <c r="L7" s="433">
        <f>K7*9</f>
        <v>23846.4</v>
      </c>
    </row>
    <row r="8" spans="2:12" ht="13.5" thickBot="1">
      <c r="B8" s="421" t="s">
        <v>487</v>
      </c>
      <c r="C8" s="109" t="s">
        <v>560</v>
      </c>
      <c r="D8" s="435">
        <v>0.16666666666666666</v>
      </c>
      <c r="E8" s="436">
        <f>'Result Encues'!F26</f>
        <v>0.40944881889763785</v>
      </c>
      <c r="F8" s="436">
        <f>'Result Encues'!G26</f>
        <v>0.4186046511627907</v>
      </c>
      <c r="G8" s="437">
        <f>F13*1</f>
        <v>150</v>
      </c>
      <c r="H8" s="422">
        <f>G8/$F$13</f>
        <v>1</v>
      </c>
      <c r="I8" s="422">
        <f>F12*1</f>
        <v>213</v>
      </c>
      <c r="J8" s="422">
        <f>I8/F12</f>
        <v>1</v>
      </c>
      <c r="K8" s="422">
        <f>I8+G8</f>
        <v>363</v>
      </c>
      <c r="L8" s="438">
        <f>K8*9</f>
        <v>3267</v>
      </c>
    </row>
    <row r="9" spans="2:13" ht="13.5" thickBot="1">
      <c r="B9" s="424" t="s">
        <v>485</v>
      </c>
      <c r="C9" s="440"/>
      <c r="D9" s="441"/>
      <c r="E9" s="442">
        <f>SUM(E4:E8)</f>
        <v>1</v>
      </c>
      <c r="F9" s="442">
        <f>SUM(F4:F8)</f>
        <v>1</v>
      </c>
      <c r="G9" s="443">
        <f>SUM(G4:G7)</f>
        <v>1504</v>
      </c>
      <c r="H9" s="426"/>
      <c r="I9" s="425">
        <f>SUM(I4:I8)</f>
        <v>7371.6</v>
      </c>
      <c r="J9" s="426"/>
      <c r="K9" s="425">
        <f>SUM(K4:K8)</f>
        <v>9025.6</v>
      </c>
      <c r="L9" s="444">
        <f>SUM(L4:L8)</f>
        <v>81230.4</v>
      </c>
      <c r="M9" s="51"/>
    </row>
    <row r="10" spans="2:10" ht="13.5" thickBot="1">
      <c r="B10" s="47"/>
      <c r="C10" s="47"/>
      <c r="D10" s="47"/>
      <c r="E10" s="47"/>
      <c r="F10" s="47"/>
      <c r="G10" s="47"/>
      <c r="H10" s="47"/>
      <c r="I10" s="47"/>
      <c r="J10" s="47"/>
    </row>
    <row r="11" spans="2:10" ht="39" thickBot="1">
      <c r="B11" s="11"/>
      <c r="C11" s="11"/>
      <c r="D11" s="949" t="s">
        <v>480</v>
      </c>
      <c r="E11" s="950"/>
      <c r="F11" s="420" t="s">
        <v>481</v>
      </c>
      <c r="G11" s="45"/>
      <c r="H11" s="11"/>
      <c r="I11" s="11"/>
      <c r="J11" s="11"/>
    </row>
    <row r="12" spans="2:10" ht="12.75">
      <c r="B12" s="47"/>
      <c r="C12" s="47"/>
      <c r="D12" s="417" t="s">
        <v>478</v>
      </c>
      <c r="E12" s="320"/>
      <c r="F12" s="432">
        <v>213</v>
      </c>
      <c r="G12" s="47"/>
      <c r="H12" s="47"/>
      <c r="I12" s="47"/>
      <c r="J12" s="47"/>
    </row>
    <row r="13" spans="2:10" ht="13.5" thickBot="1">
      <c r="B13" s="47"/>
      <c r="C13" s="47"/>
      <c r="D13" s="429" t="s">
        <v>479</v>
      </c>
      <c r="E13" s="430"/>
      <c r="F13" s="431">
        <v>150</v>
      </c>
      <c r="G13" s="47"/>
      <c r="H13" s="47"/>
      <c r="I13" s="47"/>
      <c r="J13" s="47"/>
    </row>
  </sheetData>
  <mergeCells count="1">
    <mergeCell ref="D11:E11"/>
  </mergeCells>
  <printOptions/>
  <pageMargins left="0.75" right="0.75" top="1" bottom="1" header="0" footer="0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1:S125"/>
  <sheetViews>
    <sheetView zoomScale="70" zoomScaleNormal="70" workbookViewId="0" topLeftCell="A99">
      <selection activeCell="B134" sqref="B134"/>
    </sheetView>
  </sheetViews>
  <sheetFormatPr defaultColWidth="11.421875" defaultRowHeight="12.75"/>
  <cols>
    <col min="1" max="1" width="15.8515625" style="0" customWidth="1"/>
    <col min="2" max="2" width="10.421875" style="0" customWidth="1"/>
    <col min="3" max="3" width="14.00390625" style="0" customWidth="1"/>
    <col min="4" max="4" width="13.57421875" style="0" customWidth="1"/>
    <col min="5" max="5" width="14.140625" style="0" customWidth="1"/>
    <col min="6" max="6" width="12.7109375" style="0" customWidth="1"/>
    <col min="7" max="7" width="14.421875" style="0" customWidth="1"/>
    <col min="8" max="8" width="13.140625" style="0" customWidth="1"/>
    <col min="9" max="9" width="13.57421875" style="0" customWidth="1"/>
    <col min="10" max="10" width="13.7109375" style="0" customWidth="1"/>
    <col min="11" max="11" width="13.8515625" style="0" customWidth="1"/>
    <col min="12" max="12" width="15.00390625" style="0" customWidth="1"/>
    <col min="13" max="13" width="13.7109375" style="0" customWidth="1"/>
    <col min="14" max="14" width="13.8515625" style="0" customWidth="1"/>
    <col min="15" max="15" width="16.421875" style="0" customWidth="1"/>
    <col min="16" max="16" width="12.28125" style="0" customWidth="1"/>
    <col min="17" max="17" width="14.421875" style="0" customWidth="1"/>
    <col min="18" max="18" width="16.140625" style="0" customWidth="1"/>
  </cols>
  <sheetData>
    <row r="1" spans="2:5" ht="12.75" hidden="1">
      <c r="B1" t="s">
        <v>493</v>
      </c>
      <c r="E1">
        <v>10</v>
      </c>
    </row>
    <row r="2" ht="12.75" hidden="1"/>
    <row r="3" spans="2:12" ht="63.75" customHeight="1" hidden="1">
      <c r="B3" s="1005" t="s">
        <v>486</v>
      </c>
      <c r="C3" s="1006"/>
      <c r="D3" s="1005" t="s">
        <v>490</v>
      </c>
      <c r="E3" s="1006"/>
      <c r="F3" s="54" t="s">
        <v>492</v>
      </c>
      <c r="G3" s="1005" t="s">
        <v>491</v>
      </c>
      <c r="H3" s="1006"/>
      <c r="I3" s="54" t="s">
        <v>492</v>
      </c>
      <c r="K3" s="54" t="s">
        <v>494</v>
      </c>
      <c r="L3" s="54" t="s">
        <v>495</v>
      </c>
    </row>
    <row r="4" spans="2:12" ht="12.75" hidden="1">
      <c r="B4" s="48" t="s">
        <v>468</v>
      </c>
      <c r="D4" s="1004">
        <v>11</v>
      </c>
      <c r="E4" s="1004"/>
      <c r="F4" s="56">
        <f>D4*$E$1</f>
        <v>110</v>
      </c>
      <c r="G4" s="1004">
        <v>3</v>
      </c>
      <c r="H4" s="1004"/>
      <c r="I4" s="3">
        <f>G4*$E$1</f>
        <v>30</v>
      </c>
      <c r="J4" s="57">
        <v>5</v>
      </c>
      <c r="K4" s="57">
        <f>J4*F4</f>
        <v>550</v>
      </c>
      <c r="L4" s="57">
        <f>J4*I4</f>
        <v>150</v>
      </c>
    </row>
    <row r="5" spans="2:12" ht="12.75" hidden="1">
      <c r="B5" s="48" t="s">
        <v>467</v>
      </c>
      <c r="D5" s="1004">
        <v>9</v>
      </c>
      <c r="E5" s="1004"/>
      <c r="F5" s="56">
        <f>D5*$E$1</f>
        <v>90</v>
      </c>
      <c r="G5" s="1004">
        <v>1</v>
      </c>
      <c r="H5" s="1004"/>
      <c r="I5" s="3">
        <f>G5*$E$1</f>
        <v>10</v>
      </c>
      <c r="J5" s="57">
        <v>6</v>
      </c>
      <c r="K5" s="57">
        <f>J5*F5</f>
        <v>540</v>
      </c>
      <c r="L5" s="57">
        <f>J5*I5</f>
        <v>60</v>
      </c>
    </row>
    <row r="6" spans="2:12" ht="12.75" hidden="1">
      <c r="B6" s="48" t="s">
        <v>469</v>
      </c>
      <c r="D6" s="1004">
        <v>5</v>
      </c>
      <c r="E6" s="1004"/>
      <c r="F6" s="56">
        <f>D6*$E$1</f>
        <v>50</v>
      </c>
      <c r="G6" s="1004">
        <v>1</v>
      </c>
      <c r="H6" s="1004"/>
      <c r="I6" s="3">
        <f>G6*$E$1</f>
        <v>10</v>
      </c>
      <c r="J6" s="57">
        <v>3.5</v>
      </c>
      <c r="K6" s="57">
        <f>J6*F6</f>
        <v>175</v>
      </c>
      <c r="L6" s="57">
        <f>J6*I6</f>
        <v>35</v>
      </c>
    </row>
    <row r="7" spans="2:12" ht="12.75" hidden="1">
      <c r="B7" s="50" t="s">
        <v>472</v>
      </c>
      <c r="D7" s="1004">
        <v>9</v>
      </c>
      <c r="E7" s="1004"/>
      <c r="F7" s="56">
        <f>D7*$E$1</f>
        <v>90</v>
      </c>
      <c r="G7" s="1004">
        <v>5</v>
      </c>
      <c r="H7" s="1004"/>
      <c r="I7" s="3">
        <f>G7*$E$1</f>
        <v>50</v>
      </c>
      <c r="J7" s="57">
        <v>1.5</v>
      </c>
      <c r="K7" s="57">
        <f>J7*F7</f>
        <v>135</v>
      </c>
      <c r="L7" s="57">
        <f>J7*I7</f>
        <v>75</v>
      </c>
    </row>
    <row r="8" spans="2:12" ht="12.75" hidden="1">
      <c r="B8" s="48" t="s">
        <v>487</v>
      </c>
      <c r="D8" s="1004">
        <v>1</v>
      </c>
      <c r="E8" s="1004"/>
      <c r="F8" s="56">
        <f>D8*$E$1</f>
        <v>10</v>
      </c>
      <c r="G8" s="1004">
        <v>1</v>
      </c>
      <c r="H8" s="1004"/>
      <c r="I8" s="3">
        <f>G8*$E$1</f>
        <v>10</v>
      </c>
      <c r="J8" s="57">
        <v>8</v>
      </c>
      <c r="K8" s="57">
        <f>J8*F8</f>
        <v>80</v>
      </c>
      <c r="L8" s="57">
        <f>J8*I8</f>
        <v>80</v>
      </c>
    </row>
    <row r="9" spans="6:12" ht="12.75" hidden="1">
      <c r="F9" s="56">
        <f>SUM(F4:F8)</f>
        <v>350</v>
      </c>
      <c r="I9" s="3">
        <f>SUM(I4:I8)</f>
        <v>110</v>
      </c>
      <c r="K9" s="57">
        <f>SUM(K4:K8)</f>
        <v>1480</v>
      </c>
      <c r="L9" s="57">
        <f>SUM(L4:L8)</f>
        <v>400</v>
      </c>
    </row>
    <row r="10" spans="6:12" ht="12.75" hidden="1">
      <c r="F10" s="56"/>
      <c r="I10" s="3"/>
      <c r="K10" s="57"/>
      <c r="L10" s="57"/>
    </row>
    <row r="11" spans="2:15" ht="64.5" customHeight="1" hidden="1">
      <c r="B11" s="977" t="s">
        <v>486</v>
      </c>
      <c r="C11" s="977"/>
      <c r="D11" s="4" t="s">
        <v>567</v>
      </c>
      <c r="E11" s="4" t="s">
        <v>477</v>
      </c>
      <c r="F11" s="4" t="s">
        <v>484</v>
      </c>
      <c r="G11" s="4" t="s">
        <v>548</v>
      </c>
      <c r="H11" s="4" t="s">
        <v>476</v>
      </c>
      <c r="I11" s="4" t="s">
        <v>484</v>
      </c>
      <c r="J11" s="4" t="s">
        <v>549</v>
      </c>
      <c r="K11" s="4" t="s">
        <v>482</v>
      </c>
      <c r="L11" s="4" t="s">
        <v>547</v>
      </c>
      <c r="M11" s="65" t="s">
        <v>488</v>
      </c>
      <c r="N11" s="4" t="s">
        <v>618</v>
      </c>
      <c r="O11" s="88">
        <v>0.62</v>
      </c>
    </row>
    <row r="12" spans="2:15" ht="12.75" hidden="1">
      <c r="B12" s="48" t="s">
        <v>468</v>
      </c>
      <c r="C12" s="20"/>
      <c r="D12" s="119">
        <v>4</v>
      </c>
      <c r="E12" s="48">
        <v>524</v>
      </c>
      <c r="F12" s="49">
        <f>E12/$E$30</f>
        <v>3.493333333333333</v>
      </c>
      <c r="G12" s="49">
        <f>E12*9</f>
        <v>4716</v>
      </c>
      <c r="H12" s="48">
        <v>2376</v>
      </c>
      <c r="I12" s="49">
        <f>H12/E29</f>
        <v>11.154929577464788</v>
      </c>
      <c r="J12" s="49">
        <f>H12*9</f>
        <v>21384</v>
      </c>
      <c r="K12" s="48">
        <f>E12+H12</f>
        <v>2900</v>
      </c>
      <c r="L12" s="48">
        <f>K12*9</f>
        <v>26100</v>
      </c>
      <c r="M12" s="82">
        <v>0.08333333333333333</v>
      </c>
      <c r="N12" s="48">
        <f>L12*$O$11</f>
        <v>16182</v>
      </c>
      <c r="O12" s="57"/>
    </row>
    <row r="13" spans="2:15" ht="12.75" hidden="1">
      <c r="B13" s="48" t="s">
        <v>467</v>
      </c>
      <c r="C13" s="20"/>
      <c r="D13" s="119">
        <v>4.5</v>
      </c>
      <c r="E13" s="48">
        <v>194</v>
      </c>
      <c r="F13" s="49">
        <f>E13/$E$30</f>
        <v>1.2933333333333332</v>
      </c>
      <c r="G13" s="49">
        <f>E13*9</f>
        <v>1746</v>
      </c>
      <c r="H13" s="48">
        <v>1830</v>
      </c>
      <c r="I13" s="49">
        <f>H13/E29</f>
        <v>8.591549295774648</v>
      </c>
      <c r="J13" s="49">
        <f>H13*9</f>
        <v>16470</v>
      </c>
      <c r="K13" s="48">
        <f>H13+E13</f>
        <v>2024</v>
      </c>
      <c r="L13" s="49">
        <f>K13*9</f>
        <v>18216</v>
      </c>
      <c r="M13" s="82">
        <v>0.09375</v>
      </c>
      <c r="N13" s="48">
        <f>L13*$O$11</f>
        <v>11293.92</v>
      </c>
      <c r="O13" s="57"/>
    </row>
    <row r="14" spans="2:15" ht="12.75" hidden="1">
      <c r="B14" s="50" t="s">
        <v>472</v>
      </c>
      <c r="C14" s="20"/>
      <c r="D14" s="119">
        <v>2</v>
      </c>
      <c r="E14" s="48">
        <f>(10*0.46)*150</f>
        <v>690.0000000000001</v>
      </c>
      <c r="F14" s="49">
        <f>E14/$E$30</f>
        <v>4.6000000000000005</v>
      </c>
      <c r="G14" s="49">
        <f>E14*9</f>
        <v>6210.000000000001</v>
      </c>
      <c r="H14" s="49">
        <f>(20*0.46)*213</f>
        <v>1959.6000000000001</v>
      </c>
      <c r="I14" s="49">
        <f>H14/E29</f>
        <v>9.200000000000001</v>
      </c>
      <c r="J14" s="49">
        <f>H14*9</f>
        <v>17636.4</v>
      </c>
      <c r="K14" s="49">
        <f>H14+E14</f>
        <v>2649.6000000000004</v>
      </c>
      <c r="L14" s="49">
        <f>K14*9</f>
        <v>23846.4</v>
      </c>
      <c r="M14" s="82">
        <v>0.03125</v>
      </c>
      <c r="N14" s="48">
        <f>L14*$O$11</f>
        <v>14784.768</v>
      </c>
      <c r="O14" s="57"/>
    </row>
    <row r="15" spans="2:15" ht="12.75" hidden="1">
      <c r="B15" s="48" t="s">
        <v>487</v>
      </c>
      <c r="C15" s="117"/>
      <c r="D15" s="119">
        <v>6</v>
      </c>
      <c r="E15" s="108">
        <f>E30*1</f>
        <v>150</v>
      </c>
      <c r="F15" s="49">
        <f>E15/$E$30</f>
        <v>1</v>
      </c>
      <c r="G15" s="49">
        <f>E15*9</f>
        <v>1350</v>
      </c>
      <c r="H15" s="49">
        <f>E29*1</f>
        <v>213</v>
      </c>
      <c r="I15" s="49">
        <f>H15/E29</f>
        <v>1</v>
      </c>
      <c r="J15" s="49">
        <f>H15*9</f>
        <v>1917</v>
      </c>
      <c r="K15" s="49">
        <f>H15+E15</f>
        <v>363</v>
      </c>
      <c r="L15" s="49">
        <f>K15*9</f>
        <v>3267</v>
      </c>
      <c r="M15" s="82">
        <v>0.16666666666666666</v>
      </c>
      <c r="N15" s="48">
        <f>L15*$O$11</f>
        <v>2025.54</v>
      </c>
      <c r="O15" s="57"/>
    </row>
    <row r="16" spans="2:14" s="83" customFormat="1" ht="15.75" hidden="1">
      <c r="B16" s="118" t="s">
        <v>485</v>
      </c>
      <c r="C16" s="112"/>
      <c r="D16" s="116"/>
      <c r="E16" s="85">
        <f>SUM(E12:E14)</f>
        <v>1408</v>
      </c>
      <c r="F16" s="86"/>
      <c r="G16" s="85">
        <f>SUM(G12:G15)</f>
        <v>14022</v>
      </c>
      <c r="H16" s="85">
        <f>SUM(H12:H15)</f>
        <v>6378.6</v>
      </c>
      <c r="I16" s="86"/>
      <c r="J16" s="85">
        <f>SUM(J12:J15)</f>
        <v>57407.4</v>
      </c>
      <c r="K16" s="85">
        <f>SUM(K12:K15)</f>
        <v>7936.6</v>
      </c>
      <c r="L16" s="84">
        <f>SUM(L12:L15)</f>
        <v>71429.4</v>
      </c>
      <c r="M16" s="87"/>
      <c r="N16" s="85">
        <f>SUM(N12:N15)</f>
        <v>44286.227999999996</v>
      </c>
    </row>
    <row r="17" spans="2:13" s="83" customFormat="1" ht="15.75" hidden="1">
      <c r="B17" s="111"/>
      <c r="D17" s="87"/>
      <c r="E17" s="86"/>
      <c r="F17" s="87"/>
      <c r="G17" s="87"/>
      <c r="H17" s="86"/>
      <c r="I17" s="87"/>
      <c r="J17" s="87"/>
      <c r="K17" s="111"/>
      <c r="L17" s="87"/>
      <c r="M17" s="87"/>
    </row>
    <row r="18" spans="2:13" s="83" customFormat="1" ht="15.75" hidden="1">
      <c r="B18" s="1012" t="s">
        <v>783</v>
      </c>
      <c r="C18" s="1012"/>
      <c r="D18" s="1012"/>
      <c r="E18" s="1012"/>
      <c r="F18" s="1012"/>
      <c r="G18" s="1012"/>
      <c r="H18" s="1012"/>
      <c r="I18" s="1012"/>
      <c r="J18" s="1012"/>
      <c r="K18" s="111"/>
      <c r="L18" s="87"/>
      <c r="M18" s="87"/>
    </row>
    <row r="19" spans="2:13" s="83" customFormat="1" ht="15.75" hidden="1">
      <c r="B19" s="111"/>
      <c r="D19" s="87"/>
      <c r="E19" s="86"/>
      <c r="F19" s="87"/>
      <c r="G19" s="87"/>
      <c r="H19" s="86"/>
      <c r="I19" s="87"/>
      <c r="J19" s="87"/>
      <c r="K19" s="111"/>
      <c r="L19" s="87"/>
      <c r="M19" s="87"/>
    </row>
    <row r="20" spans="2:13" s="83" customFormat="1" ht="76.5" customHeight="1" hidden="1">
      <c r="B20" s="977" t="s">
        <v>486</v>
      </c>
      <c r="C20" s="977"/>
      <c r="D20" s="4" t="s">
        <v>567</v>
      </c>
      <c r="E20" s="4" t="s">
        <v>548</v>
      </c>
      <c r="F20" s="4" t="s">
        <v>549</v>
      </c>
      <c r="G20" s="4" t="s">
        <v>547</v>
      </c>
      <c r="H20" s="4" t="s">
        <v>488</v>
      </c>
      <c r="I20" s="127" t="s">
        <v>615</v>
      </c>
      <c r="J20" s="127" t="s">
        <v>616</v>
      </c>
      <c r="K20" s="111"/>
      <c r="L20" s="87"/>
      <c r="M20" s="87"/>
    </row>
    <row r="21" spans="2:13" s="83" customFormat="1" ht="15.75" hidden="1">
      <c r="B21" s="48" t="s">
        <v>468</v>
      </c>
      <c r="C21" s="20"/>
      <c r="D21" s="119">
        <f>D12</f>
        <v>4</v>
      </c>
      <c r="E21" s="49">
        <f>G12</f>
        <v>4716</v>
      </c>
      <c r="F21" s="49">
        <f>J12</f>
        <v>21384</v>
      </c>
      <c r="G21" s="48">
        <f>L12</f>
        <v>26100</v>
      </c>
      <c r="H21" s="82">
        <v>0.08333333333333333</v>
      </c>
      <c r="I21" s="331">
        <f>C96</f>
        <v>0.26771653543307083</v>
      </c>
      <c r="J21" s="331">
        <f>C68</f>
        <v>0.41860465116279066</v>
      </c>
      <c r="K21" s="111"/>
      <c r="L21" s="87"/>
      <c r="M21" s="87"/>
    </row>
    <row r="22" spans="2:13" s="83" customFormat="1" ht="15.75" hidden="1">
      <c r="B22" s="48" t="s">
        <v>467</v>
      </c>
      <c r="C22" s="20"/>
      <c r="D22" s="119">
        <f>D13</f>
        <v>4.5</v>
      </c>
      <c r="E22" s="49">
        <f>G13</f>
        <v>1746</v>
      </c>
      <c r="F22" s="49">
        <f>J13</f>
        <v>16470</v>
      </c>
      <c r="G22" s="48">
        <f>L13</f>
        <v>18216</v>
      </c>
      <c r="H22" s="82">
        <v>0.09375</v>
      </c>
      <c r="I22" s="331">
        <f>C97</f>
        <v>0.25196850393700787</v>
      </c>
      <c r="J22" s="331">
        <f>C69</f>
        <v>0.11627906976744186</v>
      </c>
      <c r="K22" s="111"/>
      <c r="L22" s="87"/>
      <c r="M22" s="87"/>
    </row>
    <row r="23" spans="2:13" s="83" customFormat="1" ht="15.75" hidden="1">
      <c r="B23" s="50" t="s">
        <v>472</v>
      </c>
      <c r="C23" s="20"/>
      <c r="D23" s="119">
        <f>D14</f>
        <v>2</v>
      </c>
      <c r="E23" s="49">
        <f>G14</f>
        <v>6210.000000000001</v>
      </c>
      <c r="F23" s="49">
        <f>J14</f>
        <v>17636.4</v>
      </c>
      <c r="G23" s="48">
        <f>L14</f>
        <v>23846.4</v>
      </c>
      <c r="H23" s="82">
        <v>0.03125</v>
      </c>
      <c r="I23" s="331">
        <f>C98</f>
        <v>0.07086614173228346</v>
      </c>
      <c r="J23" s="331">
        <f>C70</f>
        <v>0.046511627906976744</v>
      </c>
      <c r="K23" s="111"/>
      <c r="L23" s="87"/>
      <c r="M23" s="87"/>
    </row>
    <row r="24" spans="2:12" ht="12.75" hidden="1">
      <c r="B24" s="48" t="s">
        <v>487</v>
      </c>
      <c r="C24" s="117"/>
      <c r="D24" s="119">
        <f>D15</f>
        <v>6</v>
      </c>
      <c r="E24" s="49">
        <f>G15</f>
        <v>1350</v>
      </c>
      <c r="F24" s="49">
        <f>J15</f>
        <v>1917</v>
      </c>
      <c r="G24" s="48">
        <f>L15</f>
        <v>3267</v>
      </c>
      <c r="H24" s="82">
        <v>0.16666666666666666</v>
      </c>
      <c r="I24" s="331">
        <f>C99</f>
        <v>0.40944881889763785</v>
      </c>
      <c r="J24" s="331">
        <f>C71</f>
        <v>0.4186046511627907</v>
      </c>
      <c r="K24" s="57"/>
      <c r="L24" s="57"/>
    </row>
    <row r="25" spans="2:12" ht="15.75" hidden="1">
      <c r="B25" s="118" t="s">
        <v>485</v>
      </c>
      <c r="C25" s="112"/>
      <c r="D25" s="47"/>
      <c r="E25" s="332">
        <f>SUM(E21:E24)</f>
        <v>14022</v>
      </c>
      <c r="F25" s="332">
        <f>SUM(F21:F24)</f>
        <v>57407.4</v>
      </c>
      <c r="G25" s="333">
        <f>SUM(G21:G24)</f>
        <v>71429.4</v>
      </c>
      <c r="H25" s="47"/>
      <c r="I25" s="96">
        <f>SUM(I21:I24)</f>
        <v>1</v>
      </c>
      <c r="J25" s="96">
        <f>SUM(J21:J24)</f>
        <v>1</v>
      </c>
      <c r="K25" s="57"/>
      <c r="L25" s="57"/>
    </row>
    <row r="26" spans="2:12" ht="12.75" hidden="1">
      <c r="B26" s="47"/>
      <c r="C26" s="47"/>
      <c r="D26" s="47"/>
      <c r="E26" s="47"/>
      <c r="F26" s="47"/>
      <c r="G26" s="47"/>
      <c r="H26" s="47"/>
      <c r="I26" s="47"/>
      <c r="J26" s="47"/>
      <c r="K26" s="57"/>
      <c r="L26" s="57"/>
    </row>
    <row r="27" spans="2:12" ht="12.75" hidden="1">
      <c r="B27" s="47"/>
      <c r="C27" s="47"/>
      <c r="D27" s="47"/>
      <c r="E27" s="47"/>
      <c r="F27" s="47"/>
      <c r="G27" s="47"/>
      <c r="H27" s="47"/>
      <c r="I27" s="47"/>
      <c r="J27" s="47"/>
      <c r="K27" s="57"/>
      <c r="L27" s="57"/>
    </row>
    <row r="28" spans="2:12" ht="35.25" customHeight="1" hidden="1">
      <c r="B28" s="11"/>
      <c r="C28" s="977" t="s">
        <v>480</v>
      </c>
      <c r="D28" s="977"/>
      <c r="E28" s="4" t="s">
        <v>481</v>
      </c>
      <c r="F28" s="45"/>
      <c r="G28" s="4" t="s">
        <v>550</v>
      </c>
      <c r="H28" s="4" t="s">
        <v>552</v>
      </c>
      <c r="I28" s="11"/>
      <c r="J28" s="11"/>
      <c r="K28" s="57"/>
      <c r="L28" s="57"/>
    </row>
    <row r="29" spans="2:12" ht="12.75" hidden="1">
      <c r="B29" s="47"/>
      <c r="C29" s="109" t="s">
        <v>478</v>
      </c>
      <c r="D29" s="109"/>
      <c r="E29" s="48">
        <v>213</v>
      </c>
      <c r="F29" s="47"/>
      <c r="G29" s="48" t="s">
        <v>477</v>
      </c>
      <c r="H29" s="99">
        <f>G16/5</f>
        <v>2804.4</v>
      </c>
      <c r="I29" s="47"/>
      <c r="J29" s="47"/>
      <c r="K29" s="57"/>
      <c r="L29" s="57"/>
    </row>
    <row r="30" spans="2:12" ht="12.75" hidden="1">
      <c r="B30" s="47"/>
      <c r="C30" s="110" t="s">
        <v>479</v>
      </c>
      <c r="D30" s="108"/>
      <c r="E30" s="48">
        <v>150</v>
      </c>
      <c r="F30" s="47"/>
      <c r="G30" s="48" t="s">
        <v>551</v>
      </c>
      <c r="H30" s="99">
        <f>J16/7</f>
        <v>8201.057142857144</v>
      </c>
      <c r="I30" s="47"/>
      <c r="J30" s="47"/>
      <c r="K30" s="57"/>
      <c r="L30" s="57"/>
    </row>
    <row r="31" spans="6:12" ht="12.75" hidden="1">
      <c r="F31" s="56"/>
      <c r="I31" s="3"/>
      <c r="K31" s="57"/>
      <c r="L31" s="57"/>
    </row>
    <row r="32" s="29" customFormat="1" ht="25.5" customHeight="1" hidden="1">
      <c r="B32" s="78" t="s">
        <v>510</v>
      </c>
    </row>
    <row r="33" spans="1:12" ht="15.75" hidden="1">
      <c r="A33" s="79" t="s">
        <v>360</v>
      </c>
      <c r="B33" s="29" t="s">
        <v>511</v>
      </c>
      <c r="C33" s="29"/>
      <c r="D33" s="29"/>
      <c r="E33" s="29"/>
      <c r="F33" s="29"/>
      <c r="G33" s="29"/>
      <c r="H33" s="59"/>
      <c r="I33" s="68">
        <v>653.9</v>
      </c>
      <c r="J33" s="66" t="s">
        <v>512</v>
      </c>
      <c r="K33" s="66"/>
      <c r="L33" s="70"/>
    </row>
    <row r="34" spans="1:12" ht="15.75" hidden="1">
      <c r="A34" s="79" t="s">
        <v>513</v>
      </c>
      <c r="B34" s="29" t="s">
        <v>514</v>
      </c>
      <c r="C34" s="29"/>
      <c r="D34" s="29"/>
      <c r="E34" s="29"/>
      <c r="F34" s="29"/>
      <c r="G34" s="29"/>
      <c r="H34" s="59"/>
      <c r="I34" s="69">
        <v>0.04</v>
      </c>
      <c r="J34" s="70"/>
      <c r="K34" s="70"/>
      <c r="L34" s="70"/>
    </row>
    <row r="35" spans="1:12" ht="15.75" hidden="1">
      <c r="A35" s="79" t="s">
        <v>360</v>
      </c>
      <c r="B35" s="987" t="s">
        <v>515</v>
      </c>
      <c r="C35" s="987"/>
      <c r="D35" s="987"/>
      <c r="E35" s="987"/>
      <c r="F35" s="987"/>
      <c r="G35" s="987"/>
      <c r="H35" s="987"/>
      <c r="I35" s="77">
        <f>I33*(1+I34)*(1+I34)</f>
        <v>707.2582400000001</v>
      </c>
      <c r="J35" s="986" t="s">
        <v>512</v>
      </c>
      <c r="K35" s="986"/>
      <c r="L35" s="71"/>
    </row>
    <row r="36" spans="1:12" ht="15.75" hidden="1">
      <c r="A36" s="79" t="s">
        <v>513</v>
      </c>
      <c r="B36" s="29" t="s">
        <v>516</v>
      </c>
      <c r="C36" s="29"/>
      <c r="D36" s="29"/>
      <c r="E36" s="29"/>
      <c r="F36" s="29"/>
      <c r="G36" s="59"/>
      <c r="H36" s="59"/>
      <c r="I36" s="69">
        <v>0.65</v>
      </c>
      <c r="J36" s="70"/>
      <c r="K36" s="70"/>
      <c r="L36" s="70"/>
    </row>
    <row r="37" spans="1:12" ht="15.75" hidden="1">
      <c r="A37" s="79" t="s">
        <v>360</v>
      </c>
      <c r="B37" s="29" t="s">
        <v>517</v>
      </c>
      <c r="C37" s="29"/>
      <c r="D37" s="29"/>
      <c r="E37" s="29"/>
      <c r="F37" s="29"/>
      <c r="G37" s="59"/>
      <c r="H37" s="59"/>
      <c r="I37" s="68">
        <f>I35*I36</f>
        <v>459.7178560000001</v>
      </c>
      <c r="J37" s="66" t="s">
        <v>512</v>
      </c>
      <c r="K37" s="70"/>
      <c r="L37" s="70"/>
    </row>
    <row r="38" spans="1:12" ht="15.75" hidden="1">
      <c r="A38" s="79" t="s">
        <v>513</v>
      </c>
      <c r="B38" s="29" t="s">
        <v>518</v>
      </c>
      <c r="C38" s="29"/>
      <c r="D38" s="29"/>
      <c r="E38" s="29"/>
      <c r="F38" s="29"/>
      <c r="G38" s="59"/>
      <c r="H38" s="59"/>
      <c r="I38" s="69">
        <v>0.4</v>
      </c>
      <c r="J38" s="70"/>
      <c r="K38" s="70"/>
      <c r="L38" s="70"/>
    </row>
    <row r="39" spans="1:12" ht="15.75" hidden="1">
      <c r="A39" s="79" t="s">
        <v>360</v>
      </c>
      <c r="B39" s="29" t="s">
        <v>519</v>
      </c>
      <c r="C39" s="29"/>
      <c r="D39" s="29"/>
      <c r="E39" s="29"/>
      <c r="F39" s="29"/>
      <c r="G39" s="59"/>
      <c r="H39" s="59"/>
      <c r="I39" s="68">
        <f>I37*I38</f>
        <v>183.88714240000004</v>
      </c>
      <c r="J39" s="66" t="s">
        <v>512</v>
      </c>
      <c r="K39" s="70"/>
      <c r="L39" s="70"/>
    </row>
    <row r="40" spans="1:12" ht="15.75" hidden="1">
      <c r="A40" s="79" t="s">
        <v>513</v>
      </c>
      <c r="B40" s="29" t="s">
        <v>520</v>
      </c>
      <c r="C40" s="29"/>
      <c r="D40" s="29"/>
      <c r="E40" s="29"/>
      <c r="F40" s="29"/>
      <c r="G40" s="59"/>
      <c r="H40" s="59"/>
      <c r="I40" s="69">
        <v>0.97</v>
      </c>
      <c r="J40" s="70"/>
      <c r="K40" s="70"/>
      <c r="L40" s="70"/>
    </row>
    <row r="41" spans="1:12" ht="15.75" hidden="1">
      <c r="A41" s="79" t="s">
        <v>360</v>
      </c>
      <c r="B41" s="1002" t="s">
        <v>521</v>
      </c>
      <c r="C41" s="1002"/>
      <c r="D41" s="1002"/>
      <c r="E41" s="1002"/>
      <c r="F41" s="1002"/>
      <c r="G41" s="1002"/>
      <c r="H41" s="1002"/>
      <c r="I41" s="76">
        <f>I39*I40</f>
        <v>178.37052812800005</v>
      </c>
      <c r="J41" s="986" t="s">
        <v>512</v>
      </c>
      <c r="K41" s="986"/>
      <c r="L41" s="71"/>
    </row>
    <row r="42" spans="1:12" ht="15.75" hidden="1">
      <c r="A42" s="79" t="s">
        <v>513</v>
      </c>
      <c r="B42" s="987" t="s">
        <v>522</v>
      </c>
      <c r="C42" s="987"/>
      <c r="D42" s="987"/>
      <c r="E42" s="987"/>
      <c r="F42" s="987"/>
      <c r="G42" s="987"/>
      <c r="H42" s="987"/>
      <c r="I42" s="69">
        <v>0.1971</v>
      </c>
      <c r="J42" s="70"/>
      <c r="K42" s="70"/>
      <c r="L42" s="70"/>
    </row>
    <row r="43" spans="1:12" ht="15.75" hidden="1">
      <c r="A43" s="79" t="s">
        <v>360</v>
      </c>
      <c r="B43" s="987" t="s">
        <v>523</v>
      </c>
      <c r="C43" s="987"/>
      <c r="D43" s="987"/>
      <c r="E43" s="987"/>
      <c r="F43" s="987"/>
      <c r="G43" s="987"/>
      <c r="H43" s="987"/>
      <c r="I43" s="227">
        <f>I41*I42</f>
        <v>35.15683109402881</v>
      </c>
      <c r="J43" s="1003" t="s">
        <v>512</v>
      </c>
      <c r="K43" s="1003"/>
      <c r="L43" s="67"/>
    </row>
    <row r="44" spans="1:12" ht="15" hidden="1">
      <c r="A44" s="52"/>
      <c r="B44" s="8"/>
      <c r="C44" s="8"/>
      <c r="D44" s="8"/>
      <c r="E44" s="8"/>
      <c r="F44" s="8"/>
      <c r="G44" s="8"/>
      <c r="H44" s="8"/>
      <c r="I44" s="75"/>
      <c r="J44" s="67"/>
      <c r="K44" s="67"/>
      <c r="L44" s="67"/>
    </row>
    <row r="45" spans="1:12" ht="15" hidden="1">
      <c r="A45" s="52"/>
      <c r="B45" s="994" t="s">
        <v>675</v>
      </c>
      <c r="C45" s="994"/>
      <c r="D45" s="994"/>
      <c r="E45" s="994"/>
      <c r="F45" s="994"/>
      <c r="G45" s="994"/>
      <c r="H45" s="8"/>
      <c r="I45" s="75"/>
      <c r="J45" s="67"/>
      <c r="K45" s="67"/>
      <c r="L45" s="67"/>
    </row>
    <row r="46" spans="1:12" ht="15" hidden="1">
      <c r="A46" s="52"/>
      <c r="B46" s="244" t="s">
        <v>671</v>
      </c>
      <c r="C46" s="232"/>
      <c r="D46" s="232"/>
      <c r="E46" s="232"/>
      <c r="F46" s="245">
        <v>15000</v>
      </c>
      <c r="G46" s="232" t="s">
        <v>526</v>
      </c>
      <c r="H46" s="8"/>
      <c r="I46" s="75"/>
      <c r="J46" s="67"/>
      <c r="K46" s="67"/>
      <c r="L46" s="67"/>
    </row>
    <row r="47" spans="1:12" ht="15" hidden="1">
      <c r="A47" s="52"/>
      <c r="B47" s="244" t="s">
        <v>672</v>
      </c>
      <c r="C47" s="232"/>
      <c r="D47" s="232"/>
      <c r="E47" s="232"/>
      <c r="F47" s="245">
        <v>60000</v>
      </c>
      <c r="G47" s="232" t="s">
        <v>526</v>
      </c>
      <c r="H47" s="8"/>
      <c r="I47" s="75"/>
      <c r="J47" s="67"/>
      <c r="K47" s="67"/>
      <c r="L47" s="67"/>
    </row>
    <row r="48" spans="1:12" ht="15" hidden="1">
      <c r="A48" s="52"/>
      <c r="B48" s="995" t="s">
        <v>419</v>
      </c>
      <c r="C48" s="995"/>
      <c r="D48" s="995"/>
      <c r="E48" s="995"/>
      <c r="F48" s="246">
        <f>F46+F47</f>
        <v>75000</v>
      </c>
      <c r="G48" s="247" t="s">
        <v>526</v>
      </c>
      <c r="H48" s="8"/>
      <c r="I48" s="75"/>
      <c r="J48" s="67"/>
      <c r="K48" s="67"/>
      <c r="L48" s="67"/>
    </row>
    <row r="49" spans="1:12" ht="15" hidden="1">
      <c r="A49" s="52"/>
      <c r="B49" s="13"/>
      <c r="C49" s="8"/>
      <c r="D49" s="8"/>
      <c r="E49" s="8"/>
      <c r="F49" s="8"/>
      <c r="G49" s="8"/>
      <c r="H49" s="8"/>
      <c r="I49" s="75"/>
      <c r="J49" s="67"/>
      <c r="K49" s="67"/>
      <c r="L49" s="67"/>
    </row>
    <row r="50" spans="1:12" ht="18" hidden="1">
      <c r="A50" s="52"/>
      <c r="B50" s="238" t="s">
        <v>673</v>
      </c>
      <c r="C50" s="8"/>
      <c r="D50" s="8"/>
      <c r="E50" s="8"/>
      <c r="F50" s="8"/>
      <c r="G50" s="8"/>
      <c r="H50" s="8"/>
      <c r="I50" s="75"/>
      <c r="J50" s="67"/>
      <c r="K50" s="67"/>
      <c r="L50" s="67"/>
    </row>
    <row r="51" spans="1:12" ht="15" hidden="1">
      <c r="A51" s="52"/>
      <c r="B51" s="238"/>
      <c r="C51" s="8"/>
      <c r="D51" s="8"/>
      <c r="E51" s="8"/>
      <c r="F51" s="8"/>
      <c r="G51" s="8"/>
      <c r="H51" s="8"/>
      <c r="I51" s="75"/>
      <c r="J51" s="67"/>
      <c r="K51" s="67"/>
      <c r="L51" s="67"/>
    </row>
    <row r="52" spans="1:12" ht="15" hidden="1">
      <c r="A52" s="52"/>
      <c r="B52" s="996" t="s">
        <v>674</v>
      </c>
      <c r="C52" s="997"/>
      <c r="D52" s="997"/>
      <c r="E52" s="997"/>
      <c r="F52" s="997"/>
      <c r="G52" s="997"/>
      <c r="H52" s="997"/>
      <c r="I52" s="239"/>
      <c r="J52" s="240"/>
      <c r="K52" s="1000">
        <f>SUM(F46:F47)/2</f>
        <v>37500</v>
      </c>
      <c r="L52" s="992" t="s">
        <v>526</v>
      </c>
    </row>
    <row r="53" spans="1:12" ht="15" hidden="1">
      <c r="A53" s="52"/>
      <c r="B53" s="998"/>
      <c r="C53" s="999"/>
      <c r="D53" s="999"/>
      <c r="E53" s="999"/>
      <c r="F53" s="999"/>
      <c r="G53" s="999"/>
      <c r="H53" s="999"/>
      <c r="I53" s="241"/>
      <c r="J53" s="242"/>
      <c r="K53" s="1001"/>
      <c r="L53" s="993"/>
    </row>
    <row r="54" spans="1:12" ht="15" hidden="1">
      <c r="A54" s="52"/>
      <c r="B54" s="8"/>
      <c r="C54" s="8"/>
      <c r="D54" s="8"/>
      <c r="E54" s="8"/>
      <c r="F54" s="8"/>
      <c r="G54" s="8"/>
      <c r="H54" s="8"/>
      <c r="I54" s="75"/>
      <c r="J54" s="67"/>
      <c r="K54" s="67"/>
      <c r="L54" s="67"/>
    </row>
    <row r="55" spans="1:12" ht="25.5" hidden="1">
      <c r="A55" s="52"/>
      <c r="B55" s="977" t="s">
        <v>3</v>
      </c>
      <c r="C55" s="977"/>
      <c r="D55" s="977"/>
      <c r="E55" s="977"/>
      <c r="F55" s="977"/>
      <c r="G55" s="977"/>
      <c r="H55" s="4" t="s">
        <v>542</v>
      </c>
      <c r="I55" s="4" t="s">
        <v>543</v>
      </c>
      <c r="J55" s="67"/>
      <c r="K55" s="67"/>
      <c r="L55" s="67"/>
    </row>
    <row r="56" spans="1:12" ht="15" hidden="1">
      <c r="A56" s="52"/>
      <c r="B56" s="954" t="s">
        <v>537</v>
      </c>
      <c r="C56" s="954"/>
      <c r="D56" s="954"/>
      <c r="E56" s="954"/>
      <c r="F56" s="954"/>
      <c r="G56" s="954"/>
      <c r="H56" s="99">
        <f>H58*I56</f>
        <v>15000</v>
      </c>
      <c r="I56" s="96">
        <v>0.4</v>
      </c>
      <c r="J56" s="67"/>
      <c r="K56" s="67">
        <f>77429/G89</f>
        <v>2.0498846835059217</v>
      </c>
      <c r="L56" s="67"/>
    </row>
    <row r="57" spans="1:12" ht="15" hidden="1">
      <c r="A57" s="52"/>
      <c r="B57" s="954" t="s">
        <v>544</v>
      </c>
      <c r="C57" s="954"/>
      <c r="D57" s="954"/>
      <c r="E57" s="954"/>
      <c r="F57" s="954"/>
      <c r="G57" s="954"/>
      <c r="H57" s="99">
        <f>H58*I57</f>
        <v>22500</v>
      </c>
      <c r="I57" s="97">
        <v>0.6</v>
      </c>
      <c r="J57" s="67"/>
      <c r="K57" s="67">
        <f>LN(K56)</f>
        <v>0.7177835396197857</v>
      </c>
      <c r="L57" s="67"/>
    </row>
    <row r="58" spans="1:12" ht="15" hidden="1">
      <c r="A58" s="52"/>
      <c r="B58" s="989" t="s">
        <v>539</v>
      </c>
      <c r="C58" s="989"/>
      <c r="D58" s="989"/>
      <c r="E58" s="989"/>
      <c r="F58" s="989"/>
      <c r="G58" s="989"/>
      <c r="H58" s="101">
        <f>K52</f>
        <v>37500</v>
      </c>
      <c r="I58" s="98">
        <f>SUM(I56:I57)</f>
        <v>1</v>
      </c>
      <c r="J58" s="67"/>
      <c r="K58" s="67">
        <f>+K57/9</f>
        <v>0.07975372662442064</v>
      </c>
      <c r="L58" s="67">
        <f>LN(1.083)</f>
        <v>0.07973496801885352</v>
      </c>
    </row>
    <row r="59" spans="7:12" ht="12.75" hidden="1">
      <c r="G59" s="60"/>
      <c r="H59" s="60"/>
      <c r="I59" s="60"/>
      <c r="J59" s="60"/>
      <c r="K59" s="60"/>
      <c r="L59" s="60">
        <f>G89*(1.083)^9</f>
        <v>77415.92896277188</v>
      </c>
    </row>
    <row r="60" spans="1:12" ht="15.75" hidden="1">
      <c r="A60" s="79" t="s">
        <v>513</v>
      </c>
      <c r="B60" t="s">
        <v>535</v>
      </c>
      <c r="G60" s="72">
        <v>0.43</v>
      </c>
      <c r="H60" s="41" t="s">
        <v>536</v>
      </c>
      <c r="I60" s="60"/>
      <c r="J60" s="60"/>
      <c r="K60" s="60"/>
      <c r="L60" s="60"/>
    </row>
    <row r="61" spans="1:12" ht="15.75" hidden="1">
      <c r="A61" s="79" t="s">
        <v>360</v>
      </c>
      <c r="B61" t="s">
        <v>537</v>
      </c>
      <c r="E61" s="72"/>
      <c r="F61" s="41"/>
      <c r="G61" s="102">
        <f>I43*G60*1000</f>
        <v>15117.437370432388</v>
      </c>
      <c r="H61" s="81" t="s">
        <v>540</v>
      </c>
      <c r="I61" s="60"/>
      <c r="J61" s="60"/>
      <c r="K61" s="60"/>
      <c r="L61" s="60"/>
    </row>
    <row r="62" spans="7:12" ht="12.75" hidden="1">
      <c r="G62" s="60"/>
      <c r="H62" s="60"/>
      <c r="I62" s="60"/>
      <c r="J62" s="60"/>
      <c r="K62" s="60"/>
      <c r="L62" s="60"/>
    </row>
    <row r="63" spans="1:18" ht="16.5" hidden="1" thickBot="1">
      <c r="A63" s="1014" t="s">
        <v>861</v>
      </c>
      <c r="B63" s="1014"/>
      <c r="C63" s="1014"/>
      <c r="D63" s="1014"/>
      <c r="E63" s="1014"/>
      <c r="F63" s="1014"/>
      <c r="G63" s="1014"/>
      <c r="H63" s="1014"/>
      <c r="I63" s="1014"/>
      <c r="J63" s="1014"/>
      <c r="K63" s="1014"/>
      <c r="L63" s="1014"/>
      <c r="M63" s="1014"/>
      <c r="N63" s="1014"/>
      <c r="O63" s="1014"/>
      <c r="P63" s="1014"/>
      <c r="Q63" s="1014"/>
      <c r="R63" s="1014"/>
    </row>
    <row r="64" spans="1:18" ht="13.5" hidden="1" thickBot="1">
      <c r="A64" s="1033" t="s">
        <v>534</v>
      </c>
      <c r="B64" s="1034"/>
      <c r="C64" s="1034"/>
      <c r="D64" s="1034"/>
      <c r="E64" s="1034"/>
      <c r="F64" s="1034"/>
      <c r="G64" s="1034"/>
      <c r="H64" s="1034"/>
      <c r="I64" s="1034"/>
      <c r="J64" s="1034"/>
      <c r="K64" s="1034"/>
      <c r="L64" s="1034"/>
      <c r="M64" s="1034"/>
      <c r="N64" s="1034"/>
      <c r="O64" s="1034"/>
      <c r="P64" s="1034"/>
      <c r="Q64" s="1034"/>
      <c r="R64" s="1035"/>
    </row>
    <row r="65" spans="1:18" s="62" customFormat="1" ht="60.75" customHeight="1" hidden="1">
      <c r="A65" s="1015" t="s">
        <v>486</v>
      </c>
      <c r="B65" s="1016"/>
      <c r="C65" s="722" t="s">
        <v>556</v>
      </c>
      <c r="D65" s="722" t="s">
        <v>496</v>
      </c>
      <c r="E65" s="722" t="s">
        <v>497</v>
      </c>
      <c r="F65" s="722" t="s">
        <v>498</v>
      </c>
      <c r="G65" s="722" t="s">
        <v>499</v>
      </c>
      <c r="H65" s="722" t="s">
        <v>500</v>
      </c>
      <c r="I65" s="723" t="s">
        <v>501</v>
      </c>
      <c r="J65" s="723" t="s">
        <v>502</v>
      </c>
      <c r="K65" s="723" t="s">
        <v>503</v>
      </c>
      <c r="L65" s="723" t="s">
        <v>504</v>
      </c>
      <c r="M65" s="723" t="s">
        <v>505</v>
      </c>
      <c r="N65" s="724" t="s">
        <v>506</v>
      </c>
      <c r="O65" s="723" t="s">
        <v>507</v>
      </c>
      <c r="P65" s="723" t="s">
        <v>563</v>
      </c>
      <c r="Q65" s="723" t="s">
        <v>555</v>
      </c>
      <c r="R65" s="725" t="s">
        <v>564</v>
      </c>
    </row>
    <row r="66" spans="1:18" s="107" customFormat="1" ht="25.5" customHeight="1" hidden="1">
      <c r="A66" s="1017" t="s">
        <v>545</v>
      </c>
      <c r="B66" s="1018"/>
      <c r="C66" s="726" t="s">
        <v>360</v>
      </c>
      <c r="D66" s="727">
        <v>0.0833</v>
      </c>
      <c r="E66" s="727">
        <v>0.0833</v>
      </c>
      <c r="F66" s="727">
        <v>0.0833</v>
      </c>
      <c r="G66" s="727">
        <v>0.0833</v>
      </c>
      <c r="H66" s="727">
        <v>0.0833</v>
      </c>
      <c r="I66" s="728">
        <v>0.0833</v>
      </c>
      <c r="J66" s="728">
        <v>0.0833</v>
      </c>
      <c r="K66" s="728">
        <v>0.0833</v>
      </c>
      <c r="L66" s="728">
        <v>0.0833</v>
      </c>
      <c r="M66" s="728">
        <v>0.0833</v>
      </c>
      <c r="N66" s="728">
        <v>0.0833</v>
      </c>
      <c r="O66" s="728">
        <v>0.0833</v>
      </c>
      <c r="P66" s="729">
        <f aca="true" t="shared" si="0" ref="P66:P71">SUM(D66:O66)</f>
        <v>0.9996000000000002</v>
      </c>
      <c r="Q66" s="729" t="s">
        <v>360</v>
      </c>
      <c r="R66" s="730" t="s">
        <v>360</v>
      </c>
    </row>
    <row r="67" spans="1:18" s="107" customFormat="1" ht="24.75" customHeight="1" hidden="1">
      <c r="A67" s="1017" t="s">
        <v>546</v>
      </c>
      <c r="B67" s="1018"/>
      <c r="C67" s="726" t="s">
        <v>360</v>
      </c>
      <c r="D67" s="731">
        <f>D66*$G$61</f>
        <v>1259.2825329570178</v>
      </c>
      <c r="E67" s="731">
        <f aca="true" t="shared" si="1" ref="E67:O67">E66*$G$61</f>
        <v>1259.2825329570178</v>
      </c>
      <c r="F67" s="731">
        <f t="shared" si="1"/>
        <v>1259.2825329570178</v>
      </c>
      <c r="G67" s="731">
        <f>G66*$G$61</f>
        <v>1259.2825329570178</v>
      </c>
      <c r="H67" s="731">
        <f t="shared" si="1"/>
        <v>1259.2825329570178</v>
      </c>
      <c r="I67" s="732">
        <f t="shared" si="1"/>
        <v>1259.2825329570178</v>
      </c>
      <c r="J67" s="732">
        <f t="shared" si="1"/>
        <v>1259.2825329570178</v>
      </c>
      <c r="K67" s="732">
        <f t="shared" si="1"/>
        <v>1259.2825329570178</v>
      </c>
      <c r="L67" s="732">
        <f t="shared" si="1"/>
        <v>1259.2825329570178</v>
      </c>
      <c r="M67" s="732">
        <f t="shared" si="1"/>
        <v>1259.2825329570178</v>
      </c>
      <c r="N67" s="732">
        <f t="shared" si="1"/>
        <v>1259.2825329570178</v>
      </c>
      <c r="O67" s="732">
        <f t="shared" si="1"/>
        <v>1259.2825329570178</v>
      </c>
      <c r="P67" s="733">
        <f t="shared" si="0"/>
        <v>15111.390395484217</v>
      </c>
      <c r="Q67" s="729" t="s">
        <v>360</v>
      </c>
      <c r="R67" s="730" t="s">
        <v>360</v>
      </c>
    </row>
    <row r="68" spans="1:18" ht="13.5" customHeight="1" hidden="1">
      <c r="A68" s="1019" t="s">
        <v>468</v>
      </c>
      <c r="B68" s="1020"/>
      <c r="C68" s="734">
        <f>'% de Preferencia Senderos'!F4</f>
        <v>0.41860465116279066</v>
      </c>
      <c r="D68" s="735">
        <f>$D$67*C68</f>
        <v>527.1415254238678</v>
      </c>
      <c r="E68" s="735">
        <f>$E$67*C68</f>
        <v>527.1415254238678</v>
      </c>
      <c r="F68" s="735">
        <f>$F$67*C68</f>
        <v>527.1415254238678</v>
      </c>
      <c r="G68" s="735">
        <f>$G$67*C68</f>
        <v>527.1415254238678</v>
      </c>
      <c r="H68" s="735">
        <f>$H$67*C68</f>
        <v>527.1415254238678</v>
      </c>
      <c r="I68" s="736">
        <f>$I$67*C68</f>
        <v>527.1415254238678</v>
      </c>
      <c r="J68" s="736">
        <f>$J$67*C68</f>
        <v>527.1415254238678</v>
      </c>
      <c r="K68" s="736">
        <f>$K$67*C68</f>
        <v>527.1415254238678</v>
      </c>
      <c r="L68" s="736">
        <f>$L$67*C68</f>
        <v>527.1415254238678</v>
      </c>
      <c r="M68" s="736">
        <f>$M$67*C68</f>
        <v>527.1415254238678</v>
      </c>
      <c r="N68" s="736">
        <f>$N$67*C68</f>
        <v>527.1415254238678</v>
      </c>
      <c r="O68" s="736">
        <f>$O$67*C68</f>
        <v>527.1415254238678</v>
      </c>
      <c r="P68" s="735">
        <f t="shared" si="0"/>
        <v>6325.6983050864155</v>
      </c>
      <c r="Q68" s="737">
        <f>D12</f>
        <v>4</v>
      </c>
      <c r="R68" s="738">
        <f>P68*Q68</f>
        <v>25302.793220345662</v>
      </c>
    </row>
    <row r="69" spans="1:18" ht="12.75" hidden="1">
      <c r="A69" s="1019" t="s">
        <v>467</v>
      </c>
      <c r="B69" s="1020"/>
      <c r="C69" s="734">
        <f>'% de Preferencia Senderos'!F5</f>
        <v>0.11627906976744186</v>
      </c>
      <c r="D69" s="735">
        <f>$D$67*C69</f>
        <v>146.42820150662996</v>
      </c>
      <c r="E69" s="735">
        <f>$E$67*C69</f>
        <v>146.42820150662996</v>
      </c>
      <c r="F69" s="735">
        <f>$F$67*C69</f>
        <v>146.42820150662996</v>
      </c>
      <c r="G69" s="735">
        <f>$G$67*C69</f>
        <v>146.42820150662996</v>
      </c>
      <c r="H69" s="735">
        <f>$H$67*C69</f>
        <v>146.42820150662996</v>
      </c>
      <c r="I69" s="736">
        <f>$I$67*C69</f>
        <v>146.42820150662996</v>
      </c>
      <c r="J69" s="736">
        <f>$J$67*C69</f>
        <v>146.42820150662996</v>
      </c>
      <c r="K69" s="736">
        <f>$K$67*C69</f>
        <v>146.42820150662996</v>
      </c>
      <c r="L69" s="736">
        <f>$L$67*C69</f>
        <v>146.42820150662996</v>
      </c>
      <c r="M69" s="736">
        <f>$M$67*C69</f>
        <v>146.42820150662996</v>
      </c>
      <c r="N69" s="736">
        <f>$N$67*C69</f>
        <v>146.42820150662996</v>
      </c>
      <c r="O69" s="736">
        <f>$O$67*C69</f>
        <v>146.42820150662996</v>
      </c>
      <c r="P69" s="735">
        <f t="shared" si="0"/>
        <v>1757.1384180795592</v>
      </c>
      <c r="Q69" s="737">
        <f>D13</f>
        <v>4.5</v>
      </c>
      <c r="R69" s="738">
        <f>P69*Q69</f>
        <v>7907.1228813580165</v>
      </c>
    </row>
    <row r="70" spans="1:18" ht="12.75" hidden="1">
      <c r="A70" s="1019" t="s">
        <v>472</v>
      </c>
      <c r="B70" s="1020"/>
      <c r="C70" s="734">
        <f>'% de Preferencia Senderos'!F7</f>
        <v>0.046511627906976744</v>
      </c>
      <c r="D70" s="735">
        <f>$D$67*C70</f>
        <v>58.57128060265199</v>
      </c>
      <c r="E70" s="735">
        <f>$E$67*C70</f>
        <v>58.57128060265199</v>
      </c>
      <c r="F70" s="735">
        <f>$F$67*C70</f>
        <v>58.57128060265199</v>
      </c>
      <c r="G70" s="735">
        <f>$G$67*C70</f>
        <v>58.57128060265199</v>
      </c>
      <c r="H70" s="735">
        <f>$H$67*C70</f>
        <v>58.57128060265199</v>
      </c>
      <c r="I70" s="736">
        <f>$I$67*C70</f>
        <v>58.57128060265199</v>
      </c>
      <c r="J70" s="736">
        <f>$J$67*C70</f>
        <v>58.57128060265199</v>
      </c>
      <c r="K70" s="736">
        <f>$K$67*C70</f>
        <v>58.57128060265199</v>
      </c>
      <c r="L70" s="736">
        <f>$L$67*C70</f>
        <v>58.57128060265199</v>
      </c>
      <c r="M70" s="736">
        <f>$M$67*C70</f>
        <v>58.57128060265199</v>
      </c>
      <c r="N70" s="736">
        <f>$N$67*C70</f>
        <v>58.57128060265199</v>
      </c>
      <c r="O70" s="736">
        <f>$O$67*C70</f>
        <v>58.57128060265199</v>
      </c>
      <c r="P70" s="735">
        <f t="shared" si="0"/>
        <v>702.8553672318238</v>
      </c>
      <c r="Q70" s="737">
        <f>D14</f>
        <v>2</v>
      </c>
      <c r="R70" s="738">
        <f>P70*Q70</f>
        <v>1405.7107344636477</v>
      </c>
    </row>
    <row r="71" spans="1:18" ht="12.75" hidden="1">
      <c r="A71" s="1031" t="s">
        <v>487</v>
      </c>
      <c r="B71" s="1032"/>
      <c r="C71" s="734">
        <f>'% de Preferencia Senderos'!F8</f>
        <v>0.4186046511627907</v>
      </c>
      <c r="D71" s="735">
        <f>$D$67*C71</f>
        <v>527.141525423868</v>
      </c>
      <c r="E71" s="735">
        <f>$E$67*C71</f>
        <v>527.141525423868</v>
      </c>
      <c r="F71" s="735">
        <f>$F$67*C71</f>
        <v>527.141525423868</v>
      </c>
      <c r="G71" s="735">
        <f>$G$67*C71</f>
        <v>527.141525423868</v>
      </c>
      <c r="H71" s="735">
        <f>$H$67*C71</f>
        <v>527.141525423868</v>
      </c>
      <c r="I71" s="736">
        <f>$I$67*C71</f>
        <v>527.141525423868</v>
      </c>
      <c r="J71" s="736">
        <f>$J$67*C71</f>
        <v>527.141525423868</v>
      </c>
      <c r="K71" s="736">
        <f>$K$67*C71</f>
        <v>527.141525423868</v>
      </c>
      <c r="L71" s="736">
        <f>$L$67*C71</f>
        <v>527.141525423868</v>
      </c>
      <c r="M71" s="736">
        <f>$M$67*C71</f>
        <v>527.141525423868</v>
      </c>
      <c r="N71" s="736">
        <f>$N$67*C71</f>
        <v>527.141525423868</v>
      </c>
      <c r="O71" s="736">
        <f>$O$67*C71</f>
        <v>527.141525423868</v>
      </c>
      <c r="P71" s="735">
        <f t="shared" si="0"/>
        <v>6325.698305086417</v>
      </c>
      <c r="Q71" s="737">
        <f>D15</f>
        <v>6</v>
      </c>
      <c r="R71" s="738">
        <f>P71*Q71</f>
        <v>37954.1898305185</v>
      </c>
    </row>
    <row r="72" spans="1:18" s="41" customFormat="1" ht="13.5" hidden="1" thickBot="1">
      <c r="A72" s="1021" t="s">
        <v>485</v>
      </c>
      <c r="B72" s="1022"/>
      <c r="C72" s="739">
        <f>SUM(C68:C71)</f>
        <v>1</v>
      </c>
      <c r="D72" s="740">
        <f>SUM(D68:D71)</f>
        <v>1259.2825329570178</v>
      </c>
      <c r="E72" s="740">
        <f>SUM(E68:E71)</f>
        <v>1259.2825329570178</v>
      </c>
      <c r="F72" s="740">
        <f>SUM(F68:F71)</f>
        <v>1259.2825329570178</v>
      </c>
      <c r="G72" s="740">
        <f aca="true" t="shared" si="2" ref="G72:M72">SUM(G68:G71)</f>
        <v>1259.2825329570178</v>
      </c>
      <c r="H72" s="740">
        <f t="shared" si="2"/>
        <v>1259.2825329570178</v>
      </c>
      <c r="I72" s="741">
        <f t="shared" si="2"/>
        <v>1259.2825329570178</v>
      </c>
      <c r="J72" s="741">
        <f t="shared" si="2"/>
        <v>1259.2825329570178</v>
      </c>
      <c r="K72" s="741">
        <f t="shared" si="2"/>
        <v>1259.2825329570178</v>
      </c>
      <c r="L72" s="741">
        <f t="shared" si="2"/>
        <v>1259.2825329570178</v>
      </c>
      <c r="M72" s="741">
        <f t="shared" si="2"/>
        <v>1259.2825329570178</v>
      </c>
      <c r="N72" s="741">
        <f>SUM(N68:N71)</f>
        <v>1259.2825329570178</v>
      </c>
      <c r="O72" s="741">
        <f>SUM(O68:O71)</f>
        <v>1259.2825329570178</v>
      </c>
      <c r="P72" s="740">
        <f>SUM(P68:P71)</f>
        <v>15111.390395484217</v>
      </c>
      <c r="Q72" s="742"/>
      <c r="R72" s="743">
        <f>SUM(R68:R71)</f>
        <v>72569.81666668583</v>
      </c>
    </row>
    <row r="73" ht="12.75" hidden="1"/>
    <row r="74" s="29" customFormat="1" ht="21" customHeight="1" hidden="1">
      <c r="B74" s="78" t="s">
        <v>524</v>
      </c>
    </row>
    <row r="75" spans="1:12" ht="15.75" hidden="1">
      <c r="A75" s="79" t="s">
        <v>360</v>
      </c>
      <c r="B75" s="29" t="s">
        <v>525</v>
      </c>
      <c r="C75" s="29"/>
      <c r="D75" s="29"/>
      <c r="E75" s="29"/>
      <c r="F75" s="29"/>
      <c r="G75" s="29"/>
      <c r="H75" s="59"/>
      <c r="I75" s="104">
        <f>2027625</f>
        <v>2027625</v>
      </c>
      <c r="J75" s="66" t="s">
        <v>526</v>
      </c>
      <c r="K75" s="66"/>
      <c r="L75" s="70"/>
    </row>
    <row r="76" spans="1:12" ht="15.75" hidden="1">
      <c r="A76" s="79" t="s">
        <v>513</v>
      </c>
      <c r="B76" s="29" t="s">
        <v>527</v>
      </c>
      <c r="C76" s="29"/>
      <c r="D76" s="29"/>
      <c r="E76" s="29"/>
      <c r="F76" s="29"/>
      <c r="G76" s="29"/>
      <c r="H76" s="59"/>
      <c r="I76" s="69">
        <v>0.0993</v>
      </c>
      <c r="J76" s="70"/>
      <c r="K76" s="70"/>
      <c r="L76" s="70"/>
    </row>
    <row r="77" spans="1:12" ht="15.75" hidden="1">
      <c r="A77" s="79" t="s">
        <v>360</v>
      </c>
      <c r="B77" s="987" t="s">
        <v>528</v>
      </c>
      <c r="C77" s="987"/>
      <c r="D77" s="987"/>
      <c r="E77" s="987"/>
      <c r="F77" s="987"/>
      <c r="G77" s="987"/>
      <c r="H77" s="987"/>
      <c r="I77" s="105">
        <f>I75*I76</f>
        <v>201343.1625</v>
      </c>
      <c r="J77" s="986" t="s">
        <v>526</v>
      </c>
      <c r="K77" s="986"/>
      <c r="L77" s="71"/>
    </row>
    <row r="78" spans="1:12" ht="15.75" hidden="1">
      <c r="A78" s="79" t="s">
        <v>513</v>
      </c>
      <c r="B78" s="29" t="s">
        <v>529</v>
      </c>
      <c r="C78" s="29"/>
      <c r="D78" s="29"/>
      <c r="E78" s="29"/>
      <c r="F78" s="29"/>
      <c r="G78" s="59"/>
      <c r="H78" s="59"/>
      <c r="I78" s="69">
        <v>0.2123</v>
      </c>
      <c r="J78" s="70"/>
      <c r="K78" s="70"/>
      <c r="L78" s="70"/>
    </row>
    <row r="79" spans="1:12" ht="15.75" hidden="1">
      <c r="A79" s="79" t="s">
        <v>360</v>
      </c>
      <c r="B79" s="987" t="s">
        <v>530</v>
      </c>
      <c r="C79" s="987"/>
      <c r="D79" s="987"/>
      <c r="E79" s="987"/>
      <c r="F79" s="987"/>
      <c r="G79" s="987"/>
      <c r="H79" s="987"/>
      <c r="I79" s="103">
        <f>I77*I78</f>
        <v>42745.15339875</v>
      </c>
      <c r="J79" s="988" t="s">
        <v>526</v>
      </c>
      <c r="K79" s="988"/>
      <c r="L79" s="70"/>
    </row>
    <row r="80" spans="1:12" ht="14.25" customHeight="1" hidden="1">
      <c r="A80" s="52"/>
      <c r="B80" s="47"/>
      <c r="C80" s="47"/>
      <c r="D80" s="47"/>
      <c r="E80" s="47"/>
      <c r="F80" s="47"/>
      <c r="G80" s="47"/>
      <c r="H80" s="47"/>
      <c r="I80" s="73"/>
      <c r="J80" s="74"/>
      <c r="K80" s="74"/>
      <c r="L80" s="70"/>
    </row>
    <row r="81" spans="1:12" ht="14.25" customHeight="1" hidden="1">
      <c r="A81" s="52"/>
      <c r="B81" s="89" t="s">
        <v>538</v>
      </c>
      <c r="C81" s="89"/>
      <c r="D81" s="89"/>
      <c r="E81" s="89"/>
      <c r="F81" s="89"/>
      <c r="G81" s="90"/>
      <c r="H81" s="90"/>
      <c r="I81" s="106">
        <f>I79+(I43*1000)</f>
        <v>77901.9844927788</v>
      </c>
      <c r="J81" s="91" t="s">
        <v>526</v>
      </c>
      <c r="K81" s="74"/>
      <c r="L81" s="70"/>
    </row>
    <row r="82" spans="1:12" ht="10.5" customHeight="1" hidden="1">
      <c r="A82" s="52"/>
      <c r="B82" s="47"/>
      <c r="C82" s="47"/>
      <c r="D82" s="47"/>
      <c r="E82" s="47"/>
      <c r="F82" s="47"/>
      <c r="G82" s="47"/>
      <c r="H82" s="47"/>
      <c r="I82" s="73"/>
      <c r="J82" s="74"/>
      <c r="K82" s="74"/>
      <c r="L82" s="70"/>
    </row>
    <row r="83" spans="1:12" ht="14.25" customHeight="1" hidden="1">
      <c r="A83" s="79" t="s">
        <v>513</v>
      </c>
      <c r="B83" t="s">
        <v>535</v>
      </c>
      <c r="G83" s="72">
        <v>0.53</v>
      </c>
      <c r="H83" s="41" t="s">
        <v>776</v>
      </c>
      <c r="I83" s="60"/>
      <c r="J83" s="74"/>
      <c r="K83" s="74"/>
      <c r="L83" s="70"/>
    </row>
    <row r="84" spans="1:12" ht="23.25" customHeight="1" hidden="1">
      <c r="A84" s="79" t="s">
        <v>360</v>
      </c>
      <c r="B84" s="948" t="s">
        <v>544</v>
      </c>
      <c r="C84" s="948"/>
      <c r="D84" s="948"/>
      <c r="E84" s="948"/>
      <c r="F84" s="948"/>
      <c r="G84" s="102">
        <f>G83*I79</f>
        <v>22654.931301337503</v>
      </c>
      <c r="H84" s="81" t="s">
        <v>541</v>
      </c>
      <c r="I84" s="60"/>
      <c r="J84" s="74"/>
      <c r="K84" s="74"/>
      <c r="L84" s="70"/>
    </row>
    <row r="85" spans="1:12" ht="14.25" customHeight="1" hidden="1">
      <c r="A85" s="52"/>
      <c r="B85" s="47"/>
      <c r="C85" s="47"/>
      <c r="D85" s="47"/>
      <c r="E85" s="47"/>
      <c r="F85" s="47"/>
      <c r="G85" s="47"/>
      <c r="H85" s="47"/>
      <c r="I85" s="73"/>
      <c r="J85" s="74"/>
      <c r="K85" s="74"/>
      <c r="L85" s="70"/>
    </row>
    <row r="86" spans="2:17" s="52" customFormat="1" ht="28.5" customHeight="1" hidden="1">
      <c r="B86" s="977" t="s">
        <v>3</v>
      </c>
      <c r="C86" s="977"/>
      <c r="D86" s="977"/>
      <c r="E86" s="977"/>
      <c r="F86" s="977"/>
      <c r="G86" s="4" t="s">
        <v>542</v>
      </c>
      <c r="H86" s="4" t="s">
        <v>543</v>
      </c>
      <c r="I86" s="92"/>
      <c r="J86" s="1011" t="s">
        <v>784</v>
      </c>
      <c r="K86" s="1011"/>
      <c r="L86" s="1011"/>
      <c r="M86" s="1011"/>
      <c r="N86" s="1011"/>
      <c r="O86" s="1011"/>
      <c r="P86" s="1011"/>
      <c r="Q86" s="1011"/>
    </row>
    <row r="87" spans="1:19" ht="30.75" customHeight="1" hidden="1">
      <c r="A87" s="79"/>
      <c r="B87" s="979" t="s">
        <v>537</v>
      </c>
      <c r="C87" s="980"/>
      <c r="D87" s="980"/>
      <c r="E87" s="980"/>
      <c r="F87" s="981"/>
      <c r="G87" s="99">
        <f>G61</f>
        <v>15117.437370432388</v>
      </c>
      <c r="H87" s="96">
        <f>G87/G89</f>
        <v>0.4002247648750389</v>
      </c>
      <c r="I87" s="73"/>
      <c r="J87" s="244" t="s">
        <v>523</v>
      </c>
      <c r="K87" s="232"/>
      <c r="L87" s="232"/>
      <c r="M87" s="232"/>
      <c r="N87" s="232"/>
      <c r="O87" s="232"/>
      <c r="P87" s="329">
        <f>I43*1000</f>
        <v>35156.83109402881</v>
      </c>
      <c r="Q87" s="334" t="s">
        <v>512</v>
      </c>
      <c r="R87" s="1003"/>
      <c r="S87" s="1003"/>
    </row>
    <row r="88" spans="1:17" ht="27.75" customHeight="1" hidden="1">
      <c r="A88" s="79"/>
      <c r="B88" s="982" t="s">
        <v>544</v>
      </c>
      <c r="C88" s="982"/>
      <c r="D88" s="982"/>
      <c r="E88" s="982"/>
      <c r="F88" s="982"/>
      <c r="G88" s="100">
        <f>G84</f>
        <v>22654.931301337503</v>
      </c>
      <c r="H88" s="97">
        <f>G88/G89</f>
        <v>0.5997752351249612</v>
      </c>
      <c r="J88" s="244" t="s">
        <v>530</v>
      </c>
      <c r="K88" s="244"/>
      <c r="L88" s="244"/>
      <c r="M88" s="244"/>
      <c r="N88" s="244"/>
      <c r="O88" s="244"/>
      <c r="P88" s="329">
        <f>I79</f>
        <v>42745.15339875</v>
      </c>
      <c r="Q88" s="334" t="s">
        <v>512</v>
      </c>
    </row>
    <row r="89" spans="1:17" ht="14.25" customHeight="1" hidden="1">
      <c r="A89" s="9"/>
      <c r="B89" s="983" t="s">
        <v>539</v>
      </c>
      <c r="C89" s="984"/>
      <c r="D89" s="984"/>
      <c r="E89" s="984"/>
      <c r="F89" s="985"/>
      <c r="G89" s="101">
        <f>G84+G61</f>
        <v>37772.36867176989</v>
      </c>
      <c r="H89" s="98">
        <f>G89/G89</f>
        <v>1</v>
      </c>
      <c r="I89" s="73"/>
      <c r="J89" s="89" t="s">
        <v>538</v>
      </c>
      <c r="K89" s="335"/>
      <c r="L89" s="336"/>
      <c r="M89" s="20"/>
      <c r="N89" s="20"/>
      <c r="O89" s="20"/>
      <c r="P89" s="325">
        <f>SUM(P87:P88)</f>
        <v>77901.9844927788</v>
      </c>
      <c r="Q89" s="234" t="s">
        <v>512</v>
      </c>
    </row>
    <row r="90" spans="1:12" ht="14.25" customHeight="1">
      <c r="A90" s="9"/>
      <c r="B90" s="94"/>
      <c r="C90" s="95"/>
      <c r="D90" s="95"/>
      <c r="E90" s="95"/>
      <c r="F90" s="95"/>
      <c r="G90" s="80"/>
      <c r="H90" s="93"/>
      <c r="I90" s="73"/>
      <c r="J90" s="74"/>
      <c r="K90" s="74"/>
      <c r="L90" s="70"/>
    </row>
    <row r="91" spans="1:18" ht="16.5" thickBot="1">
      <c r="A91" s="1014" t="s">
        <v>862</v>
      </c>
      <c r="B91" s="1014"/>
      <c r="C91" s="1014"/>
      <c r="D91" s="1014"/>
      <c r="E91" s="1014"/>
      <c r="F91" s="1014"/>
      <c r="G91" s="1014"/>
      <c r="H91" s="1014"/>
      <c r="I91" s="1014"/>
      <c r="J91" s="1014"/>
      <c r="K91" s="1014"/>
      <c r="L91" s="1014"/>
      <c r="M91" s="1014"/>
      <c r="N91" s="1014"/>
      <c r="O91" s="1014"/>
      <c r="P91" s="1014"/>
      <c r="Q91" s="1014"/>
      <c r="R91" s="1014"/>
    </row>
    <row r="92" spans="1:18" ht="13.5" thickBot="1">
      <c r="A92" s="1043" t="s">
        <v>533</v>
      </c>
      <c r="B92" s="959"/>
      <c r="C92" s="959"/>
      <c r="D92" s="959"/>
      <c r="E92" s="959"/>
      <c r="F92" s="959"/>
      <c r="G92" s="959"/>
      <c r="H92" s="959"/>
      <c r="I92" s="959"/>
      <c r="J92" s="959"/>
      <c r="K92" s="959"/>
      <c r="L92" s="959"/>
      <c r="M92" s="959"/>
      <c r="N92" s="959"/>
      <c r="O92" s="959"/>
      <c r="P92" s="959"/>
      <c r="Q92" s="959"/>
      <c r="R92" s="951"/>
    </row>
    <row r="93" spans="1:18" ht="57" customHeight="1">
      <c r="A93" s="1044" t="s">
        <v>486</v>
      </c>
      <c r="B93" s="1045"/>
      <c r="C93" s="707" t="s">
        <v>556</v>
      </c>
      <c r="D93" s="707" t="s">
        <v>496</v>
      </c>
      <c r="E93" s="707" t="s">
        <v>497</v>
      </c>
      <c r="F93" s="707" t="s">
        <v>498</v>
      </c>
      <c r="G93" s="707" t="s">
        <v>499</v>
      </c>
      <c r="H93" s="707" t="s">
        <v>500</v>
      </c>
      <c r="I93" s="707" t="s">
        <v>501</v>
      </c>
      <c r="J93" s="707" t="s">
        <v>502</v>
      </c>
      <c r="K93" s="707" t="s">
        <v>503</v>
      </c>
      <c r="L93" s="708" t="s">
        <v>504</v>
      </c>
      <c r="M93" s="707" t="s">
        <v>505</v>
      </c>
      <c r="N93" s="708" t="s">
        <v>506</v>
      </c>
      <c r="O93" s="708" t="s">
        <v>507</v>
      </c>
      <c r="P93" s="707" t="s">
        <v>568</v>
      </c>
      <c r="Q93" s="707" t="s">
        <v>555</v>
      </c>
      <c r="R93" s="709" t="s">
        <v>569</v>
      </c>
    </row>
    <row r="94" spans="1:18" s="107" customFormat="1" ht="25.5" customHeight="1">
      <c r="A94" s="1036" t="s">
        <v>553</v>
      </c>
      <c r="B94" s="1010"/>
      <c r="C94" s="337" t="s">
        <v>360</v>
      </c>
      <c r="D94" s="338">
        <v>0.04</v>
      </c>
      <c r="E94" s="338">
        <v>0.04</v>
      </c>
      <c r="F94" s="338">
        <v>0.045</v>
      </c>
      <c r="G94" s="338">
        <v>0.05</v>
      </c>
      <c r="H94" s="338">
        <v>0.065</v>
      </c>
      <c r="I94" s="338">
        <v>0.1</v>
      </c>
      <c r="J94" s="338">
        <v>0.14</v>
      </c>
      <c r="K94" s="338">
        <v>0.13</v>
      </c>
      <c r="L94" s="338">
        <v>0.09</v>
      </c>
      <c r="M94" s="338">
        <v>0.11</v>
      </c>
      <c r="N94" s="338">
        <v>0.12</v>
      </c>
      <c r="O94" s="338">
        <v>0.07</v>
      </c>
      <c r="P94" s="339">
        <f aca="true" t="shared" si="3" ref="P94:P99">SUM(D94:O94)</f>
        <v>1</v>
      </c>
      <c r="Q94" s="340" t="s">
        <v>360</v>
      </c>
      <c r="R94" s="703" t="s">
        <v>360</v>
      </c>
    </row>
    <row r="95" spans="1:18" s="107" customFormat="1" ht="24.75" customHeight="1">
      <c r="A95" s="1036" t="s">
        <v>554</v>
      </c>
      <c r="B95" s="1010"/>
      <c r="C95" s="337" t="s">
        <v>360</v>
      </c>
      <c r="D95" s="341">
        <f>D94*$G$84</f>
        <v>906.1972520535002</v>
      </c>
      <c r="E95" s="341">
        <f aca="true" t="shared" si="4" ref="E95:O95">E94*$G$84</f>
        <v>906.1972520535002</v>
      </c>
      <c r="F95" s="341">
        <f t="shared" si="4"/>
        <v>1019.4719085601876</v>
      </c>
      <c r="G95" s="341">
        <f t="shared" si="4"/>
        <v>1132.7465650668753</v>
      </c>
      <c r="H95" s="341">
        <f t="shared" si="4"/>
        <v>1472.5705345869378</v>
      </c>
      <c r="I95" s="341">
        <f t="shared" si="4"/>
        <v>2265.4931301337506</v>
      </c>
      <c r="J95" s="341">
        <f t="shared" si="4"/>
        <v>3171.6903821872506</v>
      </c>
      <c r="K95" s="341">
        <f t="shared" si="4"/>
        <v>2945.1410691738756</v>
      </c>
      <c r="L95" s="341">
        <f t="shared" si="4"/>
        <v>2038.9438171203751</v>
      </c>
      <c r="M95" s="341">
        <f t="shared" si="4"/>
        <v>2492.042443147125</v>
      </c>
      <c r="N95" s="341">
        <f t="shared" si="4"/>
        <v>2718.5917561605</v>
      </c>
      <c r="O95" s="341">
        <f t="shared" si="4"/>
        <v>1585.8451910936253</v>
      </c>
      <c r="P95" s="342">
        <f t="shared" si="3"/>
        <v>22654.931301337503</v>
      </c>
      <c r="Q95" s="340" t="s">
        <v>360</v>
      </c>
      <c r="R95" s="703" t="s">
        <v>360</v>
      </c>
    </row>
    <row r="96" spans="1:18" ht="12.75">
      <c r="A96" s="1037" t="s">
        <v>468</v>
      </c>
      <c r="B96" s="1009"/>
      <c r="C96" s="115">
        <f>'% de Preferencia Senderos'!E4</f>
        <v>0.26771653543307083</v>
      </c>
      <c r="D96" s="343">
        <f>$D$95*C96</f>
        <v>242.6039887387323</v>
      </c>
      <c r="E96" s="343">
        <f>$E$95*C96</f>
        <v>242.6039887387323</v>
      </c>
      <c r="F96" s="343">
        <f>$F$95*C96</f>
        <v>272.9294873310738</v>
      </c>
      <c r="G96" s="343">
        <f>$G$95*C96</f>
        <v>303.2549859234154</v>
      </c>
      <c r="H96" s="343">
        <f>$H$95*C96</f>
        <v>394.23148170044</v>
      </c>
      <c r="I96" s="343">
        <f>$I$95*C96</f>
        <v>606.5099718468308</v>
      </c>
      <c r="J96" s="343">
        <f>$J$95*C96</f>
        <v>849.1139605855631</v>
      </c>
      <c r="K96" s="343">
        <f>$K$95*C96</f>
        <v>788.46296340088</v>
      </c>
      <c r="L96" s="343">
        <f>$L$95*C96</f>
        <v>545.8589746621476</v>
      </c>
      <c r="M96" s="343">
        <f>$M$95*C96</f>
        <v>667.1609690315138</v>
      </c>
      <c r="N96" s="343">
        <f>$N$95*C96</f>
        <v>727.8119662161968</v>
      </c>
      <c r="O96" s="343">
        <f>$O$95*C96</f>
        <v>424.55698029278153</v>
      </c>
      <c r="P96" s="343">
        <f t="shared" si="3"/>
        <v>6065.0997184683065</v>
      </c>
      <c r="Q96" s="231">
        <f>D12</f>
        <v>4</v>
      </c>
      <c r="R96" s="704">
        <f>P96*Q96</f>
        <v>24260.398873873226</v>
      </c>
    </row>
    <row r="97" spans="1:18" ht="12.75">
      <c r="A97" s="1037" t="s">
        <v>467</v>
      </c>
      <c r="B97" s="1009"/>
      <c r="C97" s="115">
        <f>'% de Preferencia Senderos'!E5</f>
        <v>0.25196850393700787</v>
      </c>
      <c r="D97" s="343">
        <f>$D$95*C97</f>
        <v>228.33316587174807</v>
      </c>
      <c r="E97" s="343">
        <f>$E$95*C97</f>
        <v>228.33316587174807</v>
      </c>
      <c r="F97" s="343">
        <f>$F$95*C97</f>
        <v>256.87481160571656</v>
      </c>
      <c r="G97" s="343">
        <f>$G$95*C97</f>
        <v>285.4164573396851</v>
      </c>
      <c r="H97" s="343">
        <f>$H$95*C97</f>
        <v>371.04139454159065</v>
      </c>
      <c r="I97" s="343">
        <f>$I$95*C97</f>
        <v>570.8329146793702</v>
      </c>
      <c r="J97" s="343">
        <f>$J$95*C97</f>
        <v>799.1660805511183</v>
      </c>
      <c r="K97" s="343">
        <f>$K$95*C97</f>
        <v>742.0827890831813</v>
      </c>
      <c r="L97" s="343">
        <f>$L$95*C97</f>
        <v>513.7496232114331</v>
      </c>
      <c r="M97" s="343">
        <f>$M$95*C97</f>
        <v>627.9162061473071</v>
      </c>
      <c r="N97" s="343">
        <f>$N$95*C97</f>
        <v>684.9994976152441</v>
      </c>
      <c r="O97" s="343">
        <f>$O$95*C97</f>
        <v>399.58304027555914</v>
      </c>
      <c r="P97" s="343">
        <f t="shared" si="3"/>
        <v>5708.3291467937015</v>
      </c>
      <c r="Q97" s="231">
        <f>D13</f>
        <v>4.5</v>
      </c>
      <c r="R97" s="704">
        <f>P97*Q97</f>
        <v>25687.481160571657</v>
      </c>
    </row>
    <row r="98" spans="1:18" ht="12.75">
      <c r="A98" s="1037" t="s">
        <v>472</v>
      </c>
      <c r="B98" s="1009"/>
      <c r="C98" s="115">
        <f>'% de Preferencia Senderos'!E7</f>
        <v>0.07086614173228346</v>
      </c>
      <c r="D98" s="343">
        <f>$D$95*C98</f>
        <v>64.21870290142914</v>
      </c>
      <c r="E98" s="343">
        <f>$E$95*C98</f>
        <v>64.21870290142914</v>
      </c>
      <c r="F98" s="343">
        <f>$F$95*C98</f>
        <v>72.24604076410778</v>
      </c>
      <c r="G98" s="343">
        <f>$G$95*C98</f>
        <v>80.27337862678644</v>
      </c>
      <c r="H98" s="343">
        <f>$H$95*C98</f>
        <v>104.35539221482236</v>
      </c>
      <c r="I98" s="343">
        <f>$I$95*C98</f>
        <v>160.54675725357288</v>
      </c>
      <c r="J98" s="343">
        <f>$J$95*C98</f>
        <v>224.76546015500202</v>
      </c>
      <c r="K98" s="343">
        <f>$K$95*C98</f>
        <v>208.71078442964472</v>
      </c>
      <c r="L98" s="343">
        <f>$L$95*C98</f>
        <v>144.49208152821555</v>
      </c>
      <c r="M98" s="343">
        <f>$M$95*C98</f>
        <v>176.60143297893012</v>
      </c>
      <c r="N98" s="343">
        <f>$N$95*C98</f>
        <v>192.65610870428742</v>
      </c>
      <c r="O98" s="343">
        <f>$O$95*C98</f>
        <v>112.38273007750101</v>
      </c>
      <c r="P98" s="343">
        <f t="shared" si="3"/>
        <v>1605.4675725357283</v>
      </c>
      <c r="Q98" s="231">
        <f>D14</f>
        <v>2</v>
      </c>
      <c r="R98" s="704">
        <f>P98*Q98</f>
        <v>3210.9351450714566</v>
      </c>
    </row>
    <row r="99" spans="1:18" ht="12.75">
      <c r="A99" s="1037" t="s">
        <v>487</v>
      </c>
      <c r="B99" s="1009"/>
      <c r="C99" s="115">
        <f>'% de Preferencia Senderos'!E8</f>
        <v>0.40944881889763785</v>
      </c>
      <c r="D99" s="343">
        <f>$D$95*C99</f>
        <v>371.04139454159065</v>
      </c>
      <c r="E99" s="343">
        <f>$E$95*C99</f>
        <v>371.04139454159065</v>
      </c>
      <c r="F99" s="343">
        <f>$F$95*C99</f>
        <v>417.42156885928944</v>
      </c>
      <c r="G99" s="343">
        <f>$G$95*C99</f>
        <v>463.80174317698834</v>
      </c>
      <c r="H99" s="343">
        <f>$H$95*C99</f>
        <v>602.9422661300848</v>
      </c>
      <c r="I99" s="343">
        <f>$I$95*C99</f>
        <v>927.6034863539767</v>
      </c>
      <c r="J99" s="343">
        <f>$J$95*C99</f>
        <v>1298.6448808955674</v>
      </c>
      <c r="K99" s="343">
        <f>$K$95*C99</f>
        <v>1205.8845322601696</v>
      </c>
      <c r="L99" s="343">
        <f>$L$95*C99</f>
        <v>834.8431377185789</v>
      </c>
      <c r="M99" s="343">
        <f>$M$95*C99</f>
        <v>1020.3638349893743</v>
      </c>
      <c r="N99" s="343">
        <f>$N$95*C99</f>
        <v>1113.1241836247718</v>
      </c>
      <c r="O99" s="343">
        <f>$O$95*C99</f>
        <v>649.3224404477837</v>
      </c>
      <c r="P99" s="344">
        <f t="shared" si="3"/>
        <v>9276.034863539768</v>
      </c>
      <c r="Q99" s="231">
        <f>D15</f>
        <v>6</v>
      </c>
      <c r="R99" s="710">
        <f>P99*Q99</f>
        <v>55656.209181238606</v>
      </c>
    </row>
    <row r="100" spans="1:18" s="41" customFormat="1" ht="13.5" thickBot="1">
      <c r="A100" s="1041" t="s">
        <v>485</v>
      </c>
      <c r="B100" s="1042"/>
      <c r="C100" s="711">
        <f>SUM(C96:C99)</f>
        <v>1</v>
      </c>
      <c r="D100" s="705">
        <f>SUM(D96:D99)</f>
        <v>906.1972520535002</v>
      </c>
      <c r="E100" s="705">
        <f>SUM(E96:E99)</f>
        <v>906.1972520535002</v>
      </c>
      <c r="F100" s="705">
        <f>SUM(F96:F99)</f>
        <v>1019.4719085601876</v>
      </c>
      <c r="G100" s="705">
        <f aca="true" t="shared" si="5" ref="G100:O100">SUM(G96:G99)</f>
        <v>1132.7465650668753</v>
      </c>
      <c r="H100" s="705">
        <f t="shared" si="5"/>
        <v>1472.5705345869378</v>
      </c>
      <c r="I100" s="705">
        <f t="shared" si="5"/>
        <v>2265.4931301337506</v>
      </c>
      <c r="J100" s="705">
        <f t="shared" si="5"/>
        <v>3171.690382187251</v>
      </c>
      <c r="K100" s="705">
        <f t="shared" si="5"/>
        <v>2945.1410691738756</v>
      </c>
      <c r="L100" s="705">
        <f t="shared" si="5"/>
        <v>2038.9438171203751</v>
      </c>
      <c r="M100" s="705">
        <f t="shared" si="5"/>
        <v>2492.0424431471256</v>
      </c>
      <c r="N100" s="705">
        <f t="shared" si="5"/>
        <v>2718.5917561605</v>
      </c>
      <c r="O100" s="712">
        <f t="shared" si="5"/>
        <v>1585.8451910936255</v>
      </c>
      <c r="P100" s="705">
        <f>SUM(P96:P99)</f>
        <v>22654.931301337507</v>
      </c>
      <c r="Q100" s="713"/>
      <c r="R100" s="706">
        <f>SUM(R96:R99)</f>
        <v>108815.02436075495</v>
      </c>
    </row>
    <row r="101" spans="1:17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8" ht="16.5" thickBot="1">
      <c r="A102" s="1014"/>
      <c r="B102" s="1014"/>
      <c r="C102" s="1014"/>
      <c r="D102" s="1014"/>
      <c r="E102" s="1014"/>
      <c r="F102" s="1014"/>
      <c r="G102" s="1014"/>
      <c r="H102" s="1014"/>
      <c r="I102" s="1014"/>
      <c r="J102" s="1014"/>
      <c r="K102" s="1014"/>
      <c r="L102" s="1014"/>
      <c r="M102" s="1014"/>
      <c r="N102" s="1014"/>
      <c r="O102" s="1014"/>
      <c r="P102" s="1014"/>
      <c r="Q102" s="1014"/>
      <c r="R102" s="291"/>
    </row>
    <row r="103" spans="1:17" ht="12.75" customHeight="1" thickBot="1">
      <c r="A103" s="1023" t="s">
        <v>565</v>
      </c>
      <c r="B103" s="1024"/>
      <c r="C103" s="1024"/>
      <c r="D103" s="1024"/>
      <c r="E103" s="1024"/>
      <c r="F103" s="1024"/>
      <c r="G103" s="1024"/>
      <c r="H103" s="1024"/>
      <c r="I103" s="1024"/>
      <c r="J103" s="1024"/>
      <c r="K103" s="1024"/>
      <c r="L103" s="1024"/>
      <c r="M103" s="1024"/>
      <c r="N103" s="1024"/>
      <c r="O103" s="1024"/>
      <c r="P103" s="1024"/>
      <c r="Q103" s="1025"/>
    </row>
    <row r="104" spans="1:17" ht="47.25" customHeight="1">
      <c r="A104" s="1044" t="s">
        <v>486</v>
      </c>
      <c r="B104" s="1045"/>
      <c r="C104" s="707" t="s">
        <v>496</v>
      </c>
      <c r="D104" s="707" t="s">
        <v>497</v>
      </c>
      <c r="E104" s="707" t="s">
        <v>498</v>
      </c>
      <c r="F104" s="707" t="s">
        <v>499</v>
      </c>
      <c r="G104" s="707" t="s">
        <v>500</v>
      </c>
      <c r="H104" s="707" t="s">
        <v>501</v>
      </c>
      <c r="I104" s="707" t="s">
        <v>502</v>
      </c>
      <c r="J104" s="707" t="s">
        <v>503</v>
      </c>
      <c r="K104" s="708" t="s">
        <v>504</v>
      </c>
      <c r="L104" s="707" t="s">
        <v>505</v>
      </c>
      <c r="M104" s="708" t="s">
        <v>506</v>
      </c>
      <c r="N104" s="708" t="s">
        <v>507</v>
      </c>
      <c r="O104" s="707" t="s">
        <v>570</v>
      </c>
      <c r="P104" s="716" t="s">
        <v>555</v>
      </c>
      <c r="Q104" s="709" t="s">
        <v>571</v>
      </c>
    </row>
    <row r="105" spans="1:17" ht="12.75">
      <c r="A105" s="1037" t="s">
        <v>468</v>
      </c>
      <c r="B105" s="1009"/>
      <c r="C105" s="343">
        <f aca="true" t="shared" si="6" ref="C105:N105">D96+D68</f>
        <v>769.7455141626001</v>
      </c>
      <c r="D105" s="343">
        <f t="shared" si="6"/>
        <v>769.7455141626001</v>
      </c>
      <c r="E105" s="343">
        <f t="shared" si="6"/>
        <v>800.0710127549416</v>
      </c>
      <c r="F105" s="343">
        <f t="shared" si="6"/>
        <v>830.3965113472832</v>
      </c>
      <c r="G105" s="343">
        <f t="shared" si="6"/>
        <v>921.3730071243078</v>
      </c>
      <c r="H105" s="343">
        <f t="shared" si="6"/>
        <v>1133.6514972706987</v>
      </c>
      <c r="I105" s="343">
        <f t="shared" si="6"/>
        <v>1376.255486009431</v>
      </c>
      <c r="J105" s="343">
        <f t="shared" si="6"/>
        <v>1315.604488824748</v>
      </c>
      <c r="K105" s="343">
        <f t="shared" si="6"/>
        <v>1073.0005000860156</v>
      </c>
      <c r="L105" s="343">
        <f t="shared" si="6"/>
        <v>1194.3024944553817</v>
      </c>
      <c r="M105" s="343">
        <f t="shared" si="6"/>
        <v>1254.9534916400646</v>
      </c>
      <c r="N105" s="343">
        <f t="shared" si="6"/>
        <v>951.6985057166494</v>
      </c>
      <c r="O105" s="343">
        <f>SUM(C105:N105)</f>
        <v>12390.798023554722</v>
      </c>
      <c r="P105" s="345">
        <f>Q96</f>
        <v>4</v>
      </c>
      <c r="Q105" s="714">
        <f>O105*P105</f>
        <v>49563.19209421889</v>
      </c>
    </row>
    <row r="106" spans="1:17" ht="12.75">
      <c r="A106" s="1037" t="s">
        <v>467</v>
      </c>
      <c r="B106" s="1009"/>
      <c r="C106" s="343">
        <f aca="true" t="shared" si="7" ref="C106:N106">D97+D69</f>
        <v>374.76136737837805</v>
      </c>
      <c r="D106" s="343">
        <f t="shared" si="7"/>
        <v>374.76136737837805</v>
      </c>
      <c r="E106" s="343">
        <f t="shared" si="7"/>
        <v>403.30301311234655</v>
      </c>
      <c r="F106" s="343">
        <f t="shared" si="7"/>
        <v>431.84465884631504</v>
      </c>
      <c r="G106" s="343">
        <f t="shared" si="7"/>
        <v>517.4695960482206</v>
      </c>
      <c r="H106" s="343">
        <f t="shared" si="7"/>
        <v>717.2611161860002</v>
      </c>
      <c r="I106" s="343">
        <f t="shared" si="7"/>
        <v>945.5942820577483</v>
      </c>
      <c r="J106" s="343">
        <f t="shared" si="7"/>
        <v>888.5109905898113</v>
      </c>
      <c r="K106" s="343">
        <f t="shared" si="7"/>
        <v>660.1778247180631</v>
      </c>
      <c r="L106" s="343">
        <f t="shared" si="7"/>
        <v>774.3444076539371</v>
      </c>
      <c r="M106" s="343">
        <f t="shared" si="7"/>
        <v>831.4276991218741</v>
      </c>
      <c r="N106" s="343">
        <f t="shared" si="7"/>
        <v>546.0112417821891</v>
      </c>
      <c r="O106" s="343">
        <f>SUM(C106:N106)</f>
        <v>7465.467564873262</v>
      </c>
      <c r="P106" s="345">
        <f>Q97</f>
        <v>4.5</v>
      </c>
      <c r="Q106" s="714">
        <f>O106*P106</f>
        <v>33594.60404192968</v>
      </c>
    </row>
    <row r="107" spans="1:17" ht="12.75">
      <c r="A107" s="1037" t="s">
        <v>472</v>
      </c>
      <c r="B107" s="1009"/>
      <c r="C107" s="343">
        <f aca="true" t="shared" si="8" ref="C107:N107">D98+D70</f>
        <v>122.78998350408114</v>
      </c>
      <c r="D107" s="343">
        <f t="shared" si="8"/>
        <v>122.78998350408114</v>
      </c>
      <c r="E107" s="343">
        <f t="shared" si="8"/>
        <v>130.81732136675976</v>
      </c>
      <c r="F107" s="343">
        <f t="shared" si="8"/>
        <v>138.84465922943843</v>
      </c>
      <c r="G107" s="343">
        <f t="shared" si="8"/>
        <v>162.92667281747435</v>
      </c>
      <c r="H107" s="343">
        <f t="shared" si="8"/>
        <v>219.11803785622487</v>
      </c>
      <c r="I107" s="343">
        <f t="shared" si="8"/>
        <v>283.336740757654</v>
      </c>
      <c r="J107" s="343">
        <f t="shared" si="8"/>
        <v>267.2820650322967</v>
      </c>
      <c r="K107" s="343">
        <f t="shared" si="8"/>
        <v>203.06336213086755</v>
      </c>
      <c r="L107" s="343">
        <f t="shared" si="8"/>
        <v>235.17271358158212</v>
      </c>
      <c r="M107" s="343">
        <f t="shared" si="8"/>
        <v>251.22738930693941</v>
      </c>
      <c r="N107" s="343">
        <f t="shared" si="8"/>
        <v>170.954010680153</v>
      </c>
      <c r="O107" s="343">
        <f>SUM(C107:N107)</f>
        <v>2308.3229397675523</v>
      </c>
      <c r="P107" s="345">
        <f>Q98</f>
        <v>2</v>
      </c>
      <c r="Q107" s="714">
        <f>O107*P107</f>
        <v>4616.6458795351045</v>
      </c>
    </row>
    <row r="108" spans="1:17" ht="12.75">
      <c r="A108" s="1037" t="s">
        <v>487</v>
      </c>
      <c r="B108" s="1009"/>
      <c r="C108" s="343">
        <f aca="true" t="shared" si="9" ref="C108:N108">D99+D71</f>
        <v>898.1829199654586</v>
      </c>
      <c r="D108" s="343">
        <f t="shared" si="9"/>
        <v>898.1829199654586</v>
      </c>
      <c r="E108" s="343">
        <f t="shared" si="9"/>
        <v>944.5630942831574</v>
      </c>
      <c r="F108" s="343">
        <f t="shared" si="9"/>
        <v>990.9432686008563</v>
      </c>
      <c r="G108" s="343">
        <f t="shared" si="9"/>
        <v>1130.0837915539528</v>
      </c>
      <c r="H108" s="343">
        <f t="shared" si="9"/>
        <v>1454.7450117778446</v>
      </c>
      <c r="I108" s="343">
        <f t="shared" si="9"/>
        <v>1825.7864063194354</v>
      </c>
      <c r="J108" s="343">
        <f t="shared" si="9"/>
        <v>1733.0260576840376</v>
      </c>
      <c r="K108" s="343">
        <f t="shared" si="9"/>
        <v>1361.9846631424468</v>
      </c>
      <c r="L108" s="343">
        <f t="shared" si="9"/>
        <v>1547.5053604132422</v>
      </c>
      <c r="M108" s="343">
        <f t="shared" si="9"/>
        <v>1640.2657090486398</v>
      </c>
      <c r="N108" s="343">
        <f t="shared" si="9"/>
        <v>1176.4639658716517</v>
      </c>
      <c r="O108" s="343">
        <f>SUM(C108:N108)</f>
        <v>15601.73316862618</v>
      </c>
      <c r="P108" s="345">
        <f>Q99</f>
        <v>6</v>
      </c>
      <c r="Q108" s="714">
        <f>O108*P108</f>
        <v>93610.39901175708</v>
      </c>
    </row>
    <row r="109" spans="1:17" s="41" customFormat="1" ht="13.5" thickBot="1">
      <c r="A109" s="1041" t="s">
        <v>485</v>
      </c>
      <c r="B109" s="1042"/>
      <c r="C109" s="705">
        <f>SUM(C105:C108)</f>
        <v>2165.479785010518</v>
      </c>
      <c r="D109" s="705">
        <f aca="true" t="shared" si="10" ref="D109:N109">SUM(D105:D108)</f>
        <v>2165.479785010518</v>
      </c>
      <c r="E109" s="705">
        <f t="shared" si="10"/>
        <v>2278.754441517205</v>
      </c>
      <c r="F109" s="705">
        <f t="shared" si="10"/>
        <v>2392.029098023893</v>
      </c>
      <c r="G109" s="705">
        <f>SUM(G105:G108)</f>
        <v>2731.8530675439556</v>
      </c>
      <c r="H109" s="705">
        <f t="shared" si="10"/>
        <v>3524.775663090768</v>
      </c>
      <c r="I109" s="705">
        <f t="shared" si="10"/>
        <v>4430.972915144269</v>
      </c>
      <c r="J109" s="705">
        <f t="shared" si="10"/>
        <v>4204.423602130893</v>
      </c>
      <c r="K109" s="705">
        <f t="shared" si="10"/>
        <v>3298.2263500773934</v>
      </c>
      <c r="L109" s="705">
        <f t="shared" si="10"/>
        <v>3751.3249761041434</v>
      </c>
      <c r="M109" s="705">
        <f t="shared" si="10"/>
        <v>3977.874289117518</v>
      </c>
      <c r="N109" s="705">
        <f t="shared" si="10"/>
        <v>2845.1277240506433</v>
      </c>
      <c r="O109" s="705">
        <f>SUM(O105:O108)</f>
        <v>37766.32169682172</v>
      </c>
      <c r="P109" s="713"/>
      <c r="Q109" s="715">
        <f>SUM(Q105:Q108)</f>
        <v>181384.84102744074</v>
      </c>
    </row>
    <row r="111" spans="1:18" ht="16.5" thickBot="1">
      <c r="A111" s="1014" t="s">
        <v>863</v>
      </c>
      <c r="B111" s="1014"/>
      <c r="C111" s="1014"/>
      <c r="D111" s="1014"/>
      <c r="E111" s="1014"/>
      <c r="F111" s="1014"/>
      <c r="G111" s="1014"/>
      <c r="H111" s="1014"/>
      <c r="I111" s="1014"/>
      <c r="J111" s="1014"/>
      <c r="K111" s="1014"/>
      <c r="L111" s="1014"/>
      <c r="M111" s="1014"/>
      <c r="N111" s="1014"/>
      <c r="O111" s="1014"/>
      <c r="P111" s="291"/>
      <c r="Q111" s="291"/>
      <c r="R111" s="291"/>
    </row>
    <row r="112" spans="1:15" ht="12.75" customHeight="1">
      <c r="A112" s="1028" t="s">
        <v>566</v>
      </c>
      <c r="B112" s="1029"/>
      <c r="C112" s="1029"/>
      <c r="D112" s="1029"/>
      <c r="E112" s="1029"/>
      <c r="F112" s="1029"/>
      <c r="G112" s="1029"/>
      <c r="H112" s="1029"/>
      <c r="I112" s="1029"/>
      <c r="J112" s="1029"/>
      <c r="K112" s="1029"/>
      <c r="L112" s="1029"/>
      <c r="M112" s="1029"/>
      <c r="N112" s="1029"/>
      <c r="O112" s="1030"/>
    </row>
    <row r="113" spans="1:15" ht="40.5" customHeight="1">
      <c r="A113" s="1027" t="s">
        <v>486</v>
      </c>
      <c r="B113" s="977"/>
      <c r="C113" s="63" t="s">
        <v>496</v>
      </c>
      <c r="D113" s="63" t="s">
        <v>497</v>
      </c>
      <c r="E113" s="63" t="s">
        <v>498</v>
      </c>
      <c r="F113" s="63" t="s">
        <v>499</v>
      </c>
      <c r="G113" s="63" t="s">
        <v>500</v>
      </c>
      <c r="H113" s="113" t="s">
        <v>501</v>
      </c>
      <c r="I113" s="113" t="s">
        <v>502</v>
      </c>
      <c r="J113" s="113" t="s">
        <v>503</v>
      </c>
      <c r="K113" s="228" t="s">
        <v>504</v>
      </c>
      <c r="L113" s="113" t="s">
        <v>505</v>
      </c>
      <c r="M113" s="228" t="s">
        <v>506</v>
      </c>
      <c r="N113" s="228" t="s">
        <v>507</v>
      </c>
      <c r="O113" s="717" t="s">
        <v>572</v>
      </c>
    </row>
    <row r="114" spans="1:15" ht="12.75">
      <c r="A114" s="1026" t="s">
        <v>468</v>
      </c>
      <c r="B114" s="976"/>
      <c r="C114" s="119">
        <f>C105*D12</f>
        <v>3078.9820566504004</v>
      </c>
      <c r="D114" s="119">
        <f>D105*D12</f>
        <v>3078.9820566504004</v>
      </c>
      <c r="E114" s="119">
        <f>E105*D12</f>
        <v>3200.2840510197666</v>
      </c>
      <c r="F114" s="64">
        <f>F105*D12</f>
        <v>3321.586045389133</v>
      </c>
      <c r="G114" s="119">
        <f>G105*D12</f>
        <v>3685.4920284972313</v>
      </c>
      <c r="H114" s="229">
        <f>H105*D12</f>
        <v>4534.605989082795</v>
      </c>
      <c r="I114" s="230">
        <f>I105*D12</f>
        <v>5505.021944037724</v>
      </c>
      <c r="J114" s="229">
        <f>J105*D12</f>
        <v>5262.417955298992</v>
      </c>
      <c r="K114" s="231">
        <f>K105*D12</f>
        <v>4292.002000344062</v>
      </c>
      <c r="L114" s="231">
        <f>L105*D12</f>
        <v>4777.209977821527</v>
      </c>
      <c r="M114" s="229">
        <f>M105*D12</f>
        <v>5019.813966560258</v>
      </c>
      <c r="N114" s="229">
        <f>N105*D12</f>
        <v>3806.7940228665975</v>
      </c>
      <c r="O114" s="452">
        <f>SUM(C114:N114)</f>
        <v>49563.19209421889</v>
      </c>
    </row>
    <row r="115" spans="1:15" ht="12.75">
      <c r="A115" s="1026" t="s">
        <v>467</v>
      </c>
      <c r="B115" s="976"/>
      <c r="C115" s="119">
        <f>C106*D13</f>
        <v>1686.4261532027012</v>
      </c>
      <c r="D115" s="119">
        <f>D106*D13</f>
        <v>1686.4261532027012</v>
      </c>
      <c r="E115" s="119">
        <f>E106*D13</f>
        <v>1814.8635590055594</v>
      </c>
      <c r="F115" s="64">
        <f>F106*D13</f>
        <v>1943.3009648084176</v>
      </c>
      <c r="G115" s="119">
        <f>G106*D13</f>
        <v>2328.6131822169928</v>
      </c>
      <c r="H115" s="229">
        <f>H106*D13</f>
        <v>3227.675022837001</v>
      </c>
      <c r="I115" s="230">
        <f>I106*D13</f>
        <v>4255.174269259867</v>
      </c>
      <c r="J115" s="229">
        <f>J106*D13</f>
        <v>3998.299457654151</v>
      </c>
      <c r="K115" s="231">
        <f>K106*D13</f>
        <v>2970.800211231284</v>
      </c>
      <c r="L115" s="231">
        <f>L106*D13</f>
        <v>3484.549834442717</v>
      </c>
      <c r="M115" s="229">
        <f>M106*D13</f>
        <v>3741.4246460484333</v>
      </c>
      <c r="N115" s="229">
        <f>N106*D13</f>
        <v>2457.050588019851</v>
      </c>
      <c r="O115" s="452">
        <f>SUM(C115:N115)</f>
        <v>33594.60404192968</v>
      </c>
    </row>
    <row r="116" spans="1:15" ht="12.75">
      <c r="A116" s="1026" t="s">
        <v>472</v>
      </c>
      <c r="B116" s="976"/>
      <c r="C116" s="119">
        <f>C107*D14</f>
        <v>245.57996700816227</v>
      </c>
      <c r="D116" s="119">
        <f>D107*D14</f>
        <v>245.57996700816227</v>
      </c>
      <c r="E116" s="119">
        <f>E107*D14</f>
        <v>261.6346427335195</v>
      </c>
      <c r="F116" s="64">
        <f>F107*D14</f>
        <v>277.68931845887687</v>
      </c>
      <c r="G116" s="119">
        <f>G107*D14</f>
        <v>325.8533456349487</v>
      </c>
      <c r="H116" s="229">
        <f>H107*D14</f>
        <v>438.23607571244975</v>
      </c>
      <c r="I116" s="230">
        <f>I107*D14</f>
        <v>566.673481515308</v>
      </c>
      <c r="J116" s="229">
        <f>J107*D14</f>
        <v>534.5641300645934</v>
      </c>
      <c r="K116" s="231">
        <f>K107*D14</f>
        <v>406.1267242617351</v>
      </c>
      <c r="L116" s="231">
        <f>L107*D14</f>
        <v>470.34542716316423</v>
      </c>
      <c r="M116" s="229">
        <f>M107*D14</f>
        <v>502.45477861387883</v>
      </c>
      <c r="N116" s="229">
        <f>N107*D14</f>
        <v>341.908021360306</v>
      </c>
      <c r="O116" s="452">
        <f>SUM(C116:N116)</f>
        <v>4616.6458795351045</v>
      </c>
    </row>
    <row r="117" spans="1:15" ht="12.75">
      <c r="A117" s="1026" t="s">
        <v>487</v>
      </c>
      <c r="B117" s="976"/>
      <c r="C117" s="119">
        <f>C108*D15</f>
        <v>5389.097519792752</v>
      </c>
      <c r="D117" s="119">
        <f>D108*D15</f>
        <v>5389.097519792752</v>
      </c>
      <c r="E117" s="119">
        <f>E108*D15</f>
        <v>5667.378565698944</v>
      </c>
      <c r="F117" s="64">
        <f>F108*D15</f>
        <v>5945.659611605138</v>
      </c>
      <c r="G117" s="119">
        <f>G108*D15</f>
        <v>6780.502749323717</v>
      </c>
      <c r="H117" s="229">
        <f>H108*D15</f>
        <v>8728.470070667068</v>
      </c>
      <c r="I117" s="230">
        <f>I108*D15</f>
        <v>10954.718437916612</v>
      </c>
      <c r="J117" s="229">
        <f>J108*D15</f>
        <v>10398.156346104226</v>
      </c>
      <c r="K117" s="231">
        <f>K108*D15</f>
        <v>8171.907978854681</v>
      </c>
      <c r="L117" s="231">
        <f>L108*D15</f>
        <v>9285.032162479452</v>
      </c>
      <c r="M117" s="229">
        <f>M108*D15</f>
        <v>9841.594254291838</v>
      </c>
      <c r="N117" s="229">
        <f>N108*D15</f>
        <v>7058.7837952299105</v>
      </c>
      <c r="O117" s="452">
        <f>SUM(C117:N117)</f>
        <v>93610.3990117571</v>
      </c>
    </row>
    <row r="118" spans="1:15" s="41" customFormat="1" ht="13.5" thickBot="1">
      <c r="A118" s="945" t="s">
        <v>485</v>
      </c>
      <c r="B118" s="946"/>
      <c r="C118" s="718">
        <f>SUM(C114:C117)</f>
        <v>10400.085696654016</v>
      </c>
      <c r="D118" s="718">
        <f>SUM(D114:D117)</f>
        <v>10400.085696654016</v>
      </c>
      <c r="E118" s="718">
        <f aca="true" t="shared" si="11" ref="E118:N118">SUM(E114:E117)</f>
        <v>10944.160818457789</v>
      </c>
      <c r="F118" s="718">
        <f t="shared" si="11"/>
        <v>11488.235940261566</v>
      </c>
      <c r="G118" s="718">
        <f t="shared" si="11"/>
        <v>13120.461305672889</v>
      </c>
      <c r="H118" s="718">
        <f t="shared" si="11"/>
        <v>16928.987158299315</v>
      </c>
      <c r="I118" s="718">
        <f t="shared" si="11"/>
        <v>21281.588132729514</v>
      </c>
      <c r="J118" s="718">
        <f t="shared" si="11"/>
        <v>20193.43788912196</v>
      </c>
      <c r="K118" s="718">
        <f t="shared" si="11"/>
        <v>15840.836914691761</v>
      </c>
      <c r="L118" s="718">
        <f t="shared" si="11"/>
        <v>18017.13740190686</v>
      </c>
      <c r="M118" s="718">
        <f t="shared" si="11"/>
        <v>19105.287645514407</v>
      </c>
      <c r="N118" s="718">
        <f t="shared" si="11"/>
        <v>13664.536427476665</v>
      </c>
      <c r="O118" s="719">
        <f>SUM(O114:O117)</f>
        <v>181384.84102744077</v>
      </c>
    </row>
    <row r="120" spans="2:18" ht="15.75">
      <c r="B120" s="1046" t="s">
        <v>864</v>
      </c>
      <c r="C120" s="1046"/>
      <c r="D120" s="1046"/>
      <c r="E120" s="1046"/>
      <c r="F120" s="1046"/>
      <c r="G120" s="1046"/>
      <c r="H120" s="1046"/>
      <c r="I120" s="1046"/>
      <c r="J120" s="1046"/>
      <c r="K120" s="1046"/>
      <c r="L120" s="1046"/>
      <c r="M120" s="1046"/>
      <c r="N120" s="291"/>
      <c r="O120" s="291"/>
      <c r="P120" s="291"/>
      <c r="Q120" s="291"/>
      <c r="R120" s="291"/>
    </row>
    <row r="121" spans="2:13" ht="15.75">
      <c r="B121" s="978" t="s">
        <v>574</v>
      </c>
      <c r="C121" s="978"/>
      <c r="D121" s="978"/>
      <c r="E121" s="978"/>
      <c r="F121" s="978"/>
      <c r="G121" s="978"/>
      <c r="H121" s="978"/>
      <c r="I121" s="978"/>
      <c r="J121" s="978"/>
      <c r="K121" s="978"/>
      <c r="L121" s="978"/>
      <c r="M121" s="978"/>
    </row>
    <row r="123" spans="4:13" ht="13.5" thickBot="1">
      <c r="D123" s="37" t="s">
        <v>461</v>
      </c>
      <c r="E123" s="55">
        <v>0.083</v>
      </c>
      <c r="F123" s="55">
        <v>0.083</v>
      </c>
      <c r="G123" s="55">
        <v>0.083</v>
      </c>
      <c r="H123" s="55">
        <v>0.083</v>
      </c>
      <c r="I123" s="55">
        <v>0.083</v>
      </c>
      <c r="J123" s="55">
        <v>0.083</v>
      </c>
      <c r="K123" s="55">
        <v>0.083</v>
      </c>
      <c r="L123" s="55">
        <v>0.083</v>
      </c>
      <c r="M123" s="55">
        <v>0.083</v>
      </c>
    </row>
    <row r="124" spans="2:13" ht="13.5" thickBot="1">
      <c r="B124" s="1023" t="s">
        <v>438</v>
      </c>
      <c r="C124" s="1038"/>
      <c r="D124" s="373" t="s">
        <v>439</v>
      </c>
      <c r="E124" s="373" t="s">
        <v>447</v>
      </c>
      <c r="F124" s="373" t="s">
        <v>448</v>
      </c>
      <c r="G124" s="373" t="s">
        <v>449</v>
      </c>
      <c r="H124" s="373" t="s">
        <v>450</v>
      </c>
      <c r="I124" s="373" t="s">
        <v>451</v>
      </c>
      <c r="J124" s="373" t="s">
        <v>452</v>
      </c>
      <c r="K124" s="373" t="s">
        <v>453</v>
      </c>
      <c r="L124" s="373" t="s">
        <v>454</v>
      </c>
      <c r="M124" s="374" t="s">
        <v>455</v>
      </c>
    </row>
    <row r="125" spans="2:13" ht="13.5" thickBot="1">
      <c r="B125" s="1039" t="s">
        <v>440</v>
      </c>
      <c r="C125" s="1040"/>
      <c r="D125" s="720">
        <f>Ingresos!O118</f>
        <v>181384.84102744077</v>
      </c>
      <c r="E125" s="720">
        <f aca="true" t="shared" si="12" ref="E125:M125">D125*(1+E123)</f>
        <v>196439.78283271834</v>
      </c>
      <c r="F125" s="720">
        <f t="shared" si="12"/>
        <v>212744.28480783396</v>
      </c>
      <c r="G125" s="720">
        <f t="shared" si="12"/>
        <v>230402.06044688416</v>
      </c>
      <c r="H125" s="720">
        <f t="shared" si="12"/>
        <v>249525.43146397555</v>
      </c>
      <c r="I125" s="720">
        <f t="shared" si="12"/>
        <v>270236.0422754855</v>
      </c>
      <c r="J125" s="720">
        <f t="shared" si="12"/>
        <v>292665.6337843508</v>
      </c>
      <c r="K125" s="720">
        <f t="shared" si="12"/>
        <v>316956.8813884519</v>
      </c>
      <c r="L125" s="720">
        <f t="shared" si="12"/>
        <v>343264.3025436934</v>
      </c>
      <c r="M125" s="721">
        <f t="shared" si="12"/>
        <v>371755.23965481995</v>
      </c>
    </row>
  </sheetData>
  <mergeCells count="84">
    <mergeCell ref="A111:O111"/>
    <mergeCell ref="B120:M120"/>
    <mergeCell ref="A102:Q102"/>
    <mergeCell ref="R87:S87"/>
    <mergeCell ref="A107:B107"/>
    <mergeCell ref="A104:B104"/>
    <mergeCell ref="A108:B108"/>
    <mergeCell ref="A109:B109"/>
    <mergeCell ref="A105:B105"/>
    <mergeCell ref="A106:B106"/>
    <mergeCell ref="A116:B116"/>
    <mergeCell ref="J86:Q86"/>
    <mergeCell ref="A97:B97"/>
    <mergeCell ref="A100:B100"/>
    <mergeCell ref="A94:B94"/>
    <mergeCell ref="A92:R92"/>
    <mergeCell ref="A93:B93"/>
    <mergeCell ref="B88:F88"/>
    <mergeCell ref="B89:F89"/>
    <mergeCell ref="B87:F87"/>
    <mergeCell ref="B84:F84"/>
    <mergeCell ref="A95:B95"/>
    <mergeCell ref="A99:B99"/>
    <mergeCell ref="A98:B98"/>
    <mergeCell ref="B121:M121"/>
    <mergeCell ref="B124:C124"/>
    <mergeCell ref="B125:C125"/>
    <mergeCell ref="A96:B96"/>
    <mergeCell ref="B55:G55"/>
    <mergeCell ref="J79:K79"/>
    <mergeCell ref="B77:H77"/>
    <mergeCell ref="J77:K77"/>
    <mergeCell ref="A70:B70"/>
    <mergeCell ref="A71:B71"/>
    <mergeCell ref="B56:G56"/>
    <mergeCell ref="B57:G57"/>
    <mergeCell ref="B58:G58"/>
    <mergeCell ref="A64:R64"/>
    <mergeCell ref="J43:K43"/>
    <mergeCell ref="B42:H42"/>
    <mergeCell ref="K52:K53"/>
    <mergeCell ref="L52:L53"/>
    <mergeCell ref="B43:H43"/>
    <mergeCell ref="B48:E48"/>
    <mergeCell ref="B52:H53"/>
    <mergeCell ref="B45:G45"/>
    <mergeCell ref="B11:C11"/>
    <mergeCell ref="B35:H35"/>
    <mergeCell ref="J35:K35"/>
    <mergeCell ref="B41:H41"/>
    <mergeCell ref="J41:K41"/>
    <mergeCell ref="B20:C20"/>
    <mergeCell ref="B18:J18"/>
    <mergeCell ref="C28:D28"/>
    <mergeCell ref="D5:E5"/>
    <mergeCell ref="D6:E6"/>
    <mergeCell ref="D7:E7"/>
    <mergeCell ref="D8:E8"/>
    <mergeCell ref="G5:H5"/>
    <mergeCell ref="G6:H6"/>
    <mergeCell ref="G7:H7"/>
    <mergeCell ref="G8:H8"/>
    <mergeCell ref="B3:C3"/>
    <mergeCell ref="D3:E3"/>
    <mergeCell ref="G3:H3"/>
    <mergeCell ref="D4:E4"/>
    <mergeCell ref="G4:H4"/>
    <mergeCell ref="A103:Q103"/>
    <mergeCell ref="A117:B117"/>
    <mergeCell ref="A118:B118"/>
    <mergeCell ref="A113:B113"/>
    <mergeCell ref="A112:O112"/>
    <mergeCell ref="A114:B114"/>
    <mergeCell ref="A115:B115"/>
    <mergeCell ref="A63:R63"/>
    <mergeCell ref="A91:R91"/>
    <mergeCell ref="A65:B65"/>
    <mergeCell ref="B79:H79"/>
    <mergeCell ref="A67:B67"/>
    <mergeCell ref="A66:B66"/>
    <mergeCell ref="A69:B69"/>
    <mergeCell ref="A68:B68"/>
    <mergeCell ref="A72:B72"/>
    <mergeCell ref="B86:F86"/>
  </mergeCells>
  <printOptions horizontalCentered="1"/>
  <pageMargins left="0.55" right="0.46" top="7.08" bottom="0.1968503937007874" header="0" footer="0"/>
  <pageSetup horizontalDpi="300" verticalDpi="300" orientation="landscape" paperSize="9" scale="70" r:id="rId3"/>
  <legacyDrawing r:id="rId2"/>
  <oleObjects>
    <oleObject progId="Equation.3" shapeId="10262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/>
  <dimension ref="A1:M88"/>
  <sheetViews>
    <sheetView view="pageBreakPreview" zoomScale="75" zoomScaleNormal="85" zoomScaleSheetLayoutView="75" workbookViewId="0" topLeftCell="A14">
      <selection activeCell="E101" sqref="E101"/>
    </sheetView>
  </sheetViews>
  <sheetFormatPr defaultColWidth="11.421875" defaultRowHeight="12.75"/>
  <cols>
    <col min="1" max="1" width="36.421875" style="0" customWidth="1"/>
    <col min="2" max="2" width="16.28125" style="0" bestFit="1" customWidth="1"/>
    <col min="3" max="4" width="15.421875" style="0" bestFit="1" customWidth="1"/>
    <col min="5" max="5" width="18.140625" style="0" bestFit="1" customWidth="1"/>
    <col min="6" max="9" width="15.8515625" style="0" bestFit="1" customWidth="1"/>
    <col min="10" max="10" width="16.28125" style="0" bestFit="1" customWidth="1"/>
    <col min="11" max="11" width="15.8515625" style="0" bestFit="1" customWidth="1"/>
    <col min="12" max="12" width="15.8515625" style="0" customWidth="1"/>
  </cols>
  <sheetData>
    <row r="1" spans="1:11" ht="15.75">
      <c r="A1" s="968" t="s">
        <v>876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</row>
    <row r="2" spans="1:11" ht="15.75">
      <c r="A2" s="1007" t="s">
        <v>437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</row>
    <row r="3" spans="1:11" ht="15">
      <c r="A3" s="1008" t="s">
        <v>456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</row>
    <row r="4" ht="13.5" thickBot="1"/>
    <row r="5" spans="1:11" ht="13.5" thickBot="1">
      <c r="A5" s="393" t="s">
        <v>694</v>
      </c>
      <c r="B5" s="373" t="s">
        <v>439</v>
      </c>
      <c r="C5" s="373" t="s">
        <v>447</v>
      </c>
      <c r="D5" s="373" t="s">
        <v>448</v>
      </c>
      <c r="E5" s="373" t="s">
        <v>449</v>
      </c>
      <c r="F5" s="373" t="s">
        <v>450</v>
      </c>
      <c r="G5" s="373" t="s">
        <v>451</v>
      </c>
      <c r="H5" s="373" t="s">
        <v>452</v>
      </c>
      <c r="I5" s="373" t="s">
        <v>453</v>
      </c>
      <c r="J5" s="373" t="s">
        <v>454</v>
      </c>
      <c r="K5" s="374" t="s">
        <v>455</v>
      </c>
    </row>
    <row r="6" spans="1:11" ht="12.75">
      <c r="A6" s="624" t="s">
        <v>440</v>
      </c>
      <c r="B6" s="625">
        <f>Ingresos!D125</f>
        <v>181384.84102744077</v>
      </c>
      <c r="C6" s="625">
        <f>Ingresos!E125</f>
        <v>196439.78283271834</v>
      </c>
      <c r="D6" s="625">
        <f>Ingresos!F125</f>
        <v>212744.28480783396</v>
      </c>
      <c r="E6" s="625">
        <f>Ingresos!G125</f>
        <v>230402.06044688416</v>
      </c>
      <c r="F6" s="625">
        <f>Ingresos!H125</f>
        <v>249525.43146397555</v>
      </c>
      <c r="G6" s="625">
        <f>Ingresos!I125</f>
        <v>270236.0422754855</v>
      </c>
      <c r="H6" s="625">
        <f>Ingresos!J125</f>
        <v>292665.6337843508</v>
      </c>
      <c r="I6" s="625">
        <f>Ingresos!K125</f>
        <v>316956.8813884519</v>
      </c>
      <c r="J6" s="625">
        <f>Ingresos!L125</f>
        <v>343264.3025436934</v>
      </c>
      <c r="K6" s="626">
        <f>Ingresos!M125</f>
        <v>371755.23965481995</v>
      </c>
    </row>
    <row r="7" spans="1:11" ht="12.75">
      <c r="A7" s="445" t="s">
        <v>703</v>
      </c>
      <c r="B7" s="35"/>
      <c r="C7" s="35"/>
      <c r="D7" s="35"/>
      <c r="E7" s="35"/>
      <c r="F7" s="35"/>
      <c r="G7" s="35"/>
      <c r="H7" s="35"/>
      <c r="I7" s="35"/>
      <c r="J7" s="35"/>
      <c r="K7" s="409"/>
    </row>
    <row r="8" spans="1:11" ht="12.75">
      <c r="A8" s="408" t="s">
        <v>389</v>
      </c>
      <c r="B8" s="35"/>
      <c r="C8" s="35"/>
      <c r="D8" s="35"/>
      <c r="E8" s="35"/>
      <c r="F8" s="35"/>
      <c r="G8" s="35"/>
      <c r="H8" s="35"/>
      <c r="I8" s="35"/>
      <c r="J8" s="35"/>
      <c r="K8" s="409"/>
    </row>
    <row r="9" spans="1:11" ht="12.75">
      <c r="A9" s="446" t="s">
        <v>700</v>
      </c>
      <c r="B9" s="35">
        <f>'Anex Est Result - Gast'!B16</f>
        <v>19050</v>
      </c>
      <c r="C9" s="35">
        <f>'Anex Est Result - Gast'!C16</f>
        <v>20002.5</v>
      </c>
      <c r="D9" s="35">
        <f>'Anex Est Result - Gast'!D16</f>
        <v>21002.625</v>
      </c>
      <c r="E9" s="35">
        <f>'Anex Est Result - Gast'!E16</f>
        <v>22052.756250000002</v>
      </c>
      <c r="F9" s="35">
        <f>'Anex Est Result - Gast'!F16</f>
        <v>23155.394062500003</v>
      </c>
      <c r="G9" s="35">
        <f>'Anex Est Result - Gast'!G16</f>
        <v>24313.163765625006</v>
      </c>
      <c r="H9" s="35">
        <f>'Anex Est Result - Gast'!H16</f>
        <v>25528.821953906256</v>
      </c>
      <c r="I9" s="35">
        <f>'Anex Est Result - Gast'!I16</f>
        <v>26805.26305160157</v>
      </c>
      <c r="J9" s="35">
        <f>'Anex Est Result - Gast'!J16</f>
        <v>28145.52620418165</v>
      </c>
      <c r="K9" s="409">
        <f>'Anex Est Result - Gast'!K16</f>
        <v>29552.802514390733</v>
      </c>
    </row>
    <row r="10" spans="1:11" ht="12.75">
      <c r="A10" s="408" t="s">
        <v>699</v>
      </c>
      <c r="B10" s="35"/>
      <c r="C10" s="35"/>
      <c r="D10" s="35"/>
      <c r="E10" s="35"/>
      <c r="F10" s="35"/>
      <c r="G10" s="35"/>
      <c r="H10" s="35"/>
      <c r="I10" s="35"/>
      <c r="J10" s="35"/>
      <c r="K10" s="409"/>
    </row>
    <row r="11" spans="1:11" ht="12.75">
      <c r="A11" s="446" t="s">
        <v>701</v>
      </c>
      <c r="B11" s="35">
        <f>'Anex Est Result - Gast'!B27</f>
        <v>61440</v>
      </c>
      <c r="C11" s="35">
        <f>'Anex Est Result - Gast'!C27</f>
        <v>64512</v>
      </c>
      <c r="D11" s="35">
        <f>'Anex Est Result - Gast'!D27</f>
        <v>67737.6</v>
      </c>
      <c r="E11" s="35">
        <f>'Anex Est Result - Gast'!E27</f>
        <v>71124.48000000001</v>
      </c>
      <c r="F11" s="35">
        <f>'Anex Est Result - Gast'!F27</f>
        <v>74680.704</v>
      </c>
      <c r="G11" s="35">
        <f>'Anex Est Result - Gast'!G27</f>
        <v>78414.73920000001</v>
      </c>
      <c r="H11" s="35">
        <f>'Anex Est Result - Gast'!H27</f>
        <v>82335.47616000002</v>
      </c>
      <c r="I11" s="35">
        <f>'Anex Est Result - Gast'!I27</f>
        <v>86452.24996800002</v>
      </c>
      <c r="J11" s="35">
        <f>'Anex Est Result - Gast'!J27</f>
        <v>90774.86246640002</v>
      </c>
      <c r="K11" s="409">
        <f>'Anex Est Result - Gast'!K27</f>
        <v>95313.60558972003</v>
      </c>
    </row>
    <row r="12" spans="1:11" ht="12.75">
      <c r="A12" s="446" t="s">
        <v>702</v>
      </c>
      <c r="B12" s="35">
        <f>'Anex Est Result - Gast'!B38</f>
        <v>1260</v>
      </c>
      <c r="C12" s="35">
        <f>'Anex Est Result - Gast'!C38</f>
        <v>1323</v>
      </c>
      <c r="D12" s="35">
        <f>'Anex Est Result - Gast'!D38</f>
        <v>1389.15</v>
      </c>
      <c r="E12" s="35">
        <f>'Anex Est Result - Gast'!E38</f>
        <v>1458.6075</v>
      </c>
      <c r="F12" s="35">
        <f>'Anex Est Result - Gast'!F38</f>
        <v>1531.5378750000002</v>
      </c>
      <c r="G12" s="35">
        <f>'Anex Est Result - Gast'!G38</f>
        <v>1608.1147687500002</v>
      </c>
      <c r="H12" s="35">
        <f>'Anex Est Result - Gast'!H38</f>
        <v>1688.5205071875002</v>
      </c>
      <c r="I12" s="35">
        <f>'Anex Est Result - Gast'!I38</f>
        <v>1772.9465325468755</v>
      </c>
      <c r="J12" s="35">
        <f>'Anex Est Result - Gast'!J38</f>
        <v>1861.5938591742192</v>
      </c>
      <c r="K12" s="409">
        <f>'Anex Est Result - Gast'!K38</f>
        <v>1954.6735521329304</v>
      </c>
    </row>
    <row r="13" spans="1:11" ht="12.75">
      <c r="A13" s="408" t="s">
        <v>707</v>
      </c>
      <c r="B13" s="35">
        <f>'Anex Est Result - Gast'!E61</f>
        <v>18161.61877062294</v>
      </c>
      <c r="C13" s="35">
        <f>'Anex Est Result - Gast'!F61</f>
        <v>18161.61877062294</v>
      </c>
      <c r="D13" s="35">
        <f>'Anex Est Result - Gast'!G61</f>
        <v>18161.61877062294</v>
      </c>
      <c r="E13" s="35">
        <f>'Anex Est Result - Gast'!H61</f>
        <v>18161.61877062294</v>
      </c>
      <c r="F13" s="35">
        <f>'Anex Est Result - Gast'!I61</f>
        <v>18161.61877062294</v>
      </c>
      <c r="G13" s="35">
        <f>'Anex Est Result - Gast'!J61</f>
        <v>18161.61877062294</v>
      </c>
      <c r="H13" s="35">
        <f>'Anex Est Result - Gast'!K61</f>
        <v>18161.61877062294</v>
      </c>
      <c r="I13" s="35">
        <f>'Anex Est Result - Gast'!L61</f>
        <v>18161.61877062294</v>
      </c>
      <c r="J13" s="35">
        <f>'Anex Est Result - Gast'!M61</f>
        <v>18161.61877062294</v>
      </c>
      <c r="K13" s="409">
        <f>'Anex Est Result - Gast'!N61</f>
        <v>17628.285437289607</v>
      </c>
    </row>
    <row r="14" spans="1:11" ht="12.75">
      <c r="A14" s="408" t="s">
        <v>708</v>
      </c>
      <c r="B14" s="35">
        <f>'Anex Est Result - Gast'!C119</f>
        <v>3401.7174972462763</v>
      </c>
      <c r="C14" s="35">
        <f>'Anex Est Result - Gast'!D119</f>
        <v>3401.7174972462763</v>
      </c>
      <c r="D14" s="35">
        <f>'Anex Est Result - Gast'!E119</f>
        <v>3401.7174972462763</v>
      </c>
      <c r="E14" s="35">
        <f>'Anex Est Result - Gast'!F119</f>
        <v>3401.7174972462763</v>
      </c>
      <c r="F14" s="35">
        <f>'Anex Est Result - Gast'!G119</f>
        <v>3401.7174972462763</v>
      </c>
      <c r="G14" s="35">
        <v>0</v>
      </c>
      <c r="H14" s="35">
        <v>0</v>
      </c>
      <c r="I14" s="35">
        <v>0</v>
      </c>
      <c r="J14" s="35">
        <v>0</v>
      </c>
      <c r="K14" s="409">
        <v>0</v>
      </c>
    </row>
    <row r="15" spans="1:11" ht="12.75">
      <c r="A15" s="408" t="s">
        <v>442</v>
      </c>
      <c r="B15" s="35">
        <f>'gastos publicid'!D21</f>
        <v>7310</v>
      </c>
      <c r="C15" s="35">
        <f>'gastos publicid'!E21</f>
        <v>7675.5</v>
      </c>
      <c r="D15" s="35">
        <f>'gastos publicid'!F21</f>
        <v>8443.050000000001</v>
      </c>
      <c r="E15" s="35">
        <f>'gastos publicid'!G21</f>
        <v>9287.355000000001</v>
      </c>
      <c r="F15" s="35">
        <f>'gastos publicid'!H21</f>
        <v>10216.090500000002</v>
      </c>
      <c r="G15" s="35">
        <f>'gastos publicid'!I21</f>
        <v>11237.699550000003</v>
      </c>
      <c r="H15" s="35">
        <f>'gastos publicid'!J21</f>
        <v>12361.469505000005</v>
      </c>
      <c r="I15" s="35">
        <f>'gastos publicid'!K21</f>
        <v>13597.616455500007</v>
      </c>
      <c r="J15" s="35">
        <f>'gastos publicid'!L21</f>
        <v>14957.378101050008</v>
      </c>
      <c r="K15" s="409">
        <f>'gastos publicid'!M21</f>
        <v>16453.11591115501</v>
      </c>
    </row>
    <row r="16" spans="1:11" ht="12.75">
      <c r="A16" s="408" t="s">
        <v>795</v>
      </c>
      <c r="B16" s="35">
        <f>'Anex Est Result - Gast'!B48</f>
        <v>3500</v>
      </c>
      <c r="C16" s="35">
        <f>'Anex Est Result - Gast'!C48</f>
        <v>3675</v>
      </c>
      <c r="D16" s="35">
        <f>'Anex Est Result - Gast'!D48</f>
        <v>3858.75</v>
      </c>
      <c r="E16" s="35">
        <f>'Anex Est Result - Gast'!E48</f>
        <v>4051.6875</v>
      </c>
      <c r="F16" s="35">
        <f>'Anex Est Result - Gast'!F48</f>
        <v>4254.271875</v>
      </c>
      <c r="G16" s="35">
        <f>'Anex Est Result - Gast'!G48</f>
        <v>4466.985468750001</v>
      </c>
      <c r="H16" s="35">
        <f>'Anex Est Result - Gast'!H48</f>
        <v>4690.334742187501</v>
      </c>
      <c r="I16" s="35">
        <f>'Anex Est Result - Gast'!I48</f>
        <v>4924.851479296876</v>
      </c>
      <c r="J16" s="35">
        <f>'Anex Est Result - Gast'!J48</f>
        <v>5171.094053261721</v>
      </c>
      <c r="K16" s="409">
        <f>'Anex Est Result - Gast'!K48</f>
        <v>5429.648755924807</v>
      </c>
    </row>
    <row r="17" spans="1:11" ht="12.75">
      <c r="A17" s="445" t="s">
        <v>704</v>
      </c>
      <c r="B17" s="123">
        <f>SUM(B9:B16)</f>
        <v>114123.33626786922</v>
      </c>
      <c r="C17" s="123">
        <f aca="true" t="shared" si="0" ref="C17:K17">SUM(C9:C16)</f>
        <v>118751.33626786922</v>
      </c>
      <c r="D17" s="123">
        <f t="shared" si="0"/>
        <v>123994.51126786922</v>
      </c>
      <c r="E17" s="123">
        <f t="shared" si="0"/>
        <v>129538.22251786923</v>
      </c>
      <c r="F17" s="123">
        <f t="shared" si="0"/>
        <v>135401.33458036924</v>
      </c>
      <c r="G17" s="123">
        <f t="shared" si="0"/>
        <v>138202.32152374796</v>
      </c>
      <c r="H17" s="123">
        <f t="shared" si="0"/>
        <v>144766.2416389042</v>
      </c>
      <c r="I17" s="123">
        <f t="shared" si="0"/>
        <v>151714.5462575683</v>
      </c>
      <c r="J17" s="123">
        <f t="shared" si="0"/>
        <v>159072.07345469054</v>
      </c>
      <c r="K17" s="447">
        <f t="shared" si="0"/>
        <v>166332.1317606131</v>
      </c>
    </row>
    <row r="18" spans="1:11" ht="15">
      <c r="A18" s="445" t="s">
        <v>443</v>
      </c>
      <c r="B18" s="243">
        <f aca="true" t="shared" si="1" ref="B18:K18">B6-B17</f>
        <v>67261.50475957154</v>
      </c>
      <c r="C18" s="243">
        <f t="shared" si="1"/>
        <v>77688.44656484912</v>
      </c>
      <c r="D18" s="243">
        <f t="shared" si="1"/>
        <v>88749.77353996474</v>
      </c>
      <c r="E18" s="243">
        <f t="shared" si="1"/>
        <v>100863.83792901493</v>
      </c>
      <c r="F18" s="243">
        <f t="shared" si="1"/>
        <v>114124.09688360631</v>
      </c>
      <c r="G18" s="243">
        <f t="shared" si="1"/>
        <v>132033.72075173756</v>
      </c>
      <c r="H18" s="243">
        <f t="shared" si="1"/>
        <v>147899.39214544662</v>
      </c>
      <c r="I18" s="243">
        <f t="shared" si="1"/>
        <v>165242.3351308836</v>
      </c>
      <c r="J18" s="243">
        <f t="shared" si="1"/>
        <v>184192.22908900285</v>
      </c>
      <c r="K18" s="448">
        <f t="shared" si="1"/>
        <v>205423.10789420686</v>
      </c>
    </row>
    <row r="19" spans="1:11" ht="12.75">
      <c r="A19" s="408" t="s">
        <v>709</v>
      </c>
      <c r="B19" s="35">
        <f>SUM('Anex Est Result - Gast'!D90:D91)</f>
        <v>24544.174972462763</v>
      </c>
      <c r="C19" s="35">
        <f>SUM('Anex Est Result - Gast'!D92:D93)</f>
        <v>20862.548726593348</v>
      </c>
      <c r="D19" s="35">
        <f>SUM('Anex Est Result - Gast'!E94:E95)</f>
        <v>15953.713732100798</v>
      </c>
      <c r="E19" s="35">
        <f>SUM('Anex Est Result - Gast'!D96:D97)</f>
        <v>11044.878737608246</v>
      </c>
      <c r="F19" s="35">
        <f>SUM('Anex Est Result - Gast'!D98:D99)</f>
        <v>6136.043743115693</v>
      </c>
      <c r="G19" s="35">
        <f>'Anex Est Result - Gast'!D100</f>
        <v>1227.2087486231392</v>
      </c>
      <c r="H19" s="35">
        <v>0</v>
      </c>
      <c r="I19" s="35">
        <v>0</v>
      </c>
      <c r="J19" s="35">
        <v>0</v>
      </c>
      <c r="K19" s="409">
        <v>0</v>
      </c>
    </row>
    <row r="20" spans="1:11" s="29" customFormat="1" ht="30" customHeight="1">
      <c r="A20" s="449" t="s">
        <v>848</v>
      </c>
      <c r="B20" s="612">
        <f>B18-B19</f>
        <v>42717.329787108785</v>
      </c>
      <c r="C20" s="612">
        <f aca="true" t="shared" si="2" ref="C20:K20">C18-C19</f>
        <v>56825.89783825577</v>
      </c>
      <c r="D20" s="612">
        <f t="shared" si="2"/>
        <v>72796.05980786393</v>
      </c>
      <c r="E20" s="612">
        <f t="shared" si="2"/>
        <v>89818.95919140668</v>
      </c>
      <c r="F20" s="612">
        <f t="shared" si="2"/>
        <v>107988.05314049062</v>
      </c>
      <c r="G20" s="612">
        <f t="shared" si="2"/>
        <v>130806.51200311443</v>
      </c>
      <c r="H20" s="612">
        <f t="shared" si="2"/>
        <v>147899.39214544662</v>
      </c>
      <c r="I20" s="612">
        <f t="shared" si="2"/>
        <v>165242.3351308836</v>
      </c>
      <c r="J20" s="612">
        <f t="shared" si="2"/>
        <v>184192.22908900285</v>
      </c>
      <c r="K20" s="612">
        <f t="shared" si="2"/>
        <v>205423.10789420686</v>
      </c>
    </row>
    <row r="21" spans="1:11" s="29" customFormat="1" ht="15">
      <c r="A21" s="449" t="s">
        <v>849</v>
      </c>
      <c r="B21" s="612">
        <f>B20*0.15</f>
        <v>6407.599468066318</v>
      </c>
      <c r="C21" s="612">
        <f>C20*0.15</f>
        <v>8523.884675738365</v>
      </c>
      <c r="D21" s="612">
        <f aca="true" t="shared" si="3" ref="D21:K21">D20*0.15</f>
        <v>10919.40897117959</v>
      </c>
      <c r="E21" s="612">
        <f t="shared" si="3"/>
        <v>13472.843878711003</v>
      </c>
      <c r="F21" s="612">
        <f t="shared" si="3"/>
        <v>16198.207971073592</v>
      </c>
      <c r="G21" s="612">
        <f t="shared" si="3"/>
        <v>19620.976800467164</v>
      </c>
      <c r="H21" s="612">
        <f t="shared" si="3"/>
        <v>22184.908821816993</v>
      </c>
      <c r="I21" s="612">
        <f t="shared" si="3"/>
        <v>24786.35026963254</v>
      </c>
      <c r="J21" s="612">
        <f t="shared" si="3"/>
        <v>27628.834363350426</v>
      </c>
      <c r="K21" s="613">
        <f t="shared" si="3"/>
        <v>30813.466184131026</v>
      </c>
    </row>
    <row r="22" spans="1:11" s="29" customFormat="1" ht="25.5">
      <c r="A22" s="449" t="s">
        <v>850</v>
      </c>
      <c r="B22" s="612">
        <f>B20-B21</f>
        <v>36309.730319042465</v>
      </c>
      <c r="C22" s="612">
        <f>C20-C21</f>
        <v>48302.0131625174</v>
      </c>
      <c r="D22" s="612">
        <f>D20-D21</f>
        <v>61876.65083668434</v>
      </c>
      <c r="E22" s="612">
        <f aca="true" t="shared" si="4" ref="E22:K22">E20-E21</f>
        <v>76346.11531269568</v>
      </c>
      <c r="F22" s="612">
        <f t="shared" si="4"/>
        <v>91789.84516941704</v>
      </c>
      <c r="G22" s="612">
        <f t="shared" si="4"/>
        <v>111185.53520264727</v>
      </c>
      <c r="H22" s="612">
        <f t="shared" si="4"/>
        <v>125714.48332362963</v>
      </c>
      <c r="I22" s="612">
        <f t="shared" si="4"/>
        <v>140455.98486125108</v>
      </c>
      <c r="J22" s="612">
        <f>J20-J21</f>
        <v>156563.3947256524</v>
      </c>
      <c r="K22" s="613">
        <f t="shared" si="4"/>
        <v>174609.64171007584</v>
      </c>
    </row>
    <row r="23" spans="1:12" ht="15">
      <c r="A23" s="445" t="s">
        <v>789</v>
      </c>
      <c r="B23" s="243">
        <f>B22*0.15</f>
        <v>5446.45954785637</v>
      </c>
      <c r="C23" s="243">
        <f aca="true" t="shared" si="5" ref="C23:K23">C22*0.15</f>
        <v>7245.30197437761</v>
      </c>
      <c r="D23" s="243">
        <f t="shared" si="5"/>
        <v>9281.49762550265</v>
      </c>
      <c r="E23" s="243">
        <f t="shared" si="5"/>
        <v>11451.917296904352</v>
      </c>
      <c r="F23" s="243">
        <f t="shared" si="5"/>
        <v>13768.476775412555</v>
      </c>
      <c r="G23" s="243">
        <f t="shared" si="5"/>
        <v>16677.83028039709</v>
      </c>
      <c r="H23" s="243">
        <f t="shared" si="5"/>
        <v>18857.17249854444</v>
      </c>
      <c r="I23" s="243">
        <f t="shared" si="5"/>
        <v>21068.39772918766</v>
      </c>
      <c r="J23" s="243">
        <f t="shared" si="5"/>
        <v>23484.50920884786</v>
      </c>
      <c r="K23" s="448">
        <f t="shared" si="5"/>
        <v>26191.446256511375</v>
      </c>
      <c r="L23" s="34"/>
    </row>
    <row r="24" spans="1:11" s="62" customFormat="1" ht="27.75" customHeight="1">
      <c r="A24" s="449" t="s">
        <v>851</v>
      </c>
      <c r="B24" s="349">
        <f>B22-B23</f>
        <v>30863.270771186093</v>
      </c>
      <c r="C24" s="349">
        <f>C22-C23</f>
        <v>41056.711188139794</v>
      </c>
      <c r="D24" s="349">
        <f aca="true" t="shared" si="6" ref="D24:K24">D22-D23</f>
        <v>52595.15321118169</v>
      </c>
      <c r="E24" s="349">
        <f t="shared" si="6"/>
        <v>64894.19801579133</v>
      </c>
      <c r="F24" s="349">
        <f t="shared" si="6"/>
        <v>78021.36839400449</v>
      </c>
      <c r="G24" s="349">
        <f>G22-G23</f>
        <v>94507.70492225018</v>
      </c>
      <c r="H24" s="349">
        <f t="shared" si="6"/>
        <v>106857.31082508518</v>
      </c>
      <c r="I24" s="349">
        <f t="shared" si="6"/>
        <v>119387.58713206342</v>
      </c>
      <c r="J24" s="349">
        <f t="shared" si="6"/>
        <v>133078.88551680456</v>
      </c>
      <c r="K24" s="472">
        <f t="shared" si="6"/>
        <v>148418.19545356446</v>
      </c>
    </row>
    <row r="25" spans="1:11" ht="12.75">
      <c r="A25" s="450" t="s">
        <v>659</v>
      </c>
      <c r="B25" s="35">
        <f aca="true" t="shared" si="7" ref="B25:K25">B13</f>
        <v>18161.61877062294</v>
      </c>
      <c r="C25" s="35">
        <f t="shared" si="7"/>
        <v>18161.61877062294</v>
      </c>
      <c r="D25" s="35">
        <f t="shared" si="7"/>
        <v>18161.61877062294</v>
      </c>
      <c r="E25" s="35">
        <f t="shared" si="7"/>
        <v>18161.61877062294</v>
      </c>
      <c r="F25" s="35">
        <f t="shared" si="7"/>
        <v>18161.61877062294</v>
      </c>
      <c r="G25" s="35">
        <f t="shared" si="7"/>
        <v>18161.61877062294</v>
      </c>
      <c r="H25" s="35">
        <f t="shared" si="7"/>
        <v>18161.61877062294</v>
      </c>
      <c r="I25" s="35">
        <f t="shared" si="7"/>
        <v>18161.61877062294</v>
      </c>
      <c r="J25" s="35">
        <f t="shared" si="7"/>
        <v>18161.61877062294</v>
      </c>
      <c r="K25" s="409">
        <f t="shared" si="7"/>
        <v>17628.285437289607</v>
      </c>
    </row>
    <row r="26" spans="1:11" ht="12.75">
      <c r="A26" s="450" t="s">
        <v>661</v>
      </c>
      <c r="B26" s="35">
        <f>B14</f>
        <v>3401.7174972462763</v>
      </c>
      <c r="C26" s="35">
        <f>C14</f>
        <v>3401.7174972462763</v>
      </c>
      <c r="D26" s="35">
        <f>D14</f>
        <v>3401.7174972462763</v>
      </c>
      <c r="E26" s="35">
        <f>E14</f>
        <v>3401.7174972462763</v>
      </c>
      <c r="F26" s="35">
        <f>F14</f>
        <v>3401.7174972462763</v>
      </c>
      <c r="G26" s="35">
        <v>0</v>
      </c>
      <c r="H26" s="35">
        <v>0</v>
      </c>
      <c r="I26" s="35">
        <v>0</v>
      </c>
      <c r="J26" s="35">
        <v>0</v>
      </c>
      <c r="K26" s="409">
        <v>0</v>
      </c>
    </row>
    <row r="27" spans="1:11" ht="12.75">
      <c r="A27" s="450" t="s">
        <v>660</v>
      </c>
      <c r="B27" s="35">
        <f>SUM('Anex Est Result - Gast'!F90:F91)</f>
        <v>20453.47914371897</v>
      </c>
      <c r="C27" s="35">
        <f>SUM('Anex Est Result - Gast'!F92:F93)</f>
        <v>40906.95828743794</v>
      </c>
      <c r="D27" s="35">
        <f>SUM('Anex Est Result - Gast'!F94:F95)</f>
        <v>40906.95828743794</v>
      </c>
      <c r="E27" s="35">
        <f>SUM('Anex Est Result - Gast'!F96:F97)</f>
        <v>40906.95828743794</v>
      </c>
      <c r="F27" s="35">
        <f>SUM('Anex Est Result - Gast'!F98:F99)</f>
        <v>40906.95828743794</v>
      </c>
      <c r="G27" s="35">
        <f>'Anex Est Result - Gast'!F100</f>
        <v>20453.47914371897</v>
      </c>
      <c r="H27" s="35">
        <v>0</v>
      </c>
      <c r="I27" s="35">
        <v>0</v>
      </c>
      <c r="J27" s="35">
        <v>0</v>
      </c>
      <c r="K27" s="409">
        <v>0</v>
      </c>
    </row>
    <row r="28" spans="1:11" ht="12.75">
      <c r="A28" s="408" t="s">
        <v>855</v>
      </c>
      <c r="B28" s="35">
        <v>0</v>
      </c>
      <c r="C28" s="35">
        <v>0</v>
      </c>
      <c r="D28" s="35">
        <v>0</v>
      </c>
      <c r="E28" s="35">
        <f>INVERSION!E29</f>
        <v>1600</v>
      </c>
      <c r="F28" s="35">
        <v>0</v>
      </c>
      <c r="G28" s="35">
        <v>30000</v>
      </c>
      <c r="H28" s="35">
        <v>1600</v>
      </c>
      <c r="I28" s="35">
        <v>0</v>
      </c>
      <c r="J28" s="35">
        <v>0</v>
      </c>
      <c r="K28" s="409">
        <v>0</v>
      </c>
    </row>
    <row r="29" spans="1:11" ht="15">
      <c r="A29" s="445" t="s">
        <v>662</v>
      </c>
      <c r="B29" s="243">
        <f>B24+B25+B26-B27-B28</f>
        <v>31973.127895336336</v>
      </c>
      <c r="C29" s="243">
        <f aca="true" t="shared" si="8" ref="C29:K29">C24+C25+C26-C27-C28</f>
        <v>21713.089168571067</v>
      </c>
      <c r="D29" s="243">
        <f t="shared" si="8"/>
        <v>33251.53119161297</v>
      </c>
      <c r="E29" s="243">
        <f t="shared" si="8"/>
        <v>43950.575996222615</v>
      </c>
      <c r="F29" s="243">
        <f t="shared" si="8"/>
        <v>58677.74637443577</v>
      </c>
      <c r="G29" s="243">
        <f t="shared" si="8"/>
        <v>62215.84454915415</v>
      </c>
      <c r="H29" s="243">
        <f t="shared" si="8"/>
        <v>123418.92959570812</v>
      </c>
      <c r="I29" s="243">
        <f t="shared" si="8"/>
        <v>137549.20590268634</v>
      </c>
      <c r="J29" s="243">
        <f t="shared" si="8"/>
        <v>151240.5042874275</v>
      </c>
      <c r="K29" s="448">
        <f t="shared" si="8"/>
        <v>166046.48089085406</v>
      </c>
    </row>
    <row r="30" spans="1:11" ht="13.5" thickBot="1">
      <c r="A30" s="460"/>
      <c r="B30" s="461"/>
      <c r="C30" s="461"/>
      <c r="D30" s="461"/>
      <c r="E30" s="461"/>
      <c r="F30" s="461"/>
      <c r="G30" s="461"/>
      <c r="H30" s="461"/>
      <c r="I30" s="461"/>
      <c r="J30" s="461"/>
      <c r="K30" s="462"/>
    </row>
    <row r="31" spans="1:11" ht="15.75" thickBot="1">
      <c r="A31" s="463" t="s">
        <v>446</v>
      </c>
      <c r="B31" s="464">
        <f>B24</f>
        <v>30863.270771186093</v>
      </c>
      <c r="C31" s="464">
        <f>B31+C24</f>
        <v>71919.98195932589</v>
      </c>
      <c r="D31" s="464">
        <f aca="true" t="shared" si="9" ref="D31:K31">C31+D24</f>
        <v>124515.13517050758</v>
      </c>
      <c r="E31" s="464">
        <f>D31+E24</f>
        <v>189409.3331862989</v>
      </c>
      <c r="F31" s="464">
        <f t="shared" si="9"/>
        <v>267430.7015803034</v>
      </c>
      <c r="G31" s="464">
        <f>F31+G24</f>
        <v>361938.40650255355</v>
      </c>
      <c r="H31" s="464">
        <f t="shared" si="9"/>
        <v>468795.71732763876</v>
      </c>
      <c r="I31" s="464">
        <f t="shared" si="9"/>
        <v>588183.3044597022</v>
      </c>
      <c r="J31" s="464">
        <f t="shared" si="9"/>
        <v>721262.1899765068</v>
      </c>
      <c r="K31" s="465">
        <f t="shared" si="9"/>
        <v>869680.3854300713</v>
      </c>
    </row>
    <row r="34" spans="1:12" ht="15.75">
      <c r="A34" s="968" t="s">
        <v>875</v>
      </c>
      <c r="B34" s="968"/>
      <c r="C34" s="968"/>
      <c r="D34" s="968"/>
      <c r="E34" s="968"/>
      <c r="F34" s="968"/>
      <c r="G34" s="968"/>
      <c r="H34" s="968"/>
      <c r="I34" s="968"/>
      <c r="J34" s="968"/>
      <c r="K34" s="968"/>
      <c r="L34" s="968"/>
    </row>
    <row r="35" spans="1:12" ht="15.75">
      <c r="A35" s="1007" t="s">
        <v>692</v>
      </c>
      <c r="B35" s="1007"/>
      <c r="C35" s="1007"/>
      <c r="D35" s="1007"/>
      <c r="E35" s="1007"/>
      <c r="F35" s="1007"/>
      <c r="G35" s="1007"/>
      <c r="H35" s="1007"/>
      <c r="I35" s="1007"/>
      <c r="J35" s="1007"/>
      <c r="K35" s="1007"/>
      <c r="L35" s="1007"/>
    </row>
    <row r="36" spans="1:12" ht="15">
      <c r="A36" s="1008" t="s">
        <v>456</v>
      </c>
      <c r="B36" s="1008"/>
      <c r="C36" s="1008"/>
      <c r="D36" s="1008"/>
      <c r="E36" s="1008"/>
      <c r="F36" s="1008"/>
      <c r="G36" s="1008"/>
      <c r="H36" s="1008"/>
      <c r="I36" s="1008"/>
      <c r="J36" s="1008"/>
      <c r="K36" s="1008"/>
      <c r="L36" s="1008"/>
    </row>
    <row r="37" ht="13.5" thickBot="1"/>
    <row r="38" spans="1:12" ht="13.5" thickBot="1">
      <c r="A38" s="393" t="s">
        <v>694</v>
      </c>
      <c r="B38" s="373" t="s">
        <v>695</v>
      </c>
      <c r="C38" s="373" t="s">
        <v>439</v>
      </c>
      <c r="D38" s="373" t="s">
        <v>447</v>
      </c>
      <c r="E38" s="373" t="s">
        <v>448</v>
      </c>
      <c r="F38" s="373" t="s">
        <v>449</v>
      </c>
      <c r="G38" s="373" t="s">
        <v>450</v>
      </c>
      <c r="H38" s="373" t="s">
        <v>451</v>
      </c>
      <c r="I38" s="373" t="s">
        <v>452</v>
      </c>
      <c r="J38" s="373" t="s">
        <v>453</v>
      </c>
      <c r="K38" s="373" t="s">
        <v>454</v>
      </c>
      <c r="L38" s="374" t="s">
        <v>455</v>
      </c>
    </row>
    <row r="39" spans="1:12" ht="12.75">
      <c r="A39" s="458" t="s">
        <v>696</v>
      </c>
      <c r="B39" s="322">
        <f>INVERSION!E53</f>
        <v>267262.7039509583</v>
      </c>
      <c r="C39" s="363" t="s">
        <v>360</v>
      </c>
      <c r="D39" s="363" t="s">
        <v>360</v>
      </c>
      <c r="E39" s="363" t="s">
        <v>360</v>
      </c>
      <c r="F39" s="363" t="s">
        <v>360</v>
      </c>
      <c r="G39" s="363" t="s">
        <v>360</v>
      </c>
      <c r="H39" s="363" t="s">
        <v>360</v>
      </c>
      <c r="I39" s="363" t="s">
        <v>360</v>
      </c>
      <c r="J39" s="363" t="s">
        <v>360</v>
      </c>
      <c r="K39" s="363" t="s">
        <v>360</v>
      </c>
      <c r="L39" s="459" t="s">
        <v>360</v>
      </c>
    </row>
    <row r="40" spans="1:12" ht="12.75">
      <c r="A40" s="451" t="s">
        <v>697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452"/>
    </row>
    <row r="41" spans="1:12" ht="12.75">
      <c r="A41" s="408" t="s">
        <v>698</v>
      </c>
      <c r="B41" s="119"/>
      <c r="C41" s="119">
        <f>B6</f>
        <v>181384.84102744077</v>
      </c>
      <c r="D41" s="119">
        <f aca="true" t="shared" si="10" ref="D41:L41">C6</f>
        <v>196439.78283271834</v>
      </c>
      <c r="E41" s="119">
        <f t="shared" si="10"/>
        <v>212744.28480783396</v>
      </c>
      <c r="F41" s="119">
        <f t="shared" si="10"/>
        <v>230402.06044688416</v>
      </c>
      <c r="G41" s="119">
        <f t="shared" si="10"/>
        <v>249525.43146397555</v>
      </c>
      <c r="H41" s="119">
        <f t="shared" si="10"/>
        <v>270236.0422754855</v>
      </c>
      <c r="I41" s="119">
        <f t="shared" si="10"/>
        <v>292665.6337843508</v>
      </c>
      <c r="J41" s="119">
        <f t="shared" si="10"/>
        <v>316956.8813884519</v>
      </c>
      <c r="K41" s="119">
        <f t="shared" si="10"/>
        <v>343264.3025436934</v>
      </c>
      <c r="L41" s="452">
        <f t="shared" si="10"/>
        <v>371755.23965481995</v>
      </c>
    </row>
    <row r="42" spans="1:12" ht="12.75">
      <c r="A42" s="451" t="s">
        <v>714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452"/>
    </row>
    <row r="43" spans="1:12" ht="12.75">
      <c r="A43" s="408" t="s">
        <v>389</v>
      </c>
      <c r="B43" s="119"/>
      <c r="C43" s="119">
        <f>SUM(B9:B9)</f>
        <v>19050</v>
      </c>
      <c r="D43" s="119">
        <f>SUM(C9:C9)</f>
        <v>20002.5</v>
      </c>
      <c r="E43" s="119">
        <f aca="true" t="shared" si="11" ref="E43:L43">SUM(D9:D9)</f>
        <v>21002.625</v>
      </c>
      <c r="F43" s="119">
        <f t="shared" si="11"/>
        <v>22052.756250000002</v>
      </c>
      <c r="G43" s="119">
        <f t="shared" si="11"/>
        <v>23155.394062500003</v>
      </c>
      <c r="H43" s="119">
        <f t="shared" si="11"/>
        <v>24313.163765625006</v>
      </c>
      <c r="I43" s="119">
        <f t="shared" si="11"/>
        <v>25528.821953906256</v>
      </c>
      <c r="J43" s="119">
        <f t="shared" si="11"/>
        <v>26805.26305160157</v>
      </c>
      <c r="K43" s="119">
        <f t="shared" si="11"/>
        <v>28145.52620418165</v>
      </c>
      <c r="L43" s="452">
        <f t="shared" si="11"/>
        <v>29552.802514390733</v>
      </c>
    </row>
    <row r="44" spans="1:12" ht="12.75">
      <c r="A44" s="408" t="s">
        <v>699</v>
      </c>
      <c r="B44" s="119"/>
      <c r="C44" s="119">
        <f>SUM(B11:B12)</f>
        <v>62700</v>
      </c>
      <c r="D44" s="119">
        <f>SUM(C11:C12)</f>
        <v>65835</v>
      </c>
      <c r="E44" s="119">
        <f aca="true" t="shared" si="12" ref="E44:L44">SUM(D11:D12)</f>
        <v>69126.75</v>
      </c>
      <c r="F44" s="119">
        <f t="shared" si="12"/>
        <v>72583.08750000001</v>
      </c>
      <c r="G44" s="119">
        <f t="shared" si="12"/>
        <v>76212.24187499999</v>
      </c>
      <c r="H44" s="119">
        <f t="shared" si="12"/>
        <v>80022.85396875002</v>
      </c>
      <c r="I44" s="119">
        <f t="shared" si="12"/>
        <v>84023.99666718752</v>
      </c>
      <c r="J44" s="119">
        <f t="shared" si="12"/>
        <v>88225.1965005469</v>
      </c>
      <c r="K44" s="119">
        <f t="shared" si="12"/>
        <v>92636.45632557424</v>
      </c>
      <c r="L44" s="452">
        <f t="shared" si="12"/>
        <v>97268.27914185295</v>
      </c>
    </row>
    <row r="45" spans="1:12" ht="12.75">
      <c r="A45" s="408" t="s">
        <v>442</v>
      </c>
      <c r="B45" s="119"/>
      <c r="C45" s="119">
        <f>B15</f>
        <v>7310</v>
      </c>
      <c r="D45" s="119">
        <f>C15</f>
        <v>7675.5</v>
      </c>
      <c r="E45" s="119">
        <f aca="true" t="shared" si="13" ref="E45:L46">D15</f>
        <v>8443.050000000001</v>
      </c>
      <c r="F45" s="119">
        <f t="shared" si="13"/>
        <v>9287.355000000001</v>
      </c>
      <c r="G45" s="119">
        <f t="shared" si="13"/>
        <v>10216.090500000002</v>
      </c>
      <c r="H45" s="119">
        <f t="shared" si="13"/>
        <v>11237.699550000003</v>
      </c>
      <c r="I45" s="119">
        <f t="shared" si="13"/>
        <v>12361.469505000005</v>
      </c>
      <c r="J45" s="119">
        <f t="shared" si="13"/>
        <v>13597.616455500007</v>
      </c>
      <c r="K45" s="119">
        <f t="shared" si="13"/>
        <v>14957.378101050008</v>
      </c>
      <c r="L45" s="452">
        <f t="shared" si="13"/>
        <v>16453.11591115501</v>
      </c>
    </row>
    <row r="46" spans="1:12" ht="12.75">
      <c r="A46" s="408" t="s">
        <v>795</v>
      </c>
      <c r="B46" s="119"/>
      <c r="C46" s="119">
        <f>B16</f>
        <v>3500</v>
      </c>
      <c r="D46" s="119">
        <f>C16</f>
        <v>3675</v>
      </c>
      <c r="E46" s="119">
        <f t="shared" si="13"/>
        <v>3858.75</v>
      </c>
      <c r="F46" s="119">
        <f t="shared" si="13"/>
        <v>4051.6875</v>
      </c>
      <c r="G46" s="119">
        <f t="shared" si="13"/>
        <v>4254.271875</v>
      </c>
      <c r="H46" s="119">
        <f t="shared" si="13"/>
        <v>4466.985468750001</v>
      </c>
      <c r="I46" s="119">
        <f t="shared" si="13"/>
        <v>4690.334742187501</v>
      </c>
      <c r="J46" s="119">
        <f t="shared" si="13"/>
        <v>4924.851479296876</v>
      </c>
      <c r="K46" s="119">
        <f t="shared" si="13"/>
        <v>5171.094053261721</v>
      </c>
      <c r="L46" s="452">
        <f t="shared" si="13"/>
        <v>5429.648755924807</v>
      </c>
    </row>
    <row r="47" spans="1:12" ht="12.75">
      <c r="A47" s="453" t="s">
        <v>705</v>
      </c>
      <c r="B47" s="119"/>
      <c r="C47" s="119">
        <f>SUM(C43:C46)</f>
        <v>92560</v>
      </c>
      <c r="D47" s="119">
        <f aca="true" t="shared" si="14" ref="D47:L47">SUM(D43:D46)</f>
        <v>97188</v>
      </c>
      <c r="E47" s="119">
        <f t="shared" si="14"/>
        <v>102431.175</v>
      </c>
      <c r="F47" s="119">
        <f t="shared" si="14"/>
        <v>107974.88625000001</v>
      </c>
      <c r="G47" s="119">
        <f t="shared" si="14"/>
        <v>113837.9983125</v>
      </c>
      <c r="H47" s="119">
        <f t="shared" si="14"/>
        <v>120040.70275312504</v>
      </c>
      <c r="I47" s="119">
        <f t="shared" si="14"/>
        <v>126604.62286828128</v>
      </c>
      <c r="J47" s="119">
        <f t="shared" si="14"/>
        <v>133552.92748694535</v>
      </c>
      <c r="K47" s="119">
        <f t="shared" si="14"/>
        <v>140910.4546840676</v>
      </c>
      <c r="L47" s="452">
        <f t="shared" si="14"/>
        <v>148703.8463233235</v>
      </c>
    </row>
    <row r="48" spans="1:12" s="277" customFormat="1" ht="14.25">
      <c r="A48" s="454" t="s">
        <v>710</v>
      </c>
      <c r="B48" s="307"/>
      <c r="C48" s="307">
        <f>C41-C47</f>
        <v>88824.84102744077</v>
      </c>
      <c r="D48" s="307">
        <f aca="true" t="shared" si="15" ref="D48:K48">D41-D47</f>
        <v>99251.78283271834</v>
      </c>
      <c r="E48" s="307">
        <f t="shared" si="15"/>
        <v>110313.10980783396</v>
      </c>
      <c r="F48" s="307">
        <f t="shared" si="15"/>
        <v>122427.17419688415</v>
      </c>
      <c r="G48" s="307">
        <f t="shared" si="15"/>
        <v>135687.43315147556</v>
      </c>
      <c r="H48" s="307">
        <f t="shared" si="15"/>
        <v>150195.33952236047</v>
      </c>
      <c r="I48" s="307">
        <f t="shared" si="15"/>
        <v>166061.01091606956</v>
      </c>
      <c r="J48" s="307">
        <f t="shared" si="15"/>
        <v>183403.95390150655</v>
      </c>
      <c r="K48" s="307">
        <f t="shared" si="15"/>
        <v>202353.8478596258</v>
      </c>
      <c r="L48" s="455">
        <f>L41-L47</f>
        <v>223051.39333149645</v>
      </c>
    </row>
    <row r="49" spans="1:12" ht="12.75">
      <c r="A49" s="451" t="s">
        <v>706</v>
      </c>
      <c r="B49" s="119"/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452">
        <v>0</v>
      </c>
    </row>
    <row r="50" spans="1:12" ht="12.75">
      <c r="A50" s="451" t="s">
        <v>715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452"/>
    </row>
    <row r="51" spans="1:12" ht="12.75">
      <c r="A51" s="408" t="s">
        <v>444</v>
      </c>
      <c r="B51" s="119"/>
      <c r="C51" s="119">
        <f aca="true" t="shared" si="16" ref="C51:L51">B19</f>
        <v>24544.174972462763</v>
      </c>
      <c r="D51" s="119">
        <f t="shared" si="16"/>
        <v>20862.548726593348</v>
      </c>
      <c r="E51" s="119">
        <f t="shared" si="16"/>
        <v>15953.713732100798</v>
      </c>
      <c r="F51" s="119">
        <f t="shared" si="16"/>
        <v>11044.878737608246</v>
      </c>
      <c r="G51" s="119">
        <f t="shared" si="16"/>
        <v>6136.043743115693</v>
      </c>
      <c r="H51" s="119">
        <f t="shared" si="16"/>
        <v>1227.2087486231392</v>
      </c>
      <c r="I51" s="119">
        <f t="shared" si="16"/>
        <v>0</v>
      </c>
      <c r="J51" s="119">
        <f t="shared" si="16"/>
        <v>0</v>
      </c>
      <c r="K51" s="119">
        <f t="shared" si="16"/>
        <v>0</v>
      </c>
      <c r="L51" s="452">
        <f t="shared" si="16"/>
        <v>0</v>
      </c>
    </row>
    <row r="52" spans="1:12" ht="12.75">
      <c r="A52" s="408" t="s">
        <v>852</v>
      </c>
      <c r="B52" s="119"/>
      <c r="C52" s="119">
        <f>B21</f>
        <v>6407.599468066318</v>
      </c>
      <c r="D52" s="119">
        <f aca="true" t="shared" si="17" ref="D52:L52">C21</f>
        <v>8523.884675738365</v>
      </c>
      <c r="E52" s="119">
        <f t="shared" si="17"/>
        <v>10919.40897117959</v>
      </c>
      <c r="F52" s="119">
        <f t="shared" si="17"/>
        <v>13472.843878711003</v>
      </c>
      <c r="G52" s="119">
        <f t="shared" si="17"/>
        <v>16198.207971073592</v>
      </c>
      <c r="H52" s="119">
        <f t="shared" si="17"/>
        <v>19620.976800467164</v>
      </c>
      <c r="I52" s="119">
        <f t="shared" si="17"/>
        <v>22184.908821816993</v>
      </c>
      <c r="J52" s="119">
        <f t="shared" si="17"/>
        <v>24786.35026963254</v>
      </c>
      <c r="K52" s="119">
        <f t="shared" si="17"/>
        <v>27628.834363350426</v>
      </c>
      <c r="L52" s="119">
        <f t="shared" si="17"/>
        <v>30813.466184131026</v>
      </c>
    </row>
    <row r="53" spans="1:12" ht="12.75">
      <c r="A53" s="408" t="s">
        <v>790</v>
      </c>
      <c r="B53" s="119"/>
      <c r="C53" s="119">
        <f>B23</f>
        <v>5446.45954785637</v>
      </c>
      <c r="D53" s="119">
        <f aca="true" t="shared" si="18" ref="D53:L53">C23</f>
        <v>7245.30197437761</v>
      </c>
      <c r="E53" s="119">
        <f t="shared" si="18"/>
        <v>9281.49762550265</v>
      </c>
      <c r="F53" s="119">
        <f t="shared" si="18"/>
        <v>11451.917296904352</v>
      </c>
      <c r="G53" s="119">
        <f t="shared" si="18"/>
        <v>13768.476775412555</v>
      </c>
      <c r="H53" s="119">
        <f t="shared" si="18"/>
        <v>16677.83028039709</v>
      </c>
      <c r="I53" s="119">
        <f t="shared" si="18"/>
        <v>18857.17249854444</v>
      </c>
      <c r="J53" s="119">
        <f t="shared" si="18"/>
        <v>21068.39772918766</v>
      </c>
      <c r="K53" s="119">
        <f t="shared" si="18"/>
        <v>23484.50920884786</v>
      </c>
      <c r="L53" s="452">
        <f t="shared" si="18"/>
        <v>26191.446256511375</v>
      </c>
    </row>
    <row r="54" spans="1:12" ht="12.75">
      <c r="A54" s="408" t="s">
        <v>712</v>
      </c>
      <c r="B54" s="119"/>
      <c r="C54" s="119">
        <f aca="true" t="shared" si="19" ref="C54:L54">B27</f>
        <v>20453.47914371897</v>
      </c>
      <c r="D54" s="119">
        <f t="shared" si="19"/>
        <v>40906.95828743794</v>
      </c>
      <c r="E54" s="119">
        <f t="shared" si="19"/>
        <v>40906.95828743794</v>
      </c>
      <c r="F54" s="119">
        <f t="shared" si="19"/>
        <v>40906.95828743794</v>
      </c>
      <c r="G54" s="119">
        <f t="shared" si="19"/>
        <v>40906.95828743794</v>
      </c>
      <c r="H54" s="119">
        <f t="shared" si="19"/>
        <v>20453.47914371897</v>
      </c>
      <c r="I54" s="119">
        <f t="shared" si="19"/>
        <v>0</v>
      </c>
      <c r="J54" s="119">
        <f t="shared" si="19"/>
        <v>0</v>
      </c>
      <c r="K54" s="119">
        <f t="shared" si="19"/>
        <v>0</v>
      </c>
      <c r="L54" s="452">
        <f t="shared" si="19"/>
        <v>0</v>
      </c>
    </row>
    <row r="55" spans="1:12" ht="12.75">
      <c r="A55" s="408" t="s">
        <v>856</v>
      </c>
      <c r="B55" s="119"/>
      <c r="C55" s="119">
        <f aca="true" t="shared" si="20" ref="C55:L55">B28</f>
        <v>0</v>
      </c>
      <c r="D55" s="119">
        <f t="shared" si="20"/>
        <v>0</v>
      </c>
      <c r="E55" s="119">
        <f t="shared" si="20"/>
        <v>0</v>
      </c>
      <c r="F55" s="119">
        <f t="shared" si="20"/>
        <v>1600</v>
      </c>
      <c r="G55" s="119">
        <f t="shared" si="20"/>
        <v>0</v>
      </c>
      <c r="H55" s="119">
        <f t="shared" si="20"/>
        <v>30000</v>
      </c>
      <c r="I55" s="119">
        <f t="shared" si="20"/>
        <v>1600</v>
      </c>
      <c r="J55" s="119">
        <f t="shared" si="20"/>
        <v>0</v>
      </c>
      <c r="K55" s="119">
        <f t="shared" si="20"/>
        <v>0</v>
      </c>
      <c r="L55" s="119">
        <f t="shared" si="20"/>
        <v>0</v>
      </c>
    </row>
    <row r="56" spans="1:12" s="288" customFormat="1" ht="14.25">
      <c r="A56" s="454" t="s">
        <v>711</v>
      </c>
      <c r="B56" s="307"/>
      <c r="C56" s="307">
        <f>-SUM(C51:C55)</f>
        <v>-56851.71313210442</v>
      </c>
      <c r="D56" s="307">
        <f aca="true" t="shared" si="21" ref="D56:L56">-SUM(D51:D55)</f>
        <v>-77538.69366414726</v>
      </c>
      <c r="E56" s="307">
        <f t="shared" si="21"/>
        <v>-77061.57861622097</v>
      </c>
      <c r="F56" s="307">
        <f t="shared" si="21"/>
        <v>-78476.59820066154</v>
      </c>
      <c r="G56" s="307">
        <f t="shared" si="21"/>
        <v>-77009.68677703978</v>
      </c>
      <c r="H56" s="307">
        <f t="shared" si="21"/>
        <v>-87979.49497320637</v>
      </c>
      <c r="I56" s="307">
        <f t="shared" si="21"/>
        <v>-42642.08132036144</v>
      </c>
      <c r="J56" s="307">
        <f t="shared" si="21"/>
        <v>-45854.7479988202</v>
      </c>
      <c r="K56" s="307">
        <f t="shared" si="21"/>
        <v>-51113.34357219828</v>
      </c>
      <c r="L56" s="307">
        <f t="shared" si="21"/>
        <v>-57004.9124406424</v>
      </c>
    </row>
    <row r="57" spans="1:12" s="278" customFormat="1" ht="15">
      <c r="A57" s="456" t="s">
        <v>713</v>
      </c>
      <c r="B57" s="308">
        <f>-B39</f>
        <v>-267262.7039509583</v>
      </c>
      <c r="C57" s="308">
        <f>C48+C56</f>
        <v>31973.127895336343</v>
      </c>
      <c r="D57" s="308">
        <f>D48+D56</f>
        <v>21713.08916857108</v>
      </c>
      <c r="E57" s="308">
        <f aca="true" t="shared" si="22" ref="E57:L57">E48+E56</f>
        <v>33251.53119161299</v>
      </c>
      <c r="F57" s="308">
        <f t="shared" si="22"/>
        <v>43950.575996222615</v>
      </c>
      <c r="G57" s="308">
        <f t="shared" si="22"/>
        <v>58677.74637443578</v>
      </c>
      <c r="H57" s="308">
        <f t="shared" si="22"/>
        <v>62215.844549154106</v>
      </c>
      <c r="I57" s="308">
        <f t="shared" si="22"/>
        <v>123418.92959570812</v>
      </c>
      <c r="J57" s="308">
        <f t="shared" si="22"/>
        <v>137549.20590268634</v>
      </c>
      <c r="K57" s="308">
        <f t="shared" si="22"/>
        <v>151240.50428742752</v>
      </c>
      <c r="L57" s="457">
        <f t="shared" si="22"/>
        <v>166046.48089085406</v>
      </c>
    </row>
    <row r="58" spans="1:12" s="305" customFormat="1" ht="14.25" customHeight="1" thickBot="1">
      <c r="A58" s="466" t="s">
        <v>746</v>
      </c>
      <c r="B58" s="467"/>
      <c r="C58" s="467">
        <f>'Balan Gener'!B11</f>
        <v>28072.676964293678</v>
      </c>
      <c r="D58" s="467">
        <f>C59</f>
        <v>60045.80485963002</v>
      </c>
      <c r="E58" s="467">
        <f>D59</f>
        <v>81758.8940282011</v>
      </c>
      <c r="F58" s="467">
        <f aca="true" t="shared" si="23" ref="F58:L58">E59</f>
        <v>115010.42521981409</v>
      </c>
      <c r="G58" s="467">
        <f t="shared" si="23"/>
        <v>158961.0012160367</v>
      </c>
      <c r="H58" s="467">
        <f t="shared" si="23"/>
        <v>217638.74759047249</v>
      </c>
      <c r="I58" s="467">
        <f t="shared" si="23"/>
        <v>279854.5921396266</v>
      </c>
      <c r="J58" s="467">
        <f t="shared" si="23"/>
        <v>403273.52173533477</v>
      </c>
      <c r="K58" s="467">
        <f t="shared" si="23"/>
        <v>540822.7276380211</v>
      </c>
      <c r="L58" s="468">
        <f t="shared" si="23"/>
        <v>692063.2319254486</v>
      </c>
    </row>
    <row r="59" spans="1:12" s="305" customFormat="1" ht="15" thickBot="1">
      <c r="A59" s="469" t="s">
        <v>747</v>
      </c>
      <c r="B59" s="470"/>
      <c r="C59" s="470">
        <f>C58+C57</f>
        <v>60045.80485963002</v>
      </c>
      <c r="D59" s="470">
        <f>D58+D57</f>
        <v>81758.8940282011</v>
      </c>
      <c r="E59" s="470">
        <f>E58+E57</f>
        <v>115010.42521981409</v>
      </c>
      <c r="F59" s="470">
        <f aca="true" t="shared" si="24" ref="F59:L59">F58+F57</f>
        <v>158961.0012160367</v>
      </c>
      <c r="G59" s="470">
        <f t="shared" si="24"/>
        <v>217638.74759047249</v>
      </c>
      <c r="H59" s="470">
        <f t="shared" si="24"/>
        <v>279854.5921396266</v>
      </c>
      <c r="I59" s="470">
        <f t="shared" si="24"/>
        <v>403273.52173533477</v>
      </c>
      <c r="J59" s="470">
        <f t="shared" si="24"/>
        <v>540822.7276380211</v>
      </c>
      <c r="K59" s="470">
        <f t="shared" si="24"/>
        <v>692063.2319254486</v>
      </c>
      <c r="L59" s="471">
        <f t="shared" si="24"/>
        <v>858109.7128163027</v>
      </c>
    </row>
    <row r="61" spans="2:3" ht="15" hidden="1">
      <c r="B61" s="280" t="s">
        <v>716</v>
      </c>
      <c r="C61" s="328">
        <f>IRR(B57:L57)</f>
        <v>0.18593021955383487</v>
      </c>
    </row>
    <row r="62" spans="2:6" ht="15" hidden="1">
      <c r="B62" s="280" t="s">
        <v>717</v>
      </c>
      <c r="C62" s="279">
        <f>B57+(C57*(1+F62)^-1)+(D57*(1+F62)^-2)+(E57*(1+F62)^-3)+(F57*(1+F62)^-4)+(G57*(1+F62)^-5)+(H57*(1+F62)^-6)+(I57*(1+F62)^-7)+(J57*(1+F62)^-8)+(K57*(1+F62)^-9)+(L57*(1+F62)^-10)</f>
        <v>114617.94686366813</v>
      </c>
      <c r="E62" s="289" t="s">
        <v>718</v>
      </c>
      <c r="F62" s="126">
        <f>'Anal sensib y Period de Recuper'!J64</f>
        <v>0.11989766809491963</v>
      </c>
    </row>
    <row r="63" spans="2:12" ht="15" hidden="1">
      <c r="B63" s="280" t="s">
        <v>717</v>
      </c>
      <c r="C63" s="279">
        <f>B57+(C57*(1+F63)^-1)+(D57*(1+F63)^-2)+(E57*(1+F63)^-3)+(F57*(1+F63)^-4)+(G57*(1+F63)^-5)+(H57*(1+F63)^-6)+(I57*(1+F63)^-7)+(J57*(1+F63)^-8)+(K57*(1+F63)^-9)+(L57*(1+F63)^-10)</f>
        <v>161963.15572826721</v>
      </c>
      <c r="E63" s="289" t="s">
        <v>718</v>
      </c>
      <c r="F63" s="126">
        <v>0.1</v>
      </c>
      <c r="H63" s="280" t="s">
        <v>717</v>
      </c>
      <c r="I63" s="279">
        <f>B57+(C57*(1+L63)^-1)+(D57*(1+L63)^-2)+(E57*(1+L63)^-3)+(F57*(1+L63)^-4)+(G57*(1+L63)^-5)+(H57*(1+L63)^-6)+(I57*(1+L63)^-7)+(J57*(1+L63)^-8)+(K57*(1+L63)^-9)+(L57*(1+L63)^-10)</f>
        <v>22810.26320788116</v>
      </c>
      <c r="K63" s="289" t="s">
        <v>718</v>
      </c>
      <c r="L63" s="126">
        <v>0.17</v>
      </c>
    </row>
    <row r="64" spans="2:12" ht="15" hidden="1">
      <c r="B64" s="280" t="s">
        <v>717</v>
      </c>
      <c r="C64" s="279">
        <f>B57+(C57*(1+F64)^-1)+(D57*(1+F64)^-2)+(E57*(1+F64)^-3)+(F57*(1+F64)^-4)+(G57*(1+F64)^-5)+(H57*(1+F64)^-6)+(I57*(1+F64)^-7)+(J57*(1+F64)^-8)+(K57*(1+F64)^-9)+(L57*(1+F64)^-10)</f>
        <v>137249.7658472272</v>
      </c>
      <c r="E64" s="289" t="s">
        <v>718</v>
      </c>
      <c r="F64" s="126">
        <v>0.11</v>
      </c>
      <c r="H64" s="280" t="s">
        <v>717</v>
      </c>
      <c r="I64" s="279">
        <f>B57+(C57*(1+L64)^-1)+(D57*(1+L64)^-2)+(E57*(1+L64)^-3)+(F57*(1+L64)^-4)+(G57*(1+L64)^-5)+(H57*(1+L64)^-6)+(I57*(1+L64)^-7)+(J57*(1+L64)^-8)+(K57*(1+L64)^-9)+(L57*(1+L64)^-10)</f>
        <v>8190.8930503226</v>
      </c>
      <c r="K64" s="289" t="s">
        <v>718</v>
      </c>
      <c r="L64" s="126">
        <v>0.18</v>
      </c>
    </row>
    <row r="65" spans="2:9" ht="15" hidden="1">
      <c r="B65" s="280" t="s">
        <v>717</v>
      </c>
      <c r="C65" s="279">
        <f>B57+(C57*(1+F65)^-1)+(D57*(1+F65)^-2)+(E57*(1+F65)^-3)+(F57*(1+F65)^-4)+(G57*(1+F65)^-5)+(H57*(1+F65)^-6)+(I57*(1+F65)^-7)+(J57*(1+F65)^-8)+(K57*(1+F65)^-9)+(L57*(1+F65)^-10)</f>
        <v>93230.72493212877</v>
      </c>
      <c r="E65" s="289" t="s">
        <v>718</v>
      </c>
      <c r="F65" s="126">
        <v>0.13</v>
      </c>
      <c r="H65" t="s">
        <v>823</v>
      </c>
      <c r="I65" s="279">
        <f>(C53*(1+F62)^-1)+(D53*(1+F62)^-2)+(E53*(1+F62)^-3)+(F53*(1+F62)^-4)+(G53*(1+F62)^-5)+(H53*(1+F62)^-6)+(I53*(1+F62)^-7)+(J53*(1+F62)^-8)+(K53*(1+F62)^-9)+(L53*(1+F62)^-10)</f>
        <v>74766.64409210463</v>
      </c>
    </row>
    <row r="66" spans="2:6" ht="15" hidden="1">
      <c r="B66" s="280" t="s">
        <v>717</v>
      </c>
      <c r="C66" s="279">
        <f>B57+(C57*(1+F66)^-1)+(D57*(1+F66)^-2)+(E57*(1+F66)^-3)+(F57*(1+F66)^-4)+(G57*(1+F66)^-5)+(H57*(1+F66)^-6)+(I57*(1+F66)^-7)+(J57*(1+F66)^-8)+(K57*(1+F66)^-9)+(L57*(1+F66)^-10)</f>
        <v>73617.20361820722</v>
      </c>
      <c r="E66" s="289" t="s">
        <v>718</v>
      </c>
      <c r="F66" s="126">
        <v>0.14</v>
      </c>
    </row>
    <row r="67" spans="2:6" ht="15" hidden="1">
      <c r="B67" s="280" t="s">
        <v>717</v>
      </c>
      <c r="C67" s="279">
        <f>B57+(C57*(1+F67)^-1)+(D57*(1+F67)^-2)+(E57*(1+F67)^-3)+(F57*(1+F67)^-4)+(G57*(1+F67)^-5)+(H57*(1+F67)^-6)+(I57*(1+F67)^-7)+(J57*(1+F67)^-8)+(K57*(1+F67)^-9)+(L57*(1+F67)^-10)</f>
        <v>55420.341284063776</v>
      </c>
      <c r="E67" s="289" t="s">
        <v>718</v>
      </c>
      <c r="F67" s="126">
        <v>0.15</v>
      </c>
    </row>
    <row r="68" spans="2:6" ht="15" hidden="1">
      <c r="B68" s="280" t="s">
        <v>717</v>
      </c>
      <c r="C68" s="279">
        <f>B57+(C57*(1+F68)^-1)+(D57*(1+F68)^-2)+(E57*(1+F68)^-3)+(F57*(1+F68)^-4)+(G57*(1+F68)^-5)+(H57*(1+F68)^-6)+(I57*(1+F68)^-7)+(J57*(1+F68)^-8)+(K57*(1+F68)^-9)+(L57*(1+F68)^-10)</f>
        <v>38520.73756951413</v>
      </c>
      <c r="E68" s="289" t="s">
        <v>718</v>
      </c>
      <c r="F68" s="126">
        <v>0.16</v>
      </c>
    </row>
    <row r="69" ht="12.75" hidden="1"/>
    <row r="70" spans="1:12" ht="15.75">
      <c r="A70" s="968" t="s">
        <v>877</v>
      </c>
      <c r="B70" s="968"/>
      <c r="C70" s="968"/>
      <c r="D70" s="968"/>
      <c r="E70" s="968"/>
      <c r="F70" s="968"/>
      <c r="G70" s="968"/>
      <c r="H70" s="968"/>
      <c r="I70" s="968"/>
      <c r="J70" s="968"/>
      <c r="K70" s="968"/>
      <c r="L70" s="968"/>
    </row>
    <row r="71" spans="1:12" ht="15">
      <c r="A71" s="1013" t="s">
        <v>825</v>
      </c>
      <c r="B71" s="1013"/>
      <c r="C71" s="1013"/>
      <c r="D71" s="1013"/>
      <c r="E71" s="1013"/>
      <c r="F71" s="1013"/>
      <c r="G71" s="1013"/>
      <c r="H71" s="1013"/>
      <c r="I71" s="1013"/>
      <c r="J71" s="1013"/>
      <c r="K71" s="1013"/>
      <c r="L71" s="1013"/>
    </row>
    <row r="72" ht="13.5" thickBot="1"/>
    <row r="73" spans="1:12" ht="13.5" thickBot="1">
      <c r="A73" s="393" t="s">
        <v>824</v>
      </c>
      <c r="B73" s="373" t="s">
        <v>695</v>
      </c>
      <c r="C73" s="373" t="s">
        <v>439</v>
      </c>
      <c r="D73" s="373" t="s">
        <v>447</v>
      </c>
      <c r="E73" s="373" t="s">
        <v>448</v>
      </c>
      <c r="F73" s="373" t="s">
        <v>449</v>
      </c>
      <c r="G73" s="373" t="s">
        <v>450</v>
      </c>
      <c r="H73" s="373" t="s">
        <v>451</v>
      </c>
      <c r="I73" s="373" t="s">
        <v>452</v>
      </c>
      <c r="J73" s="373" t="s">
        <v>453</v>
      </c>
      <c r="K73" s="373" t="s">
        <v>454</v>
      </c>
      <c r="L73" s="374" t="s">
        <v>455</v>
      </c>
    </row>
    <row r="74" spans="1:12" ht="12.75">
      <c r="A74" s="473" t="s">
        <v>696</v>
      </c>
      <c r="B74" s="322">
        <f>B57</f>
        <v>-267262.7039509583</v>
      </c>
      <c r="C74" s="362"/>
      <c r="D74" s="362"/>
      <c r="E74" s="362"/>
      <c r="F74" s="362"/>
      <c r="G74" s="362"/>
      <c r="H74" s="362"/>
      <c r="I74" s="362"/>
      <c r="J74" s="362"/>
      <c r="K74" s="362"/>
      <c r="L74" s="474"/>
    </row>
    <row r="75" spans="1:12" ht="12.75">
      <c r="A75" s="408" t="s">
        <v>790</v>
      </c>
      <c r="B75" s="119"/>
      <c r="C75" s="119">
        <f>C53</f>
        <v>5446.45954785637</v>
      </c>
      <c r="D75" s="119">
        <f aca="true" t="shared" si="25" ref="D75:L75">D53</f>
        <v>7245.30197437761</v>
      </c>
      <c r="E75" s="119">
        <f t="shared" si="25"/>
        <v>9281.49762550265</v>
      </c>
      <c r="F75" s="119">
        <f t="shared" si="25"/>
        <v>11451.917296904352</v>
      </c>
      <c r="G75" s="119">
        <f t="shared" si="25"/>
        <v>13768.476775412555</v>
      </c>
      <c r="H75" s="119">
        <f t="shared" si="25"/>
        <v>16677.83028039709</v>
      </c>
      <c r="I75" s="119">
        <f t="shared" si="25"/>
        <v>18857.17249854444</v>
      </c>
      <c r="J75" s="119">
        <f t="shared" si="25"/>
        <v>21068.39772918766</v>
      </c>
      <c r="K75" s="119">
        <f t="shared" si="25"/>
        <v>23484.50920884786</v>
      </c>
      <c r="L75" s="452">
        <f t="shared" si="25"/>
        <v>26191.446256511375</v>
      </c>
    </row>
    <row r="76" spans="1:12" ht="13.5" thickBot="1">
      <c r="A76" s="475" t="s">
        <v>827</v>
      </c>
      <c r="B76" s="476"/>
      <c r="C76" s="477">
        <f>C57</f>
        <v>31973.127895336343</v>
      </c>
      <c r="D76" s="477">
        <f>D57</f>
        <v>21713.08916857108</v>
      </c>
      <c r="E76" s="477">
        <f>E57</f>
        <v>33251.53119161299</v>
      </c>
      <c r="F76" s="477">
        <f>F57</f>
        <v>43950.575996222615</v>
      </c>
      <c r="G76" s="477">
        <f aca="true" t="shared" si="26" ref="G76:L76">G57</f>
        <v>58677.74637443578</v>
      </c>
      <c r="H76" s="477">
        <f t="shared" si="26"/>
        <v>62215.844549154106</v>
      </c>
      <c r="I76" s="477">
        <f t="shared" si="26"/>
        <v>123418.92959570812</v>
      </c>
      <c r="J76" s="477">
        <f t="shared" si="26"/>
        <v>137549.20590268634</v>
      </c>
      <c r="K76" s="477">
        <f t="shared" si="26"/>
        <v>151240.50428742752</v>
      </c>
      <c r="L76" s="478">
        <f t="shared" si="26"/>
        <v>166046.48089085406</v>
      </c>
    </row>
    <row r="77" spans="1:2" ht="12.75">
      <c r="A77" s="479" t="s">
        <v>826</v>
      </c>
      <c r="B77" s="480">
        <f>C62</f>
        <v>114617.94686366813</v>
      </c>
    </row>
    <row r="78" spans="1:2" ht="12.75">
      <c r="A78" s="450" t="s">
        <v>828</v>
      </c>
      <c r="B78" s="481">
        <f>I65</f>
        <v>74766.64409210463</v>
      </c>
    </row>
    <row r="79" spans="1:2" ht="13.5" thickBot="1">
      <c r="A79" s="482" t="s">
        <v>774</v>
      </c>
      <c r="B79" s="483">
        <f>C61</f>
        <v>0.18593021955383487</v>
      </c>
    </row>
    <row r="82" spans="3:12" ht="12.75" hidden="1">
      <c r="C82" s="1095" t="s">
        <v>829</v>
      </c>
      <c r="D82" s="1095"/>
      <c r="E82" s="1095"/>
      <c r="F82" s="1095"/>
      <c r="G82" s="1095"/>
      <c r="H82" s="1095"/>
      <c r="I82" s="1095"/>
      <c r="J82" s="1095"/>
      <c r="K82" s="1095"/>
      <c r="L82" s="1095"/>
    </row>
    <row r="83" ht="12.75" hidden="1"/>
    <row r="84" spans="3:12" ht="12.75" hidden="1">
      <c r="C84" s="24" t="s">
        <v>439</v>
      </c>
      <c r="D84" s="24" t="s">
        <v>447</v>
      </c>
      <c r="E84" s="24" t="s">
        <v>448</v>
      </c>
      <c r="F84" s="24" t="s">
        <v>449</v>
      </c>
      <c r="G84" s="24" t="s">
        <v>450</v>
      </c>
      <c r="H84" s="24" t="s">
        <v>451</v>
      </c>
      <c r="I84" s="24" t="s">
        <v>452</v>
      </c>
      <c r="J84" s="24" t="s">
        <v>453</v>
      </c>
      <c r="K84" s="24" t="s">
        <v>454</v>
      </c>
      <c r="L84" s="24" t="s">
        <v>455</v>
      </c>
    </row>
    <row r="85" spans="2:13" ht="12.75" hidden="1">
      <c r="B85" t="s">
        <v>830</v>
      </c>
      <c r="C85" s="55">
        <f>B24/'Balan Gener'!B28</f>
        <v>0.1412126712828008</v>
      </c>
      <c r="D85" s="55">
        <f>C24/'Balan Gener'!C28</f>
        <v>0.17931154850421585</v>
      </c>
      <c r="E85" s="55">
        <f>D24/'Balan Gener'!D28</f>
        <v>0.22955453560527672</v>
      </c>
      <c r="F85" s="55">
        <f>E24/'Balan Gener'!E28</f>
        <v>0.26948686888262485</v>
      </c>
      <c r="G85" s="55">
        <f>F24/'Balan Gener'!F28</f>
        <v>0.2946495614759796</v>
      </c>
      <c r="H85" s="55">
        <f>G24/'Balan Gener'!G28</f>
        <v>0.3130345944770563</v>
      </c>
      <c r="I85" s="55">
        <f>H24/'Balan Gener'!H28</f>
        <v>0.28422339302256644</v>
      </c>
      <c r="J85" s="55">
        <f>I24/'Balan Gener'!I28</f>
        <v>0.24727156503231137</v>
      </c>
      <c r="K85" s="55">
        <f>J24/'Balan Gener'!J28</f>
        <v>0.2209851732638852</v>
      </c>
      <c r="L85" s="55">
        <f>K24/'Balan Gener'!K28</f>
        <v>0.20185092209919867</v>
      </c>
      <c r="M85" s="285"/>
    </row>
    <row r="86" spans="2:12" ht="12.75" hidden="1">
      <c r="B86" t="s">
        <v>831</v>
      </c>
      <c r="C86" s="55">
        <f>B24/B6</f>
        <v>0.17015352879746412</v>
      </c>
      <c r="D86" s="55">
        <f aca="true" t="shared" si="27" ref="D86:L86">C24/C6</f>
        <v>0.2090040550650697</v>
      </c>
      <c r="E86" s="55">
        <f t="shared" si="27"/>
        <v>0.2472224025133716</v>
      </c>
      <c r="F86" s="55">
        <f t="shared" si="27"/>
        <v>0.2816563267269554</v>
      </c>
      <c r="G86" s="55">
        <f t="shared" si="27"/>
        <v>0.31267902408283615</v>
      </c>
      <c r="H86" s="55">
        <f t="shared" si="27"/>
        <v>0.3497227983597636</v>
      </c>
      <c r="I86" s="55">
        <f t="shared" si="27"/>
        <v>0.36511738478943667</v>
      </c>
      <c r="J86" s="55">
        <f t="shared" si="27"/>
        <v>0.37666822884260376</v>
      </c>
      <c r="K86" s="55">
        <f t="shared" si="27"/>
        <v>0.3876863528501197</v>
      </c>
      <c r="L86" s="55">
        <f t="shared" si="27"/>
        <v>0.39923632439282597</v>
      </c>
    </row>
    <row r="87" spans="2:12" ht="12.75" hidden="1">
      <c r="B87" t="s">
        <v>882</v>
      </c>
      <c r="C87" s="55">
        <f>'Balan Gener'!B32/'Balan Gener'!B28</f>
        <v>0.9358341986255432</v>
      </c>
      <c r="D87" s="55">
        <f>'Balan Gener'!C32/'Balan Gener'!C28</f>
        <v>0.8039588219030437</v>
      </c>
      <c r="E87" s="55">
        <f>'Balan Gener'!D32/'Balan Gener'!D28</f>
        <v>0.6248926058352653</v>
      </c>
      <c r="F87" s="55">
        <f>'Balan Gener'!E32/'Balan Gener'!E28</f>
        <v>0.4246869689995723</v>
      </c>
      <c r="G87" s="55">
        <f>'Balan Gener'!F32/'Balan Gener'!F28</f>
        <v>0.23172915770667254</v>
      </c>
      <c r="H87" s="55">
        <f>'Balan Gener'!G32/'Balan Gener'!G28</f>
        <v>0.06774734985540427</v>
      </c>
      <c r="I87" s="55">
        <f>'Balan Gener'!H32/'Balan Gener'!H28</f>
        <v>0</v>
      </c>
      <c r="J87" s="55">
        <f>'Balan Gener'!I32/'Balan Gener'!I28</f>
        <v>0</v>
      </c>
      <c r="K87" s="55">
        <f>'Balan Gener'!J32/'Balan Gener'!J28</f>
        <v>0</v>
      </c>
      <c r="L87" s="55">
        <f>'Balan Gener'!K32/'Balan Gener'!K28</f>
        <v>0</v>
      </c>
    </row>
    <row r="88" spans="2:3" ht="12.75" hidden="1">
      <c r="B88" t="s">
        <v>883</v>
      </c>
      <c r="C88">
        <f>B18/B19</f>
        <v>2.7404263877288733</v>
      </c>
    </row>
    <row r="89" ht="12.75" hidden="1"/>
  </sheetData>
  <mergeCells count="9">
    <mergeCell ref="C82:L82"/>
    <mergeCell ref="A1:K1"/>
    <mergeCell ref="A34:L34"/>
    <mergeCell ref="A70:L70"/>
    <mergeCell ref="A71:L71"/>
    <mergeCell ref="A2:K2"/>
    <mergeCell ref="A3:K3"/>
    <mergeCell ref="A36:L36"/>
    <mergeCell ref="A35:L35"/>
  </mergeCells>
  <printOptions horizontalCentered="1"/>
  <pageMargins left="0.1968503937007874" right="0.46" top="1.33" bottom="1" header="0" footer="0"/>
  <pageSetup horizontalDpi="300" verticalDpi="300" orientation="landscape" paperSize="9" scale="63" r:id="rId1"/>
  <rowBreaks count="3" manualBreakCount="3">
    <brk id="32" max="11" man="1"/>
    <brk id="60" max="11" man="1"/>
    <brk id="9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JOSUE PEREZ</cp:lastModifiedBy>
  <cp:lastPrinted>2003-08-20T00:47:02Z</cp:lastPrinted>
  <dcterms:created xsi:type="dcterms:W3CDTF">2003-02-25T05:14:15Z</dcterms:created>
  <dcterms:modified xsi:type="dcterms:W3CDTF">2003-10-12T21:25:30Z</dcterms:modified>
  <cp:category/>
  <cp:version/>
  <cp:contentType/>
  <cp:contentStatus/>
</cp:coreProperties>
</file>