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tabRatio="980" activeTab="6"/>
  </bookViews>
  <sheets>
    <sheet name="banda ancha 1" sheetId="1" r:id="rId1"/>
    <sheet name="Sueldos 2" sheetId="2" r:id="rId2"/>
    <sheet name="IM 2a" sheetId="3" r:id="rId3"/>
    <sheet name="Capacitación 2B" sheetId="4" r:id="rId4"/>
    <sheet name="TARIFAS DE INTERNET" sheetId="5" r:id="rId5"/>
    <sheet name="TARIFAS DE INTERNET CYBERS" sheetId="6" r:id="rId6"/>
    <sheet name="Amortización Deuda" sheetId="7" r:id="rId7"/>
    <sheet name="HISTORICO VENTAS 3" sheetId="8" r:id="rId8"/>
    <sheet name="depreciación 4" sheetId="9" r:id="rId9"/>
    <sheet name="SENSIBILIDADVENTAS" sheetId="10" r:id="rId10"/>
    <sheet name="SENSIBILIDADCOSTOS" sheetId="11" r:id="rId11"/>
    <sheet name="punto de equilibrio CORPORATIVO" sheetId="12" r:id="rId12"/>
    <sheet name="punto de equilibrio CYBERS" sheetId="13" r:id="rId13"/>
    <sheet name="proyeccion ventas" sheetId="14" r:id="rId14"/>
    <sheet name="actual" sheetId="15" r:id="rId15"/>
  </sheets>
  <definedNames/>
  <calcPr fullCalcOnLoad="1"/>
</workbook>
</file>

<file path=xl/sharedStrings.xml><?xml version="1.0" encoding="utf-8"?>
<sst xmlns="http://schemas.openxmlformats.org/spreadsheetml/2006/main" count="937" uniqueCount="288">
  <si>
    <t>Estados de Pérdidas y Ganancias</t>
  </si>
  <si>
    <t>Ingresos por Ventas</t>
  </si>
  <si>
    <t>Costo de Ventas</t>
  </si>
  <si>
    <t>UTILIDAD BRUTA</t>
  </si>
  <si>
    <t>Gastos Administrativos</t>
  </si>
  <si>
    <t>Gastos Ventas</t>
  </si>
  <si>
    <t>Depreciación</t>
  </si>
  <si>
    <t>UTILIDAD ANTES DE IMPUESTOS</t>
  </si>
  <si>
    <t>(-) 15% PARTICIPACIÓN TRABAJADORES</t>
  </si>
  <si>
    <t>UTILIDAD IMPONIBLE</t>
  </si>
  <si>
    <t>(-) IMPUESTO EMPRESARIAL</t>
  </si>
  <si>
    <t>UTILIDAD NETA</t>
  </si>
  <si>
    <t>Edificio</t>
  </si>
  <si>
    <t>Vehículos</t>
  </si>
  <si>
    <t>Equipos de Oficina</t>
  </si>
  <si>
    <t>MAQUINARIAS Y EQUIPOS</t>
  </si>
  <si>
    <t>EQUIPOS DE COMPUTACION</t>
  </si>
  <si>
    <t>VEHICULOS</t>
  </si>
  <si>
    <t>TERRENOS</t>
  </si>
  <si>
    <t>EDIFICIOS</t>
  </si>
  <si>
    <t>AÑOS</t>
  </si>
  <si>
    <t>Equipos de Computación</t>
  </si>
  <si>
    <t>Muebles y Enseres</t>
  </si>
  <si>
    <t>VALOR</t>
  </si>
  <si>
    <t>VIDA UTIL (AÑOS)</t>
  </si>
  <si>
    <t>VALOR SALVAMENTO</t>
  </si>
  <si>
    <t>DEPRECIACIÓN</t>
  </si>
  <si>
    <t>ACTIVOS</t>
  </si>
  <si>
    <t>TOTAL  A DEPRECIAR</t>
  </si>
  <si>
    <t>DEPRECIACION DE ACTIVOS</t>
  </si>
  <si>
    <t>Elaborado por autoras</t>
  </si>
  <si>
    <t>NÚMERO DE CUOTAS</t>
  </si>
  <si>
    <t>INTERES</t>
  </si>
  <si>
    <t>INGRESOS OPERACIONALES</t>
  </si>
  <si>
    <t>CUENTAS POR COBRAR</t>
  </si>
  <si>
    <t>TOTAL INGRESOS OPERACIONALES</t>
  </si>
  <si>
    <t>EGRESOS OPERACIONALES</t>
  </si>
  <si>
    <t>Proveedores</t>
  </si>
  <si>
    <t>Sueldos y Salarios</t>
  </si>
  <si>
    <t>Publicidad y Propaganda</t>
  </si>
  <si>
    <t>Depreciaciones</t>
  </si>
  <si>
    <t>Varios</t>
  </si>
  <si>
    <t>TOTAL EGRESOS OPERACIONALES</t>
  </si>
  <si>
    <t>FLUJO OPERACIONAL ( I - II )</t>
  </si>
  <si>
    <t>DEPRECIACIONES</t>
  </si>
  <si>
    <t>EGRESOS NO OPERACIONALES</t>
  </si>
  <si>
    <t>Capital</t>
  </si>
  <si>
    <t>Pago 15% Participación Laboral</t>
  </si>
  <si>
    <t>Pago 25% de Impuestos</t>
  </si>
  <si>
    <t>FLUJO NO OPERACIONAL</t>
  </si>
  <si>
    <t>FLUJO NETO GENERADO</t>
  </si>
  <si>
    <t xml:space="preserve">SALDO INICIAL </t>
  </si>
  <si>
    <t>SALDO FINAL</t>
  </si>
  <si>
    <t>TABLAS 6.9</t>
  </si>
  <si>
    <t>EFECTIVO PROVENIENTE DE CLIENTES</t>
  </si>
  <si>
    <t>interes</t>
  </si>
  <si>
    <t>PRESUPUESTO DE VENTAS</t>
  </si>
  <si>
    <t>TMAR -CAPM</t>
  </si>
  <si>
    <t>VAN</t>
  </si>
  <si>
    <t>TIR</t>
  </si>
  <si>
    <t>INVERSION INICIAL</t>
  </si>
  <si>
    <t>CAPITAL</t>
  </si>
  <si>
    <t>TABLA DE AMORTIZACION</t>
  </si>
  <si>
    <t>FLUJO DE CAJA INCREMENTAL</t>
  </si>
  <si>
    <t>Rubro</t>
  </si>
  <si>
    <t>CODIGO</t>
  </si>
  <si>
    <t>VELOCIDAD (Kbps)</t>
  </si>
  <si>
    <t>COSTO MENSUAL *</t>
  </si>
  <si>
    <t>COSTO INSTAL. **</t>
  </si>
  <si>
    <t>DOWN</t>
  </si>
  <si>
    <t>UP</t>
  </si>
  <si>
    <t>I 32</t>
  </si>
  <si>
    <t>I 64</t>
  </si>
  <si>
    <t>I 128</t>
  </si>
  <si>
    <t>I 192</t>
  </si>
  <si>
    <t>I 256</t>
  </si>
  <si>
    <t>I 384</t>
  </si>
  <si>
    <t>I 512</t>
  </si>
  <si>
    <t>I 640</t>
  </si>
  <si>
    <t>I 768</t>
  </si>
  <si>
    <t>I 1024</t>
  </si>
  <si>
    <t>I 2048</t>
  </si>
  <si>
    <t>PVP</t>
  </si>
  <si>
    <t>MENSUAL</t>
  </si>
  <si>
    <t>INTERNET</t>
  </si>
  <si>
    <t>BW</t>
  </si>
  <si>
    <t>Kbps</t>
  </si>
  <si>
    <t>Costo</t>
  </si>
  <si>
    <t>Dolares</t>
  </si>
  <si>
    <t>Costo Kbps</t>
  </si>
  <si>
    <t>INTERNET CORPORATIVO  COMPRESION 1:1</t>
  </si>
  <si>
    <t>COSTO VARIABLE</t>
  </si>
  <si>
    <t>COMISIONES</t>
  </si>
  <si>
    <t>PUNTO DE EQUILIBRIO</t>
  </si>
  <si>
    <t>Año 1</t>
  </si>
  <si>
    <t>Año 2</t>
  </si>
  <si>
    <t>Año 3</t>
  </si>
  <si>
    <t>Año 4</t>
  </si>
  <si>
    <t>Año 5</t>
  </si>
  <si>
    <t>Precio de Venta</t>
  </si>
  <si>
    <t>Costo Variable</t>
  </si>
  <si>
    <t>Costo Fijo</t>
  </si>
  <si>
    <t>P/E Cantidades (Personas)</t>
  </si>
  <si>
    <t>P/E Dolares</t>
  </si>
  <si>
    <t>IC32</t>
  </si>
  <si>
    <t>IC64</t>
  </si>
  <si>
    <t>IC128</t>
  </si>
  <si>
    <t>IC192</t>
  </si>
  <si>
    <t>IC256</t>
  </si>
  <si>
    <t>IC384</t>
  </si>
  <si>
    <t>IC512</t>
  </si>
  <si>
    <t>IC640</t>
  </si>
  <si>
    <t>IC768</t>
  </si>
  <si>
    <t>IC1024</t>
  </si>
  <si>
    <t>IC2048</t>
  </si>
  <si>
    <t>INTERNET CORPORATIVO  COMPRESION 2:1</t>
  </si>
  <si>
    <t>IPC32</t>
  </si>
  <si>
    <t>IPC64</t>
  </si>
  <si>
    <t>IPC128</t>
  </si>
  <si>
    <t>IPC192</t>
  </si>
  <si>
    <t>IPC256</t>
  </si>
  <si>
    <t>IPC384</t>
  </si>
  <si>
    <t>IPC512</t>
  </si>
  <si>
    <t>IPC640</t>
  </si>
  <si>
    <t>IPC768</t>
  </si>
  <si>
    <t>IPC1024</t>
  </si>
  <si>
    <t>IPC2048</t>
  </si>
  <si>
    <t>INTERNET CORPORATIVO  COMPRESION 4:1</t>
  </si>
  <si>
    <t>AT&amp;T</t>
  </si>
  <si>
    <t>DEUDA</t>
  </si>
  <si>
    <t>BETA DESAP.</t>
  </si>
  <si>
    <t>BETA APALA.</t>
  </si>
  <si>
    <t>CRECIMIENTO</t>
  </si>
  <si>
    <t>FREE CASH FLOW</t>
  </si>
  <si>
    <t>INVERSIÓN</t>
  </si>
  <si>
    <t>TASA DE DESCUENTO</t>
  </si>
  <si>
    <t>Precio</t>
  </si>
  <si>
    <t>Sensibilidad a las Ventas</t>
  </si>
  <si>
    <t>Sensibilidad a los Costos de Ventas</t>
  </si>
  <si>
    <t>INTERNET CORPORATIVO  COMPRESION 1:2</t>
  </si>
  <si>
    <t>PUNTO DE EQUILIBRIO CORPORATIVO 1:2</t>
  </si>
  <si>
    <t>INTERNET CORPORATIVO  COMPRESION 1:4</t>
  </si>
  <si>
    <t>PUNTO DE EQUILIBRIO CORPORATIVO 1:4</t>
  </si>
  <si>
    <t>PUNTO DE EQUILIBRIO CYBERS 1:1</t>
  </si>
  <si>
    <t>PUNTO DE EQUILIBRIO CYBER 2:1</t>
  </si>
  <si>
    <t>PUNTO DE EQUILIBRIO CYBERS 4:1</t>
  </si>
  <si>
    <t>INTERNET CORPORATIVO</t>
  </si>
  <si>
    <t>CARACTERISTICAS BASICAS</t>
  </si>
  <si>
    <t xml:space="preserve">Conexión de redes corporativas al Internet mediante un enlace dedicado.                                                                         Compresión 1:1.                                                                 Orientado a grandes empresas y </t>
  </si>
  <si>
    <t>REQUISITOS TECNICOS</t>
  </si>
  <si>
    <t>Tener contratado el servicio de última milla</t>
  </si>
  <si>
    <t>* No incluye el servicio de última milla</t>
  </si>
  <si>
    <t>- Servidor de Internet con programas Proxy Server, Mail Server</t>
  </si>
  <si>
    <t>CPU: Procesador Pentium IV, 128 MB de RAM, 10 GB HD, 2 tarjetas de red</t>
  </si>
  <si>
    <t>INTERNET CORPORATIVO: COMPRESION 1:4</t>
  </si>
  <si>
    <t xml:space="preserve">Conexión de redes corporativas al Internet mediante un enlace dedicado.                                                                         Compresión 1:2.                                                                   Orientado a grandes empresas </t>
  </si>
  <si>
    <t>INTERNET CORPORATIVO: COMPRESION 1:8</t>
  </si>
  <si>
    <t>Conexión de redes corporativas al Internet mediante un enlace dedicado.  Compresión 1:4.                                                Orientado a empresas medianas y pequeñas (PyMEs).                                   Incluye 30 MB de hosting a partir d</t>
  </si>
  <si>
    <t>- Tener contratado el servicio de última milla</t>
  </si>
  <si>
    <t>- Servidor de Internet con programas Proxy Server, Mail Server.</t>
  </si>
  <si>
    <t>INTERNET CYBERS</t>
  </si>
  <si>
    <t>EQUIPOS PARA BANDA ANCHA</t>
  </si>
  <si>
    <t>DESCRIPCION</t>
  </si>
  <si>
    <t>CANTIDAD</t>
  </si>
  <si>
    <t>COSTO</t>
  </si>
  <si>
    <t>GASTOS IMPORTACIÓN</t>
  </si>
  <si>
    <t>TOTAL</t>
  </si>
  <si>
    <t>Packeteer Shaper, administrador de banda ancha 10MG</t>
  </si>
  <si>
    <t>Mantenimiento de equipos</t>
  </si>
  <si>
    <t>Packeteer Shaper, administrador de banda ancha 6MG</t>
  </si>
  <si>
    <t>COSTO TOTAL</t>
  </si>
  <si>
    <t>COSTO BANDA ANCHA</t>
  </si>
  <si>
    <t>Banda ancha 10MG</t>
  </si>
  <si>
    <t>Banda ancha 6MG</t>
  </si>
  <si>
    <t>COSTO BANDA ANCHA SIN REINGENIERIA</t>
  </si>
  <si>
    <t>Banda ancha 2MG</t>
  </si>
  <si>
    <t>COSTO BANDA ANCHA CON REINGENIERIA</t>
  </si>
  <si>
    <t xml:space="preserve">COSTO EQUIPOS PARA ENLACES </t>
  </si>
  <si>
    <t>Tsunami MP.11 Model 5054-R Base Station Unit</t>
  </si>
  <si>
    <t>Antena sectorial 90 grados</t>
  </si>
  <si>
    <t>Tsunami MP.11 Model 5054-R Subscriber Unit with Integral 23-dBi Antenna</t>
  </si>
  <si>
    <t>INGRESOS POR EQUIPOS DE ENLACES</t>
  </si>
  <si>
    <t>Equipos</t>
  </si>
  <si>
    <t>Catidad</t>
  </si>
  <si>
    <t>Total</t>
  </si>
  <si>
    <t>Tsunami MP.11 Model 5054-R Subscriber Unit with Integrated 23-dBi Antenna</t>
  </si>
  <si>
    <t>SUELDOS Y SALARIOS CON REINGENIERÍA</t>
  </si>
  <si>
    <t>Sueldos</t>
  </si>
  <si>
    <t># personal</t>
  </si>
  <si>
    <t>Presidente</t>
  </si>
  <si>
    <t>Gerente General</t>
  </si>
  <si>
    <t>Gerente Administrativo y Recursos Humanos</t>
  </si>
  <si>
    <t>Gerente de Ventas y Marketing</t>
  </si>
  <si>
    <t>Gerente Financiero</t>
  </si>
  <si>
    <t>Gerente de Sitemas y Mantenimiento</t>
  </si>
  <si>
    <t>Secretaria General</t>
  </si>
  <si>
    <t>Asistente de Recursos Humanos</t>
  </si>
  <si>
    <t>Ejecutivos de Ventas</t>
  </si>
  <si>
    <t>Asistente Financiero</t>
  </si>
  <si>
    <t xml:space="preserve">Recaudador </t>
  </si>
  <si>
    <t>Programadores y Operadores</t>
  </si>
  <si>
    <t>Mensajero</t>
  </si>
  <si>
    <t>Total Sueldos Mensuales</t>
  </si>
  <si>
    <t>PERSONAL QUE SE INCORPORA CON AL REINGENIERIA</t>
  </si>
  <si>
    <t>Total de Sueldo Mensual</t>
  </si>
  <si>
    <t>Total de Sueldo Anual</t>
  </si>
  <si>
    <t>AUMENTO DE SUELDOS CON REINGENIERÍA</t>
  </si>
  <si>
    <t>Sueldos Mensuales con Reingeniería</t>
  </si>
  <si>
    <t>Sueldos Mensuales sin Reingeniería</t>
  </si>
  <si>
    <t>Aumento de Sueldos MensualesPersonal Antiguo</t>
  </si>
  <si>
    <t>Aumento de Sueldos Anual Personal Antiguo</t>
  </si>
  <si>
    <t>SUELDOS FINALES CON REINGENIERÍA</t>
  </si>
  <si>
    <t>Personal que se incorpora - Sueldo Anual</t>
  </si>
  <si>
    <t xml:space="preserve">Personal Antiguo - Aumento de Sueldo Anual </t>
  </si>
  <si>
    <t xml:space="preserve">Sueldo Anual Final Personal SKYWEB S.A. con Reingeniería </t>
  </si>
  <si>
    <t>PROYECCIONES INVESTIGACIÓN DE MERCADOS</t>
  </si>
  <si>
    <t>DESCRIPCIÓN</t>
  </si>
  <si>
    <t># POSIBLE DE ENCUENSTAS EN UNA INVESTIGACIÓN</t>
  </si>
  <si>
    <t>COSTO POR ENCUESTA</t>
  </si>
  <si>
    <t>OTROS GASTOS (HOJAS, VIÁTICOS, ETC.)</t>
  </si>
  <si>
    <t>COSTOS</t>
  </si>
  <si>
    <t>Investigación de la competencia</t>
  </si>
  <si>
    <t>Investigación en contro lde calidad y competencia</t>
  </si>
  <si>
    <t>Investigación en satisfacción del cliente</t>
  </si>
  <si>
    <t>PROYECCIONES DE MANTENIMIENTO DE EQUIPOS Y SISTEMAS</t>
  </si>
  <si>
    <t>Mantenimiento Sistema Contable</t>
  </si>
  <si>
    <t>Compra Equipos de Computación</t>
  </si>
  <si>
    <t>Mantenimiento de Equipos de Computación</t>
  </si>
  <si>
    <t>Mantenimiento Oficina</t>
  </si>
  <si>
    <t>GASTOS PUBLICITARIOS</t>
  </si>
  <si>
    <t>Televison</t>
  </si>
  <si>
    <t>Diarios</t>
  </si>
  <si>
    <t>Cuñas en Vallas</t>
  </si>
  <si>
    <t>Tarjetas presentacion (1000 unidades)</t>
  </si>
  <si>
    <t>Carpetas (1000 unidades)</t>
  </si>
  <si>
    <t>Tarifarios (1000 unidades)</t>
  </si>
  <si>
    <t>Papelería (1000 unidades)</t>
  </si>
  <si>
    <t>COTIZACIÓN DE CAPACITACIÓN Y MOTIVACIÓN</t>
  </si>
  <si>
    <t>PERSONAL</t>
  </si>
  <si>
    <t>NÚMERO DE CURSOS</t>
  </si>
  <si>
    <t>CURSOS RECOMENDADOS</t>
  </si>
  <si>
    <t>VALOR DEL CURSO</t>
  </si>
  <si>
    <t>Escuela de Administración y Gestión Empresarial</t>
  </si>
  <si>
    <t>Telemarketing</t>
  </si>
  <si>
    <t>Calidad en el Trabajo</t>
  </si>
  <si>
    <t>Actualización Tributaria</t>
  </si>
  <si>
    <t>Escuela de Administración y Gestión de Recursos Humanos</t>
  </si>
  <si>
    <t>Gerente de Ventas Marketing</t>
  </si>
  <si>
    <t>Seminarios en Branding "Consultores de Marketing"</t>
  </si>
  <si>
    <t>Escuela de Ventas</t>
  </si>
  <si>
    <t>Actualización de Sistemas y Tecnología</t>
  </si>
  <si>
    <t>Todo el Personal</t>
  </si>
  <si>
    <t>Motivación</t>
  </si>
  <si>
    <t>VENTAS  MENSUALES PROYECTADAS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</si>
  <si>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</si>
  <si>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</si>
  <si>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</si>
  <si>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</si>
  <si>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</si>
  <si>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</si>
  <si>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</si>
  <si>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</si>
  <si>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</si>
  <si>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</si>
  <si>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</si>
  <si>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</si>
  <si>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TABLA 6.6</t>
  </si>
  <si>
    <t>PROYECCIONES DE VENTAS</t>
  </si>
  <si>
    <t xml:space="preserve">VENTAS ANUALES </t>
  </si>
  <si>
    <t>VENTAS</t>
  </si>
  <si>
    <t>TASA DE CRECIMIENTO</t>
  </si>
  <si>
    <t>INCREMENTAL</t>
  </si>
  <si>
    <t>PROMEDIO</t>
  </si>
  <si>
    <t>COSTOS ANUALES</t>
  </si>
  <si>
    <t>Expresado en dólares</t>
  </si>
  <si>
    <t>% CREC</t>
  </si>
  <si>
    <t>% CRECIMIENTO</t>
  </si>
  <si>
    <t>ANEXOS 3</t>
  </si>
  <si>
    <t>Ventas: Anuales</t>
  </si>
  <si>
    <t>ANEXOS 4</t>
  </si>
  <si>
    <t>ANEXOS 6.1</t>
  </si>
  <si>
    <t>ANEXO 6.3</t>
  </si>
  <si>
    <t>ANEXO 6.2</t>
  </si>
  <si>
    <t>ANEXOS 6.2</t>
  </si>
  <si>
    <t>INTERNET CYBERS  COMPRESION 1:1</t>
  </si>
  <si>
    <t>INTERNET CYBERS COMPRESION 1:2</t>
  </si>
  <si>
    <t>INTERNET CYBERS  COMPRESION 1:4</t>
  </si>
  <si>
    <t>ANEXO 6.4</t>
  </si>
</sst>
</file>

<file path=xl/styles.xml><?xml version="1.0" encoding="utf-8"?>
<styleSheet xmlns="http://schemas.openxmlformats.org/spreadsheetml/2006/main">
  <numFmts count="43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0.000"/>
    <numFmt numFmtId="182" formatCode="0.0000"/>
    <numFmt numFmtId="183" formatCode="0.00000"/>
    <numFmt numFmtId="184" formatCode="[$$-300A]\ #,##0.00"/>
    <numFmt numFmtId="185" formatCode="0.0%"/>
    <numFmt numFmtId="186" formatCode="#,##0.0"/>
    <numFmt numFmtId="187" formatCode="0.000000000"/>
    <numFmt numFmtId="188" formatCode="0.0000000000"/>
    <numFmt numFmtId="189" formatCode="0.00000000"/>
    <numFmt numFmtId="190" formatCode="0.0000000"/>
    <numFmt numFmtId="191" formatCode="0.00000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&quot;$&quot;\ #,##0.00"/>
    <numFmt numFmtId="197" formatCode="[$$-2C0A]\ #,##0.00"/>
    <numFmt numFmtId="198" formatCode="[$$-2C0A]\ #,##0"/>
  </numFmts>
  <fonts count="5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Century Gothi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b/>
      <i/>
      <sz val="9"/>
      <name val="Arial"/>
      <family val="2"/>
    </font>
    <font>
      <sz val="9"/>
      <color indexed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sz val="9"/>
      <color indexed="10"/>
      <name val="Geneva"/>
      <family val="0"/>
    </font>
    <font>
      <b/>
      <sz val="18"/>
      <name val="Arial"/>
      <family val="2"/>
    </font>
    <font>
      <b/>
      <sz val="24"/>
      <color indexed="10"/>
      <name val="Arial"/>
      <family val="2"/>
    </font>
    <font>
      <b/>
      <sz val="10"/>
      <name val="ZapfHumnst BT"/>
      <family val="2"/>
    </font>
    <font>
      <sz val="10"/>
      <name val="ZapfHumnst BT"/>
      <family val="2"/>
    </font>
    <font>
      <b/>
      <i/>
      <u val="single"/>
      <sz val="8"/>
      <name val="Arial"/>
      <family val="2"/>
    </font>
    <font>
      <b/>
      <sz val="16"/>
      <color indexed="18"/>
      <name val="Arial"/>
      <family val="2"/>
    </font>
    <font>
      <b/>
      <sz val="8"/>
      <color indexed="18"/>
      <name val="Arial"/>
      <family val="2"/>
    </font>
    <font>
      <b/>
      <sz val="12"/>
      <color indexed="10"/>
      <name val="Arial"/>
      <family val="2"/>
    </font>
    <font>
      <b/>
      <u val="single"/>
      <sz val="8"/>
      <color indexed="17"/>
      <name val="Arial"/>
      <family val="2"/>
    </font>
    <font>
      <b/>
      <sz val="11"/>
      <name val="Arial"/>
      <family val="2"/>
    </font>
    <font>
      <sz val="9"/>
      <name val="Geneva"/>
      <family val="0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b/>
      <sz val="11.75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34" fillId="4" borderId="0" applyNumberFormat="0" applyBorder="0" applyAlignment="0" applyProtection="0"/>
    <xf numFmtId="0" fontId="39" fillId="16" borderId="1" applyNumberFormat="0" applyAlignment="0" applyProtection="0"/>
    <xf numFmtId="0" fontId="0" fillId="0" borderId="0">
      <alignment/>
      <protection/>
    </xf>
    <xf numFmtId="0" fontId="41" fillId="17" borderId="2" applyNumberFormat="0" applyAlignment="0" applyProtection="0"/>
    <xf numFmtId="0" fontId="40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21" borderId="0" applyNumberFormat="0" applyBorder="0" applyAlignment="0" applyProtection="0"/>
    <xf numFmtId="0" fontId="37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8" fillId="16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327">
    <xf numFmtId="0" fontId="0" fillId="0" borderId="0" xfId="0" applyAlignment="1">
      <alignment/>
    </xf>
    <xf numFmtId="2" fontId="0" fillId="0" borderId="0" xfId="35" applyNumberFormat="1" applyFont="1">
      <alignment/>
      <protection/>
    </xf>
    <xf numFmtId="0" fontId="3" fillId="0" borderId="0" xfId="35" applyFont="1">
      <alignment/>
      <protection/>
    </xf>
    <xf numFmtId="4" fontId="3" fillId="0" borderId="0" xfId="35" applyNumberFormat="1" applyFont="1">
      <alignment/>
      <protection/>
    </xf>
    <xf numFmtId="2" fontId="0" fillId="0" borderId="10" xfId="35" applyNumberFormat="1" applyFont="1" applyBorder="1">
      <alignment/>
      <protection/>
    </xf>
    <xf numFmtId="2" fontId="0" fillId="0" borderId="11" xfId="35" applyNumberFormat="1" applyFont="1" applyBorder="1">
      <alignment/>
      <protection/>
    </xf>
    <xf numFmtId="4" fontId="0" fillId="0" borderId="10" xfId="35" applyNumberFormat="1" applyFont="1" applyBorder="1">
      <alignment/>
      <protection/>
    </xf>
    <xf numFmtId="0" fontId="0" fillId="0" borderId="12" xfId="35" applyFont="1" applyBorder="1" applyAlignment="1">
      <alignment horizontal="center" vertical="center" wrapText="1"/>
      <protection/>
    </xf>
    <xf numFmtId="0" fontId="0" fillId="0" borderId="13" xfId="35" applyFont="1" applyBorder="1" applyAlignment="1">
      <alignment horizontal="center" vertical="center" wrapText="1"/>
      <protection/>
    </xf>
    <xf numFmtId="2" fontId="0" fillId="0" borderId="14" xfId="35" applyNumberFormat="1" applyFont="1" applyBorder="1">
      <alignment/>
      <protection/>
    </xf>
    <xf numFmtId="2" fontId="0" fillId="0" borderId="14" xfId="35" applyNumberFormat="1" applyFont="1" applyBorder="1">
      <alignment/>
      <protection/>
    </xf>
    <xf numFmtId="2" fontId="0" fillId="0" borderId="15" xfId="35" applyNumberFormat="1" applyFont="1" applyBorder="1">
      <alignment/>
      <protection/>
    </xf>
    <xf numFmtId="2" fontId="0" fillId="0" borderId="16" xfId="35" applyNumberFormat="1" applyFont="1" applyBorder="1">
      <alignment/>
      <protection/>
    </xf>
    <xf numFmtId="0" fontId="2" fillId="0" borderId="17" xfId="35" applyFont="1" applyBorder="1" applyAlignment="1">
      <alignment horizontal="center"/>
      <protection/>
    </xf>
    <xf numFmtId="0" fontId="2" fillId="0" borderId="18" xfId="35" applyFont="1" applyBorder="1" applyAlignment="1">
      <alignment horizontal="center"/>
      <protection/>
    </xf>
    <xf numFmtId="0" fontId="2" fillId="0" borderId="19" xfId="35" applyFont="1" applyBorder="1" applyAlignment="1">
      <alignment horizontal="center"/>
      <protection/>
    </xf>
    <xf numFmtId="0" fontId="2" fillId="0" borderId="20" xfId="35" applyFont="1" applyBorder="1" applyAlignment="1">
      <alignment horizontal="center"/>
      <protection/>
    </xf>
    <xf numFmtId="0" fontId="0" fillId="0" borderId="0" xfId="35" applyFont="1" applyAlignment="1">
      <alignment horizontal="center"/>
      <protection/>
    </xf>
    <xf numFmtId="0" fontId="0" fillId="0" borderId="0" xfId="35" applyFont="1" applyFill="1" applyBorder="1" applyAlignment="1">
      <alignment/>
      <protection/>
    </xf>
    <xf numFmtId="0" fontId="0" fillId="0" borderId="12" xfId="35" applyFont="1" applyBorder="1">
      <alignment/>
      <protection/>
    </xf>
    <xf numFmtId="0" fontId="0" fillId="0" borderId="13" xfId="35" applyFont="1" applyBorder="1">
      <alignment/>
      <protection/>
    </xf>
    <xf numFmtId="0" fontId="0" fillId="0" borderId="21" xfId="35" applyFont="1" applyBorder="1">
      <alignment/>
      <protection/>
    </xf>
    <xf numFmtId="0" fontId="2" fillId="0" borderId="0" xfId="35" applyFont="1" applyBorder="1" applyAlignment="1">
      <alignment horizontal="center"/>
      <protection/>
    </xf>
    <xf numFmtId="0" fontId="2" fillId="0" borderId="17" xfId="35" applyFont="1" applyBorder="1" applyAlignment="1">
      <alignment horizontal="center" vertical="center" wrapText="1"/>
      <protection/>
    </xf>
    <xf numFmtId="0" fontId="2" fillId="0" borderId="18" xfId="35" applyFont="1" applyBorder="1" applyAlignment="1">
      <alignment horizontal="center" vertical="center" wrapText="1"/>
      <protection/>
    </xf>
    <xf numFmtId="0" fontId="2" fillId="0" borderId="22" xfId="35" applyFont="1" applyBorder="1" applyAlignment="1">
      <alignment horizontal="center" vertical="center" wrapText="1"/>
      <protection/>
    </xf>
    <xf numFmtId="0" fontId="2" fillId="0" borderId="19" xfId="35" applyFont="1" applyBorder="1" applyAlignment="1">
      <alignment horizontal="center" vertical="center" wrapText="1"/>
      <protection/>
    </xf>
    <xf numFmtId="0" fontId="0" fillId="0" borderId="23" xfId="35" applyFont="1" applyBorder="1" applyAlignment="1">
      <alignment horizontal="center"/>
      <protection/>
    </xf>
    <xf numFmtId="1" fontId="0" fillId="0" borderId="24" xfId="35" applyNumberFormat="1" applyFont="1" applyBorder="1" applyAlignment="1">
      <alignment horizontal="center"/>
      <protection/>
    </xf>
    <xf numFmtId="1" fontId="0" fillId="0" borderId="25" xfId="35" applyNumberFormat="1" applyFont="1" applyBorder="1" applyAlignment="1">
      <alignment horizontal="center"/>
      <protection/>
    </xf>
    <xf numFmtId="2" fontId="0" fillId="0" borderId="16" xfId="35" applyNumberFormat="1" applyFont="1" applyBorder="1" applyAlignment="1">
      <alignment horizontal="center"/>
      <protection/>
    </xf>
    <xf numFmtId="2" fontId="0" fillId="0" borderId="26" xfId="35" applyNumberFormat="1" applyFont="1" applyBorder="1" applyAlignment="1">
      <alignment horizontal="center"/>
      <protection/>
    </xf>
    <xf numFmtId="2" fontId="0" fillId="0" borderId="10" xfId="35" applyNumberFormat="1" applyFont="1" applyBorder="1" applyAlignment="1">
      <alignment horizontal="center"/>
      <protection/>
    </xf>
    <xf numFmtId="2" fontId="0" fillId="0" borderId="14" xfId="35" applyNumberFormat="1" applyFont="1" applyBorder="1" applyAlignment="1">
      <alignment horizontal="center"/>
      <protection/>
    </xf>
    <xf numFmtId="2" fontId="0" fillId="0" borderId="11" xfId="35" applyNumberFormat="1" applyFont="1" applyBorder="1" applyAlignment="1">
      <alignment horizontal="center"/>
      <protection/>
    </xf>
    <xf numFmtId="2" fontId="0" fillId="0" borderId="15" xfId="35" applyNumberFormat="1" applyFont="1" applyBorder="1" applyAlignment="1">
      <alignment horizontal="center"/>
      <protection/>
    </xf>
    <xf numFmtId="2" fontId="2" fillId="0" borderId="19" xfId="35" applyNumberFormat="1" applyFont="1" applyBorder="1" applyAlignment="1">
      <alignment horizontal="center"/>
      <protection/>
    </xf>
    <xf numFmtId="0" fontId="0" fillId="0" borderId="0" xfId="35" applyFont="1" applyFill="1" applyBorder="1" applyAlignment="1">
      <alignment horizontal="center" vertical="center" wrapText="1"/>
      <protection/>
    </xf>
    <xf numFmtId="0" fontId="0" fillId="0" borderId="0" xfId="35" applyFont="1" applyAlignment="1">
      <alignment horizontal="center" vertical="center" wrapText="1"/>
      <protection/>
    </xf>
    <xf numFmtId="185" fontId="0" fillId="0" borderId="0" xfId="35" applyNumberFormat="1" applyFont="1">
      <alignment/>
      <protection/>
    </xf>
    <xf numFmtId="0" fontId="6" fillId="0" borderId="0" xfId="35" applyFont="1" applyFill="1" applyBorder="1">
      <alignment/>
      <protection/>
    </xf>
    <xf numFmtId="0" fontId="6" fillId="0" borderId="0" xfId="35" applyFont="1" applyBorder="1">
      <alignment/>
      <protection/>
    </xf>
    <xf numFmtId="0" fontId="6" fillId="0" borderId="0" xfId="35" applyFont="1" applyBorder="1" applyAlignment="1">
      <alignment horizontal="center"/>
      <protection/>
    </xf>
    <xf numFmtId="2" fontId="6" fillId="0" borderId="0" xfId="35" applyNumberFormat="1" applyFont="1" applyBorder="1" applyAlignment="1">
      <alignment horizontal="right"/>
      <protection/>
    </xf>
    <xf numFmtId="2" fontId="6" fillId="0" borderId="27" xfId="35" applyNumberFormat="1" applyFont="1" applyBorder="1" applyAlignment="1">
      <alignment horizontal="right"/>
      <protection/>
    </xf>
    <xf numFmtId="2" fontId="6" fillId="0" borderId="27" xfId="35" applyNumberFormat="1" applyFont="1" applyFill="1" applyBorder="1" applyAlignment="1">
      <alignment horizontal="right"/>
      <protection/>
    </xf>
    <xf numFmtId="2" fontId="6" fillId="0" borderId="0" xfId="35" applyNumberFormat="1" applyFont="1" applyBorder="1">
      <alignment/>
      <protection/>
    </xf>
    <xf numFmtId="2" fontId="6" fillId="0" borderId="27" xfId="35" applyNumberFormat="1" applyFont="1" applyBorder="1">
      <alignment/>
      <protection/>
    </xf>
    <xf numFmtId="2" fontId="6" fillId="0" borderId="28" xfId="35" applyNumberFormat="1" applyFont="1" applyBorder="1">
      <alignment/>
      <protection/>
    </xf>
    <xf numFmtId="2" fontId="6" fillId="0" borderId="29" xfId="35" applyNumberFormat="1" applyFont="1" applyBorder="1">
      <alignment/>
      <protection/>
    </xf>
    <xf numFmtId="2" fontId="6" fillId="0" borderId="30" xfId="35" applyNumberFormat="1" applyFont="1" applyBorder="1">
      <alignment/>
      <protection/>
    </xf>
    <xf numFmtId="2" fontId="6" fillId="0" borderId="31" xfId="35" applyNumberFormat="1" applyFont="1" applyBorder="1">
      <alignment/>
      <protection/>
    </xf>
    <xf numFmtId="2" fontId="9" fillId="0" borderId="0" xfId="35" applyNumberFormat="1" applyFont="1" applyBorder="1" applyAlignment="1">
      <alignment horizontal="right"/>
      <protection/>
    </xf>
    <xf numFmtId="2" fontId="9" fillId="0" borderId="27" xfId="35" applyNumberFormat="1" applyFont="1" applyBorder="1" applyAlignment="1">
      <alignment horizontal="right"/>
      <protection/>
    </xf>
    <xf numFmtId="0" fontId="7" fillId="0" borderId="17" xfId="35" applyFont="1" applyBorder="1" applyAlignment="1">
      <alignment horizontal="center"/>
      <protection/>
    </xf>
    <xf numFmtId="0" fontId="6" fillId="0" borderId="32" xfId="35" applyFont="1" applyBorder="1">
      <alignment/>
      <protection/>
    </xf>
    <xf numFmtId="0" fontId="8" fillId="0" borderId="33" xfId="35" applyFont="1" applyBorder="1">
      <alignment/>
      <protection/>
    </xf>
    <xf numFmtId="0" fontId="6" fillId="0" borderId="33" xfId="35" applyFont="1" applyBorder="1" applyAlignment="1">
      <alignment horizontal="center"/>
      <protection/>
    </xf>
    <xf numFmtId="0" fontId="6" fillId="0" borderId="33" xfId="35" applyFont="1" applyBorder="1">
      <alignment/>
      <protection/>
    </xf>
    <xf numFmtId="0" fontId="10" fillId="0" borderId="33" xfId="35" applyFont="1" applyBorder="1">
      <alignment/>
      <protection/>
    </xf>
    <xf numFmtId="0" fontId="6" fillId="0" borderId="33" xfId="35" applyFont="1" applyBorder="1" applyAlignment="1">
      <alignment horizontal="right"/>
      <protection/>
    </xf>
    <xf numFmtId="0" fontId="10" fillId="0" borderId="34" xfId="35" applyFont="1" applyFill="1" applyBorder="1">
      <alignment/>
      <protection/>
    </xf>
    <xf numFmtId="0" fontId="8" fillId="0" borderId="33" xfId="35" applyFont="1" applyFill="1" applyBorder="1">
      <alignment/>
      <protection/>
    </xf>
    <xf numFmtId="0" fontId="8" fillId="0" borderId="34" xfId="35" applyFont="1" applyFill="1" applyBorder="1">
      <alignment/>
      <protection/>
    </xf>
    <xf numFmtId="0" fontId="6" fillId="0" borderId="33" xfId="35" applyFont="1" applyFill="1" applyBorder="1">
      <alignment/>
      <protection/>
    </xf>
    <xf numFmtId="0" fontId="6" fillId="0" borderId="34" xfId="35" applyFont="1" applyBorder="1">
      <alignment/>
      <protection/>
    </xf>
    <xf numFmtId="0" fontId="8" fillId="0" borderId="32" xfId="35" applyFont="1" applyBorder="1">
      <alignment/>
      <protection/>
    </xf>
    <xf numFmtId="0" fontId="10" fillId="0" borderId="32" xfId="35" applyFont="1" applyBorder="1">
      <alignment/>
      <protection/>
    </xf>
    <xf numFmtId="0" fontId="10" fillId="0" borderId="33" xfId="35" applyFont="1" applyFill="1" applyBorder="1">
      <alignment/>
      <protection/>
    </xf>
    <xf numFmtId="2" fontId="6" fillId="0" borderId="28" xfId="35" applyNumberFormat="1" applyFont="1" applyFill="1" applyBorder="1" applyAlignment="1">
      <alignment horizontal="right"/>
      <protection/>
    </xf>
    <xf numFmtId="2" fontId="11" fillId="0" borderId="29" xfId="35" applyNumberFormat="1" applyFont="1" applyBorder="1">
      <alignment/>
      <protection/>
    </xf>
    <xf numFmtId="2" fontId="11" fillId="0" borderId="30" xfId="35" applyNumberFormat="1" applyFont="1" applyBorder="1">
      <alignment/>
      <protection/>
    </xf>
    <xf numFmtId="2" fontId="11" fillId="0" borderId="31" xfId="35" applyNumberFormat="1" applyFont="1" applyBorder="1">
      <alignment/>
      <protection/>
    </xf>
    <xf numFmtId="2" fontId="6" fillId="0" borderId="35" xfId="35" applyNumberFormat="1" applyFont="1" applyBorder="1">
      <alignment/>
      <protection/>
    </xf>
    <xf numFmtId="2" fontId="6" fillId="0" borderId="0" xfId="35" applyNumberFormat="1" applyFont="1" applyBorder="1" applyAlignment="1">
      <alignment horizontal="center"/>
      <protection/>
    </xf>
    <xf numFmtId="2" fontId="6" fillId="0" borderId="36" xfId="35" applyNumberFormat="1" applyFont="1" applyBorder="1">
      <alignment/>
      <protection/>
    </xf>
    <xf numFmtId="2" fontId="6" fillId="0" borderId="37" xfId="35" applyNumberFormat="1" applyFont="1" applyBorder="1">
      <alignment/>
      <protection/>
    </xf>
    <xf numFmtId="2" fontId="8" fillId="0" borderId="27" xfId="35" applyNumberFormat="1" applyFont="1" applyBorder="1">
      <alignment/>
      <protection/>
    </xf>
    <xf numFmtId="2" fontId="6" fillId="0" borderId="27" xfId="35" applyNumberFormat="1" applyFont="1" applyBorder="1" applyAlignment="1">
      <alignment horizontal="center"/>
      <protection/>
    </xf>
    <xf numFmtId="2" fontId="10" fillId="0" borderId="27" xfId="35" applyNumberFormat="1" applyFont="1" applyBorder="1">
      <alignment/>
      <protection/>
    </xf>
    <xf numFmtId="2" fontId="10" fillId="0" borderId="30" xfId="35" applyNumberFormat="1" applyFont="1" applyFill="1" applyBorder="1">
      <alignment/>
      <protection/>
    </xf>
    <xf numFmtId="2" fontId="8" fillId="0" borderId="27" xfId="35" applyNumberFormat="1" applyFont="1" applyFill="1" applyBorder="1">
      <alignment/>
      <protection/>
    </xf>
    <xf numFmtId="2" fontId="8" fillId="0" borderId="30" xfId="35" applyNumberFormat="1" applyFont="1" applyFill="1" applyBorder="1">
      <alignment/>
      <protection/>
    </xf>
    <xf numFmtId="2" fontId="6" fillId="0" borderId="27" xfId="35" applyNumberFormat="1" applyFont="1" applyFill="1" applyBorder="1">
      <alignment/>
      <protection/>
    </xf>
    <xf numFmtId="2" fontId="8" fillId="0" borderId="36" xfId="35" applyNumberFormat="1" applyFont="1" applyBorder="1">
      <alignment/>
      <protection/>
    </xf>
    <xf numFmtId="2" fontId="10" fillId="0" borderId="27" xfId="35" applyNumberFormat="1" applyFont="1" applyFill="1" applyBorder="1">
      <alignment/>
      <protection/>
    </xf>
    <xf numFmtId="2" fontId="6" fillId="0" borderId="0" xfId="35" applyNumberFormat="1" applyFont="1" applyFill="1" applyBorder="1">
      <alignment/>
      <protection/>
    </xf>
    <xf numFmtId="10" fontId="6" fillId="0" borderId="0" xfId="56" applyNumberFormat="1" applyFont="1" applyBorder="1" applyAlignment="1">
      <alignment/>
    </xf>
    <xf numFmtId="1" fontId="7" fillId="0" borderId="17" xfId="35" applyNumberFormat="1" applyFont="1" applyBorder="1" applyAlignment="1">
      <alignment horizontal="center"/>
      <protection/>
    </xf>
    <xf numFmtId="1" fontId="7" fillId="0" borderId="18" xfId="35" applyNumberFormat="1" applyFont="1" applyBorder="1" applyAlignment="1">
      <alignment horizontal="center"/>
      <protection/>
    </xf>
    <xf numFmtId="1" fontId="7" fillId="0" borderId="22" xfId="35" applyNumberFormat="1" applyFont="1" applyBorder="1" applyAlignment="1">
      <alignment horizontal="center"/>
      <protection/>
    </xf>
    <xf numFmtId="1" fontId="7" fillId="0" borderId="22" xfId="35" applyNumberFormat="1" applyFont="1" applyFill="1" applyBorder="1" applyAlignment="1">
      <alignment horizontal="center"/>
      <protection/>
    </xf>
    <xf numFmtId="1" fontId="7" fillId="0" borderId="18" xfId="35" applyNumberFormat="1" applyFont="1" applyFill="1" applyBorder="1" applyAlignment="1">
      <alignment horizontal="center"/>
      <protection/>
    </xf>
    <xf numFmtId="0" fontId="2" fillId="0" borderId="30" xfId="35" applyFont="1" applyBorder="1" applyAlignment="1">
      <alignment horizontal="center"/>
      <protection/>
    </xf>
    <xf numFmtId="2" fontId="6" fillId="0" borderId="32" xfId="35" applyNumberFormat="1" applyFont="1" applyBorder="1">
      <alignment/>
      <protection/>
    </xf>
    <xf numFmtId="2" fontId="8" fillId="0" borderId="33" xfId="35" applyNumberFormat="1" applyFont="1" applyBorder="1">
      <alignment/>
      <protection/>
    </xf>
    <xf numFmtId="2" fontId="6" fillId="0" borderId="33" xfId="35" applyNumberFormat="1" applyFont="1" applyBorder="1">
      <alignment/>
      <protection/>
    </xf>
    <xf numFmtId="2" fontId="10" fillId="0" borderId="34" xfId="35" applyNumberFormat="1" applyFont="1" applyFill="1" applyBorder="1">
      <alignment/>
      <protection/>
    </xf>
    <xf numFmtId="0" fontId="16" fillId="24" borderId="38" xfId="35" applyFont="1" applyFill="1" applyBorder="1" applyAlignment="1">
      <alignment horizontal="center" vertical="center" wrapText="1"/>
      <protection/>
    </xf>
    <xf numFmtId="0" fontId="1" fillId="0" borderId="38" xfId="35" applyFont="1" applyBorder="1" applyAlignment="1">
      <alignment horizontal="center" vertical="center" wrapText="1"/>
      <protection/>
    </xf>
    <xf numFmtId="197" fontId="1" fillId="0" borderId="38" xfId="35" applyNumberFormat="1" applyFont="1" applyFill="1" applyBorder="1" applyAlignment="1">
      <alignment horizontal="center" vertical="center" wrapText="1"/>
      <protection/>
    </xf>
    <xf numFmtId="0" fontId="18" fillId="0" borderId="0" xfId="35" applyFont="1">
      <alignment/>
      <protection/>
    </xf>
    <xf numFmtId="0" fontId="17" fillId="0" borderId="0" xfId="35" applyFont="1">
      <alignment/>
      <protection/>
    </xf>
    <xf numFmtId="0" fontId="17" fillId="0" borderId="32" xfId="35" applyFont="1" applyBorder="1">
      <alignment/>
      <protection/>
    </xf>
    <xf numFmtId="0" fontId="17" fillId="0" borderId="35" xfId="35" applyFont="1" applyBorder="1">
      <alignment/>
      <protection/>
    </xf>
    <xf numFmtId="0" fontId="17" fillId="0" borderId="37" xfId="35" applyFont="1" applyBorder="1">
      <alignment/>
      <protection/>
    </xf>
    <xf numFmtId="0" fontId="17" fillId="0" borderId="34" xfId="35" applyFont="1" applyBorder="1">
      <alignment/>
      <protection/>
    </xf>
    <xf numFmtId="0" fontId="12" fillId="0" borderId="29" xfId="35" applyFont="1" applyBorder="1">
      <alignment/>
      <protection/>
    </xf>
    <xf numFmtId="0" fontId="17" fillId="0" borderId="31" xfId="35" applyFont="1" applyBorder="1">
      <alignment/>
      <protection/>
    </xf>
    <xf numFmtId="2" fontId="17" fillId="0" borderId="29" xfId="35" applyNumberFormat="1" applyFont="1" applyBorder="1">
      <alignment/>
      <protection/>
    </xf>
    <xf numFmtId="9" fontId="0" fillId="0" borderId="0" xfId="56" applyFont="1" applyAlignment="1">
      <alignment/>
    </xf>
    <xf numFmtId="0" fontId="16" fillId="24" borderId="39" xfId="35" applyFont="1" applyFill="1" applyBorder="1" applyAlignment="1">
      <alignment horizontal="center" vertical="center" wrapText="1"/>
      <protection/>
    </xf>
    <xf numFmtId="0" fontId="1" fillId="0" borderId="39" xfId="35" applyFont="1" applyBorder="1" applyAlignment="1">
      <alignment horizontal="center" vertical="center" wrapText="1"/>
      <protection/>
    </xf>
    <xf numFmtId="197" fontId="1" fillId="0" borderId="39" xfId="35" applyNumberFormat="1" applyFont="1" applyFill="1" applyBorder="1" applyAlignment="1">
      <alignment horizontal="center" vertical="center" wrapText="1"/>
      <protection/>
    </xf>
    <xf numFmtId="0" fontId="16" fillId="24" borderId="40" xfId="35" applyFont="1" applyFill="1" applyBorder="1" applyAlignment="1">
      <alignment horizontal="center" vertical="center" wrapText="1"/>
      <protection/>
    </xf>
    <xf numFmtId="0" fontId="16" fillId="24" borderId="41" xfId="35" applyFont="1" applyFill="1" applyBorder="1" applyAlignment="1">
      <alignment horizontal="center" vertical="center" wrapText="1"/>
      <protection/>
    </xf>
    <xf numFmtId="197" fontId="0" fillId="0" borderId="0" xfId="35" applyNumberFormat="1" applyFont="1">
      <alignment/>
      <protection/>
    </xf>
    <xf numFmtId="10" fontId="0" fillId="0" borderId="0" xfId="35" applyNumberFormat="1" applyFont="1">
      <alignment/>
      <protection/>
    </xf>
    <xf numFmtId="0" fontId="19" fillId="0" borderId="0" xfId="35" applyFont="1" applyAlignment="1">
      <alignment vertical="center" wrapText="1"/>
      <protection/>
    </xf>
    <xf numFmtId="0" fontId="20" fillId="0" borderId="39" xfId="35" applyFont="1" applyFill="1" applyBorder="1" applyAlignment="1">
      <alignment horizontal="center"/>
      <protection/>
    </xf>
    <xf numFmtId="0" fontId="20" fillId="4" borderId="39" xfId="35" applyFont="1" applyFill="1" applyBorder="1" applyAlignment="1">
      <alignment horizontal="center"/>
      <protection/>
    </xf>
    <xf numFmtId="0" fontId="20" fillId="0" borderId="39" xfId="35" applyFont="1" applyFill="1" applyBorder="1">
      <alignment/>
      <protection/>
    </xf>
    <xf numFmtId="170" fontId="21" fillId="0" borderId="39" xfId="51" applyFont="1" applyFill="1" applyBorder="1" applyAlignment="1">
      <alignment/>
    </xf>
    <xf numFmtId="167" fontId="21" fillId="0" borderId="39" xfId="51" applyNumberFormat="1" applyFont="1" applyFill="1" applyBorder="1" applyAlignment="1">
      <alignment/>
    </xf>
    <xf numFmtId="0" fontId="20" fillId="0" borderId="39" xfId="35" applyFont="1" applyFill="1" applyBorder="1" applyAlignment="1">
      <alignment wrapText="1" shrinkToFit="1"/>
      <protection/>
    </xf>
    <xf numFmtId="171" fontId="21" fillId="0" borderId="39" xfId="49" applyFont="1" applyFill="1" applyBorder="1" applyAlignment="1">
      <alignment/>
    </xf>
    <xf numFmtId="0" fontId="1" fillId="0" borderId="0" xfId="35" applyFont="1" applyBorder="1" applyAlignment="1">
      <alignment horizontal="center" vertical="center" wrapText="1"/>
      <protection/>
    </xf>
    <xf numFmtId="197" fontId="1" fillId="0" borderId="0" xfId="35" applyNumberFormat="1" applyFont="1" applyFill="1" applyBorder="1" applyAlignment="1">
      <alignment horizontal="center" vertical="center" wrapText="1"/>
      <protection/>
    </xf>
    <xf numFmtId="197" fontId="21" fillId="0" borderId="39" xfId="51" applyNumberFormat="1" applyFont="1" applyFill="1" applyBorder="1" applyAlignment="1">
      <alignment/>
    </xf>
    <xf numFmtId="0" fontId="1" fillId="0" borderId="38" xfId="35" applyFont="1" applyFill="1" applyBorder="1" applyAlignment="1">
      <alignment horizontal="center" vertical="center" wrapText="1"/>
      <protection/>
    </xf>
    <xf numFmtId="9" fontId="0" fillId="0" borderId="0" xfId="56" applyAlignment="1">
      <alignment/>
    </xf>
    <xf numFmtId="0" fontId="7" fillId="0" borderId="0" xfId="35" applyFont="1" applyBorder="1">
      <alignment/>
      <protection/>
    </xf>
    <xf numFmtId="9" fontId="6" fillId="0" borderId="0" xfId="56" applyFont="1" applyBorder="1" applyAlignment="1">
      <alignment/>
    </xf>
    <xf numFmtId="9" fontId="6" fillId="0" borderId="0" xfId="56" applyNumberFormat="1" applyFont="1" applyBorder="1" applyAlignment="1">
      <alignment/>
    </xf>
    <xf numFmtId="0" fontId="1" fillId="0" borderId="0" xfId="35" applyFont="1">
      <alignment/>
      <protection/>
    </xf>
    <xf numFmtId="196" fontId="17" fillId="0" borderId="0" xfId="35" applyNumberFormat="1" applyFont="1">
      <alignment/>
      <protection/>
    </xf>
    <xf numFmtId="167" fontId="17" fillId="0" borderId="0" xfId="35" applyNumberFormat="1" applyFont="1">
      <alignment/>
      <protection/>
    </xf>
    <xf numFmtId="10" fontId="17" fillId="0" borderId="0" xfId="35" applyNumberFormat="1" applyFont="1">
      <alignment/>
      <protection/>
    </xf>
    <xf numFmtId="10" fontId="0" fillId="0" borderId="0" xfId="56" applyNumberFormat="1" applyFont="1" applyAlignment="1">
      <alignment/>
    </xf>
    <xf numFmtId="10" fontId="6" fillId="0" borderId="0" xfId="35" applyNumberFormat="1" applyFont="1" applyBorder="1">
      <alignment/>
      <protection/>
    </xf>
    <xf numFmtId="167" fontId="6" fillId="0" borderId="0" xfId="35" applyNumberFormat="1" applyFont="1" applyBorder="1">
      <alignment/>
      <protection/>
    </xf>
    <xf numFmtId="9" fontId="6" fillId="0" borderId="0" xfId="35" applyNumberFormat="1" applyFont="1" applyBorder="1">
      <alignment/>
      <protection/>
    </xf>
    <xf numFmtId="2" fontId="8" fillId="0" borderId="33" xfId="35" applyNumberFormat="1" applyFont="1" applyFill="1" applyBorder="1">
      <alignment/>
      <protection/>
    </xf>
    <xf numFmtId="2" fontId="8" fillId="0" borderId="34" xfId="35" applyNumberFormat="1" applyFont="1" applyFill="1" applyBorder="1">
      <alignment/>
      <protection/>
    </xf>
    <xf numFmtId="2" fontId="8" fillId="0" borderId="32" xfId="35" applyNumberFormat="1" applyFont="1" applyBorder="1">
      <alignment/>
      <protection/>
    </xf>
    <xf numFmtId="2" fontId="6" fillId="0" borderId="33" xfId="35" applyNumberFormat="1" applyFont="1" applyFill="1" applyBorder="1">
      <alignment/>
      <protection/>
    </xf>
    <xf numFmtId="2" fontId="10" fillId="0" borderId="33" xfId="35" applyNumberFormat="1" applyFont="1" applyBorder="1">
      <alignment/>
      <protection/>
    </xf>
    <xf numFmtId="2" fontId="10" fillId="0" borderId="33" xfId="35" applyNumberFormat="1" applyFont="1" applyFill="1" applyBorder="1">
      <alignment/>
      <protection/>
    </xf>
    <xf numFmtId="0" fontId="20" fillId="22" borderId="39" xfId="35" applyFont="1" applyFill="1" applyBorder="1" applyAlignment="1">
      <alignment horizontal="center"/>
      <protection/>
    </xf>
    <xf numFmtId="196" fontId="21" fillId="0" borderId="39" xfId="49" applyNumberFormat="1" applyFont="1" applyFill="1" applyBorder="1" applyAlignment="1">
      <alignment/>
    </xf>
    <xf numFmtId="196" fontId="21" fillId="25" borderId="39" xfId="49" applyNumberFormat="1" applyFont="1" applyFill="1" applyBorder="1" applyAlignment="1">
      <alignment/>
    </xf>
    <xf numFmtId="167" fontId="6" fillId="0" borderId="39" xfId="35" applyNumberFormat="1" applyFont="1" applyBorder="1">
      <alignment/>
      <protection/>
    </xf>
    <xf numFmtId="10" fontId="0" fillId="0" borderId="0" xfId="56" applyNumberFormat="1" applyAlignment="1">
      <alignment/>
    </xf>
    <xf numFmtId="9" fontId="21" fillId="0" borderId="39" xfId="56" applyNumberFormat="1" applyFont="1" applyFill="1" applyBorder="1" applyAlignment="1">
      <alignment horizontal="center"/>
    </xf>
    <xf numFmtId="9" fontId="21" fillId="25" borderId="39" xfId="56" applyNumberFormat="1" applyFont="1" applyFill="1" applyBorder="1" applyAlignment="1">
      <alignment horizontal="center"/>
    </xf>
    <xf numFmtId="197" fontId="0" fillId="0" borderId="0" xfId="35" applyNumberFormat="1" applyFont="1" applyFill="1" applyBorder="1">
      <alignment/>
      <protection/>
    </xf>
    <xf numFmtId="197" fontId="1" fillId="0" borderId="42" xfId="35" applyNumberFormat="1" applyFont="1" applyFill="1" applyBorder="1" applyAlignment="1">
      <alignment horizontal="center" vertical="center" wrapText="1"/>
      <protection/>
    </xf>
    <xf numFmtId="0" fontId="1" fillId="0" borderId="12" xfId="35" applyFont="1" applyBorder="1" applyAlignment="1">
      <alignment horizontal="center"/>
      <protection/>
    </xf>
    <xf numFmtId="2" fontId="1" fillId="0" borderId="10" xfId="35" applyNumberFormat="1" applyFont="1" applyBorder="1">
      <alignment/>
      <protection/>
    </xf>
    <xf numFmtId="2" fontId="1" fillId="0" borderId="24" xfId="35" applyNumberFormat="1" applyFont="1" applyBorder="1">
      <alignment/>
      <protection/>
    </xf>
    <xf numFmtId="0" fontId="1" fillId="0" borderId="34" xfId="35" applyFont="1" applyBorder="1" applyAlignment="1">
      <alignment horizontal="center"/>
      <protection/>
    </xf>
    <xf numFmtId="2" fontId="1" fillId="0" borderId="11" xfId="35" applyNumberFormat="1" applyFont="1" applyBorder="1">
      <alignment/>
      <protection/>
    </xf>
    <xf numFmtId="2" fontId="1" fillId="0" borderId="29" xfId="35" applyNumberFormat="1" applyFont="1" applyBorder="1">
      <alignment/>
      <protection/>
    </xf>
    <xf numFmtId="2" fontId="1" fillId="0" borderId="30" xfId="35" applyNumberFormat="1" applyFont="1" applyBorder="1">
      <alignment/>
      <protection/>
    </xf>
    <xf numFmtId="14" fontId="1" fillId="0" borderId="0" xfId="35" applyNumberFormat="1" applyFont="1" applyBorder="1" applyAlignment="1">
      <alignment horizontal="center" vertical="center" wrapText="1"/>
      <protection/>
    </xf>
    <xf numFmtId="14" fontId="1" fillId="0" borderId="0" xfId="35" applyNumberFormat="1" applyFont="1" applyBorder="1" applyAlignment="1">
      <alignment horizontal="left" vertical="center" wrapText="1"/>
      <protection/>
    </xf>
    <xf numFmtId="198" fontId="1" fillId="0" borderId="0" xfId="35" applyNumberFormat="1" applyFont="1" applyBorder="1" applyAlignment="1">
      <alignment horizontal="center" vertical="center" wrapText="1"/>
      <protection/>
    </xf>
    <xf numFmtId="198" fontId="1" fillId="0" borderId="0" xfId="35" applyNumberFormat="1" applyFont="1" applyFill="1" applyBorder="1" applyAlignment="1">
      <alignment horizontal="center" vertical="center" wrapText="1"/>
      <protection/>
    </xf>
    <xf numFmtId="0" fontId="1" fillId="0" borderId="0" xfId="35" applyFont="1" applyAlignment="1">
      <alignment horizontal="left" vertical="center" wrapText="1"/>
      <protection/>
    </xf>
    <xf numFmtId="0" fontId="0" fillId="0" borderId="0" xfId="35" applyFont="1">
      <alignment/>
      <protection/>
    </xf>
    <xf numFmtId="197" fontId="1" fillId="0" borderId="0" xfId="35" applyNumberFormat="1" applyFont="1" applyFill="1" applyBorder="1" applyAlignment="1">
      <alignment vertical="center" wrapText="1"/>
      <protection/>
    </xf>
    <xf numFmtId="0" fontId="1" fillId="0" borderId="0" xfId="35" applyFont="1" applyAlignment="1">
      <alignment horizontal="left" vertical="top" wrapText="1"/>
      <protection/>
    </xf>
    <xf numFmtId="0" fontId="1" fillId="0" borderId="0" xfId="35" applyFont="1" applyFill="1" applyAlignment="1">
      <alignment wrapText="1"/>
      <protection/>
    </xf>
    <xf numFmtId="0" fontId="17" fillId="0" borderId="0" xfId="35" applyFont="1" applyBorder="1">
      <alignment/>
      <protection/>
    </xf>
    <xf numFmtId="0" fontId="17" fillId="0" borderId="0" xfId="35" applyFont="1" applyAlignment="1">
      <alignment horizontal="center"/>
      <protection/>
    </xf>
    <xf numFmtId="0" fontId="1" fillId="0" borderId="0" xfId="35" applyFont="1" applyAlignment="1">
      <alignment horizontal="center" vertical="center" wrapText="1"/>
      <protection/>
    </xf>
    <xf numFmtId="0" fontId="1" fillId="0" borderId="0" xfId="35" applyFont="1" applyAlignment="1">
      <alignment horizontal="center" vertical="top" wrapText="1"/>
      <protection/>
    </xf>
    <xf numFmtId="0" fontId="17" fillId="0" borderId="0" xfId="35" applyFont="1" applyAlignment="1">
      <alignment/>
      <protection/>
    </xf>
    <xf numFmtId="0" fontId="0" fillId="0" borderId="0" xfId="35" applyFont="1" applyAlignment="1">
      <alignment horizontal="center" vertical="center"/>
      <protection/>
    </xf>
    <xf numFmtId="1" fontId="26" fillId="0" borderId="0" xfId="35" applyNumberFormat="1" applyFont="1" applyFill="1" applyBorder="1" applyAlignment="1">
      <alignment horizontal="left" vertical="center"/>
      <protection/>
    </xf>
    <xf numFmtId="0" fontId="2" fillId="0" borderId="0" xfId="54" applyFont="1" applyAlignment="1">
      <alignment horizontal="center"/>
      <protection/>
    </xf>
    <xf numFmtId="0" fontId="0" fillId="0" borderId="0" xfId="54">
      <alignment/>
      <protection/>
    </xf>
    <xf numFmtId="0" fontId="2" fillId="0" borderId="39" xfId="54" applyFont="1" applyBorder="1" applyAlignment="1">
      <alignment horizontal="center" vertical="center" wrapText="1"/>
      <protection/>
    </xf>
    <xf numFmtId="0" fontId="0" fillId="0" borderId="0" xfId="54" applyAlignment="1">
      <alignment horizontal="center" vertical="center" wrapText="1"/>
      <protection/>
    </xf>
    <xf numFmtId="0" fontId="0" fillId="0" borderId="39" xfId="54" applyBorder="1">
      <alignment/>
      <protection/>
    </xf>
    <xf numFmtId="0" fontId="0" fillId="0" borderId="39" xfId="54" applyBorder="1" applyAlignment="1">
      <alignment horizontal="center"/>
      <protection/>
    </xf>
    <xf numFmtId="2" fontId="0" fillId="0" borderId="39" xfId="54" applyNumberFormat="1" applyBorder="1" applyAlignment="1">
      <alignment horizontal="center"/>
      <protection/>
    </xf>
    <xf numFmtId="196" fontId="0" fillId="0" borderId="39" xfId="54" applyNumberFormat="1" applyFont="1" applyBorder="1" applyAlignment="1">
      <alignment horizontal="right"/>
      <protection/>
    </xf>
    <xf numFmtId="0" fontId="2" fillId="0" borderId="43" xfId="54" applyFont="1" applyBorder="1" applyAlignment="1">
      <alignment horizontal="left"/>
      <protection/>
    </xf>
    <xf numFmtId="196" fontId="2" fillId="0" borderId="39" xfId="54" applyNumberFormat="1" applyFont="1" applyBorder="1" applyAlignment="1">
      <alignment horizontal="right"/>
      <protection/>
    </xf>
    <xf numFmtId="0" fontId="6" fillId="0" borderId="44" xfId="54" applyFont="1" applyFill="1" applyBorder="1">
      <alignment/>
      <protection/>
    </xf>
    <xf numFmtId="0" fontId="2" fillId="0" borderId="39" xfId="54" applyFont="1" applyBorder="1" applyAlignment="1">
      <alignment horizontal="center"/>
      <protection/>
    </xf>
    <xf numFmtId="0" fontId="2" fillId="0" borderId="43" xfId="54" applyFont="1" applyBorder="1" applyAlignment="1">
      <alignment horizontal="center"/>
      <protection/>
    </xf>
    <xf numFmtId="0" fontId="0" fillId="0" borderId="0" xfId="54" applyFont="1">
      <alignment/>
      <protection/>
    </xf>
    <xf numFmtId="0" fontId="0" fillId="0" borderId="39" xfId="54" applyFont="1" applyBorder="1">
      <alignment/>
      <protection/>
    </xf>
    <xf numFmtId="2" fontId="0" fillId="0" borderId="39" xfId="54" applyNumberFormat="1" applyFont="1" applyBorder="1">
      <alignment/>
      <protection/>
    </xf>
    <xf numFmtId="0" fontId="0" fillId="0" borderId="39" xfId="54" applyFont="1" applyBorder="1" applyAlignment="1">
      <alignment horizontal="center"/>
      <protection/>
    </xf>
    <xf numFmtId="4" fontId="0" fillId="0" borderId="0" xfId="54" applyNumberFormat="1" applyFont="1" applyFill="1" applyBorder="1">
      <alignment/>
      <protection/>
    </xf>
    <xf numFmtId="0" fontId="13" fillId="0" borderId="39" xfId="54" applyFont="1" applyFill="1" applyBorder="1">
      <alignment/>
      <protection/>
    </xf>
    <xf numFmtId="2" fontId="13" fillId="0" borderId="39" xfId="54" applyNumberFormat="1" applyFont="1" applyBorder="1">
      <alignment/>
      <protection/>
    </xf>
    <xf numFmtId="2" fontId="0" fillId="0" borderId="0" xfId="54" applyNumberFormat="1" applyFont="1" applyBorder="1">
      <alignment/>
      <protection/>
    </xf>
    <xf numFmtId="2" fontId="0" fillId="0" borderId="0" xfId="54" applyNumberFormat="1" applyFont="1">
      <alignment/>
      <protection/>
    </xf>
    <xf numFmtId="2" fontId="0" fillId="0" borderId="40" xfId="54" applyNumberFormat="1" applyFont="1" applyBorder="1">
      <alignment/>
      <protection/>
    </xf>
    <xf numFmtId="0" fontId="13" fillId="0" borderId="45" xfId="54" applyFont="1" applyBorder="1">
      <alignment/>
      <protection/>
    </xf>
    <xf numFmtId="0" fontId="13" fillId="0" borderId="39" xfId="54" applyFont="1" applyBorder="1">
      <alignment/>
      <protection/>
    </xf>
    <xf numFmtId="0" fontId="0" fillId="0" borderId="0" xfId="54" applyFont="1" applyBorder="1">
      <alignment/>
      <protection/>
    </xf>
    <xf numFmtId="0" fontId="2" fillId="0" borderId="0" xfId="54" applyFont="1" applyAlignment="1">
      <alignment horizontal="center" vertical="center" wrapText="1"/>
      <protection/>
    </xf>
    <xf numFmtId="165" fontId="0" fillId="0" borderId="39" xfId="54" applyNumberFormat="1" applyBorder="1" applyAlignment="1">
      <alignment horizontal="center"/>
      <protection/>
    </xf>
    <xf numFmtId="196" fontId="0" fillId="0" borderId="39" xfId="54" applyNumberFormat="1" applyBorder="1" applyAlignment="1">
      <alignment horizontal="center"/>
      <protection/>
    </xf>
    <xf numFmtId="196" fontId="0" fillId="0" borderId="39" xfId="54" applyNumberFormat="1" applyBorder="1" applyAlignment="1">
      <alignment horizontal="right"/>
      <protection/>
    </xf>
    <xf numFmtId="196" fontId="0" fillId="0" borderId="39" xfId="54" applyNumberFormat="1" applyBorder="1">
      <alignment/>
      <protection/>
    </xf>
    <xf numFmtId="196" fontId="2" fillId="0" borderId="39" xfId="54" applyNumberFormat="1" applyFont="1" applyBorder="1">
      <alignment/>
      <protection/>
    </xf>
    <xf numFmtId="0" fontId="0" fillId="0" borderId="0" xfId="54" applyAlignment="1">
      <alignment horizontal="center"/>
      <protection/>
    </xf>
    <xf numFmtId="196" fontId="0" fillId="0" borderId="0" xfId="54" applyNumberFormat="1">
      <alignment/>
      <protection/>
    </xf>
    <xf numFmtId="0" fontId="2" fillId="16" borderId="39" xfId="35" applyFont="1" applyFill="1" applyBorder="1">
      <alignment/>
      <protection/>
    </xf>
    <xf numFmtId="184" fontId="2" fillId="0" borderId="39" xfId="35" applyNumberFormat="1" applyFont="1" applyBorder="1">
      <alignment/>
      <protection/>
    </xf>
    <xf numFmtId="0" fontId="2" fillId="0" borderId="18" xfId="35" applyFont="1" applyFill="1" applyBorder="1" applyAlignment="1">
      <alignment horizontal="center" vertical="center" wrapText="1"/>
      <protection/>
    </xf>
    <xf numFmtId="0" fontId="2" fillId="0" borderId="17" xfId="35" applyFont="1" applyFill="1" applyBorder="1" applyAlignment="1">
      <alignment horizontal="center" vertical="center" wrapText="1"/>
      <protection/>
    </xf>
    <xf numFmtId="0" fontId="2" fillId="0" borderId="36" xfId="35" applyFont="1" applyBorder="1" applyAlignment="1">
      <alignment horizontal="center" vertical="center" wrapText="1"/>
      <protection/>
    </xf>
    <xf numFmtId="184" fontId="2" fillId="0" borderId="30" xfId="35" applyNumberFormat="1" applyFont="1" applyFill="1" applyBorder="1">
      <alignment/>
      <protection/>
    </xf>
    <xf numFmtId="0" fontId="6" fillId="0" borderId="0" xfId="35" applyFont="1">
      <alignment/>
      <protection/>
    </xf>
    <xf numFmtId="0" fontId="0" fillId="0" borderId="0" xfId="35" applyFont="1">
      <alignment/>
      <protection/>
    </xf>
    <xf numFmtId="0" fontId="28" fillId="0" borderId="16" xfId="35" applyFont="1" applyFill="1" applyBorder="1" applyAlignment="1">
      <alignment horizontal="center"/>
      <protection/>
    </xf>
    <xf numFmtId="2" fontId="28" fillId="0" borderId="21" xfId="35" applyNumberFormat="1" applyFont="1" applyBorder="1">
      <alignment/>
      <protection/>
    </xf>
    <xf numFmtId="0" fontId="28" fillId="0" borderId="46" xfId="35" applyFont="1" applyBorder="1">
      <alignment/>
      <protection/>
    </xf>
    <xf numFmtId="0" fontId="28" fillId="0" borderId="16" xfId="35" applyFont="1" applyBorder="1">
      <alignment/>
      <protection/>
    </xf>
    <xf numFmtId="0" fontId="0" fillId="0" borderId="0" xfId="35" applyFont="1">
      <alignment/>
      <protection/>
    </xf>
    <xf numFmtId="9" fontId="28" fillId="0" borderId="10" xfId="35" applyNumberFormat="1" applyFont="1" applyBorder="1">
      <alignment/>
      <protection/>
    </xf>
    <xf numFmtId="2" fontId="28" fillId="0" borderId="16" xfId="35" applyNumberFormat="1" applyFont="1" applyBorder="1">
      <alignment/>
      <protection/>
    </xf>
    <xf numFmtId="0" fontId="28" fillId="0" borderId="10" xfId="35" applyFont="1" applyFill="1" applyBorder="1" applyAlignment="1">
      <alignment horizontal="center"/>
      <protection/>
    </xf>
    <xf numFmtId="2" fontId="28" fillId="0" borderId="12" xfId="35" applyNumberFormat="1" applyFont="1" applyBorder="1">
      <alignment/>
      <protection/>
    </xf>
    <xf numFmtId="9" fontId="0" fillId="0" borderId="10" xfId="56" applyFont="1" applyBorder="1" applyAlignment="1">
      <alignment/>
    </xf>
    <xf numFmtId="2" fontId="28" fillId="0" borderId="10" xfId="35" applyNumberFormat="1" applyFont="1" applyBorder="1">
      <alignment/>
      <protection/>
    </xf>
    <xf numFmtId="0" fontId="28" fillId="0" borderId="30" xfId="35" applyFont="1" applyFill="1" applyBorder="1" applyAlignment="1">
      <alignment horizontal="center"/>
      <protection/>
    </xf>
    <xf numFmtId="2" fontId="28" fillId="0" borderId="13" xfId="35" applyNumberFormat="1" applyFont="1" applyBorder="1">
      <alignment/>
      <protection/>
    </xf>
    <xf numFmtId="9" fontId="0" fillId="0" borderId="11" xfId="56" applyFont="1" applyBorder="1" applyAlignment="1">
      <alignment/>
    </xf>
    <xf numFmtId="2" fontId="28" fillId="0" borderId="11" xfId="35" applyNumberFormat="1" applyFont="1" applyBorder="1">
      <alignment/>
      <protection/>
    </xf>
    <xf numFmtId="0" fontId="28" fillId="0" borderId="0" xfId="35" applyFont="1" applyBorder="1">
      <alignment/>
      <protection/>
    </xf>
    <xf numFmtId="0" fontId="28" fillId="0" borderId="0" xfId="35" applyFont="1">
      <alignment/>
      <protection/>
    </xf>
    <xf numFmtId="2" fontId="28" fillId="0" borderId="39" xfId="35" applyNumberFormat="1" applyFont="1" applyBorder="1">
      <alignment/>
      <protection/>
    </xf>
    <xf numFmtId="0" fontId="28" fillId="0" borderId="39" xfId="35" applyFont="1" applyBorder="1">
      <alignment/>
      <protection/>
    </xf>
    <xf numFmtId="0" fontId="6" fillId="0" borderId="0" xfId="54" applyFont="1" applyFill="1" applyBorder="1">
      <alignment/>
      <protection/>
    </xf>
    <xf numFmtId="196" fontId="2" fillId="0" borderId="43" xfId="54" applyNumberFormat="1" applyFont="1" applyBorder="1" applyAlignment="1">
      <alignment horizontal="right"/>
      <protection/>
    </xf>
    <xf numFmtId="0" fontId="0" fillId="0" borderId="40" xfId="54" applyBorder="1">
      <alignment/>
      <protection/>
    </xf>
    <xf numFmtId="0" fontId="0" fillId="0" borderId="40" xfId="54" applyBorder="1" applyAlignment="1">
      <alignment horizontal="center"/>
      <protection/>
    </xf>
    <xf numFmtId="165" fontId="0" fillId="0" borderId="40" xfId="54" applyNumberFormat="1" applyBorder="1" applyAlignment="1">
      <alignment horizontal="center"/>
      <protection/>
    </xf>
    <xf numFmtId="196" fontId="0" fillId="0" borderId="40" xfId="54" applyNumberFormat="1" applyBorder="1" applyAlignment="1">
      <alignment horizontal="center"/>
      <protection/>
    </xf>
    <xf numFmtId="0" fontId="2" fillId="0" borderId="39" xfId="35" applyFont="1" applyBorder="1" applyAlignment="1">
      <alignment horizontal="center"/>
      <protection/>
    </xf>
    <xf numFmtId="0" fontId="28" fillId="0" borderId="39" xfId="35" applyFont="1" applyBorder="1" applyAlignment="1">
      <alignment horizontal="center"/>
      <protection/>
    </xf>
    <xf numFmtId="10" fontId="28" fillId="0" borderId="0" xfId="35" applyNumberFormat="1" applyFont="1">
      <alignment/>
      <protection/>
    </xf>
    <xf numFmtId="0" fontId="1" fillId="0" borderId="0" xfId="35" applyFont="1">
      <alignment/>
      <protection/>
    </xf>
    <xf numFmtId="2" fontId="1" fillId="0" borderId="0" xfId="35" applyNumberFormat="1" applyFont="1">
      <alignment/>
      <protection/>
    </xf>
    <xf numFmtId="0" fontId="1" fillId="0" borderId="0" xfId="35" applyFont="1" applyAlignment="1">
      <alignment horizontal="center"/>
      <protection/>
    </xf>
    <xf numFmtId="0" fontId="29" fillId="0" borderId="17" xfId="35" applyFont="1" applyBorder="1" applyAlignment="1">
      <alignment horizontal="center" vertical="center" wrapText="1"/>
      <protection/>
    </xf>
    <xf numFmtId="2" fontId="29" fillId="0" borderId="18" xfId="35" applyNumberFormat="1" applyFont="1" applyBorder="1" applyAlignment="1">
      <alignment horizontal="center" vertical="center" wrapText="1"/>
      <protection/>
    </xf>
    <xf numFmtId="2" fontId="29" fillId="0" borderId="22" xfId="35" applyNumberFormat="1" applyFont="1" applyBorder="1" applyAlignment="1">
      <alignment horizontal="center" vertical="center" wrapText="1"/>
      <protection/>
    </xf>
    <xf numFmtId="0" fontId="29" fillId="0" borderId="38" xfId="35" applyFont="1" applyFill="1" applyBorder="1" applyAlignment="1">
      <alignment horizontal="center" vertical="center" wrapText="1"/>
      <protection/>
    </xf>
    <xf numFmtId="49" fontId="1" fillId="0" borderId="47" xfId="35" applyNumberFormat="1" applyFont="1" applyBorder="1" applyAlignment="1">
      <alignment horizontal="center" vertical="center" wrapText="1"/>
      <protection/>
    </xf>
    <xf numFmtId="49" fontId="1" fillId="0" borderId="48" xfId="35" applyNumberFormat="1" applyFont="1" applyBorder="1" applyAlignment="1">
      <alignment horizontal="center" vertical="center" wrapText="1"/>
      <protection/>
    </xf>
    <xf numFmtId="49" fontId="1" fillId="0" borderId="49" xfId="35" applyNumberFormat="1" applyFont="1" applyBorder="1" applyAlignment="1">
      <alignment horizontal="center" vertical="center" wrapText="1"/>
      <protection/>
    </xf>
    <xf numFmtId="197" fontId="1" fillId="0" borderId="50" xfId="35" applyNumberFormat="1" applyFont="1" applyFill="1" applyBorder="1" applyAlignment="1">
      <alignment vertical="center" wrapText="1"/>
      <protection/>
    </xf>
    <xf numFmtId="197" fontId="1" fillId="0" borderId="51" xfId="35" applyNumberFormat="1" applyFont="1" applyFill="1" applyBorder="1" applyAlignment="1">
      <alignment vertical="center" wrapText="1"/>
      <protection/>
    </xf>
    <xf numFmtId="14" fontId="24" fillId="0" borderId="0" xfId="35" applyNumberFormat="1" applyFont="1" applyFill="1" applyBorder="1" applyAlignment="1">
      <alignment vertical="center" wrapText="1"/>
      <protection/>
    </xf>
    <xf numFmtId="197" fontId="1" fillId="0" borderId="52" xfId="35" applyNumberFormat="1" applyFont="1" applyFill="1" applyBorder="1" applyAlignment="1">
      <alignment horizontal="center" vertical="center" wrapText="1"/>
      <protection/>
    </xf>
    <xf numFmtId="197" fontId="1" fillId="0" borderId="23" xfId="35" applyNumberFormat="1" applyFont="1" applyFill="1" applyBorder="1" applyAlignment="1">
      <alignment horizontal="center" vertical="center" wrapText="1"/>
      <protection/>
    </xf>
    <xf numFmtId="197" fontId="1" fillId="0" borderId="53" xfId="35" applyNumberFormat="1" applyFont="1" applyFill="1" applyBorder="1" applyAlignment="1">
      <alignment horizontal="center" vertical="center" wrapText="1"/>
      <protection/>
    </xf>
    <xf numFmtId="49" fontId="1" fillId="0" borderId="54" xfId="35" applyNumberFormat="1" applyFont="1" applyBorder="1" applyAlignment="1">
      <alignment horizontal="center" vertical="center" wrapText="1"/>
      <protection/>
    </xf>
    <xf numFmtId="49" fontId="1" fillId="0" borderId="55" xfId="35" applyNumberFormat="1" applyFont="1" applyBorder="1" applyAlignment="1">
      <alignment horizontal="center" vertical="center" wrapText="1"/>
      <protection/>
    </xf>
    <xf numFmtId="197" fontId="1" fillId="0" borderId="54" xfId="35" applyNumberFormat="1" applyFont="1" applyFill="1" applyBorder="1" applyAlignment="1">
      <alignment horizontal="center" vertical="center" wrapText="1"/>
      <protection/>
    </xf>
    <xf numFmtId="197" fontId="1" fillId="0" borderId="55" xfId="35" applyNumberFormat="1" applyFont="1" applyFill="1" applyBorder="1" applyAlignment="1">
      <alignment horizontal="center" vertical="center" wrapText="1"/>
      <protection/>
    </xf>
    <xf numFmtId="197" fontId="1" fillId="0" borderId="56" xfId="35" applyNumberFormat="1" applyFont="1" applyFill="1" applyBorder="1" applyAlignment="1">
      <alignment horizontal="center" vertical="center" wrapText="1"/>
      <protection/>
    </xf>
    <xf numFmtId="197" fontId="1" fillId="0" borderId="44" xfId="35" applyNumberFormat="1" applyFont="1" applyFill="1" applyBorder="1" applyAlignment="1">
      <alignment horizontal="center" vertical="center" wrapText="1"/>
      <protection/>
    </xf>
    <xf numFmtId="197" fontId="1" fillId="0" borderId="0" xfId="35" applyNumberFormat="1" applyFont="1" applyFill="1" applyBorder="1" applyAlignment="1">
      <alignment horizontal="center" vertical="center" wrapText="1"/>
      <protection/>
    </xf>
    <xf numFmtId="197" fontId="1" fillId="0" borderId="57" xfId="35" applyNumberFormat="1" applyFont="1" applyFill="1" applyBorder="1" applyAlignment="1">
      <alignment horizontal="center" vertical="center" wrapText="1"/>
      <protection/>
    </xf>
    <xf numFmtId="0" fontId="2" fillId="0" borderId="39" xfId="54" applyFont="1" applyBorder="1" applyAlignment="1">
      <alignment horizontal="left"/>
      <protection/>
    </xf>
    <xf numFmtId="0" fontId="2" fillId="0" borderId="45" xfId="54" applyFont="1" applyBorder="1" applyAlignment="1">
      <alignment horizontal="left"/>
      <protection/>
    </xf>
    <xf numFmtId="0" fontId="2" fillId="0" borderId="24" xfId="54" applyFont="1" applyBorder="1" applyAlignment="1">
      <alignment horizontal="left"/>
      <protection/>
    </xf>
    <xf numFmtId="0" fontId="2" fillId="0" borderId="43" xfId="54" applyFont="1" applyBorder="1" applyAlignment="1">
      <alignment horizontal="left"/>
      <protection/>
    </xf>
    <xf numFmtId="0" fontId="2" fillId="0" borderId="0" xfId="54" applyFont="1" applyAlignment="1">
      <alignment horizontal="center"/>
      <protection/>
    </xf>
    <xf numFmtId="0" fontId="2" fillId="0" borderId="39" xfId="54" applyFont="1" applyBorder="1" applyAlignment="1">
      <alignment horizontal="center"/>
      <protection/>
    </xf>
    <xf numFmtId="0" fontId="15" fillId="0" borderId="23" xfId="54" applyFont="1" applyBorder="1" applyAlignment="1">
      <alignment horizontal="center"/>
      <protection/>
    </xf>
    <xf numFmtId="0" fontId="15" fillId="0" borderId="0" xfId="54" applyFont="1" applyAlignment="1">
      <alignment horizontal="center"/>
      <protection/>
    </xf>
    <xf numFmtId="0" fontId="1" fillId="0" borderId="0" xfId="35" applyFont="1" applyFill="1" applyAlignment="1">
      <alignment horizontal="left" vertical="center" wrapText="1"/>
      <protection/>
    </xf>
    <xf numFmtId="0" fontId="1" fillId="0" borderId="0" xfId="35" applyFont="1" applyFill="1" applyAlignment="1">
      <alignment horizontal="left"/>
      <protection/>
    </xf>
    <xf numFmtId="0" fontId="19" fillId="0" borderId="0" xfId="35" applyFont="1" applyAlignment="1">
      <alignment horizontal="center" vertical="center" wrapText="1"/>
      <protection/>
    </xf>
    <xf numFmtId="49" fontId="1" fillId="0" borderId="44" xfId="35" applyNumberFormat="1" applyFont="1" applyBorder="1" applyAlignment="1">
      <alignment horizontal="center" vertical="center" wrapText="1"/>
      <protection/>
    </xf>
    <xf numFmtId="49" fontId="1" fillId="0" borderId="0" xfId="35" applyNumberFormat="1" applyFont="1" applyBorder="1" applyAlignment="1">
      <alignment horizontal="center" vertical="center" wrapText="1"/>
      <protection/>
    </xf>
    <xf numFmtId="49" fontId="1" fillId="0" borderId="57" xfId="35" applyNumberFormat="1" applyFont="1" applyBorder="1" applyAlignment="1">
      <alignment horizontal="center" vertical="center" wrapText="1"/>
      <protection/>
    </xf>
    <xf numFmtId="0" fontId="1" fillId="0" borderId="0" xfId="35" applyFont="1" applyAlignment="1">
      <alignment horizontal="left" vertical="top" wrapText="1"/>
      <protection/>
    </xf>
    <xf numFmtId="0" fontId="1" fillId="0" borderId="0" xfId="35" applyFont="1" applyAlignment="1">
      <alignment horizontal="left" vertical="center" wrapText="1"/>
      <protection/>
    </xf>
    <xf numFmtId="0" fontId="25" fillId="0" borderId="0" xfId="35" applyFont="1" applyBorder="1" applyAlignment="1">
      <alignment horizontal="center"/>
      <protection/>
    </xf>
    <xf numFmtId="0" fontId="29" fillId="0" borderId="38" xfId="35" applyFont="1" applyFill="1" applyBorder="1" applyAlignment="1">
      <alignment horizontal="center" vertical="center" wrapText="1"/>
      <protection/>
    </xf>
    <xf numFmtId="14" fontId="24" fillId="16" borderId="45" xfId="35" applyNumberFormat="1" applyFont="1" applyFill="1" applyBorder="1" applyAlignment="1">
      <alignment horizontal="center" vertical="center" wrapText="1"/>
      <protection/>
    </xf>
    <xf numFmtId="14" fontId="24" fillId="16" borderId="24" xfId="35" applyNumberFormat="1" applyFont="1" applyFill="1" applyBorder="1" applyAlignment="1">
      <alignment horizontal="center" vertical="center" wrapText="1"/>
      <protection/>
    </xf>
    <xf numFmtId="14" fontId="24" fillId="16" borderId="43" xfId="35" applyNumberFormat="1" applyFont="1" applyFill="1" applyBorder="1" applyAlignment="1">
      <alignment horizontal="center" vertical="center" wrapText="1"/>
      <protection/>
    </xf>
    <xf numFmtId="49" fontId="1" fillId="0" borderId="50" xfId="35" applyNumberFormat="1" applyFont="1" applyBorder="1" applyAlignment="1">
      <alignment horizontal="center" vertical="center" wrapText="1"/>
      <protection/>
    </xf>
    <xf numFmtId="49" fontId="1" fillId="0" borderId="51" xfId="35" applyNumberFormat="1" applyFont="1" applyBorder="1" applyAlignment="1">
      <alignment horizontal="center" vertical="center" wrapText="1"/>
      <protection/>
    </xf>
    <xf numFmtId="14" fontId="24" fillId="16" borderId="39" xfId="35" applyNumberFormat="1" applyFont="1" applyFill="1" applyBorder="1" applyAlignment="1">
      <alignment horizontal="center" vertical="center" wrapText="1"/>
      <protection/>
    </xf>
    <xf numFmtId="0" fontId="1" fillId="0" borderId="58" xfId="35" applyFont="1" applyBorder="1" applyAlignment="1">
      <alignment horizontal="left" vertical="center" wrapText="1"/>
      <protection/>
    </xf>
    <xf numFmtId="0" fontId="15" fillId="0" borderId="0" xfId="35" applyFont="1" applyAlignment="1">
      <alignment horizontal="center"/>
      <protection/>
    </xf>
    <xf numFmtId="0" fontId="23" fillId="0" borderId="59" xfId="35" applyFont="1" applyBorder="1" applyAlignment="1">
      <alignment horizontal="center" vertical="top"/>
      <protection/>
    </xf>
    <xf numFmtId="49" fontId="1" fillId="0" borderId="56" xfId="35" applyNumberFormat="1" applyFont="1" applyBorder="1" applyAlignment="1">
      <alignment horizontal="center" vertical="center" wrapText="1"/>
      <protection/>
    </xf>
    <xf numFmtId="49" fontId="1" fillId="0" borderId="52" xfId="35" applyNumberFormat="1" applyFont="1" applyBorder="1" applyAlignment="1">
      <alignment horizontal="center" vertical="center" wrapText="1"/>
      <protection/>
    </xf>
    <xf numFmtId="49" fontId="1" fillId="0" borderId="23" xfId="35" applyNumberFormat="1" applyFont="1" applyBorder="1" applyAlignment="1">
      <alignment horizontal="center" vertical="center" wrapText="1"/>
      <protection/>
    </xf>
    <xf numFmtId="49" fontId="1" fillId="0" borderId="53" xfId="35" applyNumberFormat="1" applyFont="1" applyBorder="1" applyAlignment="1">
      <alignment horizontal="center" vertical="center" wrapText="1"/>
      <protection/>
    </xf>
    <xf numFmtId="197" fontId="1" fillId="0" borderId="39" xfId="35" applyNumberFormat="1" applyFont="1" applyFill="1" applyBorder="1" applyAlignment="1">
      <alignment horizontal="center" vertical="center" wrapText="1"/>
      <protection/>
    </xf>
    <xf numFmtId="49" fontId="1" fillId="0" borderId="60" xfId="35" applyNumberFormat="1" applyFont="1" applyBorder="1" applyAlignment="1">
      <alignment horizontal="center" vertical="center" wrapText="1"/>
      <protection/>
    </xf>
    <xf numFmtId="49" fontId="1" fillId="0" borderId="58" xfId="35" applyNumberFormat="1" applyFont="1" applyBorder="1" applyAlignment="1">
      <alignment horizontal="center" vertical="center" wrapText="1"/>
      <protection/>
    </xf>
    <xf numFmtId="49" fontId="1" fillId="0" borderId="61" xfId="35" applyNumberFormat="1" applyFont="1" applyBorder="1" applyAlignment="1">
      <alignment horizontal="center" vertical="center" wrapText="1"/>
      <protection/>
    </xf>
    <xf numFmtId="2" fontId="22" fillId="0" borderId="0" xfId="35" applyNumberFormat="1" applyFont="1" applyBorder="1" applyAlignment="1">
      <alignment horizontal="center"/>
      <protection/>
    </xf>
    <xf numFmtId="0" fontId="2" fillId="0" borderId="0" xfId="35" applyFont="1" applyAlignment="1">
      <alignment horizontal="center"/>
      <protection/>
    </xf>
    <xf numFmtId="0" fontId="2" fillId="0" borderId="0" xfId="35" applyFont="1" applyBorder="1" applyAlignment="1">
      <alignment horizontal="center"/>
      <protection/>
    </xf>
    <xf numFmtId="0" fontId="2" fillId="0" borderId="17" xfId="35" applyFont="1" applyFill="1" applyBorder="1" applyAlignment="1">
      <alignment horizontal="center"/>
      <protection/>
    </xf>
    <xf numFmtId="0" fontId="2" fillId="0" borderId="19" xfId="35" applyFont="1" applyFill="1" applyBorder="1" applyAlignment="1">
      <alignment horizontal="center"/>
      <protection/>
    </xf>
    <xf numFmtId="0" fontId="7" fillId="0" borderId="0" xfId="35" applyFont="1" applyBorder="1" applyAlignment="1">
      <alignment horizontal="center"/>
      <protection/>
    </xf>
    <xf numFmtId="0" fontId="20" fillId="22" borderId="39" xfId="35" applyFont="1" applyFill="1" applyBorder="1" applyAlignment="1">
      <alignment horizontal="center"/>
      <protection/>
    </xf>
    <xf numFmtId="0" fontId="2" fillId="0" borderId="17" xfId="35" applyFont="1" applyBorder="1" applyAlignment="1">
      <alignment horizontal="center"/>
      <protection/>
    </xf>
    <xf numFmtId="0" fontId="2" fillId="0" borderId="22" xfId="35" applyFont="1" applyBorder="1" applyAlignment="1">
      <alignment horizontal="center"/>
      <protection/>
    </xf>
    <xf numFmtId="0" fontId="2" fillId="0" borderId="19" xfId="35" applyFont="1" applyBorder="1" applyAlignment="1">
      <alignment horizontal="center"/>
      <protection/>
    </xf>
    <xf numFmtId="0" fontId="15" fillId="0" borderId="0" xfId="35" applyFont="1" applyAlignment="1">
      <alignment horizontal="center" vertical="center" wrapText="1"/>
      <protection/>
    </xf>
    <xf numFmtId="0" fontId="20" fillId="8" borderId="39" xfId="35" applyFont="1" applyFill="1" applyBorder="1" applyAlignment="1">
      <alignment horizontal="center"/>
      <protection/>
    </xf>
    <xf numFmtId="0" fontId="16" fillId="24" borderId="38" xfId="35" applyFont="1" applyFill="1" applyBorder="1" applyAlignment="1">
      <alignment horizontal="center" vertical="center" wrapText="1"/>
      <protection/>
    </xf>
    <xf numFmtId="0" fontId="16" fillId="24" borderId="39" xfId="35" applyFont="1" applyFill="1" applyBorder="1" applyAlignment="1">
      <alignment horizontal="center" vertical="center" wrapText="1"/>
      <protection/>
    </xf>
    <xf numFmtId="0" fontId="16" fillId="24" borderId="45" xfId="35" applyFont="1" applyFill="1" applyBorder="1" applyAlignment="1">
      <alignment horizontal="center" vertical="center" wrapText="1"/>
      <protection/>
    </xf>
    <xf numFmtId="0" fontId="14" fillId="0" borderId="0" xfId="35" applyFont="1" applyAlignment="1">
      <alignment horizontal="center"/>
      <protection/>
    </xf>
    <xf numFmtId="0" fontId="27" fillId="0" borderId="0" xfId="35" applyFont="1" applyBorder="1" applyAlignment="1">
      <alignment horizontal="center"/>
      <protection/>
    </xf>
    <xf numFmtId="0" fontId="27" fillId="0" borderId="29" xfId="35" applyFont="1" applyBorder="1" applyAlignment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ancel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TABLAS CAPITULO VI FINANCIERO JACKIE 50 para anexo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VAN DEL PROYECTO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8925"/>
          <c:w val="0.726"/>
          <c:h val="0.67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SENSIBILIDADVENTAS!$B$293:$B$299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SENSIBILIDADVENTAS!$C$293:$C$299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15957159"/>
        <c:axId val="9396704"/>
      </c:lineChart>
      <c:catAx>
        <c:axId val="15957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TASA DE DESCUENTO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96704"/>
        <c:crosses val="autoZero"/>
        <c:auto val="1"/>
        <c:lblOffset val="100"/>
        <c:tickLblSkip val="1"/>
        <c:noMultiLvlLbl val="0"/>
      </c:catAx>
      <c:valAx>
        <c:axId val="93967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VAN</a:t>
                </a:r>
              </a:p>
            </c:rich>
          </c:tx>
          <c:layout>
            <c:manualLayout>
              <c:xMode val="factor"/>
              <c:yMode val="factor"/>
              <c:x val="-0.068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571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25"/>
          <c:y val="0.448"/>
          <c:w val="0.1725"/>
          <c:h val="0.0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VAN DEL PROYECTO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915"/>
          <c:w val="0.726"/>
          <c:h val="0.675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SENSIBILIDADCOSTOS!$B$150:$B$153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SENSIBILIDADCOSTOS!$C$150:$C$153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17461473"/>
        <c:axId val="22935530"/>
      </c:lineChart>
      <c:catAx>
        <c:axId val="17461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TASA DE DESCUENTO</a:t>
                </a:r>
              </a:p>
            </c:rich>
          </c:tx>
          <c:layout>
            <c:manualLayout>
              <c:xMode val="factor"/>
              <c:yMode val="factor"/>
              <c:x val="-0.0447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935530"/>
        <c:crosses val="autoZero"/>
        <c:auto val="1"/>
        <c:lblOffset val="100"/>
        <c:tickLblSkip val="1"/>
        <c:noMultiLvlLbl val="0"/>
      </c:catAx>
      <c:valAx>
        <c:axId val="22935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VAN</a:t>
                </a:r>
              </a:p>
            </c:rich>
          </c:tx>
          <c:layout>
            <c:manualLayout>
              <c:xMode val="factor"/>
              <c:yMode val="factor"/>
              <c:x val="-0.0652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614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25"/>
          <c:y val="0.44925"/>
          <c:w val="0.1725"/>
          <c:h val="0.0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289</xdr:row>
      <xdr:rowOff>9525</xdr:rowOff>
    </xdr:from>
    <xdr:to>
      <xdr:col>9</xdr:col>
      <xdr:colOff>533400</xdr:colOff>
      <xdr:row>305</xdr:row>
      <xdr:rowOff>38100</xdr:rowOff>
    </xdr:to>
    <xdr:graphicFrame>
      <xdr:nvGraphicFramePr>
        <xdr:cNvPr id="1" name="Chart 2"/>
        <xdr:cNvGraphicFramePr/>
      </xdr:nvGraphicFramePr>
      <xdr:xfrm>
        <a:off x="4495800" y="43662600"/>
        <a:ext cx="466725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146</xdr:row>
      <xdr:rowOff>9525</xdr:rowOff>
    </xdr:from>
    <xdr:to>
      <xdr:col>9</xdr:col>
      <xdr:colOff>533400</xdr:colOff>
      <xdr:row>162</xdr:row>
      <xdr:rowOff>38100</xdr:rowOff>
    </xdr:to>
    <xdr:graphicFrame>
      <xdr:nvGraphicFramePr>
        <xdr:cNvPr id="1" name="Chart 1"/>
        <xdr:cNvGraphicFramePr/>
      </xdr:nvGraphicFramePr>
      <xdr:xfrm>
        <a:off x="5162550" y="21593175"/>
        <a:ext cx="46672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zoomScalePageLayoutView="0" workbookViewId="0" topLeftCell="A1">
      <selection activeCell="A1" sqref="A1:E56"/>
    </sheetView>
  </sheetViews>
  <sheetFormatPr defaultColWidth="11.421875" defaultRowHeight="12.75"/>
  <cols>
    <col min="1" max="1" width="66.57421875" style="181" bestFit="1" customWidth="1"/>
    <col min="2" max="3" width="11.421875" style="181" customWidth="1"/>
    <col min="4" max="4" width="14.00390625" style="181" customWidth="1"/>
    <col min="5" max="16384" width="11.421875" style="181" customWidth="1"/>
  </cols>
  <sheetData>
    <row r="1" spans="1:5" ht="12.75">
      <c r="A1" s="278" t="s">
        <v>280</v>
      </c>
      <c r="B1" s="278"/>
      <c r="C1" s="278"/>
      <c r="D1" s="278"/>
      <c r="E1" s="278"/>
    </row>
    <row r="2" spans="1:5" ht="12.75">
      <c r="A2" s="278" t="s">
        <v>161</v>
      </c>
      <c r="B2" s="278"/>
      <c r="C2" s="278"/>
      <c r="D2" s="278"/>
      <c r="E2" s="278"/>
    </row>
    <row r="3" spans="1:5" ht="12.75">
      <c r="A3" s="180"/>
      <c r="B3" s="180"/>
      <c r="C3" s="180"/>
      <c r="D3" s="180"/>
      <c r="E3" s="180"/>
    </row>
    <row r="4" spans="1:5" s="183" customFormat="1" ht="38.25">
      <c r="A4" s="182" t="s">
        <v>162</v>
      </c>
      <c r="B4" s="182" t="s">
        <v>163</v>
      </c>
      <c r="C4" s="182" t="s">
        <v>164</v>
      </c>
      <c r="D4" s="182" t="s">
        <v>165</v>
      </c>
      <c r="E4" s="182" t="s">
        <v>166</v>
      </c>
    </row>
    <row r="5" spans="1:5" ht="12.75">
      <c r="A5" s="184" t="s">
        <v>167</v>
      </c>
      <c r="B5" s="185">
        <v>1</v>
      </c>
      <c r="C5" s="186">
        <v>10000</v>
      </c>
      <c r="D5" s="186">
        <v>3100</v>
      </c>
      <c r="E5" s="187">
        <v>13100</v>
      </c>
    </row>
    <row r="6" spans="1:5" ht="12.75">
      <c r="A6" s="184" t="s">
        <v>168</v>
      </c>
      <c r="B6" s="185">
        <v>1</v>
      </c>
      <c r="C6" s="186">
        <v>1000</v>
      </c>
      <c r="D6" s="186">
        <v>0</v>
      </c>
      <c r="E6" s="187">
        <v>1000</v>
      </c>
    </row>
    <row r="7" spans="1:5" ht="12.75">
      <c r="A7" s="184" t="s">
        <v>169</v>
      </c>
      <c r="B7" s="185">
        <v>1</v>
      </c>
      <c r="C7" s="186">
        <v>8000</v>
      </c>
      <c r="D7" s="186">
        <v>2740</v>
      </c>
      <c r="E7" s="187">
        <v>10740</v>
      </c>
    </row>
    <row r="8" spans="1:5" ht="12.75">
      <c r="A8" s="184" t="s">
        <v>168</v>
      </c>
      <c r="B8" s="185">
        <v>2</v>
      </c>
      <c r="C8" s="186">
        <v>1000</v>
      </c>
      <c r="D8" s="186">
        <v>0</v>
      </c>
      <c r="E8" s="187">
        <v>2000</v>
      </c>
    </row>
    <row r="9" spans="1:5" ht="12.75">
      <c r="A9" s="274" t="s">
        <v>170</v>
      </c>
      <c r="B9" s="274"/>
      <c r="C9" s="274"/>
      <c r="D9" s="188"/>
      <c r="E9" s="189">
        <v>26840</v>
      </c>
    </row>
    <row r="10" ht="12.75">
      <c r="A10" s="241" t="s">
        <v>30</v>
      </c>
    </row>
    <row r="13" spans="1:5" ht="12.75">
      <c r="A13" s="278" t="s">
        <v>171</v>
      </c>
      <c r="B13" s="278"/>
      <c r="C13" s="278"/>
      <c r="D13" s="278"/>
      <c r="E13" s="278"/>
    </row>
    <row r="14" spans="1:4" ht="12.75">
      <c r="A14" s="180"/>
      <c r="B14" s="180"/>
      <c r="C14" s="180"/>
      <c r="D14" s="180"/>
    </row>
    <row r="15" spans="1:4" ht="12.75">
      <c r="A15" s="182" t="s">
        <v>162</v>
      </c>
      <c r="B15" s="182" t="s">
        <v>163</v>
      </c>
      <c r="C15" s="182" t="s">
        <v>164</v>
      </c>
      <c r="D15" s="182" t="s">
        <v>166</v>
      </c>
    </row>
    <row r="16" spans="1:4" ht="12.75">
      <c r="A16" s="184" t="s">
        <v>172</v>
      </c>
      <c r="B16" s="185">
        <v>10</v>
      </c>
      <c r="C16" s="186">
        <v>2000</v>
      </c>
      <c r="D16" s="187">
        <v>20000</v>
      </c>
    </row>
    <row r="17" spans="1:4" ht="12.75">
      <c r="A17" s="184" t="s">
        <v>173</v>
      </c>
      <c r="B17" s="185">
        <v>6</v>
      </c>
      <c r="C17" s="186">
        <v>2000</v>
      </c>
      <c r="D17" s="187">
        <v>12000</v>
      </c>
    </row>
    <row r="18" spans="1:4" ht="12.75">
      <c r="A18" s="274" t="s">
        <v>170</v>
      </c>
      <c r="B18" s="274"/>
      <c r="C18" s="274"/>
      <c r="D18" s="189">
        <v>32000</v>
      </c>
    </row>
    <row r="19" ht="12.75">
      <c r="A19" s="241" t="s">
        <v>30</v>
      </c>
    </row>
    <row r="22" spans="1:5" ht="12.75">
      <c r="A22" s="278" t="s">
        <v>174</v>
      </c>
      <c r="B22" s="278"/>
      <c r="C22" s="278"/>
      <c r="D22" s="278"/>
      <c r="E22" s="278"/>
    </row>
    <row r="23" spans="1:4" ht="12.75">
      <c r="A23" s="180"/>
      <c r="B23" s="180"/>
      <c r="C23" s="180"/>
      <c r="D23" s="180"/>
    </row>
    <row r="24" spans="1:4" ht="12.75">
      <c r="A24" s="182" t="s">
        <v>162</v>
      </c>
      <c r="B24" s="182" t="s">
        <v>163</v>
      </c>
      <c r="C24" s="182" t="s">
        <v>164</v>
      </c>
      <c r="D24" s="182" t="s">
        <v>166</v>
      </c>
    </row>
    <row r="25" spans="1:4" ht="12.75">
      <c r="A25" s="184" t="s">
        <v>175</v>
      </c>
      <c r="B25" s="185">
        <v>1</v>
      </c>
      <c r="C25" s="186">
        <v>2000</v>
      </c>
      <c r="D25" s="187">
        <v>2000</v>
      </c>
    </row>
    <row r="26" spans="1:4" ht="12.75">
      <c r="A26" s="274" t="s">
        <v>170</v>
      </c>
      <c r="B26" s="274"/>
      <c r="C26" s="274"/>
      <c r="D26" s="189">
        <v>2000</v>
      </c>
    </row>
    <row r="27" ht="12.75">
      <c r="A27" s="241" t="s">
        <v>30</v>
      </c>
    </row>
    <row r="30" spans="1:5" ht="12.75">
      <c r="A30" s="278" t="s">
        <v>176</v>
      </c>
      <c r="B30" s="278"/>
      <c r="C30" s="278"/>
      <c r="D30" s="278"/>
      <c r="E30" s="278"/>
    </row>
    <row r="31" spans="1:4" ht="12.75">
      <c r="A31" s="180"/>
      <c r="B31" s="180"/>
      <c r="C31" s="180"/>
      <c r="D31" s="180"/>
    </row>
    <row r="32" spans="1:4" ht="12.75">
      <c r="A32" s="182" t="s">
        <v>162</v>
      </c>
      <c r="B32" s="182" t="s">
        <v>163</v>
      </c>
      <c r="C32" s="182" t="s">
        <v>164</v>
      </c>
      <c r="D32" s="182" t="s">
        <v>166</v>
      </c>
    </row>
    <row r="33" spans="1:4" ht="12.75">
      <c r="A33" s="184" t="s">
        <v>172</v>
      </c>
      <c r="B33" s="185">
        <v>9</v>
      </c>
      <c r="C33" s="186">
        <v>2000</v>
      </c>
      <c r="D33" s="187">
        <v>18000</v>
      </c>
    </row>
    <row r="34" spans="1:4" ht="12.75">
      <c r="A34" s="184" t="s">
        <v>173</v>
      </c>
      <c r="B34" s="185">
        <v>6</v>
      </c>
      <c r="C34" s="186">
        <v>2000</v>
      </c>
      <c r="D34" s="187">
        <v>12000</v>
      </c>
    </row>
    <row r="35" spans="1:4" ht="12.75">
      <c r="A35" s="274" t="s">
        <v>170</v>
      </c>
      <c r="B35" s="274"/>
      <c r="C35" s="274"/>
      <c r="D35" s="189">
        <v>30000</v>
      </c>
    </row>
    <row r="36" ht="12.75">
      <c r="A36" s="241" t="s">
        <v>30</v>
      </c>
    </row>
    <row r="39" spans="1:5" ht="12.75">
      <c r="A39" s="278" t="s">
        <v>177</v>
      </c>
      <c r="B39" s="278"/>
      <c r="C39" s="278"/>
      <c r="D39" s="278"/>
      <c r="E39" s="278"/>
    </row>
    <row r="40" spans="1:4" ht="12.75">
      <c r="A40" s="180"/>
      <c r="B40" s="180"/>
      <c r="C40" s="180"/>
      <c r="D40" s="180"/>
    </row>
    <row r="41" spans="1:4" ht="12.75">
      <c r="A41" s="182" t="s">
        <v>162</v>
      </c>
      <c r="B41" s="182" t="s">
        <v>163</v>
      </c>
      <c r="C41" s="182" t="s">
        <v>164</v>
      </c>
      <c r="D41" s="182" t="s">
        <v>166</v>
      </c>
    </row>
    <row r="42" spans="1:4" ht="12.75">
      <c r="A42" s="184" t="s">
        <v>178</v>
      </c>
      <c r="B42" s="185">
        <v>1</v>
      </c>
      <c r="C42" s="186">
        <v>1000</v>
      </c>
      <c r="D42" s="187">
        <v>1000</v>
      </c>
    </row>
    <row r="43" spans="1:4" ht="12.75">
      <c r="A43" s="184" t="s">
        <v>179</v>
      </c>
      <c r="B43" s="185">
        <v>1</v>
      </c>
      <c r="C43" s="186">
        <v>328</v>
      </c>
      <c r="D43" s="187">
        <v>328</v>
      </c>
    </row>
    <row r="44" spans="1:4" ht="12.75">
      <c r="A44" s="184" t="s">
        <v>180</v>
      </c>
      <c r="B44" s="185">
        <v>10</v>
      </c>
      <c r="C44" s="186">
        <v>599.2</v>
      </c>
      <c r="D44" s="187">
        <v>5992</v>
      </c>
    </row>
    <row r="45" spans="1:4" ht="12.75">
      <c r="A45" s="274" t="s">
        <v>170</v>
      </c>
      <c r="B45" s="274"/>
      <c r="C45" s="274"/>
      <c r="D45" s="189">
        <v>7320</v>
      </c>
    </row>
    <row r="46" ht="12.75">
      <c r="A46" s="241" t="s">
        <v>30</v>
      </c>
    </row>
    <row r="49" spans="1:4" ht="12.75">
      <c r="A49" s="278" t="s">
        <v>181</v>
      </c>
      <c r="B49" s="278"/>
      <c r="C49" s="278"/>
      <c r="D49" s="278"/>
    </row>
    <row r="51" spans="1:4" ht="12.75">
      <c r="A51" s="191" t="s">
        <v>182</v>
      </c>
      <c r="B51" s="191" t="s">
        <v>183</v>
      </c>
      <c r="C51" s="191" t="s">
        <v>82</v>
      </c>
      <c r="D51" s="192" t="s">
        <v>184</v>
      </c>
    </row>
    <row r="52" spans="1:4" ht="12.75">
      <c r="A52" s="184" t="s">
        <v>178</v>
      </c>
      <c r="B52" s="185">
        <v>1</v>
      </c>
      <c r="C52" s="186">
        <v>1800</v>
      </c>
      <c r="D52" s="187">
        <v>1800</v>
      </c>
    </row>
    <row r="53" spans="1:4" ht="12.75">
      <c r="A53" s="184" t="s">
        <v>179</v>
      </c>
      <c r="B53" s="185">
        <v>1</v>
      </c>
      <c r="C53" s="186">
        <v>590.4</v>
      </c>
      <c r="D53" s="187">
        <v>590.4</v>
      </c>
    </row>
    <row r="54" spans="1:4" ht="12.75">
      <c r="A54" s="184" t="s">
        <v>185</v>
      </c>
      <c r="B54" s="185">
        <v>10</v>
      </c>
      <c r="C54" s="186">
        <v>1079.1</v>
      </c>
      <c r="D54" s="187">
        <v>10791</v>
      </c>
    </row>
    <row r="55" spans="1:4" ht="12.75">
      <c r="A55" s="275" t="s">
        <v>170</v>
      </c>
      <c r="B55" s="276"/>
      <c r="C55" s="277"/>
      <c r="D55" s="187">
        <v>13181.4</v>
      </c>
    </row>
    <row r="56" ht="12.75">
      <c r="A56" s="241" t="s">
        <v>30</v>
      </c>
    </row>
  </sheetData>
  <sheetProtection/>
  <mergeCells count="13">
    <mergeCell ref="A9:C9"/>
    <mergeCell ref="A13:E13"/>
    <mergeCell ref="A18:C18"/>
    <mergeCell ref="A1:E1"/>
    <mergeCell ref="A2:E2"/>
    <mergeCell ref="A45:C45"/>
    <mergeCell ref="A55:C55"/>
    <mergeCell ref="A49:D49"/>
    <mergeCell ref="A22:E22"/>
    <mergeCell ref="A26:C26"/>
    <mergeCell ref="A30:E30"/>
    <mergeCell ref="A35:C35"/>
    <mergeCell ref="A39:E39"/>
  </mergeCells>
  <printOptions/>
  <pageMargins left="0.75" right="0.75" top="1" bottom="1" header="0" footer="0"/>
  <pageSetup fitToHeight="1" fitToWidth="1"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99"/>
  <sheetViews>
    <sheetView zoomScalePageLayoutView="0" workbookViewId="0" topLeftCell="B52">
      <selection activeCell="J77" sqref="J77"/>
    </sheetView>
  </sheetViews>
  <sheetFormatPr defaultColWidth="11.421875" defaultRowHeight="12.75"/>
  <cols>
    <col min="1" max="1" width="33.8515625" style="41" customWidth="1"/>
    <col min="2" max="2" width="10.57421875" style="46" customWidth="1"/>
    <col min="3" max="3" width="14.140625" style="46" customWidth="1"/>
    <col min="4" max="4" width="10.421875" style="46" bestFit="1" customWidth="1"/>
    <col min="5" max="5" width="11.421875" style="46" customWidth="1"/>
    <col min="6" max="6" width="14.57421875" style="46" customWidth="1"/>
    <col min="7" max="7" width="10.57421875" style="46" customWidth="1"/>
    <col min="8" max="8" width="12.421875" style="41" bestFit="1" customWidth="1"/>
    <col min="9" max="9" width="11.421875" style="41" customWidth="1"/>
    <col min="10" max="10" width="16.140625" style="41" bestFit="1" customWidth="1"/>
    <col min="11" max="16384" width="11.421875" style="41" customWidth="1"/>
  </cols>
  <sheetData>
    <row r="1" spans="1:7" ht="12">
      <c r="A1" s="314" t="s">
        <v>53</v>
      </c>
      <c r="B1" s="314"/>
      <c r="C1" s="314"/>
      <c r="D1" s="314"/>
      <c r="E1" s="314"/>
      <c r="F1" s="314"/>
      <c r="G1" s="314"/>
    </row>
    <row r="2" spans="1:7" ht="12">
      <c r="A2" s="314" t="s">
        <v>63</v>
      </c>
      <c r="B2" s="314"/>
      <c r="C2" s="314"/>
      <c r="D2" s="314"/>
      <c r="E2" s="314"/>
      <c r="F2" s="314"/>
      <c r="G2" s="314"/>
    </row>
    <row r="3" spans="1:7" ht="6" customHeight="1" thickBot="1">
      <c r="A3" s="42"/>
      <c r="B3" s="74"/>
      <c r="C3" s="74"/>
      <c r="D3" s="74"/>
      <c r="E3" s="74"/>
      <c r="F3" s="74"/>
      <c r="G3" s="74"/>
    </row>
    <row r="4" spans="1:7" ht="12.75" thickBot="1">
      <c r="A4" s="54" t="s">
        <v>20</v>
      </c>
      <c r="B4" s="88">
        <v>0</v>
      </c>
      <c r="C4" s="89">
        <v>1</v>
      </c>
      <c r="D4" s="90">
        <v>2</v>
      </c>
      <c r="E4" s="89">
        <v>3</v>
      </c>
      <c r="F4" s="91">
        <v>4</v>
      </c>
      <c r="G4" s="92">
        <v>5</v>
      </c>
    </row>
    <row r="5" spans="1:7" ht="12" customHeight="1">
      <c r="A5" s="55"/>
      <c r="B5" s="75"/>
      <c r="C5" s="76"/>
      <c r="D5" s="73"/>
      <c r="E5" s="75"/>
      <c r="F5" s="73"/>
      <c r="G5" s="75"/>
    </row>
    <row r="6" spans="1:7" ht="13.5" customHeight="1">
      <c r="A6" s="56" t="s">
        <v>33</v>
      </c>
      <c r="B6" s="77"/>
      <c r="C6" s="48"/>
      <c r="E6" s="47"/>
      <c r="G6" s="47"/>
    </row>
    <row r="7" spans="1:12" ht="15.75" customHeight="1">
      <c r="A7" s="60" t="s">
        <v>56</v>
      </c>
      <c r="B7" s="44"/>
      <c r="C7" s="48">
        <v>121305.96074999998</v>
      </c>
      <c r="D7" s="46">
        <v>105262.41062499999</v>
      </c>
      <c r="E7" s="47">
        <v>157893.61593750003</v>
      </c>
      <c r="F7" s="46">
        <v>230579.25890624995</v>
      </c>
      <c r="G7" s="47">
        <v>345868.88835937495</v>
      </c>
      <c r="L7" s="41" t="s">
        <v>132</v>
      </c>
    </row>
    <row r="8" spans="1:11" ht="12">
      <c r="A8" s="58"/>
      <c r="B8" s="47"/>
      <c r="C8" s="48"/>
      <c r="E8" s="47"/>
      <c r="G8" s="47"/>
      <c r="I8" s="41" t="s">
        <v>128</v>
      </c>
      <c r="J8" s="41">
        <v>2007</v>
      </c>
      <c r="K8" s="41">
        <v>2006</v>
      </c>
    </row>
    <row r="9" spans="1:13" ht="12">
      <c r="A9" s="57" t="s">
        <v>54</v>
      </c>
      <c r="B9" s="78"/>
      <c r="C9" s="69">
        <v>117262.42872499999</v>
      </c>
      <c r="D9" s="45">
        <v>101753.66360416666</v>
      </c>
      <c r="E9" s="45">
        <v>152630.49540625003</v>
      </c>
      <c r="F9" s="45">
        <v>222893.28360937492</v>
      </c>
      <c r="G9" s="45">
        <v>334339.92541406245</v>
      </c>
      <c r="I9" s="41" t="s">
        <v>129</v>
      </c>
      <c r="J9" s="41">
        <v>154270</v>
      </c>
      <c r="K9" s="41">
        <v>155094</v>
      </c>
      <c r="L9" s="133">
        <v>0.28</v>
      </c>
      <c r="M9" s="41">
        <v>197465.6</v>
      </c>
    </row>
    <row r="10" spans="1:13" ht="12">
      <c r="A10" s="58" t="s">
        <v>34</v>
      </c>
      <c r="B10" s="47"/>
      <c r="C10" s="48">
        <v>4043.532025</v>
      </c>
      <c r="D10" s="47">
        <v>3508.7470208333334</v>
      </c>
      <c r="E10" s="47">
        <v>5263.1205312500015</v>
      </c>
      <c r="F10" s="47">
        <v>7685.975296874998</v>
      </c>
      <c r="G10" s="47">
        <v>11528.9629453125</v>
      </c>
      <c r="I10" s="41" t="s">
        <v>61</v>
      </c>
      <c r="J10" s="41">
        <v>114006</v>
      </c>
      <c r="K10" s="41">
        <v>115540</v>
      </c>
      <c r="L10" s="133">
        <v>0.28</v>
      </c>
      <c r="M10" s="41">
        <v>145927.68</v>
      </c>
    </row>
    <row r="11" spans="1:7" ht="6" customHeight="1">
      <c r="A11" s="58"/>
      <c r="B11" s="47"/>
      <c r="C11" s="48"/>
      <c r="E11" s="47"/>
      <c r="G11" s="47"/>
    </row>
    <row r="12" spans="1:11" ht="12.75" thickBot="1">
      <c r="A12" s="59" t="s">
        <v>35</v>
      </c>
      <c r="B12" s="79"/>
      <c r="C12" s="51">
        <v>121305.96074999998</v>
      </c>
      <c r="D12" s="51">
        <v>105262.410625</v>
      </c>
      <c r="E12" s="51">
        <v>157893.61593750003</v>
      </c>
      <c r="F12" s="51">
        <v>230579.25890624992</v>
      </c>
      <c r="G12" s="51">
        <v>345868.88835937495</v>
      </c>
      <c r="J12" s="41">
        <v>1.3531743943301229</v>
      </c>
      <c r="K12" s="41">
        <v>1.3423403150424096</v>
      </c>
    </row>
    <row r="13" spans="1:7" ht="6" customHeight="1">
      <c r="A13" s="55"/>
      <c r="B13" s="94"/>
      <c r="C13" s="75"/>
      <c r="D13" s="73"/>
      <c r="E13" s="75"/>
      <c r="F13" s="73"/>
      <c r="G13" s="75"/>
    </row>
    <row r="14" spans="1:7" ht="12">
      <c r="A14" s="56" t="s">
        <v>36</v>
      </c>
      <c r="B14" s="95"/>
      <c r="C14" s="47"/>
      <c r="E14" s="47"/>
      <c r="G14" s="47"/>
    </row>
    <row r="15" spans="1:7" ht="6" customHeight="1">
      <c r="A15" s="58"/>
      <c r="B15" s="96"/>
      <c r="C15" s="47"/>
      <c r="E15" s="47"/>
      <c r="G15" s="47"/>
    </row>
    <row r="16" spans="1:10" ht="12">
      <c r="A16" s="58" t="s">
        <v>37</v>
      </c>
      <c r="B16" s="96"/>
      <c r="C16" s="44">
        <v>32640</v>
      </c>
      <c r="D16" s="43">
        <v>33017.712</v>
      </c>
      <c r="E16" s="44">
        <v>35107.7534544</v>
      </c>
      <c r="F16" s="43">
        <v>43605.24465803136</v>
      </c>
      <c r="G16" s="44">
        <v>60630.98995531286</v>
      </c>
      <c r="I16" s="131" t="s">
        <v>130</v>
      </c>
      <c r="J16" s="131">
        <v>0.7495132683061759</v>
      </c>
    </row>
    <row r="17" spans="1:7" ht="12">
      <c r="A17" s="58" t="s">
        <v>38</v>
      </c>
      <c r="B17" s="96"/>
      <c r="C17" s="47">
        <v>33690.4</v>
      </c>
      <c r="D17" s="46">
        <v>34033.449799999995</v>
      </c>
      <c r="E17" s="47">
        <v>34680.67981919999</v>
      </c>
      <c r="F17" s="46">
        <v>35332.19790725536</v>
      </c>
      <c r="G17" s="47">
        <v>35988.11469634254</v>
      </c>
    </row>
    <row r="18" spans="1:7" ht="12">
      <c r="A18" s="58" t="s">
        <v>39</v>
      </c>
      <c r="B18" s="96"/>
      <c r="C18" s="47">
        <v>15777</v>
      </c>
      <c r="D18" s="46">
        <v>16184.046600000001</v>
      </c>
      <c r="E18" s="47">
        <v>16601.595002280003</v>
      </c>
      <c r="F18" s="46">
        <v>17029.91615333883</v>
      </c>
      <c r="G18" s="47">
        <v>17469.28799009497</v>
      </c>
    </row>
    <row r="19" spans="1:10" ht="12">
      <c r="A19" s="58" t="s">
        <v>40</v>
      </c>
      <c r="B19" s="96"/>
      <c r="C19" s="44">
        <v>9184.759133333333</v>
      </c>
      <c r="D19" s="43">
        <v>9184.759133333333</v>
      </c>
      <c r="E19" s="44">
        <v>6955.0371</v>
      </c>
      <c r="F19" s="43">
        <v>2832.7347</v>
      </c>
      <c r="G19" s="44">
        <v>2832.7347</v>
      </c>
      <c r="I19" s="131" t="s">
        <v>131</v>
      </c>
      <c r="J19" s="131">
        <v>0.41366043949940884</v>
      </c>
    </row>
    <row r="20" spans="1:7" ht="12">
      <c r="A20" s="58" t="s">
        <v>41</v>
      </c>
      <c r="B20" s="96"/>
      <c r="C20" s="47">
        <v>2740</v>
      </c>
      <c r="D20" s="46">
        <v>2740</v>
      </c>
      <c r="E20" s="47">
        <v>2740</v>
      </c>
      <c r="F20" s="46">
        <v>2740</v>
      </c>
      <c r="G20" s="47">
        <v>2740</v>
      </c>
    </row>
    <row r="21" spans="1:7" ht="12.75" thickBot="1">
      <c r="A21" s="61" t="s">
        <v>42</v>
      </c>
      <c r="B21" s="97"/>
      <c r="C21" s="50">
        <v>94032.15913333333</v>
      </c>
      <c r="D21" s="50">
        <v>95159.96753333334</v>
      </c>
      <c r="E21" s="50">
        <v>96085.06537588</v>
      </c>
      <c r="F21" s="50">
        <v>101540.09341862555</v>
      </c>
      <c r="G21" s="50">
        <v>119661.12734175037</v>
      </c>
    </row>
    <row r="22" spans="1:7" ht="6" customHeight="1">
      <c r="A22" s="55"/>
      <c r="B22" s="94"/>
      <c r="C22" s="75"/>
      <c r="D22" s="73"/>
      <c r="E22" s="75"/>
      <c r="F22" s="73"/>
      <c r="G22" s="75"/>
    </row>
    <row r="23" spans="1:7" ht="12">
      <c r="A23" s="62" t="s">
        <v>43</v>
      </c>
      <c r="B23" s="142"/>
      <c r="C23" s="47">
        <v>27273.80161666665</v>
      </c>
      <c r="D23" s="46">
        <v>10102.44309166666</v>
      </c>
      <c r="E23" s="47">
        <v>61808.550561620024</v>
      </c>
      <c r="F23" s="46">
        <v>129039.16548762437</v>
      </c>
      <c r="G23" s="47">
        <v>226207.76101762458</v>
      </c>
    </row>
    <row r="24" spans="1:7" ht="6" customHeight="1" thickBot="1">
      <c r="A24" s="63"/>
      <c r="B24" s="143"/>
      <c r="C24" s="50"/>
      <c r="D24" s="49"/>
      <c r="E24" s="50"/>
      <c r="F24" s="49"/>
      <c r="G24" s="50"/>
    </row>
    <row r="25" spans="1:7" ht="6" customHeight="1">
      <c r="A25" s="55"/>
      <c r="B25" s="75"/>
      <c r="C25" s="73"/>
      <c r="D25" s="75"/>
      <c r="E25" s="73"/>
      <c r="F25" s="75"/>
      <c r="G25" s="75"/>
    </row>
    <row r="26" spans="1:13" ht="12">
      <c r="A26" s="62" t="s">
        <v>45</v>
      </c>
      <c r="B26" s="81"/>
      <c r="D26" s="47"/>
      <c r="F26" s="47"/>
      <c r="G26" s="47"/>
      <c r="I26" s="134"/>
      <c r="J26" s="102"/>
      <c r="K26" s="102"/>
      <c r="L26" s="102"/>
      <c r="M26" s="102"/>
    </row>
    <row r="27" spans="1:13" ht="12">
      <c r="A27" s="64" t="s">
        <v>44</v>
      </c>
      <c r="B27" s="83"/>
      <c r="C27" s="52">
        <v>9184.759133333333</v>
      </c>
      <c r="D27" s="53">
        <v>9184.759133333333</v>
      </c>
      <c r="E27" s="52">
        <v>6955.0371</v>
      </c>
      <c r="F27" s="53">
        <v>2832.7347</v>
      </c>
      <c r="G27" s="53">
        <v>2832.7347</v>
      </c>
      <c r="I27" s="134"/>
      <c r="J27" s="135"/>
      <c r="K27" s="102"/>
      <c r="L27" s="102"/>
      <c r="M27" s="102"/>
    </row>
    <row r="28" spans="1:13" ht="12">
      <c r="A28" s="58"/>
      <c r="B28" s="47"/>
      <c r="C28" s="46">
        <v>9184.759133333333</v>
      </c>
      <c r="D28" s="47">
        <v>9184.759133333333</v>
      </c>
      <c r="E28" s="46">
        <v>6955.0371</v>
      </c>
      <c r="F28" s="47">
        <v>2832.7347</v>
      </c>
      <c r="G28" s="47">
        <v>2832.7347</v>
      </c>
      <c r="I28" s="134"/>
      <c r="J28" s="136"/>
      <c r="K28" s="102"/>
      <c r="L28" s="102"/>
      <c r="M28" s="137"/>
    </row>
    <row r="29" spans="1:13" ht="6" customHeight="1" thickBot="1">
      <c r="A29" s="65"/>
      <c r="B29" s="50"/>
      <c r="C29" s="49"/>
      <c r="D29" s="50"/>
      <c r="E29" s="49"/>
      <c r="F29" s="50"/>
      <c r="G29" s="50"/>
      <c r="I29" s="134"/>
      <c r="J29" s="138"/>
      <c r="K29" s="102"/>
      <c r="L29" s="102"/>
      <c r="M29" s="102"/>
    </row>
    <row r="30" spans="1:10" ht="12">
      <c r="A30" s="66" t="s">
        <v>45</v>
      </c>
      <c r="B30" s="144"/>
      <c r="C30" s="75"/>
      <c r="D30" s="73"/>
      <c r="E30" s="75"/>
      <c r="F30" s="73"/>
      <c r="G30" s="75"/>
      <c r="J30" s="41" t="s">
        <v>133</v>
      </c>
    </row>
    <row r="31" spans="1:13" ht="12">
      <c r="A31" s="64" t="s">
        <v>46</v>
      </c>
      <c r="B31" s="145"/>
      <c r="C31" s="44">
        <v>14784.2</v>
      </c>
      <c r="D31" s="43">
        <v>17025.75</v>
      </c>
      <c r="E31" s="44">
        <v>19607.11</v>
      </c>
      <c r="F31" s="43">
        <v>22579.88</v>
      </c>
      <c r="G31" s="44">
        <v>26003.06</v>
      </c>
      <c r="I31" s="41" t="s">
        <v>134</v>
      </c>
      <c r="J31" s="139">
        <v>0.151472</v>
      </c>
      <c r="M31" s="41" t="s">
        <v>59</v>
      </c>
    </row>
    <row r="32" spans="1:13" ht="12">
      <c r="A32" s="64" t="s">
        <v>55</v>
      </c>
      <c r="B32" s="145"/>
      <c r="C32" s="47">
        <v>13262.32</v>
      </c>
      <c r="D32" s="46">
        <v>11020.77</v>
      </c>
      <c r="E32" s="47">
        <v>8439.41</v>
      </c>
      <c r="F32" s="46">
        <v>5466.64</v>
      </c>
      <c r="G32" s="47">
        <v>2043.18</v>
      </c>
      <c r="H32" s="46"/>
      <c r="I32" s="46" t="s">
        <v>58</v>
      </c>
      <c r="J32" s="140">
        <v>84890.50446412899</v>
      </c>
      <c r="M32" s="139">
        <v>0.06733062878978897</v>
      </c>
    </row>
    <row r="33" spans="1:10" ht="12">
      <c r="A33" s="64" t="s">
        <v>47</v>
      </c>
      <c r="B33" s="145"/>
      <c r="C33" s="44">
        <v>3213.900879999999</v>
      </c>
      <c r="D33" s="43">
        <v>841.1522950000003</v>
      </c>
      <c r="E33" s="44">
        <v>9392.993494458005</v>
      </c>
      <c r="F33" s="43">
        <v>20490.371678470332</v>
      </c>
      <c r="G33" s="44">
        <v>36482.21805447998</v>
      </c>
      <c r="I33" s="41" t="s">
        <v>135</v>
      </c>
      <c r="J33" s="141">
        <v>-0.05</v>
      </c>
    </row>
    <row r="34" spans="1:7" ht="12">
      <c r="A34" s="64" t="s">
        <v>48</v>
      </c>
      <c r="B34" s="145"/>
      <c r="C34" s="47">
        <v>4553.026246666665</v>
      </c>
      <c r="D34" s="46">
        <v>1191.6324179166672</v>
      </c>
      <c r="E34" s="47">
        <v>13306.740783815509</v>
      </c>
      <c r="F34" s="46">
        <v>29028.026544499637</v>
      </c>
      <c r="G34" s="47">
        <v>51683.14224384663</v>
      </c>
    </row>
    <row r="35" spans="1:7" ht="6" customHeight="1">
      <c r="A35" s="58"/>
      <c r="B35" s="96"/>
      <c r="C35" s="47"/>
      <c r="E35" s="47"/>
      <c r="G35" s="47"/>
    </row>
    <row r="36" spans="1:7" ht="12.75" thickBot="1">
      <c r="A36" s="61" t="s">
        <v>49</v>
      </c>
      <c r="B36" s="97"/>
      <c r="C36" s="71">
        <v>35813.447126666666</v>
      </c>
      <c r="D36" s="70">
        <v>30079.304712916666</v>
      </c>
      <c r="E36" s="71">
        <v>50746.25427827351</v>
      </c>
      <c r="F36" s="70">
        <v>77564.91822296997</v>
      </c>
      <c r="G36" s="71">
        <v>116211.60029832661</v>
      </c>
    </row>
    <row r="37" spans="1:7" ht="6" customHeight="1">
      <c r="A37" s="67"/>
      <c r="B37" s="146"/>
      <c r="C37" s="75"/>
      <c r="E37" s="75"/>
      <c r="G37" s="75"/>
    </row>
    <row r="38" spans="1:7" ht="12">
      <c r="A38" s="68" t="s">
        <v>50</v>
      </c>
      <c r="B38" s="147"/>
      <c r="C38" s="47">
        <v>-8539.645510000017</v>
      </c>
      <c r="D38" s="46">
        <v>-19976.861621250006</v>
      </c>
      <c r="E38" s="47">
        <v>11062.296283346514</v>
      </c>
      <c r="F38" s="46">
        <v>51474.247264654405</v>
      </c>
      <c r="G38" s="47">
        <v>109996.16071929797</v>
      </c>
    </row>
    <row r="39" spans="1:7" ht="5.25" customHeight="1">
      <c r="A39" s="59"/>
      <c r="B39" s="146"/>
      <c r="C39" s="47"/>
      <c r="E39" s="47"/>
      <c r="G39" s="47"/>
    </row>
    <row r="40" spans="1:7" ht="12" customHeight="1">
      <c r="A40" s="59" t="s">
        <v>60</v>
      </c>
      <c r="B40" s="146">
        <v>-100000</v>
      </c>
      <c r="C40" s="47"/>
      <c r="E40" s="47"/>
      <c r="G40" s="47"/>
    </row>
    <row r="41" spans="1:7" ht="5.25" customHeight="1">
      <c r="A41" s="59"/>
      <c r="B41" s="146"/>
      <c r="C41" s="47"/>
      <c r="E41" s="47"/>
      <c r="G41" s="47"/>
    </row>
    <row r="42" spans="1:7" ht="12" customHeight="1">
      <c r="A42" s="59"/>
      <c r="B42" s="146">
        <v>-25757.56</v>
      </c>
      <c r="C42" s="47"/>
      <c r="E42" s="47"/>
      <c r="G42" s="47"/>
    </row>
    <row r="43" spans="1:7" ht="12">
      <c r="A43" s="59" t="s">
        <v>51</v>
      </c>
      <c r="B43" s="146"/>
      <c r="C43" s="47">
        <v>10402.6</v>
      </c>
      <c r="D43" s="46">
        <v>1862.9544899999837</v>
      </c>
      <c r="E43" s="47">
        <v>-18113.907131250024</v>
      </c>
      <c r="F43" s="46">
        <v>-7051.61084790351</v>
      </c>
      <c r="G43" s="47">
        <v>44422.636416750895</v>
      </c>
    </row>
    <row r="44" spans="1:7" ht="6" customHeight="1">
      <c r="A44" s="59"/>
      <c r="B44" s="146"/>
      <c r="C44" s="47"/>
      <c r="E44" s="47"/>
      <c r="G44" s="47"/>
    </row>
    <row r="45" spans="1:7" ht="12.75" thickBot="1">
      <c r="A45" s="61" t="s">
        <v>52</v>
      </c>
      <c r="B45" s="97">
        <v>-125757.56</v>
      </c>
      <c r="C45" s="50">
        <v>1862.9544899999837</v>
      </c>
      <c r="D45" s="50">
        <v>-18113.907131250024</v>
      </c>
      <c r="E45" s="50">
        <v>-7051.61084790351</v>
      </c>
      <c r="F45" s="50">
        <v>44422.636416750895</v>
      </c>
      <c r="G45" s="50">
        <v>154418.79713604887</v>
      </c>
    </row>
    <row r="46" spans="1:2" ht="12">
      <c r="A46" s="40" t="s">
        <v>30</v>
      </c>
      <c r="B46" s="86"/>
    </row>
    <row r="49" spans="1:7" ht="12">
      <c r="A49" s="314" t="s">
        <v>53</v>
      </c>
      <c r="B49" s="314"/>
      <c r="C49" s="314"/>
      <c r="D49" s="314"/>
      <c r="E49" s="314"/>
      <c r="F49" s="314"/>
      <c r="G49" s="314"/>
    </row>
    <row r="50" spans="1:7" ht="12">
      <c r="A50" s="314" t="s">
        <v>63</v>
      </c>
      <c r="B50" s="314"/>
      <c r="C50" s="314"/>
      <c r="D50" s="314"/>
      <c r="E50" s="314"/>
      <c r="F50" s="314"/>
      <c r="G50" s="314"/>
    </row>
    <row r="51" spans="1:12" ht="12.75" thickBot="1">
      <c r="A51" s="42"/>
      <c r="B51" s="74"/>
      <c r="C51" s="74"/>
      <c r="D51" s="74"/>
      <c r="E51" s="74"/>
      <c r="F51" s="74"/>
      <c r="G51" s="74"/>
      <c r="J51" s="41" t="s">
        <v>57</v>
      </c>
      <c r="L51" s="87">
        <v>0.151472</v>
      </c>
    </row>
    <row r="52" spans="1:7" ht="12.75" thickBot="1">
      <c r="A52" s="54" t="s">
        <v>20</v>
      </c>
      <c r="B52" s="88">
        <v>0</v>
      </c>
      <c r="C52" s="89">
        <v>1</v>
      </c>
      <c r="D52" s="90">
        <v>2</v>
      </c>
      <c r="E52" s="89">
        <v>3</v>
      </c>
      <c r="F52" s="91">
        <v>4</v>
      </c>
      <c r="G52" s="92">
        <v>5</v>
      </c>
    </row>
    <row r="53" spans="1:12" ht="12">
      <c r="A53" s="55"/>
      <c r="B53" s="75"/>
      <c r="C53" s="76"/>
      <c r="D53" s="73"/>
      <c r="E53" s="75"/>
      <c r="F53" s="73"/>
      <c r="G53" s="75"/>
      <c r="J53" s="41" t="s">
        <v>58</v>
      </c>
      <c r="L53" s="41">
        <v>156080.20470192307</v>
      </c>
    </row>
    <row r="54" spans="1:7" ht="12">
      <c r="A54" s="56" t="s">
        <v>33</v>
      </c>
      <c r="B54" s="77"/>
      <c r="C54" s="48"/>
      <c r="E54" s="47"/>
      <c r="G54" s="47"/>
    </row>
    <row r="55" spans="1:12" ht="12">
      <c r="A55" s="60" t="s">
        <v>56</v>
      </c>
      <c r="B55" s="44"/>
      <c r="C55" s="48">
        <v>114921.4365</v>
      </c>
      <c r="D55" s="46">
        <v>99722.28375</v>
      </c>
      <c r="E55" s="47">
        <v>149583.425625</v>
      </c>
      <c r="F55" s="46">
        <v>218443.5084375</v>
      </c>
      <c r="G55" s="47">
        <v>327665.26265625</v>
      </c>
      <c r="J55" s="41" t="s">
        <v>59</v>
      </c>
      <c r="L55" s="87">
        <v>0.20812787727079338</v>
      </c>
    </row>
    <row r="56" spans="1:7" ht="12">
      <c r="A56" s="58"/>
      <c r="B56" s="47"/>
      <c r="C56" s="48"/>
      <c r="E56" s="47"/>
      <c r="G56" s="47"/>
    </row>
    <row r="57" spans="1:7" ht="12">
      <c r="A57" s="57" t="s">
        <v>54</v>
      </c>
      <c r="B57" s="78"/>
      <c r="C57" s="69">
        <v>111090.72195</v>
      </c>
      <c r="D57" s="45">
        <v>96398.20762500001</v>
      </c>
      <c r="E57" s="45">
        <v>144597.3114375</v>
      </c>
      <c r="F57" s="45">
        <v>211162.05815625</v>
      </c>
      <c r="G57" s="45">
        <v>316743.087234375</v>
      </c>
    </row>
    <row r="58" spans="1:7" ht="12">
      <c r="A58" s="58" t="s">
        <v>34</v>
      </c>
      <c r="B58" s="47"/>
      <c r="C58" s="48">
        <v>3830.71455</v>
      </c>
      <c r="D58" s="47">
        <v>3324.0761250000005</v>
      </c>
      <c r="E58" s="47">
        <v>4986.1141875</v>
      </c>
      <c r="F58" s="47">
        <v>7281.4502812499995</v>
      </c>
      <c r="G58" s="47">
        <v>10922.175421875</v>
      </c>
    </row>
    <row r="59" spans="1:7" ht="12">
      <c r="A59" s="58"/>
      <c r="B59" s="47"/>
      <c r="C59" s="48"/>
      <c r="E59" s="47"/>
      <c r="G59" s="47"/>
    </row>
    <row r="60" spans="1:7" ht="12.75" thickBot="1">
      <c r="A60" s="59" t="s">
        <v>35</v>
      </c>
      <c r="B60" s="79"/>
      <c r="C60" s="51">
        <v>114921.43650000001</v>
      </c>
      <c r="D60" s="50">
        <v>99722.28375000002</v>
      </c>
      <c r="E60" s="50">
        <v>149583.425625</v>
      </c>
      <c r="F60" s="50">
        <v>218443.5084375</v>
      </c>
      <c r="G60" s="50">
        <v>327665.26265625004</v>
      </c>
    </row>
    <row r="61" spans="1:7" ht="12">
      <c r="A61" s="55"/>
      <c r="B61" s="94"/>
      <c r="C61" s="75"/>
      <c r="D61" s="73"/>
      <c r="E61" s="75"/>
      <c r="F61" s="73"/>
      <c r="G61" s="75"/>
    </row>
    <row r="62" spans="1:10" ht="12">
      <c r="A62" s="56" t="s">
        <v>36</v>
      </c>
      <c r="B62" s="95"/>
      <c r="C62" s="47"/>
      <c r="E62" s="47"/>
      <c r="G62" s="47"/>
      <c r="J62" s="41" t="s">
        <v>133</v>
      </c>
    </row>
    <row r="63" spans="1:13" ht="12">
      <c r="A63" s="58"/>
      <c r="B63" s="96"/>
      <c r="C63" s="47"/>
      <c r="E63" s="47"/>
      <c r="G63" s="47"/>
      <c r="I63" s="41" t="s">
        <v>134</v>
      </c>
      <c r="J63" s="87">
        <v>0.151472</v>
      </c>
      <c r="M63" s="41" t="s">
        <v>59</v>
      </c>
    </row>
    <row r="64" spans="1:13" ht="12">
      <c r="A64" s="58" t="s">
        <v>37</v>
      </c>
      <c r="B64" s="96"/>
      <c r="C64" s="44">
        <v>32640</v>
      </c>
      <c r="D64" s="43">
        <v>33017.712</v>
      </c>
      <c r="E64" s="44">
        <v>35107.7534544</v>
      </c>
      <c r="F64" s="43">
        <v>43605.24465803136</v>
      </c>
      <c r="G64" s="44">
        <v>60630.98995531286</v>
      </c>
      <c r="I64" s="41" t="s">
        <v>58</v>
      </c>
      <c r="J64" s="140">
        <v>13700.804226335098</v>
      </c>
      <c r="M64" s="139">
        <v>-0.11249622725212004</v>
      </c>
    </row>
    <row r="65" spans="1:10" ht="12">
      <c r="A65" s="58" t="s">
        <v>38</v>
      </c>
      <c r="B65" s="96"/>
      <c r="C65" s="47">
        <v>33690.4</v>
      </c>
      <c r="D65" s="46">
        <v>34033.449799999995</v>
      </c>
      <c r="E65" s="47">
        <v>34680.67981919999</v>
      </c>
      <c r="F65" s="46">
        <v>35332.19790725536</v>
      </c>
      <c r="G65" s="47">
        <v>35988.11469634254</v>
      </c>
      <c r="I65" s="41" t="s">
        <v>135</v>
      </c>
      <c r="J65" s="132">
        <v>-0.1</v>
      </c>
    </row>
    <row r="66" spans="1:7" ht="12">
      <c r="A66" s="58" t="s">
        <v>39</v>
      </c>
      <c r="B66" s="96"/>
      <c r="C66" s="47">
        <v>15777</v>
      </c>
      <c r="D66" s="46">
        <v>16184.046600000001</v>
      </c>
      <c r="E66" s="47">
        <v>16601.595002280003</v>
      </c>
      <c r="F66" s="46">
        <v>17029.91615333883</v>
      </c>
      <c r="G66" s="47">
        <v>17469.28799009497</v>
      </c>
    </row>
    <row r="67" spans="1:7" ht="12">
      <c r="A67" s="58" t="s">
        <v>40</v>
      </c>
      <c r="B67" s="96"/>
      <c r="C67" s="44">
        <v>9184.759133333333</v>
      </c>
      <c r="D67" s="43">
        <v>9184.759133333333</v>
      </c>
      <c r="E67" s="44">
        <v>6955.0371</v>
      </c>
      <c r="F67" s="43">
        <v>2832.7347</v>
      </c>
      <c r="G67" s="44">
        <v>2832.7347</v>
      </c>
    </row>
    <row r="68" spans="1:7" ht="12">
      <c r="A68" s="58" t="s">
        <v>41</v>
      </c>
      <c r="B68" s="96"/>
      <c r="C68" s="47">
        <v>2740</v>
      </c>
      <c r="D68" s="46">
        <v>2740</v>
      </c>
      <c r="E68" s="47">
        <v>2740</v>
      </c>
      <c r="F68" s="46">
        <v>2740</v>
      </c>
      <c r="G68" s="47">
        <v>2740</v>
      </c>
    </row>
    <row r="69" spans="1:7" ht="12.75" thickBot="1">
      <c r="A69" s="61" t="s">
        <v>42</v>
      </c>
      <c r="B69" s="97"/>
      <c r="C69" s="50">
        <v>94032.15913333333</v>
      </c>
      <c r="D69" s="49">
        <v>95159.96753333334</v>
      </c>
      <c r="E69" s="50">
        <v>96085.06537588</v>
      </c>
      <c r="F69" s="49">
        <v>101540.09341862555</v>
      </c>
      <c r="G69" s="50">
        <v>119661.12734175037</v>
      </c>
    </row>
    <row r="70" spans="1:7" ht="12">
      <c r="A70" s="55"/>
      <c r="B70" s="75"/>
      <c r="C70" s="73"/>
      <c r="D70" s="75"/>
      <c r="E70" s="73"/>
      <c r="F70" s="75"/>
      <c r="G70" s="76"/>
    </row>
    <row r="71" spans="1:7" ht="12">
      <c r="A71" s="62" t="s">
        <v>43</v>
      </c>
      <c r="B71" s="81"/>
      <c r="C71" s="46">
        <v>20889.277366666676</v>
      </c>
      <c r="D71" s="47">
        <v>4562.316216666673</v>
      </c>
      <c r="E71" s="46">
        <v>53498.36024912</v>
      </c>
      <c r="F71" s="47">
        <v>116903.41501887444</v>
      </c>
      <c r="G71" s="48">
        <v>208004.13531449967</v>
      </c>
    </row>
    <row r="72" spans="1:7" ht="12.75" thickBot="1">
      <c r="A72" s="63"/>
      <c r="B72" s="82"/>
      <c r="C72" s="49"/>
      <c r="D72" s="50"/>
      <c r="E72" s="49"/>
      <c r="F72" s="50"/>
      <c r="G72" s="51"/>
    </row>
    <row r="73" spans="1:7" ht="12">
      <c r="A73" s="55"/>
      <c r="B73" s="75"/>
      <c r="C73" s="73"/>
      <c r="D73" s="75"/>
      <c r="E73" s="73"/>
      <c r="F73" s="75"/>
      <c r="G73" s="75"/>
    </row>
    <row r="74" spans="1:7" ht="12">
      <c r="A74" s="62" t="s">
        <v>45</v>
      </c>
      <c r="B74" s="81"/>
      <c r="D74" s="47"/>
      <c r="F74" s="47"/>
      <c r="G74" s="47"/>
    </row>
    <row r="75" spans="1:7" ht="12">
      <c r="A75" s="64" t="s">
        <v>44</v>
      </c>
      <c r="B75" s="83"/>
      <c r="C75" s="52">
        <v>9184.759133333333</v>
      </c>
      <c r="D75" s="53">
        <v>9184.759133333333</v>
      </c>
      <c r="E75" s="52">
        <v>6955.0371</v>
      </c>
      <c r="F75" s="53">
        <v>2832.7347</v>
      </c>
      <c r="G75" s="53">
        <v>2832.7347</v>
      </c>
    </row>
    <row r="76" spans="1:7" ht="12">
      <c r="A76" s="58"/>
      <c r="B76" s="47"/>
      <c r="C76" s="46">
        <v>9184.759133333333</v>
      </c>
      <c r="D76" s="47">
        <v>9184.759133333333</v>
      </c>
      <c r="E76" s="46">
        <v>6955.0371</v>
      </c>
      <c r="F76" s="47">
        <v>2832.7347</v>
      </c>
      <c r="G76" s="47">
        <v>2832.7347</v>
      </c>
    </row>
    <row r="77" spans="1:7" ht="12.75" thickBot="1">
      <c r="A77" s="65"/>
      <c r="B77" s="50"/>
      <c r="C77" s="49"/>
      <c r="D77" s="50"/>
      <c r="E77" s="49"/>
      <c r="F77" s="50"/>
      <c r="G77" s="50"/>
    </row>
    <row r="78" spans="1:7" ht="12">
      <c r="A78" s="66" t="s">
        <v>45</v>
      </c>
      <c r="B78" s="84"/>
      <c r="C78" s="73"/>
      <c r="D78" s="75"/>
      <c r="E78" s="73"/>
      <c r="F78" s="75"/>
      <c r="G78" s="76"/>
    </row>
    <row r="79" spans="1:7" ht="12">
      <c r="A79" s="64" t="s">
        <v>46</v>
      </c>
      <c r="B79" s="83"/>
      <c r="C79" s="44">
        <v>14784.2</v>
      </c>
      <c r="D79" s="44">
        <v>17025.75</v>
      </c>
      <c r="E79" s="44">
        <v>19607.11</v>
      </c>
      <c r="F79" s="44">
        <v>22579.88</v>
      </c>
      <c r="G79" s="44">
        <v>26003.06</v>
      </c>
    </row>
    <row r="80" spans="1:7" ht="12">
      <c r="A80" s="64" t="s">
        <v>55</v>
      </c>
      <c r="B80" s="83"/>
      <c r="C80" s="46">
        <v>13262.32</v>
      </c>
      <c r="D80" s="47">
        <v>11020.77</v>
      </c>
      <c r="E80" s="46">
        <v>8439.41</v>
      </c>
      <c r="F80" s="47">
        <v>5466.64</v>
      </c>
      <c r="G80" s="48">
        <v>2043.18</v>
      </c>
    </row>
    <row r="81" spans="1:7" ht="12">
      <c r="A81" s="64" t="s">
        <v>47</v>
      </c>
      <c r="B81" s="83"/>
      <c r="C81" s="44">
        <v>3213.900879999999</v>
      </c>
      <c r="D81" s="43">
        <v>841.1522950000003</v>
      </c>
      <c r="E81" s="44">
        <v>9392.993494458005</v>
      </c>
      <c r="F81" s="43">
        <v>20490.371678470332</v>
      </c>
      <c r="G81" s="44">
        <v>36482.21805447998</v>
      </c>
    </row>
    <row r="82" spans="1:7" ht="12">
      <c r="A82" s="64" t="s">
        <v>48</v>
      </c>
      <c r="B82" s="83"/>
      <c r="C82" s="46">
        <v>4553.026246666665</v>
      </c>
      <c r="D82" s="47">
        <v>1191.6324179166672</v>
      </c>
      <c r="E82" s="46">
        <v>13306.740783815509</v>
      </c>
      <c r="F82" s="47">
        <v>29028.026544499637</v>
      </c>
      <c r="G82" s="48">
        <v>51683.14224384663</v>
      </c>
    </row>
    <row r="83" spans="1:7" ht="12">
      <c r="A83" s="58"/>
      <c r="B83" s="47"/>
      <c r="D83" s="47"/>
      <c r="F83" s="47"/>
      <c r="G83" s="48"/>
    </row>
    <row r="84" spans="1:7" ht="12.75" thickBot="1">
      <c r="A84" s="61" t="s">
        <v>49</v>
      </c>
      <c r="B84" s="80"/>
      <c r="C84" s="70">
        <v>35813.447126666666</v>
      </c>
      <c r="D84" s="71">
        <v>30079.304712916666</v>
      </c>
      <c r="E84" s="70">
        <v>50746.25427827351</v>
      </c>
      <c r="F84" s="71">
        <v>77564.91822296997</v>
      </c>
      <c r="G84" s="72">
        <v>116211.60029832661</v>
      </c>
    </row>
    <row r="85" spans="1:7" ht="12">
      <c r="A85" s="67"/>
      <c r="B85" s="79"/>
      <c r="D85" s="47"/>
      <c r="F85" s="47"/>
      <c r="G85" s="48"/>
    </row>
    <row r="86" spans="1:7" ht="12">
      <c r="A86" s="68" t="s">
        <v>50</v>
      </c>
      <c r="B86" s="85"/>
      <c r="C86" s="46">
        <v>-14924.16975999999</v>
      </c>
      <c r="D86" s="47">
        <v>-25516.988496249993</v>
      </c>
      <c r="E86" s="46">
        <v>2752.105970846489</v>
      </c>
      <c r="F86" s="47">
        <v>39338.49679590447</v>
      </c>
      <c r="G86" s="48">
        <v>91792.53501617306</v>
      </c>
    </row>
    <row r="87" spans="1:7" ht="12">
      <c r="A87" s="59"/>
      <c r="B87" s="79"/>
      <c r="D87" s="47"/>
      <c r="F87" s="47"/>
      <c r="G87" s="48"/>
    </row>
    <row r="88" spans="1:7" ht="12">
      <c r="A88" s="59" t="s">
        <v>60</v>
      </c>
      <c r="B88" s="79">
        <v>-100000</v>
      </c>
      <c r="D88" s="47"/>
      <c r="F88" s="47"/>
      <c r="G88" s="48"/>
    </row>
    <row r="89" spans="1:7" ht="12">
      <c r="A89" s="59"/>
      <c r="B89" s="79"/>
      <c r="D89" s="47"/>
      <c r="F89" s="47"/>
      <c r="G89" s="48"/>
    </row>
    <row r="90" spans="1:7" ht="12">
      <c r="A90" s="59"/>
      <c r="B90" s="79">
        <v>-25757.56</v>
      </c>
      <c r="D90" s="47"/>
      <c r="F90" s="47"/>
      <c r="G90" s="48"/>
    </row>
    <row r="91" spans="1:7" ht="12">
      <c r="A91" s="59" t="s">
        <v>51</v>
      </c>
      <c r="B91" s="79"/>
      <c r="C91" s="46">
        <v>10402.6</v>
      </c>
      <c r="D91" s="47">
        <v>-4521.569759999989</v>
      </c>
      <c r="E91" s="46">
        <v>-30038.558256249984</v>
      </c>
      <c r="F91" s="47">
        <v>-27286.452285403495</v>
      </c>
      <c r="G91" s="48">
        <v>12052.044510500979</v>
      </c>
    </row>
    <row r="92" spans="1:7" ht="12">
      <c r="A92" s="59"/>
      <c r="B92" s="79"/>
      <c r="D92" s="47"/>
      <c r="F92" s="47"/>
      <c r="G92" s="48"/>
    </row>
    <row r="93" spans="1:7" ht="12.75" thickBot="1">
      <c r="A93" s="61" t="s">
        <v>52</v>
      </c>
      <c r="B93" s="80">
        <v>-125757.56</v>
      </c>
      <c r="C93" s="49">
        <v>-4521.569759999989</v>
      </c>
      <c r="D93" s="50">
        <v>-30038.558256249984</v>
      </c>
      <c r="E93" s="49">
        <v>-27286.452285403495</v>
      </c>
      <c r="F93" s="50">
        <v>12052.044510500979</v>
      </c>
      <c r="G93" s="51">
        <v>103844.57952667403</v>
      </c>
    </row>
    <row r="94" spans="1:2" ht="12">
      <c r="A94" s="40" t="s">
        <v>30</v>
      </c>
      <c r="B94" s="86"/>
    </row>
    <row r="97" spans="1:7" ht="12">
      <c r="A97" s="314" t="s">
        <v>53</v>
      </c>
      <c r="B97" s="314"/>
      <c r="C97" s="314"/>
      <c r="D97" s="314"/>
      <c r="E97" s="314"/>
      <c r="F97" s="314"/>
      <c r="G97" s="314"/>
    </row>
    <row r="98" spans="1:7" ht="12">
      <c r="A98" s="314" t="s">
        <v>63</v>
      </c>
      <c r="B98" s="314"/>
      <c r="C98" s="314"/>
      <c r="D98" s="314"/>
      <c r="E98" s="314"/>
      <c r="F98" s="314"/>
      <c r="G98" s="314"/>
    </row>
    <row r="99" spans="1:7" ht="12.75" thickBot="1">
      <c r="A99" s="42"/>
      <c r="B99" s="74"/>
      <c r="C99" s="74"/>
      <c r="D99" s="74"/>
      <c r="E99" s="74"/>
      <c r="F99" s="74"/>
      <c r="G99" s="74"/>
    </row>
    <row r="100" spans="1:7" ht="12.75" thickBot="1">
      <c r="A100" s="54" t="s">
        <v>20</v>
      </c>
      <c r="B100" s="88">
        <v>0</v>
      </c>
      <c r="C100" s="89">
        <v>1</v>
      </c>
      <c r="D100" s="90">
        <v>2</v>
      </c>
      <c r="E100" s="89">
        <v>3</v>
      </c>
      <c r="F100" s="91">
        <v>4</v>
      </c>
      <c r="G100" s="92">
        <v>5</v>
      </c>
    </row>
    <row r="101" spans="1:7" ht="12">
      <c r="A101" s="55"/>
      <c r="B101" s="75"/>
      <c r="C101" s="76"/>
      <c r="D101" s="73"/>
      <c r="E101" s="75"/>
      <c r="F101" s="73"/>
      <c r="G101" s="75"/>
    </row>
    <row r="102" spans="1:7" ht="12">
      <c r="A102" s="56" t="s">
        <v>33</v>
      </c>
      <c r="B102" s="77"/>
      <c r="C102" s="48"/>
      <c r="E102" s="47"/>
      <c r="G102" s="47"/>
    </row>
    <row r="103" spans="1:7" ht="12">
      <c r="A103" s="60" t="s">
        <v>56</v>
      </c>
      <c r="B103" s="44"/>
      <c r="C103" s="48">
        <v>108536.91225000001</v>
      </c>
      <c r="D103" s="46">
        <v>94182.15687500002</v>
      </c>
      <c r="E103" s="47">
        <v>141273.23531249998</v>
      </c>
      <c r="F103" s="46">
        <v>206307.75796875</v>
      </c>
      <c r="G103" s="47">
        <v>309461.636953125</v>
      </c>
    </row>
    <row r="104" spans="1:7" ht="12">
      <c r="A104" s="58"/>
      <c r="B104" s="47"/>
      <c r="C104" s="48"/>
      <c r="E104" s="47"/>
      <c r="G104" s="47"/>
    </row>
    <row r="105" spans="1:7" ht="12">
      <c r="A105" s="57" t="s">
        <v>54</v>
      </c>
      <c r="B105" s="78"/>
      <c r="C105" s="69">
        <v>104919.015175</v>
      </c>
      <c r="D105" s="45">
        <v>91042.75164583334</v>
      </c>
      <c r="E105" s="45">
        <v>136564.12746874997</v>
      </c>
      <c r="F105" s="45">
        <v>199430.832703125</v>
      </c>
      <c r="G105" s="45">
        <v>299146.24905468745</v>
      </c>
    </row>
    <row r="106" spans="1:7" ht="12">
      <c r="A106" s="58" t="s">
        <v>34</v>
      </c>
      <c r="B106" s="47"/>
      <c r="C106" s="48">
        <v>3617.8970750000003</v>
      </c>
      <c r="D106" s="47">
        <v>3139.405229166667</v>
      </c>
      <c r="E106" s="47">
        <v>4709.107843749999</v>
      </c>
      <c r="F106" s="47">
        <v>6876.925265625</v>
      </c>
      <c r="G106" s="47">
        <v>10315.3878984375</v>
      </c>
    </row>
    <row r="107" spans="1:7" ht="12">
      <c r="A107" s="58"/>
      <c r="B107" s="47"/>
      <c r="C107" s="48"/>
      <c r="E107" s="47"/>
      <c r="G107" s="47"/>
    </row>
    <row r="108" spans="1:7" ht="12.75" thickBot="1">
      <c r="A108" s="59" t="s">
        <v>35</v>
      </c>
      <c r="B108" s="79"/>
      <c r="C108" s="51">
        <v>108536.91225</v>
      </c>
      <c r="D108" s="50">
        <v>94182.15687500002</v>
      </c>
      <c r="E108" s="50">
        <v>141273.23531249998</v>
      </c>
      <c r="F108" s="50">
        <v>206307.75796875</v>
      </c>
      <c r="G108" s="50">
        <v>309461.63695312495</v>
      </c>
    </row>
    <row r="109" spans="1:7" ht="12">
      <c r="A109" s="55"/>
      <c r="B109" s="94"/>
      <c r="C109" s="75"/>
      <c r="D109" s="73"/>
      <c r="E109" s="75"/>
      <c r="F109" s="73"/>
      <c r="G109" s="75"/>
    </row>
    <row r="110" spans="1:7" ht="12">
      <c r="A110" s="56" t="s">
        <v>36</v>
      </c>
      <c r="B110" s="95"/>
      <c r="C110" s="47"/>
      <c r="E110" s="47"/>
      <c r="G110" s="47"/>
    </row>
    <row r="111" spans="1:7" ht="12">
      <c r="A111" s="58"/>
      <c r="B111" s="96"/>
      <c r="C111" s="47"/>
      <c r="E111" s="47"/>
      <c r="G111" s="47"/>
    </row>
    <row r="112" spans="1:7" ht="12">
      <c r="A112" s="58" t="s">
        <v>37</v>
      </c>
      <c r="B112" s="96"/>
      <c r="C112" s="44">
        <v>32640</v>
      </c>
      <c r="D112" s="43">
        <v>33017.712</v>
      </c>
      <c r="E112" s="44">
        <v>35107.7534544</v>
      </c>
      <c r="F112" s="43">
        <v>43605.24465803136</v>
      </c>
      <c r="G112" s="44">
        <v>60630.98995531286</v>
      </c>
    </row>
    <row r="113" spans="1:7" ht="12">
      <c r="A113" s="58" t="s">
        <v>38</v>
      </c>
      <c r="B113" s="96"/>
      <c r="C113" s="47">
        <v>33690.4</v>
      </c>
      <c r="D113" s="46">
        <v>34033.449799999995</v>
      </c>
      <c r="E113" s="47">
        <v>34680.67981919999</v>
      </c>
      <c r="F113" s="46">
        <v>35332.19790725536</v>
      </c>
      <c r="G113" s="47">
        <v>35988.11469634254</v>
      </c>
    </row>
    <row r="114" spans="1:7" ht="12">
      <c r="A114" s="58" t="s">
        <v>39</v>
      </c>
      <c r="B114" s="96"/>
      <c r="C114" s="47">
        <v>15777</v>
      </c>
      <c r="D114" s="46">
        <v>16184.046600000001</v>
      </c>
      <c r="E114" s="47">
        <v>16601.595002280003</v>
      </c>
      <c r="F114" s="46">
        <v>17029.91615333883</v>
      </c>
      <c r="G114" s="47">
        <v>17469.28799009497</v>
      </c>
    </row>
    <row r="115" spans="1:7" ht="12">
      <c r="A115" s="58" t="s">
        <v>40</v>
      </c>
      <c r="B115" s="96"/>
      <c r="C115" s="44">
        <v>9184.759133333333</v>
      </c>
      <c r="D115" s="43">
        <v>9184.759133333333</v>
      </c>
      <c r="E115" s="44">
        <v>6955.0371</v>
      </c>
      <c r="F115" s="43">
        <v>2832.7347</v>
      </c>
      <c r="G115" s="44">
        <v>2832.7347</v>
      </c>
    </row>
    <row r="116" spans="1:7" ht="12">
      <c r="A116" s="58" t="s">
        <v>41</v>
      </c>
      <c r="B116" s="96"/>
      <c r="C116" s="47">
        <v>2740</v>
      </c>
      <c r="D116" s="46">
        <v>2740</v>
      </c>
      <c r="E116" s="47">
        <v>2740</v>
      </c>
      <c r="F116" s="46">
        <v>2740</v>
      </c>
      <c r="G116" s="47">
        <v>2740</v>
      </c>
    </row>
    <row r="117" spans="1:7" ht="12.75" thickBot="1">
      <c r="A117" s="61" t="s">
        <v>42</v>
      </c>
      <c r="B117" s="97"/>
      <c r="C117" s="50">
        <v>94032.15913333333</v>
      </c>
      <c r="D117" s="49">
        <v>95159.96753333334</v>
      </c>
      <c r="E117" s="50">
        <v>96085.06537588</v>
      </c>
      <c r="F117" s="49">
        <v>101540.09341862555</v>
      </c>
      <c r="G117" s="50">
        <v>119661.12734175037</v>
      </c>
    </row>
    <row r="118" spans="1:7" ht="12">
      <c r="A118" s="55"/>
      <c r="B118" s="75"/>
      <c r="C118" s="73"/>
      <c r="D118" s="75"/>
      <c r="E118" s="73"/>
      <c r="F118" s="75"/>
      <c r="G118" s="76"/>
    </row>
    <row r="119" spans="1:7" ht="12">
      <c r="A119" s="62" t="s">
        <v>43</v>
      </c>
      <c r="B119" s="81"/>
      <c r="C119" s="46">
        <v>14504.75311666666</v>
      </c>
      <c r="D119" s="47">
        <v>-977.8106583333283</v>
      </c>
      <c r="E119" s="46">
        <v>45188.169936619975</v>
      </c>
      <c r="F119" s="47">
        <v>104767.66455012445</v>
      </c>
      <c r="G119" s="48">
        <v>189800.50961137458</v>
      </c>
    </row>
    <row r="120" spans="1:7" ht="12.75" thickBot="1">
      <c r="A120" s="63"/>
      <c r="B120" s="82"/>
      <c r="C120" s="49"/>
      <c r="D120" s="50"/>
      <c r="E120" s="49"/>
      <c r="F120" s="50"/>
      <c r="G120" s="51"/>
    </row>
    <row r="121" spans="1:7" ht="12">
      <c r="A121" s="55"/>
      <c r="B121" s="75"/>
      <c r="C121" s="73"/>
      <c r="D121" s="75"/>
      <c r="E121" s="73"/>
      <c r="F121" s="75"/>
      <c r="G121" s="75"/>
    </row>
    <row r="122" spans="1:7" ht="12">
      <c r="A122" s="62" t="s">
        <v>45</v>
      </c>
      <c r="B122" s="81"/>
      <c r="D122" s="47"/>
      <c r="F122" s="47"/>
      <c r="G122" s="47"/>
    </row>
    <row r="123" spans="1:7" ht="12">
      <c r="A123" s="64" t="s">
        <v>44</v>
      </c>
      <c r="B123" s="83"/>
      <c r="C123" s="52">
        <v>9184.759133333333</v>
      </c>
      <c r="D123" s="53">
        <v>9184.759133333333</v>
      </c>
      <c r="E123" s="52">
        <v>6955.0371</v>
      </c>
      <c r="F123" s="53">
        <v>2832.7347</v>
      </c>
      <c r="G123" s="53">
        <v>2832.7347</v>
      </c>
    </row>
    <row r="124" spans="1:7" ht="12">
      <c r="A124" s="58"/>
      <c r="B124" s="47"/>
      <c r="C124" s="46">
        <v>9184.759133333333</v>
      </c>
      <c r="D124" s="47">
        <v>9184.759133333333</v>
      </c>
      <c r="E124" s="46">
        <v>6955.0371</v>
      </c>
      <c r="F124" s="47">
        <v>2832.7347</v>
      </c>
      <c r="G124" s="47">
        <v>2832.7347</v>
      </c>
    </row>
    <row r="125" spans="1:7" ht="12.75" thickBot="1">
      <c r="A125" s="65"/>
      <c r="B125" s="50"/>
      <c r="C125" s="49"/>
      <c r="D125" s="50"/>
      <c r="E125" s="49"/>
      <c r="F125" s="50"/>
      <c r="G125" s="50"/>
    </row>
    <row r="126" spans="1:7" ht="12">
      <c r="A126" s="66" t="s">
        <v>45</v>
      </c>
      <c r="B126" s="84"/>
      <c r="C126" s="73"/>
      <c r="D126" s="75"/>
      <c r="E126" s="73"/>
      <c r="F126" s="75"/>
      <c r="G126" s="76"/>
    </row>
    <row r="127" spans="1:7" ht="12">
      <c r="A127" s="64" t="s">
        <v>46</v>
      </c>
      <c r="B127" s="83"/>
      <c r="C127" s="44">
        <v>14784.2</v>
      </c>
      <c r="D127" s="44">
        <v>17025.75</v>
      </c>
      <c r="E127" s="44">
        <v>19607.11</v>
      </c>
      <c r="F127" s="44">
        <v>22579.88</v>
      </c>
      <c r="G127" s="44">
        <v>26003.06</v>
      </c>
    </row>
    <row r="128" spans="1:7" ht="12">
      <c r="A128" s="64" t="s">
        <v>55</v>
      </c>
      <c r="B128" s="83"/>
      <c r="C128" s="46">
        <v>13262.32</v>
      </c>
      <c r="D128" s="47">
        <v>11020.77</v>
      </c>
      <c r="E128" s="46">
        <v>8439.41</v>
      </c>
      <c r="F128" s="47">
        <v>5466.64</v>
      </c>
      <c r="G128" s="48">
        <v>2043.18</v>
      </c>
    </row>
    <row r="129" spans="1:7" ht="12">
      <c r="A129" s="64" t="s">
        <v>47</v>
      </c>
      <c r="B129" s="83"/>
      <c r="C129" s="44">
        <v>3213.900879999999</v>
      </c>
      <c r="D129" s="43">
        <v>841.1522950000003</v>
      </c>
      <c r="E129" s="44">
        <v>9392.993494458005</v>
      </c>
      <c r="F129" s="43">
        <v>20490.371678470332</v>
      </c>
      <c r="G129" s="44">
        <v>36482.21805447998</v>
      </c>
    </row>
    <row r="130" spans="1:7" ht="12">
      <c r="A130" s="64" t="s">
        <v>48</v>
      </c>
      <c r="B130" s="83"/>
      <c r="C130" s="46">
        <v>4553.026246666665</v>
      </c>
      <c r="D130" s="47">
        <v>1191.6324179166672</v>
      </c>
      <c r="E130" s="46">
        <v>13306.740783815509</v>
      </c>
      <c r="F130" s="47">
        <v>29028.026544499637</v>
      </c>
      <c r="G130" s="48">
        <v>51683.14224384663</v>
      </c>
    </row>
    <row r="131" spans="1:7" ht="12">
      <c r="A131" s="58"/>
      <c r="B131" s="47"/>
      <c r="D131" s="47"/>
      <c r="F131" s="47"/>
      <c r="G131" s="48"/>
    </row>
    <row r="132" spans="1:7" ht="12.75" thickBot="1">
      <c r="A132" s="61" t="s">
        <v>49</v>
      </c>
      <c r="B132" s="80"/>
      <c r="C132" s="70">
        <v>35813.447126666666</v>
      </c>
      <c r="D132" s="71">
        <v>30079.304712916666</v>
      </c>
      <c r="E132" s="70">
        <v>50746.25427827351</v>
      </c>
      <c r="F132" s="71">
        <v>77564.91822296997</v>
      </c>
      <c r="G132" s="72">
        <v>116211.60029832661</v>
      </c>
    </row>
    <row r="133" spans="1:7" ht="12">
      <c r="A133" s="67"/>
      <c r="B133" s="79"/>
      <c r="D133" s="47"/>
      <c r="F133" s="47"/>
      <c r="G133" s="48"/>
    </row>
    <row r="134" spans="1:10" ht="12">
      <c r="A134" s="68" t="s">
        <v>50</v>
      </c>
      <c r="B134" s="85"/>
      <c r="C134" s="46">
        <v>-21308.694010000007</v>
      </c>
      <c r="D134" s="47">
        <v>-31057.115371249994</v>
      </c>
      <c r="E134" s="46">
        <v>-5558.084341653535</v>
      </c>
      <c r="F134" s="47">
        <v>27202.746327154484</v>
      </c>
      <c r="G134" s="48">
        <v>73588.90931304797</v>
      </c>
      <c r="J134" s="41" t="s">
        <v>133</v>
      </c>
    </row>
    <row r="135" spans="1:13" ht="12">
      <c r="A135" s="59"/>
      <c r="B135" s="79"/>
      <c r="D135" s="47"/>
      <c r="F135" s="47"/>
      <c r="G135" s="48"/>
      <c r="I135" s="41" t="s">
        <v>134</v>
      </c>
      <c r="J135" s="87">
        <v>0.151472</v>
      </c>
      <c r="M135" s="41" t="s">
        <v>59</v>
      </c>
    </row>
    <row r="136" spans="1:13" ht="12">
      <c r="A136" s="59" t="s">
        <v>60</v>
      </c>
      <c r="B136" s="79">
        <v>-100000</v>
      </c>
      <c r="D136" s="47"/>
      <c r="F136" s="47"/>
      <c r="G136" s="48"/>
      <c r="I136" s="41" t="s">
        <v>58</v>
      </c>
      <c r="J136" s="140">
        <v>-57488.8960114591</v>
      </c>
      <c r="M136" s="139" t="e">
        <v>#NUM!</v>
      </c>
    </row>
    <row r="137" spans="1:10" ht="12">
      <c r="A137" s="59"/>
      <c r="B137" s="79"/>
      <c r="D137" s="47"/>
      <c r="F137" s="47"/>
      <c r="G137" s="48"/>
      <c r="I137" s="41" t="s">
        <v>135</v>
      </c>
      <c r="J137" s="132">
        <v>-0.15</v>
      </c>
    </row>
    <row r="138" spans="1:7" ht="12">
      <c r="A138" s="59"/>
      <c r="B138" s="79">
        <v>-25757.56</v>
      </c>
      <c r="D138" s="47"/>
      <c r="F138" s="47"/>
      <c r="G138" s="48"/>
    </row>
    <row r="139" spans="1:7" ht="12">
      <c r="A139" s="59" t="s">
        <v>51</v>
      </c>
      <c r="B139" s="79"/>
      <c r="C139" s="46">
        <v>10402.6</v>
      </c>
      <c r="D139" s="47">
        <v>-10906.094010000006</v>
      </c>
      <c r="E139" s="46">
        <v>-41963.20938125</v>
      </c>
      <c r="F139" s="47">
        <v>-47521.29372290354</v>
      </c>
      <c r="G139" s="48">
        <v>-20318.547395749054</v>
      </c>
    </row>
    <row r="140" spans="1:7" ht="12">
      <c r="A140" s="59"/>
      <c r="B140" s="79"/>
      <c r="D140" s="47"/>
      <c r="F140" s="47"/>
      <c r="G140" s="48"/>
    </row>
    <row r="141" spans="1:7" ht="12.75" thickBot="1">
      <c r="A141" s="61" t="s">
        <v>52</v>
      </c>
      <c r="B141" s="80">
        <v>-125757.56</v>
      </c>
      <c r="C141" s="49">
        <v>-10906.094010000006</v>
      </c>
      <c r="D141" s="50">
        <v>-41963.20938125</v>
      </c>
      <c r="E141" s="49">
        <v>-47521.29372290354</v>
      </c>
      <c r="F141" s="50">
        <v>-20318.547395749054</v>
      </c>
      <c r="G141" s="51">
        <v>53270.36191729892</v>
      </c>
    </row>
    <row r="142" spans="1:2" ht="12">
      <c r="A142" s="40" t="s">
        <v>30</v>
      </c>
      <c r="B142" s="86"/>
    </row>
    <row r="145" spans="1:7" ht="12">
      <c r="A145" s="314" t="s">
        <v>53</v>
      </c>
      <c r="B145" s="314"/>
      <c r="C145" s="314"/>
      <c r="D145" s="314"/>
      <c r="E145" s="314"/>
      <c r="F145" s="314"/>
      <c r="G145" s="314"/>
    </row>
    <row r="146" spans="1:7" ht="12">
      <c r="A146" s="314" t="s">
        <v>63</v>
      </c>
      <c r="B146" s="314"/>
      <c r="C146" s="314"/>
      <c r="D146" s="314"/>
      <c r="E146" s="314"/>
      <c r="F146" s="314"/>
      <c r="G146" s="314"/>
    </row>
    <row r="147" spans="1:7" ht="12.75" thickBot="1">
      <c r="A147" s="42"/>
      <c r="B147" s="74"/>
      <c r="C147" s="74"/>
      <c r="D147" s="74"/>
      <c r="E147" s="74"/>
      <c r="F147" s="74"/>
      <c r="G147" s="74"/>
    </row>
    <row r="148" spans="1:7" ht="12.75" thickBot="1">
      <c r="A148" s="54" t="s">
        <v>20</v>
      </c>
      <c r="B148" s="88">
        <v>0</v>
      </c>
      <c r="C148" s="89">
        <v>1</v>
      </c>
      <c r="D148" s="90">
        <v>2</v>
      </c>
      <c r="E148" s="89">
        <v>3</v>
      </c>
      <c r="F148" s="91">
        <v>4</v>
      </c>
      <c r="G148" s="92">
        <v>5</v>
      </c>
    </row>
    <row r="149" spans="1:7" ht="12">
      <c r="A149" s="55"/>
      <c r="B149" s="75"/>
      <c r="C149" s="76"/>
      <c r="D149" s="73"/>
      <c r="E149" s="75"/>
      <c r="F149" s="73"/>
      <c r="G149" s="75"/>
    </row>
    <row r="150" spans="1:7" ht="12">
      <c r="A150" s="56" t="s">
        <v>33</v>
      </c>
      <c r="B150" s="77"/>
      <c r="C150" s="48"/>
      <c r="E150" s="47"/>
      <c r="G150" s="47"/>
    </row>
    <row r="151" spans="1:7" ht="12">
      <c r="A151" s="60" t="s">
        <v>56</v>
      </c>
      <c r="B151" s="44"/>
      <c r="C151" s="48">
        <v>134075.00925</v>
      </c>
      <c r="D151" s="46">
        <v>116342.66437500001</v>
      </c>
      <c r="E151" s="47">
        <v>174513.9965625</v>
      </c>
      <c r="F151" s="46">
        <v>254850.75984374998</v>
      </c>
      <c r="G151" s="47">
        <v>382276.139765625</v>
      </c>
    </row>
    <row r="152" spans="1:7" ht="12">
      <c r="A152" s="58"/>
      <c r="B152" s="47"/>
      <c r="C152" s="48"/>
      <c r="E152" s="47"/>
      <c r="G152" s="47"/>
    </row>
    <row r="153" spans="1:7" ht="12">
      <c r="A153" s="57" t="s">
        <v>54</v>
      </c>
      <c r="B153" s="78"/>
      <c r="C153" s="69">
        <v>129605.842275</v>
      </c>
      <c r="D153" s="45">
        <v>112464.5755625</v>
      </c>
      <c r="E153" s="45">
        <v>168696.86334375</v>
      </c>
      <c r="F153" s="45">
        <v>246355.734515625</v>
      </c>
      <c r="G153" s="45">
        <v>369533.6017734375</v>
      </c>
    </row>
    <row r="154" spans="1:7" ht="12">
      <c r="A154" s="58" t="s">
        <v>34</v>
      </c>
      <c r="B154" s="47"/>
      <c r="C154" s="48">
        <v>4469.166975</v>
      </c>
      <c r="D154" s="47">
        <v>3878.0888125000006</v>
      </c>
      <c r="E154" s="47">
        <v>5817.13321875</v>
      </c>
      <c r="F154" s="47">
        <v>8495.025328125</v>
      </c>
      <c r="G154" s="47">
        <v>12742.537992187501</v>
      </c>
    </row>
    <row r="155" spans="1:7" ht="12">
      <c r="A155" s="58"/>
      <c r="B155" s="47"/>
      <c r="C155" s="48"/>
      <c r="E155" s="47"/>
      <c r="G155" s="47"/>
    </row>
    <row r="156" spans="1:7" ht="12.75" thickBot="1">
      <c r="A156" s="59" t="s">
        <v>35</v>
      </c>
      <c r="B156" s="79"/>
      <c r="C156" s="51">
        <v>134075.00925</v>
      </c>
      <c r="D156" s="50">
        <v>116342.66437500001</v>
      </c>
      <c r="E156" s="50">
        <v>174513.99656250002</v>
      </c>
      <c r="F156" s="50">
        <v>254850.75984374998</v>
      </c>
      <c r="G156" s="50">
        <v>382276.139765625</v>
      </c>
    </row>
    <row r="157" spans="1:7" ht="12">
      <c r="A157" s="55"/>
      <c r="B157" s="94"/>
      <c r="C157" s="75"/>
      <c r="D157" s="73"/>
      <c r="E157" s="75"/>
      <c r="F157" s="73"/>
      <c r="G157" s="75"/>
    </row>
    <row r="158" spans="1:7" ht="12">
      <c r="A158" s="56" t="s">
        <v>36</v>
      </c>
      <c r="B158" s="95"/>
      <c r="C158" s="47"/>
      <c r="E158" s="47"/>
      <c r="G158" s="47"/>
    </row>
    <row r="159" spans="1:7" ht="12">
      <c r="A159" s="58"/>
      <c r="B159" s="96"/>
      <c r="C159" s="47"/>
      <c r="E159" s="47"/>
      <c r="G159" s="47"/>
    </row>
    <row r="160" spans="1:7" ht="12">
      <c r="A160" s="58" t="s">
        <v>37</v>
      </c>
      <c r="B160" s="96"/>
      <c r="C160" s="44">
        <v>32640</v>
      </c>
      <c r="D160" s="43">
        <v>33017.712</v>
      </c>
      <c r="E160" s="44">
        <v>35107.7534544</v>
      </c>
      <c r="F160" s="43">
        <v>43605.24465803136</v>
      </c>
      <c r="G160" s="44">
        <v>60630.98995531286</v>
      </c>
    </row>
    <row r="161" spans="1:7" ht="12">
      <c r="A161" s="58" t="s">
        <v>38</v>
      </c>
      <c r="B161" s="96"/>
      <c r="C161" s="47">
        <v>33690.4</v>
      </c>
      <c r="D161" s="46">
        <v>34033.449799999995</v>
      </c>
      <c r="E161" s="47">
        <v>34680.67981919999</v>
      </c>
      <c r="F161" s="46">
        <v>35332.19790725536</v>
      </c>
      <c r="G161" s="47">
        <v>35988.11469634254</v>
      </c>
    </row>
    <row r="162" spans="1:7" ht="12">
      <c r="A162" s="58" t="s">
        <v>39</v>
      </c>
      <c r="B162" s="96"/>
      <c r="C162" s="47">
        <v>15777</v>
      </c>
      <c r="D162" s="46">
        <v>16184.046600000001</v>
      </c>
      <c r="E162" s="47">
        <v>16601.595002280003</v>
      </c>
      <c r="F162" s="46">
        <v>17029.91615333883</v>
      </c>
      <c r="G162" s="47">
        <v>17469.28799009497</v>
      </c>
    </row>
    <row r="163" spans="1:7" ht="12">
      <c r="A163" s="58" t="s">
        <v>40</v>
      </c>
      <c r="B163" s="96"/>
      <c r="C163" s="44">
        <v>9184.759133333333</v>
      </c>
      <c r="D163" s="43">
        <v>9184.759133333333</v>
      </c>
      <c r="E163" s="44">
        <v>6955.0371</v>
      </c>
      <c r="F163" s="43">
        <v>2832.7347</v>
      </c>
      <c r="G163" s="44">
        <v>2832.7347</v>
      </c>
    </row>
    <row r="164" spans="1:7" ht="12">
      <c r="A164" s="58" t="s">
        <v>41</v>
      </c>
      <c r="B164" s="96"/>
      <c r="C164" s="47">
        <v>2740</v>
      </c>
      <c r="D164" s="46">
        <v>2740</v>
      </c>
      <c r="E164" s="47">
        <v>2740</v>
      </c>
      <c r="F164" s="46">
        <v>2740</v>
      </c>
      <c r="G164" s="47">
        <v>2740</v>
      </c>
    </row>
    <row r="165" spans="1:7" ht="12.75" thickBot="1">
      <c r="A165" s="61" t="s">
        <v>42</v>
      </c>
      <c r="B165" s="97"/>
      <c r="C165" s="50">
        <v>94032.15913333333</v>
      </c>
      <c r="D165" s="49">
        <v>95159.96753333334</v>
      </c>
      <c r="E165" s="50">
        <v>96085.06537588</v>
      </c>
      <c r="F165" s="49">
        <v>101540.09341862555</v>
      </c>
      <c r="G165" s="50">
        <v>119661.12734175037</v>
      </c>
    </row>
    <row r="166" spans="1:7" ht="12">
      <c r="A166" s="55"/>
      <c r="B166" s="75"/>
      <c r="C166" s="73"/>
      <c r="D166" s="75"/>
      <c r="E166" s="73"/>
      <c r="F166" s="75"/>
      <c r="G166" s="76"/>
    </row>
    <row r="167" spans="1:7" ht="12">
      <c r="A167" s="62" t="s">
        <v>43</v>
      </c>
      <c r="B167" s="81"/>
      <c r="C167" s="46">
        <v>40042.85011666667</v>
      </c>
      <c r="D167" s="47">
        <v>21182.696841666664</v>
      </c>
      <c r="E167" s="46">
        <v>78428.93118662002</v>
      </c>
      <c r="F167" s="47">
        <v>153310.66642512445</v>
      </c>
      <c r="G167" s="48">
        <v>262615.01242387464</v>
      </c>
    </row>
    <row r="168" spans="1:7" ht="12.75" thickBot="1">
      <c r="A168" s="63"/>
      <c r="B168" s="82"/>
      <c r="C168" s="49"/>
      <c r="D168" s="50"/>
      <c r="E168" s="49"/>
      <c r="F168" s="50"/>
      <c r="G168" s="51"/>
    </row>
    <row r="169" spans="1:7" ht="12">
      <c r="A169" s="55"/>
      <c r="B169" s="75"/>
      <c r="C169" s="73"/>
      <c r="D169" s="75"/>
      <c r="E169" s="73"/>
      <c r="F169" s="75"/>
      <c r="G169" s="75"/>
    </row>
    <row r="170" spans="1:7" ht="12">
      <c r="A170" s="62" t="s">
        <v>45</v>
      </c>
      <c r="B170" s="81"/>
      <c r="D170" s="47"/>
      <c r="F170" s="47"/>
      <c r="G170" s="47"/>
    </row>
    <row r="171" spans="1:7" ht="12">
      <c r="A171" s="64" t="s">
        <v>44</v>
      </c>
      <c r="B171" s="83"/>
      <c r="C171" s="52">
        <v>9184.759133333333</v>
      </c>
      <c r="D171" s="53">
        <v>9184.759133333333</v>
      </c>
      <c r="E171" s="52">
        <v>6955.0371</v>
      </c>
      <c r="F171" s="53">
        <v>2832.7347</v>
      </c>
      <c r="G171" s="53">
        <v>2832.7347</v>
      </c>
    </row>
    <row r="172" spans="1:7" ht="12">
      <c r="A172" s="58"/>
      <c r="B172" s="47"/>
      <c r="C172" s="46">
        <v>9184.759133333333</v>
      </c>
      <c r="D172" s="47">
        <v>9184.759133333333</v>
      </c>
      <c r="E172" s="46">
        <v>6955.0371</v>
      </c>
      <c r="F172" s="47">
        <v>2832.7347</v>
      </c>
      <c r="G172" s="47">
        <v>2832.7347</v>
      </c>
    </row>
    <row r="173" spans="1:7" ht="12.75" thickBot="1">
      <c r="A173" s="65"/>
      <c r="B173" s="50"/>
      <c r="C173" s="49"/>
      <c r="D173" s="50"/>
      <c r="E173" s="49"/>
      <c r="F173" s="50"/>
      <c r="G173" s="50"/>
    </row>
    <row r="174" spans="1:7" ht="12">
      <c r="A174" s="66" t="s">
        <v>45</v>
      </c>
      <c r="B174" s="84"/>
      <c r="C174" s="73"/>
      <c r="D174" s="75"/>
      <c r="E174" s="73"/>
      <c r="F174" s="75"/>
      <c r="G174" s="76"/>
    </row>
    <row r="175" spans="1:7" ht="12">
      <c r="A175" s="64" t="s">
        <v>46</v>
      </c>
      <c r="B175" s="83"/>
      <c r="C175" s="44">
        <v>14784.2</v>
      </c>
      <c r="D175" s="44">
        <v>17025.75</v>
      </c>
      <c r="E175" s="44">
        <v>19607.11</v>
      </c>
      <c r="F175" s="44">
        <v>22579.88</v>
      </c>
      <c r="G175" s="44">
        <v>26003.06</v>
      </c>
    </row>
    <row r="176" spans="1:7" ht="12">
      <c r="A176" s="64" t="s">
        <v>55</v>
      </c>
      <c r="B176" s="83"/>
      <c r="C176" s="46">
        <v>13262.32</v>
      </c>
      <c r="D176" s="47">
        <v>11020.77</v>
      </c>
      <c r="E176" s="46">
        <v>8439.41</v>
      </c>
      <c r="F176" s="47">
        <v>5466.64</v>
      </c>
      <c r="G176" s="48">
        <v>2043.18</v>
      </c>
    </row>
    <row r="177" spans="1:7" ht="12">
      <c r="A177" s="64" t="s">
        <v>47</v>
      </c>
      <c r="B177" s="83"/>
      <c r="C177" s="44">
        <v>3213.900879999999</v>
      </c>
      <c r="D177" s="43">
        <v>841.1522950000003</v>
      </c>
      <c r="E177" s="44">
        <v>9392.993494458005</v>
      </c>
      <c r="F177" s="43">
        <v>20490.371678470332</v>
      </c>
      <c r="G177" s="44">
        <v>36482.21805447998</v>
      </c>
    </row>
    <row r="178" spans="1:7" ht="12">
      <c r="A178" s="64" t="s">
        <v>48</v>
      </c>
      <c r="B178" s="83"/>
      <c r="C178" s="46">
        <v>4553.026246666665</v>
      </c>
      <c r="D178" s="47">
        <v>1191.6324179166672</v>
      </c>
      <c r="E178" s="46">
        <v>13306.740783815509</v>
      </c>
      <c r="F178" s="47">
        <v>29028.026544499637</v>
      </c>
      <c r="G178" s="48">
        <v>51683.14224384663</v>
      </c>
    </row>
    <row r="179" spans="1:7" ht="12">
      <c r="A179" s="58"/>
      <c r="B179" s="47"/>
      <c r="D179" s="47"/>
      <c r="F179" s="47"/>
      <c r="G179" s="48"/>
    </row>
    <row r="180" spans="1:7" ht="12.75" thickBot="1">
      <c r="A180" s="61" t="s">
        <v>49</v>
      </c>
      <c r="B180" s="80"/>
      <c r="C180" s="70">
        <v>35813.447126666666</v>
      </c>
      <c r="D180" s="71">
        <v>30079.304712916666</v>
      </c>
      <c r="E180" s="70">
        <v>50746.25427827351</v>
      </c>
      <c r="F180" s="71">
        <v>77564.91822296997</v>
      </c>
      <c r="G180" s="72">
        <v>116211.60029832661</v>
      </c>
    </row>
    <row r="181" spans="1:7" ht="12">
      <c r="A181" s="67"/>
      <c r="B181" s="79"/>
      <c r="D181" s="47"/>
      <c r="F181" s="47"/>
      <c r="G181" s="48"/>
    </row>
    <row r="182" spans="1:7" ht="12">
      <c r="A182" s="68" t="s">
        <v>50</v>
      </c>
      <c r="B182" s="85"/>
      <c r="C182" s="46">
        <v>4229.402990000002</v>
      </c>
      <c r="D182" s="47">
        <v>-8896.607871250002</v>
      </c>
      <c r="E182" s="46">
        <v>27682.676908346504</v>
      </c>
      <c r="F182" s="47">
        <v>75745.74820215449</v>
      </c>
      <c r="G182" s="48">
        <v>146403.41212554803</v>
      </c>
    </row>
    <row r="183" spans="1:10" ht="12">
      <c r="A183" s="59"/>
      <c r="B183" s="79"/>
      <c r="D183" s="47"/>
      <c r="F183" s="47"/>
      <c r="G183" s="48"/>
      <c r="J183" s="41" t="s">
        <v>133</v>
      </c>
    </row>
    <row r="184" spans="1:13" ht="12">
      <c r="A184" s="59" t="s">
        <v>60</v>
      </c>
      <c r="B184" s="79">
        <v>-100000</v>
      </c>
      <c r="D184" s="47"/>
      <c r="F184" s="47"/>
      <c r="G184" s="48"/>
      <c r="I184" s="41" t="s">
        <v>134</v>
      </c>
      <c r="J184" s="87">
        <v>0.151472</v>
      </c>
      <c r="M184" s="41" t="s">
        <v>59</v>
      </c>
    </row>
    <row r="185" spans="1:13" ht="12">
      <c r="A185" s="59"/>
      <c r="B185" s="79"/>
      <c r="D185" s="47"/>
      <c r="F185" s="47"/>
      <c r="G185" s="48"/>
      <c r="I185" s="41" t="s">
        <v>58</v>
      </c>
      <c r="J185" s="140">
        <v>227269.90493971732</v>
      </c>
      <c r="M185" s="139">
        <v>0.3273622073615965</v>
      </c>
    </row>
    <row r="186" spans="1:10" ht="12">
      <c r="A186" s="59"/>
      <c r="B186" s="79">
        <v>-25757.56</v>
      </c>
      <c r="D186" s="47"/>
      <c r="F186" s="47"/>
      <c r="G186" s="48"/>
      <c r="I186" s="41" t="s">
        <v>135</v>
      </c>
      <c r="J186" s="132">
        <v>0.05</v>
      </c>
    </row>
    <row r="187" spans="1:7" ht="12">
      <c r="A187" s="59" t="s">
        <v>51</v>
      </c>
      <c r="B187" s="79"/>
      <c r="C187" s="46">
        <v>10402.6</v>
      </c>
      <c r="D187" s="47">
        <v>14632.002990000003</v>
      </c>
      <c r="E187" s="46">
        <v>5735.395118750001</v>
      </c>
      <c r="F187" s="47">
        <v>33418.0720270965</v>
      </c>
      <c r="G187" s="48">
        <v>109163.820229251</v>
      </c>
    </row>
    <row r="188" spans="1:7" ht="12">
      <c r="A188" s="59"/>
      <c r="B188" s="79"/>
      <c r="D188" s="47"/>
      <c r="F188" s="47"/>
      <c r="G188" s="48"/>
    </row>
    <row r="189" spans="1:7" ht="12.75" thickBot="1">
      <c r="A189" s="61" t="s">
        <v>52</v>
      </c>
      <c r="B189" s="80">
        <v>-125757.56</v>
      </c>
      <c r="C189" s="49">
        <v>14632.002990000003</v>
      </c>
      <c r="D189" s="50">
        <v>5735.395118750001</v>
      </c>
      <c r="E189" s="49">
        <v>33418.0720270965</v>
      </c>
      <c r="F189" s="50">
        <v>109163.820229251</v>
      </c>
      <c r="G189" s="51">
        <v>255567.23235479902</v>
      </c>
    </row>
    <row r="190" spans="1:2" ht="12">
      <c r="A190" s="40" t="s">
        <v>30</v>
      </c>
      <c r="B190" s="86"/>
    </row>
    <row r="193" spans="1:7" ht="12">
      <c r="A193" s="314" t="s">
        <v>53</v>
      </c>
      <c r="B193" s="314"/>
      <c r="C193" s="314"/>
      <c r="D193" s="314"/>
      <c r="E193" s="314"/>
      <c r="F193" s="314"/>
      <c r="G193" s="314"/>
    </row>
    <row r="194" spans="1:7" ht="12">
      <c r="A194" s="314" t="s">
        <v>63</v>
      </c>
      <c r="B194" s="314"/>
      <c r="C194" s="314"/>
      <c r="D194" s="314"/>
      <c r="E194" s="314"/>
      <c r="F194" s="314"/>
      <c r="G194" s="314"/>
    </row>
    <row r="195" spans="1:7" ht="12.75" thickBot="1">
      <c r="A195" s="42"/>
      <c r="B195" s="74"/>
      <c r="C195" s="74"/>
      <c r="D195" s="74"/>
      <c r="E195" s="74"/>
      <c r="F195" s="74"/>
      <c r="G195" s="74"/>
    </row>
    <row r="196" spans="1:7" ht="12.75" thickBot="1">
      <c r="A196" s="54" t="s">
        <v>20</v>
      </c>
      <c r="B196" s="88">
        <v>0</v>
      </c>
      <c r="C196" s="89">
        <v>1</v>
      </c>
      <c r="D196" s="90">
        <v>2</v>
      </c>
      <c r="E196" s="89">
        <v>3</v>
      </c>
      <c r="F196" s="91">
        <v>4</v>
      </c>
      <c r="G196" s="92">
        <v>5</v>
      </c>
    </row>
    <row r="197" spans="1:7" ht="12">
      <c r="A197" s="55"/>
      <c r="B197" s="75"/>
      <c r="C197" s="76"/>
      <c r="D197" s="73"/>
      <c r="E197" s="75"/>
      <c r="F197" s="73"/>
      <c r="G197" s="75"/>
    </row>
    <row r="198" spans="1:7" ht="12">
      <c r="A198" s="56" t="s">
        <v>33</v>
      </c>
      <c r="B198" s="77"/>
      <c r="C198" s="48"/>
      <c r="E198" s="47"/>
      <c r="G198" s="47"/>
    </row>
    <row r="199" spans="1:7" ht="12">
      <c r="A199" s="60" t="s">
        <v>56</v>
      </c>
      <c r="B199" s="44"/>
      <c r="C199" s="48">
        <v>140459.5335</v>
      </c>
      <c r="D199" s="46">
        <v>121882.79125000001</v>
      </c>
      <c r="E199" s="47">
        <v>182824.18687499998</v>
      </c>
      <c r="F199" s="46">
        <v>266986.5103125</v>
      </c>
      <c r="G199" s="47">
        <v>400479.76546875</v>
      </c>
    </row>
    <row r="200" spans="1:7" ht="12">
      <c r="A200" s="58"/>
      <c r="B200" s="47"/>
      <c r="C200" s="48"/>
      <c r="E200" s="47"/>
      <c r="G200" s="47"/>
    </row>
    <row r="201" spans="1:7" ht="12">
      <c r="A201" s="57" t="s">
        <v>54</v>
      </c>
      <c r="B201" s="78"/>
      <c r="C201" s="69">
        <v>135777.54905</v>
      </c>
      <c r="D201" s="45">
        <v>117820.03154166667</v>
      </c>
      <c r="E201" s="45">
        <v>176730.04731249998</v>
      </c>
      <c r="F201" s="45">
        <v>258086.95996875</v>
      </c>
      <c r="G201" s="45">
        <v>387130.43995312497</v>
      </c>
    </row>
    <row r="202" spans="1:7" ht="12">
      <c r="A202" s="58" t="s">
        <v>34</v>
      </c>
      <c r="B202" s="47"/>
      <c r="C202" s="48">
        <v>4681.98445</v>
      </c>
      <c r="D202" s="47">
        <v>4062.7597083333335</v>
      </c>
      <c r="E202" s="47">
        <v>6094.1395625000005</v>
      </c>
      <c r="F202" s="47">
        <v>8899.55034375</v>
      </c>
      <c r="G202" s="47">
        <v>13349.325515625002</v>
      </c>
    </row>
    <row r="203" spans="1:7" ht="12">
      <c r="A203" s="58"/>
      <c r="B203" s="47"/>
      <c r="C203" s="48"/>
      <c r="E203" s="47"/>
      <c r="G203" s="47"/>
    </row>
    <row r="204" spans="1:7" ht="12.75" thickBot="1">
      <c r="A204" s="59" t="s">
        <v>35</v>
      </c>
      <c r="B204" s="79"/>
      <c r="C204" s="51">
        <v>140459.5335</v>
      </c>
      <c r="D204" s="50">
        <v>121882.79125000001</v>
      </c>
      <c r="E204" s="50">
        <v>182824.18687499998</v>
      </c>
      <c r="F204" s="50">
        <v>266986.5103125</v>
      </c>
      <c r="G204" s="50">
        <v>400479.76546875</v>
      </c>
    </row>
    <row r="205" spans="1:7" ht="12">
      <c r="A205" s="55"/>
      <c r="B205" s="94"/>
      <c r="C205" s="75"/>
      <c r="D205" s="73"/>
      <c r="E205" s="75"/>
      <c r="F205" s="73"/>
      <c r="G205" s="75"/>
    </row>
    <row r="206" spans="1:7" ht="12">
      <c r="A206" s="56" t="s">
        <v>36</v>
      </c>
      <c r="B206" s="95"/>
      <c r="C206" s="47"/>
      <c r="E206" s="47"/>
      <c r="G206" s="47"/>
    </row>
    <row r="207" spans="1:7" ht="12">
      <c r="A207" s="58"/>
      <c r="B207" s="96"/>
      <c r="C207" s="47"/>
      <c r="E207" s="47"/>
      <c r="G207" s="47"/>
    </row>
    <row r="208" spans="1:7" ht="12">
      <c r="A208" s="58" t="s">
        <v>37</v>
      </c>
      <c r="B208" s="96"/>
      <c r="C208" s="44">
        <v>32640</v>
      </c>
      <c r="D208" s="43">
        <v>33017.712</v>
      </c>
      <c r="E208" s="44">
        <v>35107.7534544</v>
      </c>
      <c r="F208" s="43">
        <v>43605.24465803136</v>
      </c>
      <c r="G208" s="44">
        <v>60630.98995531286</v>
      </c>
    </row>
    <row r="209" spans="1:7" ht="12">
      <c r="A209" s="58" t="s">
        <v>38</v>
      </c>
      <c r="B209" s="96"/>
      <c r="C209" s="47">
        <v>33690.4</v>
      </c>
      <c r="D209" s="46">
        <v>34033.449799999995</v>
      </c>
      <c r="E209" s="47">
        <v>34680.67981919999</v>
      </c>
      <c r="F209" s="46">
        <v>35332.19790725536</v>
      </c>
      <c r="G209" s="47">
        <v>35988.11469634254</v>
      </c>
    </row>
    <row r="210" spans="1:7" ht="12">
      <c r="A210" s="58" t="s">
        <v>39</v>
      </c>
      <c r="B210" s="96"/>
      <c r="C210" s="47">
        <v>15777</v>
      </c>
      <c r="D210" s="46">
        <v>16184.046600000001</v>
      </c>
      <c r="E210" s="47">
        <v>16601.595002280003</v>
      </c>
      <c r="F210" s="46">
        <v>17029.91615333883</v>
      </c>
      <c r="G210" s="47">
        <v>17469.28799009497</v>
      </c>
    </row>
    <row r="211" spans="1:7" ht="12">
      <c r="A211" s="58" t="s">
        <v>40</v>
      </c>
      <c r="B211" s="96"/>
      <c r="C211" s="44">
        <v>9184.759133333333</v>
      </c>
      <c r="D211" s="43">
        <v>9184.759133333333</v>
      </c>
      <c r="E211" s="44">
        <v>6955.0371</v>
      </c>
      <c r="F211" s="43">
        <v>2832.7347</v>
      </c>
      <c r="G211" s="44">
        <v>2832.7347</v>
      </c>
    </row>
    <row r="212" spans="1:7" ht="12">
      <c r="A212" s="58" t="s">
        <v>41</v>
      </c>
      <c r="B212" s="96"/>
      <c r="C212" s="47">
        <v>2740</v>
      </c>
      <c r="D212" s="46">
        <v>2740</v>
      </c>
      <c r="E212" s="47">
        <v>2740</v>
      </c>
      <c r="F212" s="46">
        <v>2740</v>
      </c>
      <c r="G212" s="47">
        <v>2740</v>
      </c>
    </row>
    <row r="213" spans="1:7" ht="12.75" thickBot="1">
      <c r="A213" s="61" t="s">
        <v>42</v>
      </c>
      <c r="B213" s="97"/>
      <c r="C213" s="50">
        <v>94032.15913333333</v>
      </c>
      <c r="D213" s="49">
        <v>95159.96753333334</v>
      </c>
      <c r="E213" s="50">
        <v>96085.06537588</v>
      </c>
      <c r="F213" s="49">
        <v>101540.09341862555</v>
      </c>
      <c r="G213" s="50">
        <v>119661.12734175037</v>
      </c>
    </row>
    <row r="214" spans="1:7" ht="12">
      <c r="A214" s="55"/>
      <c r="B214" s="75"/>
      <c r="C214" s="73"/>
      <c r="D214" s="75"/>
      <c r="E214" s="73"/>
      <c r="F214" s="75"/>
      <c r="G214" s="76"/>
    </row>
    <row r="215" spans="1:7" ht="12">
      <c r="A215" s="62" t="s">
        <v>43</v>
      </c>
      <c r="B215" s="81"/>
      <c r="C215" s="46">
        <v>46427.374366666656</v>
      </c>
      <c r="D215" s="47">
        <v>26722.823716666666</v>
      </c>
      <c r="E215" s="46">
        <v>86739.12149911998</v>
      </c>
      <c r="F215" s="47">
        <v>165446.41689387447</v>
      </c>
      <c r="G215" s="48">
        <v>280818.6381269996</v>
      </c>
    </row>
    <row r="216" spans="1:7" ht="12.75" thickBot="1">
      <c r="A216" s="63"/>
      <c r="B216" s="82"/>
      <c r="C216" s="49"/>
      <c r="D216" s="50"/>
      <c r="E216" s="49"/>
      <c r="F216" s="50"/>
      <c r="G216" s="51"/>
    </row>
    <row r="217" spans="1:7" ht="12">
      <c r="A217" s="55"/>
      <c r="B217" s="75"/>
      <c r="C217" s="73"/>
      <c r="D217" s="75"/>
      <c r="E217" s="73"/>
      <c r="F217" s="75"/>
      <c r="G217" s="75"/>
    </row>
    <row r="218" spans="1:7" ht="12">
      <c r="A218" s="62" t="s">
        <v>45</v>
      </c>
      <c r="B218" s="81"/>
      <c r="D218" s="47"/>
      <c r="F218" s="47"/>
      <c r="G218" s="47"/>
    </row>
    <row r="219" spans="1:7" ht="12">
      <c r="A219" s="64" t="s">
        <v>44</v>
      </c>
      <c r="B219" s="83"/>
      <c r="C219" s="52">
        <v>9184.759133333333</v>
      </c>
      <c r="D219" s="53">
        <v>9184.759133333333</v>
      </c>
      <c r="E219" s="52">
        <v>6955.0371</v>
      </c>
      <c r="F219" s="53">
        <v>2832.7347</v>
      </c>
      <c r="G219" s="53">
        <v>2832.7347</v>
      </c>
    </row>
    <row r="220" spans="1:7" ht="12">
      <c r="A220" s="58"/>
      <c r="B220" s="47"/>
      <c r="C220" s="46">
        <v>9184.759133333333</v>
      </c>
      <c r="D220" s="47">
        <v>9184.759133333333</v>
      </c>
      <c r="E220" s="46">
        <v>6955.0371</v>
      </c>
      <c r="F220" s="47">
        <v>2832.7347</v>
      </c>
      <c r="G220" s="47">
        <v>2832.7347</v>
      </c>
    </row>
    <row r="221" spans="1:7" ht="12.75" thickBot="1">
      <c r="A221" s="65"/>
      <c r="B221" s="50"/>
      <c r="C221" s="49"/>
      <c r="D221" s="50"/>
      <c r="E221" s="49"/>
      <c r="F221" s="50"/>
      <c r="G221" s="50"/>
    </row>
    <row r="222" spans="1:7" ht="12">
      <c r="A222" s="66" t="s">
        <v>45</v>
      </c>
      <c r="B222" s="84"/>
      <c r="C222" s="73"/>
      <c r="D222" s="75"/>
      <c r="E222" s="73"/>
      <c r="F222" s="75"/>
      <c r="G222" s="76"/>
    </row>
    <row r="223" spans="1:7" ht="12">
      <c r="A223" s="64" t="s">
        <v>46</v>
      </c>
      <c r="B223" s="83"/>
      <c r="C223" s="44">
        <v>14784.2</v>
      </c>
      <c r="D223" s="44">
        <v>17025.75</v>
      </c>
      <c r="E223" s="44">
        <v>19607.11</v>
      </c>
      <c r="F223" s="44">
        <v>22579.88</v>
      </c>
      <c r="G223" s="44">
        <v>26003.06</v>
      </c>
    </row>
    <row r="224" spans="1:7" ht="12">
      <c r="A224" s="64" t="s">
        <v>55</v>
      </c>
      <c r="B224" s="83"/>
      <c r="C224" s="46">
        <v>13262.32</v>
      </c>
      <c r="D224" s="47">
        <v>11020.77</v>
      </c>
      <c r="E224" s="46">
        <v>8439.41</v>
      </c>
      <c r="F224" s="47">
        <v>5466.64</v>
      </c>
      <c r="G224" s="48">
        <v>2043.18</v>
      </c>
    </row>
    <row r="225" spans="1:7" ht="12">
      <c r="A225" s="64" t="s">
        <v>47</v>
      </c>
      <c r="B225" s="83"/>
      <c r="C225" s="44">
        <v>3213.900879999999</v>
      </c>
      <c r="D225" s="43">
        <v>841.1522950000003</v>
      </c>
      <c r="E225" s="44">
        <v>9392.993494458005</v>
      </c>
      <c r="F225" s="43">
        <v>20490.371678470332</v>
      </c>
      <c r="G225" s="44">
        <v>36482.21805447998</v>
      </c>
    </row>
    <row r="226" spans="1:7" ht="12">
      <c r="A226" s="64" t="s">
        <v>48</v>
      </c>
      <c r="B226" s="83"/>
      <c r="C226" s="46">
        <v>4553.026246666665</v>
      </c>
      <c r="D226" s="47">
        <v>1191.6324179166672</v>
      </c>
      <c r="E226" s="46">
        <v>13306.740783815509</v>
      </c>
      <c r="F226" s="47">
        <v>29028.026544499637</v>
      </c>
      <c r="G226" s="48">
        <v>51683.14224384663</v>
      </c>
    </row>
    <row r="227" spans="1:7" ht="12">
      <c r="A227" s="58"/>
      <c r="B227" s="47"/>
      <c r="D227" s="47"/>
      <c r="F227" s="47"/>
      <c r="G227" s="48"/>
    </row>
    <row r="228" spans="1:7" ht="12.75" thickBot="1">
      <c r="A228" s="61" t="s">
        <v>49</v>
      </c>
      <c r="B228" s="80"/>
      <c r="C228" s="70">
        <v>35813.447126666666</v>
      </c>
      <c r="D228" s="71">
        <v>30079.304712916666</v>
      </c>
      <c r="E228" s="70">
        <v>50746.25427827351</v>
      </c>
      <c r="F228" s="71">
        <v>77564.91822296997</v>
      </c>
      <c r="G228" s="72">
        <v>116211.60029832661</v>
      </c>
    </row>
    <row r="229" spans="1:7" ht="12">
      <c r="A229" s="67"/>
      <c r="B229" s="79"/>
      <c r="D229" s="47"/>
      <c r="F229" s="47"/>
      <c r="G229" s="48"/>
    </row>
    <row r="230" spans="1:7" ht="12">
      <c r="A230" s="68" t="s">
        <v>50</v>
      </c>
      <c r="B230" s="85"/>
      <c r="C230" s="46">
        <v>10613.92723999999</v>
      </c>
      <c r="D230" s="47">
        <v>-3356.4809962500003</v>
      </c>
      <c r="E230" s="46">
        <v>35992.86722084647</v>
      </c>
      <c r="F230" s="47">
        <v>87881.4986709045</v>
      </c>
      <c r="G230" s="48">
        <v>164607.037828673</v>
      </c>
    </row>
    <row r="231" spans="1:7" ht="12">
      <c r="A231" s="59"/>
      <c r="B231" s="79"/>
      <c r="D231" s="47"/>
      <c r="F231" s="47"/>
      <c r="G231" s="48"/>
    </row>
    <row r="232" spans="1:10" ht="12">
      <c r="A232" s="59" t="s">
        <v>60</v>
      </c>
      <c r="B232" s="79">
        <v>-100000</v>
      </c>
      <c r="D232" s="47"/>
      <c r="F232" s="47"/>
      <c r="G232" s="48"/>
      <c r="J232" s="41" t="s">
        <v>133</v>
      </c>
    </row>
    <row r="233" spans="1:13" ht="12">
      <c r="A233" s="59"/>
      <c r="B233" s="79"/>
      <c r="D233" s="47"/>
      <c r="F233" s="47"/>
      <c r="G233" s="48"/>
      <c r="I233" s="41" t="s">
        <v>134</v>
      </c>
      <c r="J233" s="87">
        <v>0.151472</v>
      </c>
      <c r="M233" s="41" t="s">
        <v>59</v>
      </c>
    </row>
    <row r="234" spans="1:13" ht="12">
      <c r="A234" s="59"/>
      <c r="B234" s="79">
        <v>-25757.56</v>
      </c>
      <c r="D234" s="47"/>
      <c r="F234" s="47"/>
      <c r="G234" s="48"/>
      <c r="I234" s="41" t="s">
        <v>58</v>
      </c>
      <c r="J234" s="140">
        <v>298459.6051775113</v>
      </c>
      <c r="M234" s="139">
        <v>0.4329055087604809</v>
      </c>
    </row>
    <row r="235" spans="1:10" ht="12">
      <c r="A235" s="59" t="s">
        <v>51</v>
      </c>
      <c r="B235" s="79"/>
      <c r="C235" s="46">
        <v>10402.6</v>
      </c>
      <c r="D235" s="47">
        <v>21016.52723999999</v>
      </c>
      <c r="E235" s="46">
        <v>17660.04624374999</v>
      </c>
      <c r="F235" s="47">
        <v>53652.91346459646</v>
      </c>
      <c r="G235" s="48">
        <v>141534.41213550096</v>
      </c>
      <c r="I235" s="41" t="s">
        <v>135</v>
      </c>
      <c r="J235" s="132">
        <v>0.1</v>
      </c>
    </row>
    <row r="236" spans="1:7" ht="12">
      <c r="A236" s="59"/>
      <c r="B236" s="79"/>
      <c r="D236" s="47"/>
      <c r="F236" s="47"/>
      <c r="G236" s="48"/>
    </row>
    <row r="237" spans="1:7" ht="12.75" thickBot="1">
      <c r="A237" s="61" t="s">
        <v>52</v>
      </c>
      <c r="B237" s="80">
        <v>-125757.56</v>
      </c>
      <c r="C237" s="49">
        <v>21016.52723999999</v>
      </c>
      <c r="D237" s="50">
        <v>17660.04624374999</v>
      </c>
      <c r="E237" s="49">
        <v>53652.91346459646</v>
      </c>
      <c r="F237" s="50">
        <v>141534.41213550096</v>
      </c>
      <c r="G237" s="51">
        <v>306141.44996417395</v>
      </c>
    </row>
    <row r="238" spans="1:2" ht="12">
      <c r="A238" s="40" t="s">
        <v>30</v>
      </c>
      <c r="B238" s="86"/>
    </row>
    <row r="241" spans="1:7" ht="12">
      <c r="A241" s="314" t="s">
        <v>53</v>
      </c>
      <c r="B241" s="314"/>
      <c r="C241" s="314"/>
      <c r="D241" s="314"/>
      <c r="E241" s="314"/>
      <c r="F241" s="314"/>
      <c r="G241" s="314"/>
    </row>
    <row r="242" spans="1:7" ht="12">
      <c r="A242" s="314" t="s">
        <v>63</v>
      </c>
      <c r="B242" s="314"/>
      <c r="C242" s="314"/>
      <c r="D242" s="314"/>
      <c r="E242" s="314"/>
      <c r="F242" s="314"/>
      <c r="G242" s="314"/>
    </row>
    <row r="243" spans="1:7" ht="12.75" thickBot="1">
      <c r="A243" s="42"/>
      <c r="B243" s="74"/>
      <c r="C243" s="74"/>
      <c r="D243" s="74"/>
      <c r="E243" s="74"/>
      <c r="F243" s="74"/>
      <c r="G243" s="74"/>
    </row>
    <row r="244" spans="1:7" ht="12.75" thickBot="1">
      <c r="A244" s="54" t="s">
        <v>20</v>
      </c>
      <c r="B244" s="88">
        <v>0</v>
      </c>
      <c r="C244" s="89">
        <v>1</v>
      </c>
      <c r="D244" s="90">
        <v>2</v>
      </c>
      <c r="E244" s="89">
        <v>3</v>
      </c>
      <c r="F244" s="91">
        <v>4</v>
      </c>
      <c r="G244" s="92">
        <v>5</v>
      </c>
    </row>
    <row r="245" spans="1:7" ht="12">
      <c r="A245" s="55"/>
      <c r="B245" s="75"/>
      <c r="C245" s="76"/>
      <c r="D245" s="73"/>
      <c r="E245" s="75"/>
      <c r="F245" s="73"/>
      <c r="G245" s="75"/>
    </row>
    <row r="246" spans="1:7" ht="12">
      <c r="A246" s="56" t="s">
        <v>33</v>
      </c>
      <c r="B246" s="77"/>
      <c r="C246" s="48"/>
      <c r="E246" s="47"/>
      <c r="G246" s="47"/>
    </row>
    <row r="247" spans="1:7" ht="12">
      <c r="A247" s="60" t="s">
        <v>56</v>
      </c>
      <c r="B247" s="44"/>
      <c r="C247" s="48">
        <v>146844.05775</v>
      </c>
      <c r="D247" s="46">
        <v>127422.918125</v>
      </c>
      <c r="E247" s="47">
        <v>191134.3771875</v>
      </c>
      <c r="F247" s="46">
        <v>279122.26078124996</v>
      </c>
      <c r="G247" s="47">
        <v>418683.39117187494</v>
      </c>
    </row>
    <row r="248" spans="1:7" ht="12">
      <c r="A248" s="58"/>
      <c r="B248" s="47"/>
      <c r="C248" s="48"/>
      <c r="E248" s="47"/>
      <c r="G248" s="47"/>
    </row>
    <row r="249" spans="1:7" ht="12">
      <c r="A249" s="57" t="s">
        <v>54</v>
      </c>
      <c r="B249" s="78"/>
      <c r="C249" s="69">
        <v>141949.255825</v>
      </c>
      <c r="D249" s="45">
        <v>123175.48752083331</v>
      </c>
      <c r="E249" s="45">
        <v>184763.23128125002</v>
      </c>
      <c r="F249" s="45">
        <v>269818.185421875</v>
      </c>
      <c r="G249" s="45">
        <v>404727.27813281247</v>
      </c>
    </row>
    <row r="250" spans="1:7" ht="12">
      <c r="A250" s="58" t="s">
        <v>34</v>
      </c>
      <c r="B250" s="47"/>
      <c r="C250" s="48">
        <v>4894.801925000001</v>
      </c>
      <c r="D250" s="47">
        <v>4247.430604166667</v>
      </c>
      <c r="E250" s="47">
        <v>6371.145906250001</v>
      </c>
      <c r="F250" s="47">
        <v>9304.075359375</v>
      </c>
      <c r="G250" s="47">
        <v>13956.113039062499</v>
      </c>
    </row>
    <row r="251" spans="1:7" ht="12">
      <c r="A251" s="58"/>
      <c r="B251" s="47"/>
      <c r="C251" s="48"/>
      <c r="E251" s="47"/>
      <c r="G251" s="47"/>
    </row>
    <row r="252" spans="1:7" ht="12.75" thickBot="1">
      <c r="A252" s="59" t="s">
        <v>35</v>
      </c>
      <c r="B252" s="79"/>
      <c r="C252" s="51">
        <v>146844.05775</v>
      </c>
      <c r="D252" s="50">
        <v>127422.91812499998</v>
      </c>
      <c r="E252" s="50">
        <v>191134.3771875</v>
      </c>
      <c r="F252" s="50">
        <v>279122.26078124996</v>
      </c>
      <c r="G252" s="50">
        <v>418683.39117187494</v>
      </c>
    </row>
    <row r="253" spans="1:7" ht="12">
      <c r="A253" s="55"/>
      <c r="B253" s="94"/>
      <c r="C253" s="75"/>
      <c r="D253" s="73"/>
      <c r="E253" s="75"/>
      <c r="F253" s="73"/>
      <c r="G253" s="75"/>
    </row>
    <row r="254" spans="1:7" ht="12">
      <c r="A254" s="56" t="s">
        <v>36</v>
      </c>
      <c r="B254" s="95"/>
      <c r="C254" s="47"/>
      <c r="E254" s="47"/>
      <c r="G254" s="47"/>
    </row>
    <row r="255" spans="1:7" ht="12">
      <c r="A255" s="58"/>
      <c r="B255" s="96"/>
      <c r="C255" s="47"/>
      <c r="E255" s="47"/>
      <c r="G255" s="47"/>
    </row>
    <row r="256" spans="1:7" ht="12">
      <c r="A256" s="58" t="s">
        <v>37</v>
      </c>
      <c r="B256" s="96"/>
      <c r="C256" s="44">
        <v>32640</v>
      </c>
      <c r="D256" s="43">
        <v>33017.712</v>
      </c>
      <c r="E256" s="44">
        <v>35107.7534544</v>
      </c>
      <c r="F256" s="43">
        <v>43605.24465803136</v>
      </c>
      <c r="G256" s="44">
        <v>60630.98995531286</v>
      </c>
    </row>
    <row r="257" spans="1:7" ht="12">
      <c r="A257" s="58" t="s">
        <v>38</v>
      </c>
      <c r="B257" s="96"/>
      <c r="C257" s="47">
        <v>33690.4</v>
      </c>
      <c r="D257" s="46">
        <v>34033.449799999995</v>
      </c>
      <c r="E257" s="47">
        <v>34680.67981919999</v>
      </c>
      <c r="F257" s="46">
        <v>35332.19790725536</v>
      </c>
      <c r="G257" s="47">
        <v>35988.11469634254</v>
      </c>
    </row>
    <row r="258" spans="1:7" ht="12">
      <c r="A258" s="58" t="s">
        <v>39</v>
      </c>
      <c r="B258" s="96"/>
      <c r="C258" s="47">
        <v>15777</v>
      </c>
      <c r="D258" s="46">
        <v>16184.046600000001</v>
      </c>
      <c r="E258" s="47">
        <v>16601.595002280003</v>
      </c>
      <c r="F258" s="46">
        <v>17029.91615333883</v>
      </c>
      <c r="G258" s="47">
        <v>17469.28799009497</v>
      </c>
    </row>
    <row r="259" spans="1:7" ht="12">
      <c r="A259" s="58" t="s">
        <v>40</v>
      </c>
      <c r="B259" s="96"/>
      <c r="C259" s="44">
        <v>9184.759133333333</v>
      </c>
      <c r="D259" s="43">
        <v>9184.759133333333</v>
      </c>
      <c r="E259" s="44">
        <v>6955.0371</v>
      </c>
      <c r="F259" s="43">
        <v>2832.7347</v>
      </c>
      <c r="G259" s="44">
        <v>2832.7347</v>
      </c>
    </row>
    <row r="260" spans="1:7" ht="12">
      <c r="A260" s="58" t="s">
        <v>41</v>
      </c>
      <c r="B260" s="96"/>
      <c r="C260" s="47">
        <v>2740</v>
      </c>
      <c r="D260" s="46">
        <v>2740</v>
      </c>
      <c r="E260" s="47">
        <v>2740</v>
      </c>
      <c r="F260" s="46">
        <v>2740</v>
      </c>
      <c r="G260" s="47">
        <v>2740</v>
      </c>
    </row>
    <row r="261" spans="1:7" ht="12.75" thickBot="1">
      <c r="A261" s="61" t="s">
        <v>42</v>
      </c>
      <c r="B261" s="97"/>
      <c r="C261" s="50">
        <v>94032.15913333333</v>
      </c>
      <c r="D261" s="49">
        <v>95159.96753333334</v>
      </c>
      <c r="E261" s="50">
        <v>96085.06537588</v>
      </c>
      <c r="F261" s="49">
        <v>101540.09341862555</v>
      </c>
      <c r="G261" s="50">
        <v>119661.12734175037</v>
      </c>
    </row>
    <row r="262" spans="1:7" ht="12">
      <c r="A262" s="55"/>
      <c r="B262" s="75"/>
      <c r="C262" s="73"/>
      <c r="D262" s="75"/>
      <c r="E262" s="73"/>
      <c r="F262" s="75"/>
      <c r="G262" s="76"/>
    </row>
    <row r="263" spans="1:7" ht="12">
      <c r="A263" s="62" t="s">
        <v>43</v>
      </c>
      <c r="B263" s="81"/>
      <c r="C263" s="46">
        <v>52811.89861666667</v>
      </c>
      <c r="D263" s="47">
        <v>32262.95059166664</v>
      </c>
      <c r="E263" s="46">
        <v>95049.31181162</v>
      </c>
      <c r="F263" s="47">
        <v>177582.16736262443</v>
      </c>
      <c r="G263" s="48">
        <v>299022.2638301246</v>
      </c>
    </row>
    <row r="264" spans="1:7" ht="12.75" thickBot="1">
      <c r="A264" s="63"/>
      <c r="B264" s="82"/>
      <c r="C264" s="49"/>
      <c r="D264" s="50"/>
      <c r="E264" s="49"/>
      <c r="F264" s="50"/>
      <c r="G264" s="51"/>
    </row>
    <row r="265" spans="1:7" ht="12">
      <c r="A265" s="55"/>
      <c r="B265" s="75"/>
      <c r="C265" s="73"/>
      <c r="D265" s="75"/>
      <c r="E265" s="73"/>
      <c r="F265" s="75"/>
      <c r="G265" s="75"/>
    </row>
    <row r="266" spans="1:7" ht="12">
      <c r="A266" s="62" t="s">
        <v>45</v>
      </c>
      <c r="B266" s="81"/>
      <c r="D266" s="47"/>
      <c r="F266" s="47"/>
      <c r="G266" s="47"/>
    </row>
    <row r="267" spans="1:7" ht="12">
      <c r="A267" s="64" t="s">
        <v>44</v>
      </c>
      <c r="B267" s="83"/>
      <c r="C267" s="52">
        <v>9184.759133333333</v>
      </c>
      <c r="D267" s="53">
        <v>9184.759133333333</v>
      </c>
      <c r="E267" s="52">
        <v>6955.0371</v>
      </c>
      <c r="F267" s="53">
        <v>2832.7347</v>
      </c>
      <c r="G267" s="53">
        <v>2832.7347</v>
      </c>
    </row>
    <row r="268" spans="1:7" ht="12">
      <c r="A268" s="58"/>
      <c r="B268" s="47"/>
      <c r="C268" s="46">
        <v>9184.759133333333</v>
      </c>
      <c r="D268" s="47">
        <v>9184.759133333333</v>
      </c>
      <c r="E268" s="46">
        <v>6955.0371</v>
      </c>
      <c r="F268" s="47">
        <v>2832.7347</v>
      </c>
      <c r="G268" s="47">
        <v>2832.7347</v>
      </c>
    </row>
    <row r="269" spans="1:7" ht="12.75" thickBot="1">
      <c r="A269" s="65"/>
      <c r="B269" s="50"/>
      <c r="C269" s="49"/>
      <c r="D269" s="50"/>
      <c r="E269" s="49"/>
      <c r="F269" s="50"/>
      <c r="G269" s="50"/>
    </row>
    <row r="270" spans="1:7" ht="12">
      <c r="A270" s="66" t="s">
        <v>45</v>
      </c>
      <c r="B270" s="84"/>
      <c r="C270" s="73"/>
      <c r="D270" s="75"/>
      <c r="E270" s="73"/>
      <c r="F270" s="75"/>
      <c r="G270" s="76"/>
    </row>
    <row r="271" spans="1:7" ht="12">
      <c r="A271" s="64" t="s">
        <v>46</v>
      </c>
      <c r="B271" s="83"/>
      <c r="C271" s="44">
        <v>14784.2</v>
      </c>
      <c r="D271" s="44">
        <v>17025.75</v>
      </c>
      <c r="E271" s="44">
        <v>19607.11</v>
      </c>
      <c r="F271" s="44">
        <v>22579.88</v>
      </c>
      <c r="G271" s="44">
        <v>26003.06</v>
      </c>
    </row>
    <row r="272" spans="1:7" ht="12">
      <c r="A272" s="64" t="s">
        <v>55</v>
      </c>
      <c r="B272" s="83"/>
      <c r="C272" s="46">
        <v>13262.32</v>
      </c>
      <c r="D272" s="47">
        <v>11020.77</v>
      </c>
      <c r="E272" s="46">
        <v>8439.41</v>
      </c>
      <c r="F272" s="47">
        <v>5466.64</v>
      </c>
      <c r="G272" s="48">
        <v>2043.18</v>
      </c>
    </row>
    <row r="273" spans="1:7" ht="12">
      <c r="A273" s="64" t="s">
        <v>47</v>
      </c>
      <c r="B273" s="83"/>
      <c r="C273" s="44">
        <v>3213.900879999999</v>
      </c>
      <c r="D273" s="43">
        <v>841.1522950000003</v>
      </c>
      <c r="E273" s="44">
        <v>9392.993494458005</v>
      </c>
      <c r="F273" s="43">
        <v>20490.371678470332</v>
      </c>
      <c r="G273" s="44">
        <v>36482.21805447998</v>
      </c>
    </row>
    <row r="274" spans="1:7" ht="12">
      <c r="A274" s="64" t="s">
        <v>48</v>
      </c>
      <c r="B274" s="83"/>
      <c r="C274" s="46">
        <v>4553.026246666665</v>
      </c>
      <c r="D274" s="47">
        <v>1191.6324179166672</v>
      </c>
      <c r="E274" s="46">
        <v>13306.740783815509</v>
      </c>
      <c r="F274" s="47">
        <v>29028.026544499637</v>
      </c>
      <c r="G274" s="48">
        <v>51683.14224384663</v>
      </c>
    </row>
    <row r="275" spans="1:7" ht="12">
      <c r="A275" s="58"/>
      <c r="B275" s="47"/>
      <c r="D275" s="47"/>
      <c r="F275" s="47"/>
      <c r="G275" s="48"/>
    </row>
    <row r="276" spans="1:7" ht="12.75" thickBot="1">
      <c r="A276" s="61" t="s">
        <v>49</v>
      </c>
      <c r="B276" s="80"/>
      <c r="C276" s="70">
        <v>35813.447126666666</v>
      </c>
      <c r="D276" s="71">
        <v>30079.304712916666</v>
      </c>
      <c r="E276" s="70">
        <v>50746.25427827351</v>
      </c>
      <c r="F276" s="71">
        <v>77564.91822296997</v>
      </c>
      <c r="G276" s="72">
        <v>116211.60029832661</v>
      </c>
    </row>
    <row r="277" spans="1:7" ht="12">
      <c r="A277" s="67"/>
      <c r="B277" s="79"/>
      <c r="D277" s="47"/>
      <c r="F277" s="47"/>
      <c r="G277" s="48"/>
    </row>
    <row r="278" spans="1:7" ht="12">
      <c r="A278" s="68" t="s">
        <v>50</v>
      </c>
      <c r="B278" s="85"/>
      <c r="C278" s="46">
        <v>16998.451490000007</v>
      </c>
      <c r="D278" s="47">
        <v>2183.6458787499723</v>
      </c>
      <c r="E278" s="46">
        <v>44303.057533346495</v>
      </c>
      <c r="F278" s="47">
        <v>100017.24913965446</v>
      </c>
      <c r="G278" s="48">
        <v>182810.66353179797</v>
      </c>
    </row>
    <row r="279" spans="1:10" ht="12">
      <c r="A279" s="59"/>
      <c r="B279" s="79"/>
      <c r="D279" s="47"/>
      <c r="F279" s="47"/>
      <c r="G279" s="48"/>
      <c r="J279" s="41" t="s">
        <v>133</v>
      </c>
    </row>
    <row r="280" spans="1:13" ht="12">
      <c r="A280" s="59" t="s">
        <v>60</v>
      </c>
      <c r="B280" s="79">
        <v>-100000</v>
      </c>
      <c r="D280" s="47"/>
      <c r="F280" s="47"/>
      <c r="G280" s="48"/>
      <c r="I280" s="41" t="s">
        <v>134</v>
      </c>
      <c r="J280" s="87">
        <v>0.151472</v>
      </c>
      <c r="M280" s="41" t="s">
        <v>59</v>
      </c>
    </row>
    <row r="281" spans="1:13" ht="12">
      <c r="A281" s="59"/>
      <c r="B281" s="79"/>
      <c r="D281" s="47"/>
      <c r="F281" s="47"/>
      <c r="G281" s="48"/>
      <c r="I281" s="41" t="s">
        <v>58</v>
      </c>
      <c r="J281" s="140">
        <v>369649.30541530525</v>
      </c>
      <c r="M281" s="139">
        <v>0.5289763747769662</v>
      </c>
    </row>
    <row r="282" spans="1:10" ht="12">
      <c r="A282" s="59"/>
      <c r="B282" s="79">
        <v>-25757.56</v>
      </c>
      <c r="D282" s="47"/>
      <c r="F282" s="47"/>
      <c r="G282" s="48"/>
      <c r="I282" s="41" t="s">
        <v>135</v>
      </c>
      <c r="J282" s="132">
        <v>0.15</v>
      </c>
    </row>
    <row r="283" spans="1:7" ht="12">
      <c r="A283" s="59" t="s">
        <v>51</v>
      </c>
      <c r="B283" s="79"/>
      <c r="C283" s="46">
        <v>10402.6</v>
      </c>
      <c r="D283" s="47">
        <v>27401.051490000005</v>
      </c>
      <c r="E283" s="46">
        <v>29584.697368749978</v>
      </c>
      <c r="F283" s="47">
        <v>73887.75490209647</v>
      </c>
      <c r="G283" s="48">
        <v>173905.00404175092</v>
      </c>
    </row>
    <row r="284" spans="1:7" ht="12">
      <c r="A284" s="59"/>
      <c r="B284" s="79"/>
      <c r="D284" s="47"/>
      <c r="F284" s="47"/>
      <c r="G284" s="48"/>
    </row>
    <row r="285" spans="1:7" ht="12.75" thickBot="1">
      <c r="A285" s="61" t="s">
        <v>52</v>
      </c>
      <c r="B285" s="80">
        <v>-125757.56</v>
      </c>
      <c r="C285" s="49">
        <v>27401.051490000005</v>
      </c>
      <c r="D285" s="50">
        <v>29584.697368749978</v>
      </c>
      <c r="E285" s="49">
        <v>73887.75490209647</v>
      </c>
      <c r="F285" s="50">
        <v>173905.00404175092</v>
      </c>
      <c r="G285" s="51">
        <v>356715.66757354885</v>
      </c>
    </row>
    <row r="286" spans="1:2" ht="12">
      <c r="A286" s="40" t="s">
        <v>30</v>
      </c>
      <c r="B286" s="86"/>
    </row>
    <row r="291" spans="2:3" ht="12.75">
      <c r="B291" s="315" t="s">
        <v>137</v>
      </c>
      <c r="C291" s="315"/>
    </row>
    <row r="292" spans="2:3" ht="12.75">
      <c r="B292" s="148" t="s">
        <v>136</v>
      </c>
      <c r="C292" s="148" t="s">
        <v>58</v>
      </c>
    </row>
    <row r="293" spans="2:3" ht="12.75">
      <c r="B293" s="153">
        <v>-0.15</v>
      </c>
      <c r="C293" s="151">
        <v>-57488.8960114591</v>
      </c>
    </row>
    <row r="294" spans="2:3" ht="12.75">
      <c r="B294" s="153">
        <v>-0.1</v>
      </c>
      <c r="C294" s="149">
        <v>13700.804226335098</v>
      </c>
    </row>
    <row r="295" spans="2:3" ht="12.75">
      <c r="B295" s="153">
        <v>-0.05</v>
      </c>
      <c r="C295" s="149">
        <v>84890.50446412899</v>
      </c>
    </row>
    <row r="296" spans="2:3" ht="12.75">
      <c r="B296" s="154">
        <v>0</v>
      </c>
      <c r="C296" s="150">
        <v>156080.20470192307</v>
      </c>
    </row>
    <row r="297" spans="2:3" ht="12.75">
      <c r="B297" s="153">
        <v>0.05</v>
      </c>
      <c r="C297" s="149">
        <v>227269.90493971732</v>
      </c>
    </row>
    <row r="298" spans="2:3" ht="12.75">
      <c r="B298" s="153">
        <v>0.1</v>
      </c>
      <c r="C298" s="149">
        <v>298459.6051775113</v>
      </c>
    </row>
    <row r="299" spans="2:3" ht="12.75">
      <c r="B299" s="153">
        <v>0.15</v>
      </c>
      <c r="C299" s="149">
        <v>369649.30541530525</v>
      </c>
    </row>
  </sheetData>
  <sheetProtection/>
  <mergeCells count="13">
    <mergeCell ref="A97:G97"/>
    <mergeCell ref="A98:G98"/>
    <mergeCell ref="A241:G241"/>
    <mergeCell ref="A242:G242"/>
    <mergeCell ref="B291:C291"/>
    <mergeCell ref="A145:G145"/>
    <mergeCell ref="A146:G146"/>
    <mergeCell ref="A193:G193"/>
    <mergeCell ref="A194:G194"/>
    <mergeCell ref="A1:G1"/>
    <mergeCell ref="A2:G2"/>
    <mergeCell ref="A49:G49"/>
    <mergeCell ref="A50:G50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56"/>
  <sheetViews>
    <sheetView zoomScalePageLayoutView="0" workbookViewId="0" topLeftCell="A111">
      <selection activeCell="B158" sqref="B158"/>
    </sheetView>
  </sheetViews>
  <sheetFormatPr defaultColWidth="11.421875" defaultRowHeight="12.75"/>
  <cols>
    <col min="1" max="1" width="33.8515625" style="41" customWidth="1"/>
    <col min="2" max="2" width="16.421875" style="46" customWidth="1"/>
    <col min="3" max="3" width="18.28125" style="46" customWidth="1"/>
    <col min="4" max="4" width="10.421875" style="46" bestFit="1" customWidth="1"/>
    <col min="5" max="5" width="11.421875" style="46" customWidth="1"/>
    <col min="6" max="6" width="14.57421875" style="46" customWidth="1"/>
    <col min="7" max="7" width="10.57421875" style="46" customWidth="1"/>
    <col min="8" max="8" width="12.421875" style="41" bestFit="1" customWidth="1"/>
    <col min="9" max="9" width="11.421875" style="41" customWidth="1"/>
    <col min="10" max="10" width="16.140625" style="41" bestFit="1" customWidth="1"/>
    <col min="11" max="16384" width="11.421875" style="41" customWidth="1"/>
  </cols>
  <sheetData>
    <row r="1" spans="1:7" ht="12">
      <c r="A1" s="314" t="s">
        <v>53</v>
      </c>
      <c r="B1" s="314"/>
      <c r="C1" s="314"/>
      <c r="D1" s="314"/>
      <c r="E1" s="314"/>
      <c r="F1" s="314"/>
      <c r="G1" s="314"/>
    </row>
    <row r="2" spans="1:7" ht="12">
      <c r="A2" s="314" t="s">
        <v>63</v>
      </c>
      <c r="B2" s="314"/>
      <c r="C2" s="314"/>
      <c r="D2" s="314"/>
      <c r="E2" s="314"/>
      <c r="F2" s="314"/>
      <c r="G2" s="314"/>
    </row>
    <row r="3" spans="1:7" ht="6" customHeight="1" thickBot="1">
      <c r="A3" s="42"/>
      <c r="B3" s="74"/>
      <c r="C3" s="74"/>
      <c r="D3" s="74"/>
      <c r="E3" s="74"/>
      <c r="F3" s="74"/>
      <c r="G3" s="74"/>
    </row>
    <row r="4" spans="1:7" ht="12.75" thickBot="1">
      <c r="A4" s="54" t="s">
        <v>20</v>
      </c>
      <c r="B4" s="88">
        <v>0</v>
      </c>
      <c r="C4" s="89">
        <v>1</v>
      </c>
      <c r="D4" s="90">
        <v>2</v>
      </c>
      <c r="E4" s="89">
        <v>3</v>
      </c>
      <c r="F4" s="91">
        <v>4</v>
      </c>
      <c r="G4" s="92">
        <v>5</v>
      </c>
    </row>
    <row r="5" spans="1:7" ht="12" customHeight="1">
      <c r="A5" s="55"/>
      <c r="B5" s="75"/>
      <c r="C5" s="76"/>
      <c r="D5" s="73"/>
      <c r="E5" s="75"/>
      <c r="F5" s="73"/>
      <c r="G5" s="75"/>
    </row>
    <row r="6" spans="1:7" ht="13.5" customHeight="1">
      <c r="A6" s="56" t="s">
        <v>33</v>
      </c>
      <c r="B6" s="77"/>
      <c r="C6" s="48"/>
      <c r="E6" s="47"/>
      <c r="G6" s="47"/>
    </row>
    <row r="7" spans="1:12" ht="15.75" customHeight="1">
      <c r="A7" s="60" t="s">
        <v>56</v>
      </c>
      <c r="B7" s="44"/>
      <c r="C7" s="48">
        <v>127690.48499999999</v>
      </c>
      <c r="D7" s="46">
        <v>110802.53749999999</v>
      </c>
      <c r="E7" s="47">
        <v>166203.80625000002</v>
      </c>
      <c r="F7" s="46">
        <v>242715.00937499994</v>
      </c>
      <c r="G7" s="47">
        <v>364072.5140625</v>
      </c>
      <c r="L7" s="41" t="s">
        <v>132</v>
      </c>
    </row>
    <row r="8" spans="1:11" ht="12">
      <c r="A8" s="58"/>
      <c r="B8" s="47"/>
      <c r="C8" s="48"/>
      <c r="E8" s="47"/>
      <c r="G8" s="47"/>
      <c r="I8" s="41" t="s">
        <v>128</v>
      </c>
      <c r="J8" s="41">
        <v>2007</v>
      </c>
      <c r="K8" s="41">
        <v>2006</v>
      </c>
    </row>
    <row r="9" spans="1:13" ht="12">
      <c r="A9" s="57" t="s">
        <v>54</v>
      </c>
      <c r="B9" s="78"/>
      <c r="C9" s="69">
        <v>123434.13549999999</v>
      </c>
      <c r="D9" s="45">
        <v>107109.11958333332</v>
      </c>
      <c r="E9" s="45">
        <v>160663.67937500004</v>
      </c>
      <c r="F9" s="45">
        <v>234624.5090624999</v>
      </c>
      <c r="G9" s="45">
        <v>351936.76359374996</v>
      </c>
      <c r="I9" s="41" t="s">
        <v>129</v>
      </c>
      <c r="J9" s="41">
        <v>154270</v>
      </c>
      <c r="K9" s="41">
        <v>155094</v>
      </c>
      <c r="L9" s="133">
        <v>0.28</v>
      </c>
      <c r="M9" s="41">
        <v>197465.6</v>
      </c>
    </row>
    <row r="10" spans="1:13" ht="12">
      <c r="A10" s="58" t="s">
        <v>34</v>
      </c>
      <c r="B10" s="47"/>
      <c r="C10" s="48">
        <v>4256.349499999999</v>
      </c>
      <c r="D10" s="47">
        <v>3693.4179166666663</v>
      </c>
      <c r="E10" s="47">
        <v>5540.126875000002</v>
      </c>
      <c r="F10" s="47">
        <v>8090.500312499998</v>
      </c>
      <c r="G10" s="47">
        <v>12135.75046875</v>
      </c>
      <c r="I10" s="41" t="s">
        <v>61</v>
      </c>
      <c r="J10" s="41">
        <v>114006</v>
      </c>
      <c r="K10" s="41">
        <v>115540</v>
      </c>
      <c r="L10" s="133">
        <v>0.28</v>
      </c>
      <c r="M10" s="41">
        <v>145927.68</v>
      </c>
    </row>
    <row r="11" spans="1:7" ht="6" customHeight="1">
      <c r="A11" s="58"/>
      <c r="B11" s="47"/>
      <c r="C11" s="48"/>
      <c r="E11" s="47"/>
      <c r="G11" s="47"/>
    </row>
    <row r="12" spans="1:11" ht="12.75" thickBot="1">
      <c r="A12" s="59" t="s">
        <v>35</v>
      </c>
      <c r="B12" s="79"/>
      <c r="C12" s="51">
        <v>127690.48499999999</v>
      </c>
      <c r="D12" s="51">
        <v>110802.53749999999</v>
      </c>
      <c r="E12" s="51">
        <v>166203.80625000002</v>
      </c>
      <c r="F12" s="51">
        <v>242715.0093749999</v>
      </c>
      <c r="G12" s="51">
        <v>364072.5140625</v>
      </c>
      <c r="J12" s="41">
        <v>1.3531743943301229</v>
      </c>
      <c r="K12" s="41">
        <v>1.3423403150424096</v>
      </c>
    </row>
    <row r="13" spans="1:7" ht="6" customHeight="1">
      <c r="A13" s="55"/>
      <c r="B13" s="94"/>
      <c r="C13" s="75"/>
      <c r="D13" s="73"/>
      <c r="E13" s="75"/>
      <c r="F13" s="73"/>
      <c r="G13" s="75"/>
    </row>
    <row r="14" spans="1:7" ht="12">
      <c r="A14" s="56" t="s">
        <v>36</v>
      </c>
      <c r="B14" s="95"/>
      <c r="C14" s="47"/>
      <c r="E14" s="47"/>
      <c r="G14" s="47"/>
    </row>
    <row r="15" spans="1:7" ht="6" customHeight="1">
      <c r="A15" s="58"/>
      <c r="B15" s="96"/>
      <c r="C15" s="47"/>
      <c r="E15" s="47"/>
      <c r="G15" s="47"/>
    </row>
    <row r="16" spans="1:10" ht="12">
      <c r="A16" s="58" t="s">
        <v>37</v>
      </c>
      <c r="B16" s="96"/>
      <c r="C16" s="44">
        <v>31008</v>
      </c>
      <c r="D16" s="43">
        <v>31366.826399999998</v>
      </c>
      <c r="E16" s="44">
        <v>33352.365781680004</v>
      </c>
      <c r="F16" s="43">
        <v>41424.982425129834</v>
      </c>
      <c r="G16" s="44">
        <v>57599.44045754726</v>
      </c>
      <c r="I16" s="131" t="s">
        <v>130</v>
      </c>
      <c r="J16" s="131">
        <v>0.7495132683061759</v>
      </c>
    </row>
    <row r="17" spans="1:7" ht="12">
      <c r="A17" s="58" t="s">
        <v>38</v>
      </c>
      <c r="B17" s="96"/>
      <c r="C17" s="47">
        <v>33690.4</v>
      </c>
      <c r="D17" s="46">
        <v>34033.449799999995</v>
      </c>
      <c r="E17" s="47">
        <v>34680.67981919999</v>
      </c>
      <c r="F17" s="46">
        <v>35332.19790725536</v>
      </c>
      <c r="G17" s="47">
        <v>35988.11469634254</v>
      </c>
    </row>
    <row r="18" spans="1:7" ht="12">
      <c r="A18" s="58" t="s">
        <v>39</v>
      </c>
      <c r="B18" s="96"/>
      <c r="C18" s="47">
        <v>15777</v>
      </c>
      <c r="D18" s="46">
        <v>16184.046600000001</v>
      </c>
      <c r="E18" s="47">
        <v>16601.595002280003</v>
      </c>
      <c r="F18" s="46">
        <v>17029.91615333883</v>
      </c>
      <c r="G18" s="47">
        <v>17469.28799009497</v>
      </c>
    </row>
    <row r="19" spans="1:10" ht="12">
      <c r="A19" s="58" t="s">
        <v>40</v>
      </c>
      <c r="B19" s="96"/>
      <c r="C19" s="44">
        <v>9184.759133333333</v>
      </c>
      <c r="D19" s="43">
        <v>9184.759133333333</v>
      </c>
      <c r="E19" s="44">
        <v>6955.0371</v>
      </c>
      <c r="F19" s="43">
        <v>2832.7347</v>
      </c>
      <c r="G19" s="44">
        <v>2832.7347</v>
      </c>
      <c r="I19" s="131" t="s">
        <v>131</v>
      </c>
      <c r="J19" s="131">
        <v>0.41366043949940884</v>
      </c>
    </row>
    <row r="20" spans="1:7" ht="12">
      <c r="A20" s="58" t="s">
        <v>41</v>
      </c>
      <c r="B20" s="96"/>
      <c r="C20" s="47">
        <v>2740</v>
      </c>
      <c r="D20" s="46">
        <v>2740</v>
      </c>
      <c r="E20" s="47">
        <v>2740</v>
      </c>
      <c r="F20" s="46">
        <v>2740</v>
      </c>
      <c r="G20" s="47">
        <v>2740</v>
      </c>
    </row>
    <row r="21" spans="1:7" ht="12.75" thickBot="1">
      <c r="A21" s="61" t="s">
        <v>42</v>
      </c>
      <c r="B21" s="97"/>
      <c r="C21" s="50">
        <v>92400.15913333333</v>
      </c>
      <c r="D21" s="50">
        <v>93509.08193333333</v>
      </c>
      <c r="E21" s="50">
        <v>94329.67770315999</v>
      </c>
      <c r="F21" s="50">
        <v>99359.83118572402</v>
      </c>
      <c r="G21" s="50">
        <v>116629.57784398476</v>
      </c>
    </row>
    <row r="22" spans="1:7" ht="6" customHeight="1">
      <c r="A22" s="55"/>
      <c r="B22" s="94"/>
      <c r="C22" s="75"/>
      <c r="D22" s="73"/>
      <c r="E22" s="75"/>
      <c r="F22" s="73"/>
      <c r="G22" s="75"/>
    </row>
    <row r="23" spans="1:7" ht="12">
      <c r="A23" s="62" t="s">
        <v>43</v>
      </c>
      <c r="B23" s="142"/>
      <c r="C23" s="47">
        <v>35290.32586666665</v>
      </c>
      <c r="D23" s="46">
        <v>17293.455566666657</v>
      </c>
      <c r="E23" s="47">
        <v>71874.12854684003</v>
      </c>
      <c r="F23" s="46">
        <v>143355.1781892759</v>
      </c>
      <c r="G23" s="47">
        <v>247442.9362185152</v>
      </c>
    </row>
    <row r="24" spans="1:7" ht="6" customHeight="1" thickBot="1">
      <c r="A24" s="63"/>
      <c r="B24" s="143"/>
      <c r="C24" s="50"/>
      <c r="D24" s="49"/>
      <c r="E24" s="50"/>
      <c r="F24" s="49"/>
      <c r="G24" s="50"/>
    </row>
    <row r="25" spans="1:7" ht="6" customHeight="1">
      <c r="A25" s="55"/>
      <c r="B25" s="75"/>
      <c r="C25" s="73"/>
      <c r="D25" s="75"/>
      <c r="E25" s="73"/>
      <c r="F25" s="75"/>
      <c r="G25" s="75"/>
    </row>
    <row r="26" spans="1:13" ht="12">
      <c r="A26" s="62" t="s">
        <v>45</v>
      </c>
      <c r="B26" s="81"/>
      <c r="D26" s="47"/>
      <c r="F26" s="47"/>
      <c r="G26" s="47"/>
      <c r="I26" s="134"/>
      <c r="J26" s="102"/>
      <c r="K26" s="102"/>
      <c r="L26" s="102"/>
      <c r="M26" s="102"/>
    </row>
    <row r="27" spans="1:13" ht="12">
      <c r="A27" s="64" t="s">
        <v>44</v>
      </c>
      <c r="B27" s="83"/>
      <c r="C27" s="52">
        <v>9184.759133333333</v>
      </c>
      <c r="D27" s="53">
        <v>9184.759133333333</v>
      </c>
      <c r="E27" s="52">
        <v>6955.0371</v>
      </c>
      <c r="F27" s="53">
        <v>2832.7347</v>
      </c>
      <c r="G27" s="53">
        <v>2832.7347</v>
      </c>
      <c r="I27" s="134"/>
      <c r="J27" s="135"/>
      <c r="K27" s="102"/>
      <c r="L27" s="102"/>
      <c r="M27" s="102"/>
    </row>
    <row r="28" spans="1:13" ht="12">
      <c r="A28" s="58"/>
      <c r="B28" s="47"/>
      <c r="C28" s="46">
        <v>9184.759133333333</v>
      </c>
      <c r="D28" s="47">
        <v>9184.759133333333</v>
      </c>
      <c r="E28" s="46">
        <v>6955.0371</v>
      </c>
      <c r="F28" s="47">
        <v>2832.7347</v>
      </c>
      <c r="G28" s="47">
        <v>2832.7347</v>
      </c>
      <c r="I28" s="134"/>
      <c r="J28" s="136"/>
      <c r="K28" s="102"/>
      <c r="L28" s="102"/>
      <c r="M28" s="137"/>
    </row>
    <row r="29" spans="1:13" ht="6" customHeight="1" thickBot="1">
      <c r="A29" s="65"/>
      <c r="B29" s="50"/>
      <c r="C29" s="49"/>
      <c r="D29" s="50"/>
      <c r="E29" s="49"/>
      <c r="F29" s="50"/>
      <c r="G29" s="50"/>
      <c r="I29" s="134"/>
      <c r="J29" s="152"/>
      <c r="K29" s="102"/>
      <c r="L29" s="102"/>
      <c r="M29" s="102"/>
    </row>
    <row r="30" spans="1:10" ht="12">
      <c r="A30" s="66" t="s">
        <v>45</v>
      </c>
      <c r="B30" s="144"/>
      <c r="C30" s="75"/>
      <c r="D30" s="73"/>
      <c r="E30" s="75"/>
      <c r="F30" s="73"/>
      <c r="G30" s="75"/>
      <c r="J30" s="41" t="s">
        <v>133</v>
      </c>
    </row>
    <row r="31" spans="1:13" ht="12">
      <c r="A31" s="64" t="s">
        <v>46</v>
      </c>
      <c r="B31" s="145"/>
      <c r="C31" s="44">
        <v>14784.2</v>
      </c>
      <c r="D31" s="43">
        <v>17025.75</v>
      </c>
      <c r="E31" s="44">
        <v>19607.11</v>
      </c>
      <c r="F31" s="43">
        <v>22579.88</v>
      </c>
      <c r="G31" s="44">
        <v>26003.06</v>
      </c>
      <c r="I31" s="41" t="s">
        <v>134</v>
      </c>
      <c r="J31" s="139">
        <v>0.151472</v>
      </c>
      <c r="M31" s="41" t="s">
        <v>59</v>
      </c>
    </row>
    <row r="32" spans="1:13" ht="12">
      <c r="A32" s="64" t="s">
        <v>55</v>
      </c>
      <c r="B32" s="145"/>
      <c r="C32" s="47">
        <v>13262.32</v>
      </c>
      <c r="D32" s="46">
        <v>11020.77</v>
      </c>
      <c r="E32" s="47">
        <v>8439.41</v>
      </c>
      <c r="F32" s="46">
        <v>5466.64</v>
      </c>
      <c r="G32" s="47">
        <v>2043.18</v>
      </c>
      <c r="H32" s="46"/>
      <c r="I32" s="46" t="s">
        <v>58</v>
      </c>
      <c r="J32" s="140">
        <v>172443.34032872497</v>
      </c>
      <c r="M32" s="139">
        <v>0.23734511250957796</v>
      </c>
    </row>
    <row r="33" spans="1:10" ht="12">
      <c r="A33" s="64" t="s">
        <v>47</v>
      </c>
      <c r="B33" s="145"/>
      <c r="C33" s="44">
        <v>3213.900879999999</v>
      </c>
      <c r="D33" s="43">
        <v>841.1522950000003</v>
      </c>
      <c r="E33" s="44">
        <v>9392.993494458005</v>
      </c>
      <c r="F33" s="43">
        <v>20490.371678470332</v>
      </c>
      <c r="G33" s="44">
        <v>36482.21805447998</v>
      </c>
      <c r="I33" s="41" t="s">
        <v>135</v>
      </c>
      <c r="J33" s="141">
        <v>-0.05</v>
      </c>
    </row>
    <row r="34" spans="1:7" ht="12">
      <c r="A34" s="64" t="s">
        <v>48</v>
      </c>
      <c r="B34" s="145"/>
      <c r="C34" s="47">
        <v>4553.026246666665</v>
      </c>
      <c r="D34" s="46">
        <v>1191.6324179166672</v>
      </c>
      <c r="E34" s="47">
        <v>13306.740783815509</v>
      </c>
      <c r="F34" s="46">
        <v>29028.026544499637</v>
      </c>
      <c r="G34" s="47">
        <v>51683.14224384663</v>
      </c>
    </row>
    <row r="35" spans="1:7" ht="6" customHeight="1">
      <c r="A35" s="58"/>
      <c r="B35" s="96"/>
      <c r="C35" s="47"/>
      <c r="E35" s="47"/>
      <c r="G35" s="47"/>
    </row>
    <row r="36" spans="1:7" ht="12.75" thickBot="1">
      <c r="A36" s="61" t="s">
        <v>49</v>
      </c>
      <c r="B36" s="97"/>
      <c r="C36" s="71">
        <v>35813.447126666666</v>
      </c>
      <c r="D36" s="70">
        <v>30079.304712916666</v>
      </c>
      <c r="E36" s="71">
        <v>50746.25427827351</v>
      </c>
      <c r="F36" s="70">
        <v>77564.91822296997</v>
      </c>
      <c r="G36" s="71">
        <v>116211.60029832661</v>
      </c>
    </row>
    <row r="37" spans="1:7" ht="6" customHeight="1">
      <c r="A37" s="67"/>
      <c r="B37" s="146"/>
      <c r="C37" s="75"/>
      <c r="E37" s="75"/>
      <c r="G37" s="75"/>
    </row>
    <row r="38" spans="1:7" ht="12">
      <c r="A38" s="68" t="s">
        <v>50</v>
      </c>
      <c r="B38" s="147"/>
      <c r="C38" s="47">
        <v>-523.1212600000144</v>
      </c>
      <c r="D38" s="46">
        <v>-12785.84914625001</v>
      </c>
      <c r="E38" s="47">
        <v>21127.87426856652</v>
      </c>
      <c r="F38" s="46">
        <v>65790.25996630594</v>
      </c>
      <c r="G38" s="47">
        <v>131231.3359201886</v>
      </c>
    </row>
    <row r="39" spans="1:7" ht="5.25" customHeight="1">
      <c r="A39" s="59"/>
      <c r="B39" s="146"/>
      <c r="C39" s="47"/>
      <c r="E39" s="47"/>
      <c r="G39" s="47"/>
    </row>
    <row r="40" spans="1:7" ht="12" customHeight="1">
      <c r="A40" s="59" t="s">
        <v>60</v>
      </c>
      <c r="B40" s="146">
        <v>-100000</v>
      </c>
      <c r="C40" s="47"/>
      <c r="E40" s="47"/>
      <c r="G40" s="47"/>
    </row>
    <row r="41" spans="1:7" ht="5.25" customHeight="1">
      <c r="A41" s="59"/>
      <c r="B41" s="146"/>
      <c r="C41" s="47"/>
      <c r="E41" s="47"/>
      <c r="G41" s="47"/>
    </row>
    <row r="42" spans="1:7" ht="12" customHeight="1">
      <c r="A42" s="59"/>
      <c r="B42" s="146">
        <v>-25757.56</v>
      </c>
      <c r="C42" s="47"/>
      <c r="E42" s="47"/>
      <c r="G42" s="47"/>
    </row>
    <row r="43" spans="1:7" ht="12">
      <c r="A43" s="59" t="s">
        <v>51</v>
      </c>
      <c r="B43" s="146"/>
      <c r="C43" s="47">
        <v>10402.6</v>
      </c>
      <c r="D43" s="46">
        <v>9879.478739999986</v>
      </c>
      <c r="E43" s="47">
        <v>-2906.3704062500237</v>
      </c>
      <c r="F43" s="46">
        <v>18221.503862316495</v>
      </c>
      <c r="G43" s="47">
        <v>84011.76382862244</v>
      </c>
    </row>
    <row r="44" spans="1:7" ht="6" customHeight="1">
      <c r="A44" s="59"/>
      <c r="B44" s="146"/>
      <c r="C44" s="47"/>
      <c r="E44" s="47"/>
      <c r="G44" s="47"/>
    </row>
    <row r="45" spans="1:7" ht="12.75" thickBot="1">
      <c r="A45" s="61" t="s">
        <v>52</v>
      </c>
      <c r="B45" s="97">
        <v>-125757.56</v>
      </c>
      <c r="C45" s="50">
        <v>9879.478739999986</v>
      </c>
      <c r="D45" s="50">
        <v>-2906.3704062500237</v>
      </c>
      <c r="E45" s="50">
        <v>18221.503862316495</v>
      </c>
      <c r="F45" s="50">
        <v>84011.76382862244</v>
      </c>
      <c r="G45" s="50">
        <v>215243.09974881104</v>
      </c>
    </row>
    <row r="46" spans="1:2" ht="12">
      <c r="A46" s="40" t="s">
        <v>30</v>
      </c>
      <c r="B46" s="86"/>
    </row>
    <row r="49" spans="1:7" ht="12">
      <c r="A49" s="314" t="s">
        <v>53</v>
      </c>
      <c r="B49" s="314"/>
      <c r="C49" s="314"/>
      <c r="D49" s="314"/>
      <c r="E49" s="314"/>
      <c r="F49" s="314"/>
      <c r="G49" s="314"/>
    </row>
    <row r="50" spans="1:7" ht="12">
      <c r="A50" s="314" t="s">
        <v>63</v>
      </c>
      <c r="B50" s="314"/>
      <c r="C50" s="314"/>
      <c r="D50" s="314"/>
      <c r="E50" s="314"/>
      <c r="F50" s="314"/>
      <c r="G50" s="314"/>
    </row>
    <row r="51" spans="1:12" ht="12.75" thickBot="1">
      <c r="A51" s="42"/>
      <c r="B51" s="74"/>
      <c r="C51" s="74"/>
      <c r="D51" s="74"/>
      <c r="E51" s="74"/>
      <c r="F51" s="74"/>
      <c r="G51" s="74"/>
      <c r="J51" s="41" t="s">
        <v>57</v>
      </c>
      <c r="L51" s="87">
        <v>0.151472</v>
      </c>
    </row>
    <row r="52" spans="1:7" ht="12.75" thickBot="1">
      <c r="A52" s="54" t="s">
        <v>20</v>
      </c>
      <c r="B52" s="88">
        <v>0</v>
      </c>
      <c r="C52" s="89">
        <v>1</v>
      </c>
      <c r="D52" s="90">
        <v>2</v>
      </c>
      <c r="E52" s="89">
        <v>3</v>
      </c>
      <c r="F52" s="91">
        <v>4</v>
      </c>
      <c r="G52" s="92">
        <v>5</v>
      </c>
    </row>
    <row r="53" spans="1:12" ht="12">
      <c r="A53" s="55"/>
      <c r="B53" s="75"/>
      <c r="C53" s="76"/>
      <c r="D53" s="73"/>
      <c r="E53" s="75"/>
      <c r="F53" s="73"/>
      <c r="G53" s="75"/>
      <c r="J53" s="41" t="s">
        <v>58</v>
      </c>
      <c r="L53" s="41">
        <v>156080.20470192307</v>
      </c>
    </row>
    <row r="54" spans="1:7" ht="12">
      <c r="A54" s="56" t="s">
        <v>33</v>
      </c>
      <c r="B54" s="77"/>
      <c r="C54" s="48"/>
      <c r="E54" s="47"/>
      <c r="G54" s="47"/>
    </row>
    <row r="55" spans="1:12" ht="12">
      <c r="A55" s="60" t="s">
        <v>56</v>
      </c>
      <c r="B55" s="44"/>
      <c r="C55" s="48">
        <v>127690.48499999999</v>
      </c>
      <c r="D55" s="46">
        <v>110802.53749999999</v>
      </c>
      <c r="E55" s="47">
        <v>166203.80625000002</v>
      </c>
      <c r="F55" s="46">
        <v>242715.00937499994</v>
      </c>
      <c r="G55" s="47">
        <v>364072.5140625</v>
      </c>
      <c r="J55" s="41" t="s">
        <v>59</v>
      </c>
      <c r="L55" s="87">
        <v>0.20812787727079338</v>
      </c>
    </row>
    <row r="56" spans="1:7" ht="12">
      <c r="A56" s="58"/>
      <c r="B56" s="47"/>
      <c r="C56" s="48"/>
      <c r="E56" s="47"/>
      <c r="G56" s="47"/>
    </row>
    <row r="57" spans="1:7" ht="12">
      <c r="A57" s="57" t="s">
        <v>54</v>
      </c>
      <c r="B57" s="78"/>
      <c r="C57" s="69">
        <v>123434.13549999999</v>
      </c>
      <c r="D57" s="45">
        <v>107109.11958333332</v>
      </c>
      <c r="E57" s="45">
        <v>160663.67937500004</v>
      </c>
      <c r="F57" s="45">
        <v>234624.5090624999</v>
      </c>
      <c r="G57" s="45">
        <v>351936.76359374996</v>
      </c>
    </row>
    <row r="58" spans="1:7" ht="12">
      <c r="A58" s="58" t="s">
        <v>34</v>
      </c>
      <c r="B58" s="47"/>
      <c r="C58" s="48">
        <v>4256.349499999999</v>
      </c>
      <c r="D58" s="47">
        <v>3693.4179166666663</v>
      </c>
      <c r="E58" s="47">
        <v>5540.126875000002</v>
      </c>
      <c r="F58" s="47">
        <v>8090.500312499998</v>
      </c>
      <c r="G58" s="47">
        <v>12135.75046875</v>
      </c>
    </row>
    <row r="59" spans="1:7" ht="12">
      <c r="A59" s="58"/>
      <c r="B59" s="47"/>
      <c r="C59" s="48"/>
      <c r="E59" s="47"/>
      <c r="G59" s="47"/>
    </row>
    <row r="60" spans="1:7" ht="12.75" thickBot="1">
      <c r="A60" s="59" t="s">
        <v>35</v>
      </c>
      <c r="B60" s="79"/>
      <c r="C60" s="51">
        <v>127690.48499999999</v>
      </c>
      <c r="D60" s="50">
        <v>110802.53749999999</v>
      </c>
      <c r="E60" s="50">
        <v>166203.80625000002</v>
      </c>
      <c r="F60" s="50">
        <v>242715.0093749999</v>
      </c>
      <c r="G60" s="50">
        <v>364072.5140625</v>
      </c>
    </row>
    <row r="61" spans="1:7" ht="12">
      <c r="A61" s="55"/>
      <c r="B61" s="94"/>
      <c r="C61" s="75"/>
      <c r="D61" s="73"/>
      <c r="E61" s="75"/>
      <c r="F61" s="73"/>
      <c r="G61" s="75"/>
    </row>
    <row r="62" spans="1:10" ht="12">
      <c r="A62" s="56" t="s">
        <v>36</v>
      </c>
      <c r="B62" s="95"/>
      <c r="C62" s="47"/>
      <c r="E62" s="47"/>
      <c r="G62" s="47"/>
      <c r="J62" s="41" t="s">
        <v>133</v>
      </c>
    </row>
    <row r="63" spans="1:13" ht="12">
      <c r="A63" s="58"/>
      <c r="B63" s="96"/>
      <c r="C63" s="47"/>
      <c r="E63" s="47"/>
      <c r="G63" s="47"/>
      <c r="I63" s="41" t="s">
        <v>134</v>
      </c>
      <c r="J63" s="87">
        <v>0.151472</v>
      </c>
      <c r="M63" s="41" t="s">
        <v>59</v>
      </c>
    </row>
    <row r="64" spans="1:13" ht="12">
      <c r="A64" s="58" t="s">
        <v>37</v>
      </c>
      <c r="B64" s="96"/>
      <c r="C64" s="44">
        <v>29376</v>
      </c>
      <c r="D64" s="43">
        <v>29715.9408</v>
      </c>
      <c r="E64" s="44">
        <v>31596.97810896</v>
      </c>
      <c r="F64" s="43">
        <v>39244.72019222826</v>
      </c>
      <c r="G64" s="44">
        <v>54567.89095978161</v>
      </c>
      <c r="I64" s="41" t="s">
        <v>58</v>
      </c>
      <c r="J64" s="140">
        <v>188806.47595552696</v>
      </c>
      <c r="M64" s="139">
        <v>0.2657260785544509</v>
      </c>
    </row>
    <row r="65" spans="1:10" ht="12">
      <c r="A65" s="58" t="s">
        <v>38</v>
      </c>
      <c r="B65" s="96"/>
      <c r="C65" s="47">
        <v>33690.4</v>
      </c>
      <c r="D65" s="46">
        <v>34033.449799999995</v>
      </c>
      <c r="E65" s="47">
        <v>34680.67981919999</v>
      </c>
      <c r="F65" s="46">
        <v>35332.19790725536</v>
      </c>
      <c r="G65" s="47">
        <v>35988.11469634254</v>
      </c>
      <c r="I65" s="41" t="s">
        <v>135</v>
      </c>
      <c r="J65" s="132">
        <v>-0.1</v>
      </c>
    </row>
    <row r="66" spans="1:7" ht="12">
      <c r="A66" s="58" t="s">
        <v>39</v>
      </c>
      <c r="B66" s="96"/>
      <c r="C66" s="47">
        <v>15777</v>
      </c>
      <c r="D66" s="46">
        <v>16184.046600000001</v>
      </c>
      <c r="E66" s="47">
        <v>16601.595002280003</v>
      </c>
      <c r="F66" s="46">
        <v>17029.91615333883</v>
      </c>
      <c r="G66" s="47">
        <v>17469.28799009497</v>
      </c>
    </row>
    <row r="67" spans="1:7" ht="12">
      <c r="A67" s="58" t="s">
        <v>40</v>
      </c>
      <c r="B67" s="96"/>
      <c r="C67" s="44">
        <v>9184.759133333333</v>
      </c>
      <c r="D67" s="43">
        <v>9184.759133333333</v>
      </c>
      <c r="E67" s="44">
        <v>6955.0371</v>
      </c>
      <c r="F67" s="43">
        <v>2832.7347</v>
      </c>
      <c r="G67" s="44">
        <v>2832.7347</v>
      </c>
    </row>
    <row r="68" spans="1:7" ht="12">
      <c r="A68" s="58" t="s">
        <v>41</v>
      </c>
      <c r="B68" s="96"/>
      <c r="C68" s="47">
        <v>2740</v>
      </c>
      <c r="D68" s="46">
        <v>2740</v>
      </c>
      <c r="E68" s="47">
        <v>2740</v>
      </c>
      <c r="F68" s="46">
        <v>2740</v>
      </c>
      <c r="G68" s="47">
        <v>2740</v>
      </c>
    </row>
    <row r="69" spans="1:7" ht="12.75" thickBot="1">
      <c r="A69" s="61" t="s">
        <v>42</v>
      </c>
      <c r="B69" s="97"/>
      <c r="C69" s="50">
        <v>90768.15913333333</v>
      </c>
      <c r="D69" s="49">
        <v>91858.19633333333</v>
      </c>
      <c r="E69" s="50">
        <v>92574.29003043998</v>
      </c>
      <c r="F69" s="49">
        <v>97179.56895282245</v>
      </c>
      <c r="G69" s="50">
        <v>113598.02834621913</v>
      </c>
    </row>
    <row r="70" spans="1:7" ht="12">
      <c r="A70" s="55"/>
      <c r="B70" s="75"/>
      <c r="C70" s="73"/>
      <c r="D70" s="75"/>
      <c r="E70" s="73"/>
      <c r="F70" s="75"/>
      <c r="G70" s="76"/>
    </row>
    <row r="71" spans="1:7" ht="12">
      <c r="A71" s="62" t="s">
        <v>43</v>
      </c>
      <c r="B71" s="81"/>
      <c r="C71" s="46">
        <v>36922.32586666665</v>
      </c>
      <c r="D71" s="47">
        <v>18944.341166666665</v>
      </c>
      <c r="E71" s="46">
        <v>73629.51621956004</v>
      </c>
      <c r="F71" s="47">
        <v>145535.44042217746</v>
      </c>
      <c r="G71" s="48">
        <v>250474.48571628085</v>
      </c>
    </row>
    <row r="72" spans="1:7" ht="12.75" thickBot="1">
      <c r="A72" s="63"/>
      <c r="B72" s="82"/>
      <c r="C72" s="49"/>
      <c r="D72" s="50"/>
      <c r="E72" s="49"/>
      <c r="F72" s="50"/>
      <c r="G72" s="51"/>
    </row>
    <row r="73" spans="1:7" ht="12">
      <c r="A73" s="55"/>
      <c r="B73" s="75"/>
      <c r="C73" s="73"/>
      <c r="D73" s="75"/>
      <c r="E73" s="73"/>
      <c r="F73" s="75"/>
      <c r="G73" s="75"/>
    </row>
    <row r="74" spans="1:7" ht="12">
      <c r="A74" s="62" t="s">
        <v>45</v>
      </c>
      <c r="B74" s="81"/>
      <c r="D74" s="47"/>
      <c r="F74" s="47"/>
      <c r="G74" s="47"/>
    </row>
    <row r="75" spans="1:7" ht="12">
      <c r="A75" s="64" t="s">
        <v>44</v>
      </c>
      <c r="B75" s="83"/>
      <c r="C75" s="52">
        <v>9184.759133333333</v>
      </c>
      <c r="D75" s="53">
        <v>9184.759133333333</v>
      </c>
      <c r="E75" s="52">
        <v>6955.0371</v>
      </c>
      <c r="F75" s="53">
        <v>2832.7347</v>
      </c>
      <c r="G75" s="53">
        <v>2832.7347</v>
      </c>
    </row>
    <row r="76" spans="1:7" ht="12">
      <c r="A76" s="58"/>
      <c r="B76" s="47"/>
      <c r="C76" s="46">
        <v>9184.759133333333</v>
      </c>
      <c r="D76" s="47">
        <v>9184.759133333333</v>
      </c>
      <c r="E76" s="46">
        <v>6955.0371</v>
      </c>
      <c r="F76" s="47">
        <v>2832.7347</v>
      </c>
      <c r="G76" s="47">
        <v>2832.7347</v>
      </c>
    </row>
    <row r="77" spans="1:7" ht="12.75" thickBot="1">
      <c r="A77" s="65"/>
      <c r="B77" s="50"/>
      <c r="C77" s="49"/>
      <c r="D77" s="50"/>
      <c r="E77" s="49"/>
      <c r="F77" s="50"/>
      <c r="G77" s="50"/>
    </row>
    <row r="78" spans="1:7" ht="12">
      <c r="A78" s="66" t="s">
        <v>45</v>
      </c>
      <c r="B78" s="84"/>
      <c r="C78" s="73"/>
      <c r="D78" s="75"/>
      <c r="E78" s="73"/>
      <c r="F78" s="75"/>
      <c r="G78" s="76"/>
    </row>
    <row r="79" spans="1:7" ht="12">
      <c r="A79" s="64" t="s">
        <v>46</v>
      </c>
      <c r="B79" s="83"/>
      <c r="C79" s="44">
        <v>14784.2</v>
      </c>
      <c r="D79" s="44">
        <v>17025.75</v>
      </c>
      <c r="E79" s="44">
        <v>19607.11</v>
      </c>
      <c r="F79" s="44">
        <v>22579.88</v>
      </c>
      <c r="G79" s="44">
        <v>26003.06</v>
      </c>
    </row>
    <row r="80" spans="1:7" ht="12">
      <c r="A80" s="64" t="s">
        <v>55</v>
      </c>
      <c r="B80" s="83"/>
      <c r="C80" s="46">
        <v>13262.32</v>
      </c>
      <c r="D80" s="47">
        <v>11020.77</v>
      </c>
      <c r="E80" s="46">
        <v>8439.41</v>
      </c>
      <c r="F80" s="47">
        <v>5466.64</v>
      </c>
      <c r="G80" s="48">
        <v>2043.18</v>
      </c>
    </row>
    <row r="81" spans="1:7" ht="12">
      <c r="A81" s="64" t="s">
        <v>47</v>
      </c>
      <c r="B81" s="83"/>
      <c r="C81" s="44">
        <v>3213.900879999999</v>
      </c>
      <c r="D81" s="43">
        <v>841.1522950000003</v>
      </c>
      <c r="E81" s="44">
        <v>9392.993494458005</v>
      </c>
      <c r="F81" s="43">
        <v>20490.371678470332</v>
      </c>
      <c r="G81" s="44">
        <v>36482.21805447998</v>
      </c>
    </row>
    <row r="82" spans="1:7" ht="12">
      <c r="A82" s="64" t="s">
        <v>48</v>
      </c>
      <c r="B82" s="83"/>
      <c r="C82" s="46">
        <v>4553.026246666665</v>
      </c>
      <c r="D82" s="47">
        <v>1191.6324179166672</v>
      </c>
      <c r="E82" s="46">
        <v>13306.740783815509</v>
      </c>
      <c r="F82" s="47">
        <v>29028.026544499637</v>
      </c>
      <c r="G82" s="48">
        <v>51683.14224384663</v>
      </c>
    </row>
    <row r="83" spans="1:7" ht="12">
      <c r="A83" s="58"/>
      <c r="B83" s="47"/>
      <c r="D83" s="47"/>
      <c r="F83" s="47"/>
      <c r="G83" s="48"/>
    </row>
    <row r="84" spans="1:7" ht="12.75" thickBot="1">
      <c r="A84" s="61" t="s">
        <v>49</v>
      </c>
      <c r="B84" s="80"/>
      <c r="C84" s="70">
        <v>35813.447126666666</v>
      </c>
      <c r="D84" s="71">
        <v>30079.304712916666</v>
      </c>
      <c r="E84" s="70">
        <v>50746.25427827351</v>
      </c>
      <c r="F84" s="71">
        <v>77564.91822296997</v>
      </c>
      <c r="G84" s="72">
        <v>116211.60029832661</v>
      </c>
    </row>
    <row r="85" spans="1:7" ht="12">
      <c r="A85" s="67"/>
      <c r="B85" s="79"/>
      <c r="D85" s="47"/>
      <c r="F85" s="47"/>
      <c r="G85" s="48"/>
    </row>
    <row r="86" spans="1:7" ht="12">
      <c r="A86" s="68" t="s">
        <v>50</v>
      </c>
      <c r="B86" s="85"/>
      <c r="C86" s="46">
        <v>1108.8787399999856</v>
      </c>
      <c r="D86" s="47">
        <v>-11134.963546250001</v>
      </c>
      <c r="E86" s="46">
        <v>22883.26194128653</v>
      </c>
      <c r="F86" s="47">
        <v>67970.5221992075</v>
      </c>
      <c r="G86" s="48">
        <v>134262.88541795424</v>
      </c>
    </row>
    <row r="87" spans="1:7" ht="12">
      <c r="A87" s="59"/>
      <c r="B87" s="79"/>
      <c r="D87" s="47"/>
      <c r="F87" s="47"/>
      <c r="G87" s="48"/>
    </row>
    <row r="88" spans="1:7" ht="12">
      <c r="A88" s="59" t="s">
        <v>60</v>
      </c>
      <c r="B88" s="79">
        <v>-100000</v>
      </c>
      <c r="D88" s="47"/>
      <c r="F88" s="47"/>
      <c r="G88" s="48"/>
    </row>
    <row r="89" spans="1:7" ht="12">
      <c r="A89" s="59"/>
      <c r="B89" s="79"/>
      <c r="D89" s="47"/>
      <c r="F89" s="47"/>
      <c r="G89" s="48"/>
    </row>
    <row r="90" spans="1:7" ht="12">
      <c r="A90" s="59"/>
      <c r="B90" s="79">
        <v>-25757.56</v>
      </c>
      <c r="D90" s="47"/>
      <c r="F90" s="47"/>
      <c r="G90" s="48"/>
    </row>
    <row r="91" spans="1:7" ht="12">
      <c r="A91" s="59" t="s">
        <v>51</v>
      </c>
      <c r="B91" s="79"/>
      <c r="C91" s="46">
        <v>10402.6</v>
      </c>
      <c r="D91" s="47">
        <v>11511.478739999986</v>
      </c>
      <c r="E91" s="46">
        <v>376.515193749985</v>
      </c>
      <c r="F91" s="47">
        <v>23259.777135036515</v>
      </c>
      <c r="G91" s="48">
        <v>91230.29933424402</v>
      </c>
    </row>
    <row r="92" spans="1:7" ht="12">
      <c r="A92" s="59"/>
      <c r="B92" s="79"/>
      <c r="D92" s="47"/>
      <c r="F92" s="47"/>
      <c r="G92" s="48"/>
    </row>
    <row r="93" spans="1:7" ht="12.75" thickBot="1">
      <c r="A93" s="61" t="s">
        <v>52</v>
      </c>
      <c r="B93" s="80">
        <v>-125757.56</v>
      </c>
      <c r="C93" s="49">
        <v>11511.478739999986</v>
      </c>
      <c r="D93" s="50">
        <v>376.515193749985</v>
      </c>
      <c r="E93" s="49">
        <v>23259.777135036515</v>
      </c>
      <c r="F93" s="50">
        <v>91230.29933424402</v>
      </c>
      <c r="G93" s="51">
        <v>225493.18475219826</v>
      </c>
    </row>
    <row r="94" spans="1:2" ht="12">
      <c r="A94" s="40" t="s">
        <v>30</v>
      </c>
      <c r="B94" s="86"/>
    </row>
    <row r="97" spans="1:7" ht="12">
      <c r="A97" s="314" t="s">
        <v>53</v>
      </c>
      <c r="B97" s="314"/>
      <c r="C97" s="314"/>
      <c r="D97" s="314"/>
      <c r="E97" s="314"/>
      <c r="F97" s="314"/>
      <c r="G97" s="314"/>
    </row>
    <row r="98" spans="1:7" ht="12">
      <c r="A98" s="314" t="s">
        <v>63</v>
      </c>
      <c r="B98" s="314"/>
      <c r="C98" s="314"/>
      <c r="D98" s="314"/>
      <c r="E98" s="314"/>
      <c r="F98" s="314"/>
      <c r="G98" s="314"/>
    </row>
    <row r="99" spans="1:7" ht="12.75" thickBot="1">
      <c r="A99" s="42"/>
      <c r="B99" s="74"/>
      <c r="C99" s="74"/>
      <c r="D99" s="74"/>
      <c r="E99" s="74"/>
      <c r="F99" s="74"/>
      <c r="G99" s="74"/>
    </row>
    <row r="100" spans="1:7" ht="12.75" thickBot="1">
      <c r="A100" s="54" t="s">
        <v>20</v>
      </c>
      <c r="B100" s="88">
        <v>0</v>
      </c>
      <c r="C100" s="89">
        <v>1</v>
      </c>
      <c r="D100" s="90">
        <v>2</v>
      </c>
      <c r="E100" s="89">
        <v>3</v>
      </c>
      <c r="F100" s="91">
        <v>4</v>
      </c>
      <c r="G100" s="92">
        <v>5</v>
      </c>
    </row>
    <row r="101" spans="1:7" ht="12">
      <c r="A101" s="55"/>
      <c r="B101" s="75"/>
      <c r="C101" s="76"/>
      <c r="D101" s="73"/>
      <c r="E101" s="75"/>
      <c r="F101" s="73"/>
      <c r="G101" s="75"/>
    </row>
    <row r="102" spans="1:7" ht="12">
      <c r="A102" s="56" t="s">
        <v>33</v>
      </c>
      <c r="B102" s="77"/>
      <c r="C102" s="48"/>
      <c r="E102" s="47"/>
      <c r="G102" s="47"/>
    </row>
    <row r="103" spans="1:7" ht="12">
      <c r="A103" s="60" t="s">
        <v>56</v>
      </c>
      <c r="B103" s="44"/>
      <c r="C103" s="48">
        <v>127690.48499999999</v>
      </c>
      <c r="D103" s="46">
        <v>110802.53749999999</v>
      </c>
      <c r="E103" s="47">
        <v>166203.80625000002</v>
      </c>
      <c r="F103" s="46">
        <v>242715.00937499994</v>
      </c>
      <c r="G103" s="47">
        <v>364072.5140625</v>
      </c>
    </row>
    <row r="104" spans="1:7" ht="12">
      <c r="A104" s="58"/>
      <c r="B104" s="47"/>
      <c r="C104" s="48"/>
      <c r="E104" s="47"/>
      <c r="G104" s="47"/>
    </row>
    <row r="105" spans="1:7" ht="12">
      <c r="A105" s="57" t="s">
        <v>54</v>
      </c>
      <c r="B105" s="78"/>
      <c r="C105" s="69">
        <v>123434.13549999999</v>
      </c>
      <c r="D105" s="45">
        <v>107109.11958333332</v>
      </c>
      <c r="E105" s="45">
        <v>160663.67937500004</v>
      </c>
      <c r="F105" s="45">
        <v>234624.5090624999</v>
      </c>
      <c r="G105" s="45">
        <v>351936.76359374996</v>
      </c>
    </row>
    <row r="106" spans="1:7" ht="12">
      <c r="A106" s="58" t="s">
        <v>34</v>
      </c>
      <c r="B106" s="47"/>
      <c r="C106" s="48">
        <v>4256.349499999999</v>
      </c>
      <c r="D106" s="47">
        <v>3693.4179166666663</v>
      </c>
      <c r="E106" s="47">
        <v>5540.126875000002</v>
      </c>
      <c r="F106" s="47">
        <v>8090.500312499998</v>
      </c>
      <c r="G106" s="47">
        <v>12135.75046875</v>
      </c>
    </row>
    <row r="107" spans="1:7" ht="12">
      <c r="A107" s="58"/>
      <c r="B107" s="47"/>
      <c r="C107" s="48"/>
      <c r="E107" s="47"/>
      <c r="G107" s="47"/>
    </row>
    <row r="108" spans="1:7" ht="12.75" thickBot="1">
      <c r="A108" s="59" t="s">
        <v>35</v>
      </c>
      <c r="B108" s="79"/>
      <c r="C108" s="51">
        <v>127690.48499999999</v>
      </c>
      <c r="D108" s="50">
        <v>110802.53749999999</v>
      </c>
      <c r="E108" s="50">
        <v>166203.80625000002</v>
      </c>
      <c r="F108" s="50">
        <v>242715.0093749999</v>
      </c>
      <c r="G108" s="50">
        <v>364072.5140625</v>
      </c>
    </row>
    <row r="109" spans="1:7" ht="12">
      <c r="A109" s="55"/>
      <c r="B109" s="94"/>
      <c r="C109" s="75"/>
      <c r="D109" s="73"/>
      <c r="E109" s="75"/>
      <c r="F109" s="73"/>
      <c r="G109" s="75"/>
    </row>
    <row r="110" spans="1:7" ht="12">
      <c r="A110" s="56" t="s">
        <v>36</v>
      </c>
      <c r="B110" s="95"/>
      <c r="C110" s="47"/>
      <c r="E110" s="47"/>
      <c r="G110" s="47"/>
    </row>
    <row r="111" spans="1:7" ht="12">
      <c r="A111" s="58"/>
      <c r="B111" s="96"/>
      <c r="C111" s="47"/>
      <c r="E111" s="47"/>
      <c r="G111" s="47"/>
    </row>
    <row r="112" spans="1:7" ht="12">
      <c r="A112" s="58" t="s">
        <v>37</v>
      </c>
      <c r="B112" s="96"/>
      <c r="C112" s="44">
        <v>27744</v>
      </c>
      <c r="D112" s="43">
        <v>28065.0552</v>
      </c>
      <c r="E112" s="44">
        <v>29841.59043624</v>
      </c>
      <c r="F112" s="43">
        <v>37064.4579593267</v>
      </c>
      <c r="G112" s="44">
        <v>51536.341462015975</v>
      </c>
    </row>
    <row r="113" spans="1:7" ht="12">
      <c r="A113" s="58" t="s">
        <v>38</v>
      </c>
      <c r="B113" s="96"/>
      <c r="C113" s="47">
        <v>33690.4</v>
      </c>
      <c r="D113" s="46">
        <v>34033.449799999995</v>
      </c>
      <c r="E113" s="47">
        <v>34680.67981919999</v>
      </c>
      <c r="F113" s="46">
        <v>35332.19790725536</v>
      </c>
      <c r="G113" s="47">
        <v>35988.11469634254</v>
      </c>
    </row>
    <row r="114" spans="1:7" ht="12">
      <c r="A114" s="58" t="s">
        <v>39</v>
      </c>
      <c r="B114" s="96"/>
      <c r="C114" s="47">
        <v>15777</v>
      </c>
      <c r="D114" s="46">
        <v>16184.046600000001</v>
      </c>
      <c r="E114" s="47">
        <v>16601.595002280003</v>
      </c>
      <c r="F114" s="46">
        <v>17029.91615333883</v>
      </c>
      <c r="G114" s="47">
        <v>17469.28799009497</v>
      </c>
    </row>
    <row r="115" spans="1:7" ht="12">
      <c r="A115" s="58" t="s">
        <v>40</v>
      </c>
      <c r="B115" s="96"/>
      <c r="C115" s="44">
        <v>9184.759133333333</v>
      </c>
      <c r="D115" s="43">
        <v>9184.759133333333</v>
      </c>
      <c r="E115" s="44">
        <v>6955.0371</v>
      </c>
      <c r="F115" s="43">
        <v>2832.7347</v>
      </c>
      <c r="G115" s="44">
        <v>2832.7347</v>
      </c>
    </row>
    <row r="116" spans="1:7" ht="12">
      <c r="A116" s="58" t="s">
        <v>41</v>
      </c>
      <c r="B116" s="96"/>
      <c r="C116" s="47">
        <v>2740</v>
      </c>
      <c r="D116" s="46">
        <v>2740</v>
      </c>
      <c r="E116" s="47">
        <v>2740</v>
      </c>
      <c r="F116" s="46">
        <v>2740</v>
      </c>
      <c r="G116" s="47">
        <v>2740</v>
      </c>
    </row>
    <row r="117" spans="1:7" ht="12.75" thickBot="1">
      <c r="A117" s="61" t="s">
        <v>42</v>
      </c>
      <c r="B117" s="97"/>
      <c r="C117" s="50">
        <v>89136.15913333333</v>
      </c>
      <c r="D117" s="49">
        <v>90207.31073333332</v>
      </c>
      <c r="E117" s="50">
        <v>90818.90235772</v>
      </c>
      <c r="F117" s="49">
        <v>94999.30671992089</v>
      </c>
      <c r="G117" s="50">
        <v>110566.4788484535</v>
      </c>
    </row>
    <row r="118" spans="1:7" ht="12">
      <c r="A118" s="55"/>
      <c r="B118" s="75"/>
      <c r="C118" s="73"/>
      <c r="D118" s="75"/>
      <c r="E118" s="73"/>
      <c r="F118" s="75"/>
      <c r="G118" s="76"/>
    </row>
    <row r="119" spans="1:7" ht="12">
      <c r="A119" s="62" t="s">
        <v>43</v>
      </c>
      <c r="B119" s="81"/>
      <c r="C119" s="46">
        <v>38554.32586666665</v>
      </c>
      <c r="D119" s="47">
        <v>20595.226766666674</v>
      </c>
      <c r="E119" s="46">
        <v>75384.90389228002</v>
      </c>
      <c r="F119" s="47">
        <v>147715.70265507902</v>
      </c>
      <c r="G119" s="48">
        <v>253506.03521404648</v>
      </c>
    </row>
    <row r="120" spans="1:7" ht="12.75" thickBot="1">
      <c r="A120" s="63"/>
      <c r="B120" s="82"/>
      <c r="C120" s="49"/>
      <c r="D120" s="50"/>
      <c r="E120" s="49"/>
      <c r="F120" s="50"/>
      <c r="G120" s="51"/>
    </row>
    <row r="121" spans="1:7" ht="12">
      <c r="A121" s="55"/>
      <c r="B121" s="75"/>
      <c r="C121" s="73"/>
      <c r="D121" s="75"/>
      <c r="E121" s="73"/>
      <c r="F121" s="75"/>
      <c r="G121" s="75"/>
    </row>
    <row r="122" spans="1:7" ht="12">
      <c r="A122" s="62" t="s">
        <v>45</v>
      </c>
      <c r="B122" s="81"/>
      <c r="D122" s="47"/>
      <c r="F122" s="47"/>
      <c r="G122" s="47"/>
    </row>
    <row r="123" spans="1:7" ht="12">
      <c r="A123" s="64" t="s">
        <v>44</v>
      </c>
      <c r="B123" s="83"/>
      <c r="C123" s="52">
        <v>9184.759133333333</v>
      </c>
      <c r="D123" s="53">
        <v>9184.759133333333</v>
      </c>
      <c r="E123" s="52">
        <v>6955.0371</v>
      </c>
      <c r="F123" s="53">
        <v>2832.7347</v>
      </c>
      <c r="G123" s="53">
        <v>2832.7347</v>
      </c>
    </row>
    <row r="124" spans="1:7" ht="12">
      <c r="A124" s="58"/>
      <c r="B124" s="47"/>
      <c r="C124" s="46">
        <v>9184.759133333333</v>
      </c>
      <c r="D124" s="47">
        <v>9184.759133333333</v>
      </c>
      <c r="E124" s="46">
        <v>6955.0371</v>
      </c>
      <c r="F124" s="47">
        <v>2832.7347</v>
      </c>
      <c r="G124" s="47">
        <v>2832.7347</v>
      </c>
    </row>
    <row r="125" spans="1:7" ht="12.75" thickBot="1">
      <c r="A125" s="65"/>
      <c r="B125" s="50"/>
      <c r="C125" s="49"/>
      <c r="D125" s="50"/>
      <c r="E125" s="49"/>
      <c r="F125" s="50"/>
      <c r="G125" s="50"/>
    </row>
    <row r="126" spans="1:7" ht="12">
      <c r="A126" s="66" t="s">
        <v>45</v>
      </c>
      <c r="B126" s="84"/>
      <c r="C126" s="73"/>
      <c r="D126" s="75"/>
      <c r="E126" s="73"/>
      <c r="F126" s="75"/>
      <c r="G126" s="76"/>
    </row>
    <row r="127" spans="1:7" ht="12">
      <c r="A127" s="64" t="s">
        <v>46</v>
      </c>
      <c r="B127" s="83"/>
      <c r="C127" s="44">
        <v>14784.2</v>
      </c>
      <c r="D127" s="44">
        <v>17025.75</v>
      </c>
      <c r="E127" s="44">
        <v>19607.11</v>
      </c>
      <c r="F127" s="44">
        <v>22579.88</v>
      </c>
      <c r="G127" s="44">
        <v>26003.06</v>
      </c>
    </row>
    <row r="128" spans="1:7" ht="12">
      <c r="A128" s="64" t="s">
        <v>55</v>
      </c>
      <c r="B128" s="83"/>
      <c r="C128" s="46">
        <v>13262.32</v>
      </c>
      <c r="D128" s="47">
        <v>11020.77</v>
      </c>
      <c r="E128" s="46">
        <v>8439.41</v>
      </c>
      <c r="F128" s="47">
        <v>5466.64</v>
      </c>
      <c r="G128" s="48">
        <v>2043.18</v>
      </c>
    </row>
    <row r="129" spans="1:7" ht="12">
      <c r="A129" s="64" t="s">
        <v>47</v>
      </c>
      <c r="B129" s="83"/>
      <c r="C129" s="44">
        <v>3213.900879999999</v>
      </c>
      <c r="D129" s="43">
        <v>841.1522950000003</v>
      </c>
      <c r="E129" s="44">
        <v>9392.993494458005</v>
      </c>
      <c r="F129" s="43">
        <v>20490.371678470332</v>
      </c>
      <c r="G129" s="44">
        <v>36482.21805447998</v>
      </c>
    </row>
    <row r="130" spans="1:7" ht="12">
      <c r="A130" s="64" t="s">
        <v>48</v>
      </c>
      <c r="B130" s="83"/>
      <c r="C130" s="46">
        <v>4553.026246666665</v>
      </c>
      <c r="D130" s="47">
        <v>1191.6324179166672</v>
      </c>
      <c r="E130" s="46">
        <v>13306.740783815509</v>
      </c>
      <c r="F130" s="47">
        <v>29028.026544499637</v>
      </c>
      <c r="G130" s="48">
        <v>51683.14224384663</v>
      </c>
    </row>
    <row r="131" spans="1:7" ht="12">
      <c r="A131" s="58"/>
      <c r="B131" s="47"/>
      <c r="D131" s="47"/>
      <c r="F131" s="47"/>
      <c r="G131" s="48"/>
    </row>
    <row r="132" spans="1:7" ht="12.75" thickBot="1">
      <c r="A132" s="61" t="s">
        <v>49</v>
      </c>
      <c r="B132" s="80"/>
      <c r="C132" s="70">
        <v>35813.447126666666</v>
      </c>
      <c r="D132" s="71">
        <v>30079.304712916666</v>
      </c>
      <c r="E132" s="70">
        <v>50746.25427827351</v>
      </c>
      <c r="F132" s="71">
        <v>77564.91822296997</v>
      </c>
      <c r="G132" s="72">
        <v>116211.60029832661</v>
      </c>
    </row>
    <row r="133" spans="1:7" ht="12">
      <c r="A133" s="67"/>
      <c r="B133" s="79"/>
      <c r="D133" s="47"/>
      <c r="F133" s="47"/>
      <c r="G133" s="48"/>
    </row>
    <row r="134" spans="1:10" ht="12">
      <c r="A134" s="68" t="s">
        <v>50</v>
      </c>
      <c r="B134" s="85"/>
      <c r="C134" s="46">
        <v>2740.8787399999856</v>
      </c>
      <c r="D134" s="47">
        <v>-9484.077946249992</v>
      </c>
      <c r="E134" s="46">
        <v>24638.649614006514</v>
      </c>
      <c r="F134" s="47">
        <v>70150.78443210905</v>
      </c>
      <c r="G134" s="48">
        <v>137294.43491571987</v>
      </c>
      <c r="J134" s="41" t="s">
        <v>133</v>
      </c>
    </row>
    <row r="135" spans="1:13" ht="12">
      <c r="A135" s="59"/>
      <c r="B135" s="79"/>
      <c r="D135" s="47"/>
      <c r="F135" s="47"/>
      <c r="G135" s="48"/>
      <c r="I135" s="41" t="s">
        <v>134</v>
      </c>
      <c r="J135" s="87">
        <v>0.151472</v>
      </c>
      <c r="M135" s="41" t="s">
        <v>59</v>
      </c>
    </row>
    <row r="136" spans="1:13" ht="12">
      <c r="A136" s="59" t="s">
        <v>60</v>
      </c>
      <c r="B136" s="79">
        <v>-100000</v>
      </c>
      <c r="D136" s="47"/>
      <c r="F136" s="47"/>
      <c r="G136" s="48"/>
      <c r="I136" s="41" t="s">
        <v>58</v>
      </c>
      <c r="J136" s="140">
        <v>205169.6115823289</v>
      </c>
      <c r="M136" s="139">
        <v>0.2933456006679281</v>
      </c>
    </row>
    <row r="137" spans="1:10" ht="12">
      <c r="A137" s="59"/>
      <c r="B137" s="79"/>
      <c r="D137" s="47"/>
      <c r="F137" s="47"/>
      <c r="G137" s="48"/>
      <c r="I137" s="41" t="s">
        <v>135</v>
      </c>
      <c r="J137" s="132">
        <v>-0.15</v>
      </c>
    </row>
    <row r="138" spans="1:7" ht="12">
      <c r="A138" s="59"/>
      <c r="B138" s="79">
        <v>-25757.56</v>
      </c>
      <c r="D138" s="47"/>
      <c r="F138" s="47"/>
      <c r="G138" s="48"/>
    </row>
    <row r="139" spans="1:7" ht="12">
      <c r="A139" s="59" t="s">
        <v>51</v>
      </c>
      <c r="B139" s="79"/>
      <c r="C139" s="46">
        <v>10402.6</v>
      </c>
      <c r="D139" s="47">
        <v>13143.478739999986</v>
      </c>
      <c r="E139" s="46">
        <v>3659.4007937499937</v>
      </c>
      <c r="F139" s="47">
        <v>28298.050407756506</v>
      </c>
      <c r="G139" s="48">
        <v>98448.83483986557</v>
      </c>
    </row>
    <row r="140" spans="1:7" ht="12">
      <c r="A140" s="59"/>
      <c r="B140" s="79"/>
      <c r="D140" s="47"/>
      <c r="F140" s="47"/>
      <c r="G140" s="48"/>
    </row>
    <row r="141" spans="1:7" ht="12.75" thickBot="1">
      <c r="A141" s="61" t="s">
        <v>52</v>
      </c>
      <c r="B141" s="80">
        <v>-125757.56</v>
      </c>
      <c r="C141" s="49">
        <v>13143.478739999986</v>
      </c>
      <c r="D141" s="50">
        <v>3659.4007937499937</v>
      </c>
      <c r="E141" s="49">
        <v>28298.050407756506</v>
      </c>
      <c r="F141" s="50">
        <v>98448.83483986557</v>
      </c>
      <c r="G141" s="51">
        <v>235743.26975558544</v>
      </c>
    </row>
    <row r="142" spans="1:2" ht="12">
      <c r="A142" s="40" t="s">
        <v>30</v>
      </c>
      <c r="B142" s="86"/>
    </row>
    <row r="148" spans="2:3" ht="12.75">
      <c r="B148" s="315" t="s">
        <v>138</v>
      </c>
      <c r="C148" s="315"/>
    </row>
    <row r="149" spans="2:3" ht="12.75">
      <c r="B149" s="148" t="s">
        <v>87</v>
      </c>
      <c r="C149" s="148" t="s">
        <v>58</v>
      </c>
    </row>
    <row r="150" spans="2:3" ht="12.75">
      <c r="B150" s="153">
        <v>-0.15</v>
      </c>
      <c r="C150" s="151">
        <v>205169.6115823289</v>
      </c>
    </row>
    <row r="151" spans="2:3" ht="12.75">
      <c r="B151" s="153">
        <v>-0.1</v>
      </c>
      <c r="C151" s="149">
        <v>188806.47595552696</v>
      </c>
    </row>
    <row r="152" spans="2:3" ht="12.75">
      <c r="B152" s="153">
        <v>-0.05</v>
      </c>
      <c r="C152" s="149">
        <v>172443.34032872497</v>
      </c>
    </row>
    <row r="153" spans="2:3" ht="12.75">
      <c r="B153" s="154">
        <v>0</v>
      </c>
      <c r="C153" s="150">
        <v>156080.20470192307</v>
      </c>
    </row>
    <row r="154" spans="6:7" ht="12">
      <c r="F154" s="41"/>
      <c r="G154" s="41"/>
    </row>
    <row r="155" spans="6:7" ht="12">
      <c r="F155" s="41"/>
      <c r="G155" s="41"/>
    </row>
    <row r="156" spans="6:7" ht="12">
      <c r="F156" s="41"/>
      <c r="G156" s="41"/>
    </row>
  </sheetData>
  <sheetProtection/>
  <mergeCells count="7">
    <mergeCell ref="A97:G97"/>
    <mergeCell ref="A98:G98"/>
    <mergeCell ref="B148:C148"/>
    <mergeCell ref="A1:G1"/>
    <mergeCell ref="A2:G2"/>
    <mergeCell ref="A49:G49"/>
    <mergeCell ref="A50:G50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43">
      <selection activeCell="B30" sqref="B30"/>
    </sheetView>
  </sheetViews>
  <sheetFormatPr defaultColWidth="11.421875" defaultRowHeight="12.75"/>
  <cols>
    <col min="1" max="1" width="18.8515625" style="0" bestFit="1" customWidth="1"/>
    <col min="2" max="2" width="11.8515625" style="0" bestFit="1" customWidth="1"/>
    <col min="3" max="3" width="14.421875" style="0" bestFit="1" customWidth="1"/>
    <col min="4" max="5" width="13.28125" style="0" customWidth="1"/>
    <col min="6" max="6" width="11.8515625" style="0" bestFit="1" customWidth="1"/>
    <col min="7" max="7" width="17.28125" style="0" bestFit="1" customWidth="1"/>
    <col min="8" max="8" width="12.7109375" style="0" bestFit="1" customWidth="1"/>
  </cols>
  <sheetData>
    <row r="1" spans="1:3" ht="23.25">
      <c r="A1" s="101" t="s">
        <v>84</v>
      </c>
      <c r="B1" s="102"/>
      <c r="C1" s="102"/>
    </row>
    <row r="2" spans="1:3" ht="13.5" thickBot="1">
      <c r="A2" s="102"/>
      <c r="B2" s="102"/>
      <c r="C2" s="102"/>
    </row>
    <row r="3" spans="1:3" ht="13.5" thickBot="1">
      <c r="A3" s="316" t="s">
        <v>85</v>
      </c>
      <c r="B3" s="317"/>
      <c r="C3" s="318"/>
    </row>
    <row r="4" spans="1:3" ht="12.75">
      <c r="A4" s="103" t="s">
        <v>85</v>
      </c>
      <c r="B4" s="104">
        <v>2048</v>
      </c>
      <c r="C4" s="105" t="s">
        <v>86</v>
      </c>
    </row>
    <row r="5" spans="1:8" ht="13.5" thickBot="1">
      <c r="A5" s="106" t="s">
        <v>87</v>
      </c>
      <c r="B5" s="107">
        <v>2000</v>
      </c>
      <c r="C5" s="108" t="s">
        <v>88</v>
      </c>
      <c r="F5" s="117"/>
      <c r="H5" s="110"/>
    </row>
    <row r="6" spans="1:3" ht="13.5" thickBot="1">
      <c r="A6" s="106" t="s">
        <v>89</v>
      </c>
      <c r="B6" s="109">
        <v>0.9765625</v>
      </c>
      <c r="C6" s="108"/>
    </row>
    <row r="8" spans="1:13" ht="30" customHeight="1">
      <c r="A8" s="319" t="s">
        <v>90</v>
      </c>
      <c r="B8" s="319"/>
      <c r="C8" s="319"/>
      <c r="D8" s="319"/>
      <c r="E8" s="319"/>
      <c r="F8" s="118"/>
      <c r="G8" s="118"/>
      <c r="H8" s="118"/>
      <c r="I8" s="118"/>
      <c r="J8" s="118"/>
      <c r="K8" s="118"/>
      <c r="L8" s="118"/>
      <c r="M8" s="118"/>
    </row>
    <row r="10" spans="1:5" ht="12.75" customHeight="1">
      <c r="A10" s="322" t="s">
        <v>65</v>
      </c>
      <c r="B10" s="322" t="s">
        <v>66</v>
      </c>
      <c r="C10" s="322"/>
      <c r="D10" s="323" t="s">
        <v>67</v>
      </c>
      <c r="E10" s="114" t="s">
        <v>82</v>
      </c>
    </row>
    <row r="11" spans="1:5" ht="12.75">
      <c r="A11" s="322"/>
      <c r="B11" s="111" t="s">
        <v>69</v>
      </c>
      <c r="C11" s="111" t="s">
        <v>70</v>
      </c>
      <c r="D11" s="323"/>
      <c r="E11" s="115" t="s">
        <v>83</v>
      </c>
    </row>
    <row r="12" spans="1:6" ht="12.75">
      <c r="A12" s="112" t="s">
        <v>71</v>
      </c>
      <c r="B12" s="112">
        <v>32</v>
      </c>
      <c r="C12" s="112">
        <v>32</v>
      </c>
      <c r="D12" s="113">
        <v>62.5</v>
      </c>
      <c r="E12" s="113">
        <v>210</v>
      </c>
      <c r="F12" s="113">
        <v>272.5</v>
      </c>
    </row>
    <row r="13" spans="1:6" ht="12.75">
      <c r="A13" s="112" t="s">
        <v>72</v>
      </c>
      <c r="B13" s="112">
        <v>64</v>
      </c>
      <c r="C13" s="112">
        <v>64</v>
      </c>
      <c r="D13" s="113">
        <v>125</v>
      </c>
      <c r="E13" s="113">
        <v>290</v>
      </c>
      <c r="F13" s="113">
        <v>415</v>
      </c>
    </row>
    <row r="14" spans="1:6" ht="12.75">
      <c r="A14" s="112" t="s">
        <v>73</v>
      </c>
      <c r="B14" s="112">
        <v>128</v>
      </c>
      <c r="C14" s="112">
        <v>128</v>
      </c>
      <c r="D14" s="113">
        <v>250</v>
      </c>
      <c r="E14" s="113">
        <v>500</v>
      </c>
      <c r="F14" s="113">
        <v>750</v>
      </c>
    </row>
    <row r="15" spans="1:6" ht="12.75">
      <c r="A15" s="112" t="s">
        <v>74</v>
      </c>
      <c r="B15" s="112">
        <v>192</v>
      </c>
      <c r="C15" s="112">
        <v>192</v>
      </c>
      <c r="D15" s="113">
        <v>375</v>
      </c>
      <c r="E15" s="113">
        <v>750</v>
      </c>
      <c r="F15" s="113">
        <v>1125</v>
      </c>
    </row>
    <row r="16" spans="1:6" ht="12.75">
      <c r="A16" s="112" t="s">
        <v>75</v>
      </c>
      <c r="B16" s="112">
        <v>256</v>
      </c>
      <c r="C16" s="112">
        <v>256</v>
      </c>
      <c r="D16" s="113">
        <v>500</v>
      </c>
      <c r="E16" s="113">
        <v>900</v>
      </c>
      <c r="F16" s="113">
        <v>1400</v>
      </c>
    </row>
    <row r="17" spans="1:6" ht="12.75">
      <c r="A17" s="112" t="s">
        <v>76</v>
      </c>
      <c r="B17" s="112">
        <v>384</v>
      </c>
      <c r="C17" s="112">
        <v>384</v>
      </c>
      <c r="D17" s="113">
        <v>750</v>
      </c>
      <c r="E17" s="113">
        <v>1500</v>
      </c>
      <c r="F17" s="113">
        <v>2250</v>
      </c>
    </row>
    <row r="18" spans="1:6" ht="12.75">
      <c r="A18" s="112" t="s">
        <v>77</v>
      </c>
      <c r="B18" s="112">
        <v>512</v>
      </c>
      <c r="C18" s="112">
        <v>512</v>
      </c>
      <c r="D18" s="113">
        <v>1000</v>
      </c>
      <c r="E18" s="113">
        <v>1750</v>
      </c>
      <c r="F18" s="113">
        <v>2750</v>
      </c>
    </row>
    <row r="19" spans="1:6" ht="12.75">
      <c r="A19" s="112" t="s">
        <v>78</v>
      </c>
      <c r="B19" s="112">
        <v>640</v>
      </c>
      <c r="C19" s="112">
        <v>640</v>
      </c>
      <c r="D19" s="113">
        <v>1250</v>
      </c>
      <c r="E19" s="113">
        <v>2500</v>
      </c>
      <c r="F19" s="113">
        <v>3750</v>
      </c>
    </row>
    <row r="20" spans="1:6" ht="12.75">
      <c r="A20" s="112" t="s">
        <v>79</v>
      </c>
      <c r="B20" s="112">
        <v>768</v>
      </c>
      <c r="C20" s="112">
        <v>768</v>
      </c>
      <c r="D20" s="113">
        <v>1500</v>
      </c>
      <c r="E20" s="113">
        <v>2800</v>
      </c>
      <c r="F20" s="113">
        <v>4300</v>
      </c>
    </row>
    <row r="21" spans="1:6" ht="12.75">
      <c r="A21" s="112" t="s">
        <v>80</v>
      </c>
      <c r="B21" s="112">
        <v>1024</v>
      </c>
      <c r="C21" s="112">
        <v>1024</v>
      </c>
      <c r="D21" s="113">
        <v>2000</v>
      </c>
      <c r="E21" s="113">
        <v>3450</v>
      </c>
      <c r="F21" s="113">
        <v>5450</v>
      </c>
    </row>
    <row r="22" spans="1:7" ht="12.75">
      <c r="A22" s="112" t="s">
        <v>81</v>
      </c>
      <c r="B22" s="112">
        <v>2048</v>
      </c>
      <c r="C22" s="112">
        <v>2048</v>
      </c>
      <c r="D22" s="113">
        <v>4000</v>
      </c>
      <c r="E22" s="113">
        <v>6000</v>
      </c>
      <c r="F22" s="113">
        <v>10000</v>
      </c>
      <c r="G22" t="s">
        <v>91</v>
      </c>
    </row>
    <row r="23" spans="1:8" ht="12.75">
      <c r="A23" s="126"/>
      <c r="B23" s="126"/>
      <c r="C23" s="126"/>
      <c r="D23" s="127"/>
      <c r="E23" s="127"/>
      <c r="F23" s="113">
        <v>32462.5</v>
      </c>
      <c r="G23" s="116">
        <v>649.25</v>
      </c>
      <c r="H23" t="s">
        <v>92</v>
      </c>
    </row>
    <row r="24" spans="6:7" ht="12.75">
      <c r="F24" s="156">
        <v>2951.1363636363635</v>
      </c>
      <c r="G24">
        <v>59.02272727272727</v>
      </c>
    </row>
    <row r="26" spans="1:6" ht="12.75">
      <c r="A26" s="320" t="s">
        <v>93</v>
      </c>
      <c r="B26" s="320"/>
      <c r="C26" s="320"/>
      <c r="D26" s="320"/>
      <c r="E26" s="320"/>
      <c r="F26" s="320"/>
    </row>
    <row r="27" spans="1:6" ht="12.75">
      <c r="A27" s="119" t="s">
        <v>64</v>
      </c>
      <c r="B27" s="120" t="s">
        <v>94</v>
      </c>
      <c r="C27" s="120" t="s">
        <v>95</v>
      </c>
      <c r="D27" s="120" t="s">
        <v>96</v>
      </c>
      <c r="E27" s="120" t="s">
        <v>97</v>
      </c>
      <c r="F27" s="120" t="s">
        <v>98</v>
      </c>
    </row>
    <row r="28" spans="1:6" ht="12.75">
      <c r="A28" s="121" t="s">
        <v>99</v>
      </c>
      <c r="B28" s="128">
        <v>2951.1363636363635</v>
      </c>
      <c r="C28" s="128">
        <v>2951.1363636363635</v>
      </c>
      <c r="D28" s="128">
        <v>2951.1363636363635</v>
      </c>
      <c r="E28" s="128">
        <v>2951.1363636363635</v>
      </c>
      <c r="F28" s="128">
        <v>2951.1363636363635</v>
      </c>
    </row>
    <row r="29" spans="1:6" ht="12.75">
      <c r="A29" s="121"/>
      <c r="B29" s="122"/>
      <c r="C29" s="122"/>
      <c r="D29" s="122"/>
      <c r="E29" s="122"/>
      <c r="F29" s="122"/>
    </row>
    <row r="30" spans="1:6" ht="12.75">
      <c r="A30" s="121" t="s">
        <v>100</v>
      </c>
      <c r="B30" s="128">
        <v>59</v>
      </c>
      <c r="C30" s="122">
        <v>60.522200000000005</v>
      </c>
      <c r="D30" s="122">
        <v>62.083672760000006</v>
      </c>
      <c r="E30" s="122">
        <v>63.68543151720801</v>
      </c>
      <c r="F30" s="122">
        <v>65.32851565035197</v>
      </c>
    </row>
    <row r="31" spans="1:6" ht="12.75">
      <c r="A31" s="121"/>
      <c r="B31" s="122"/>
      <c r="C31" s="122"/>
      <c r="D31" s="122"/>
      <c r="E31" s="122"/>
      <c r="F31" s="122"/>
    </row>
    <row r="32" spans="1:6" ht="12.75">
      <c r="A32" s="121" t="s">
        <v>101</v>
      </c>
      <c r="B32" s="123">
        <v>33690.4</v>
      </c>
      <c r="C32" s="123">
        <v>34033.449799999995</v>
      </c>
      <c r="D32" s="123">
        <v>34680.67981919999</v>
      </c>
      <c r="E32" s="123">
        <v>35332.19790725536</v>
      </c>
      <c r="F32" s="123">
        <v>35988.11469634254</v>
      </c>
    </row>
    <row r="33" spans="1:6" ht="12.75">
      <c r="A33" s="121"/>
      <c r="B33" s="122"/>
      <c r="C33" s="122"/>
      <c r="D33" s="122"/>
      <c r="E33" s="122"/>
      <c r="F33" s="122"/>
    </row>
    <row r="34" spans="1:6" ht="25.5">
      <c r="A34" s="124" t="s">
        <v>102</v>
      </c>
      <c r="B34" s="125">
        <v>11.648966633661809</v>
      </c>
      <c r="C34" s="125">
        <v>11.773778122358003</v>
      </c>
      <c r="D34" s="125">
        <v>12.004170061945105</v>
      </c>
      <c r="E34" s="125">
        <v>12.23646695229705</v>
      </c>
      <c r="F34" s="125">
        <v>12.470724522236793</v>
      </c>
    </row>
    <row r="35" spans="1:6" ht="12.75">
      <c r="A35" s="121"/>
      <c r="B35" s="125"/>
      <c r="C35" s="125"/>
      <c r="D35" s="125"/>
      <c r="E35" s="125"/>
      <c r="F35" s="125"/>
    </row>
    <row r="36" spans="1:6" ht="12.75">
      <c r="A36" s="121" t="s">
        <v>103</v>
      </c>
      <c r="B36" s="122">
        <v>34377.68903138604</v>
      </c>
      <c r="C36" s="122">
        <v>34746.02475427697</v>
      </c>
      <c r="D36" s="122">
        <v>35425.94278508118</v>
      </c>
      <c r="E36" s="122">
        <v>36111.482585358455</v>
      </c>
      <c r="F36" s="122">
        <v>36802.80861846472</v>
      </c>
    </row>
    <row r="37" ht="12.75">
      <c r="A37" s="40" t="s">
        <v>30</v>
      </c>
    </row>
    <row r="40" spans="1:5" ht="15.75">
      <c r="A40" s="319" t="s">
        <v>139</v>
      </c>
      <c r="B40" s="319"/>
      <c r="C40" s="319"/>
      <c r="D40" s="319"/>
      <c r="E40" s="319"/>
    </row>
    <row r="42" spans="1:5" ht="12.75">
      <c r="A42" s="321" t="s">
        <v>65</v>
      </c>
      <c r="B42" s="321" t="s">
        <v>66</v>
      </c>
      <c r="C42" s="321"/>
      <c r="D42" s="321" t="s">
        <v>67</v>
      </c>
      <c r="E42" s="321" t="s">
        <v>68</v>
      </c>
    </row>
    <row r="43" spans="1:5" ht="12.75">
      <c r="A43" s="321"/>
      <c r="B43" s="98" t="s">
        <v>69</v>
      </c>
      <c r="C43" s="98" t="s">
        <v>70</v>
      </c>
      <c r="D43" s="321"/>
      <c r="E43" s="321"/>
    </row>
    <row r="44" spans="1:6" ht="12.75">
      <c r="A44" s="129" t="s">
        <v>104</v>
      </c>
      <c r="B44" s="99">
        <v>32</v>
      </c>
      <c r="C44" s="99">
        <v>32</v>
      </c>
      <c r="D44" s="100">
        <v>110</v>
      </c>
      <c r="E44" s="100">
        <v>300</v>
      </c>
      <c r="F44" s="116">
        <v>410</v>
      </c>
    </row>
    <row r="45" spans="1:6" ht="12.75">
      <c r="A45" s="99" t="s">
        <v>105</v>
      </c>
      <c r="B45" s="99">
        <v>64</v>
      </c>
      <c r="C45" s="99">
        <v>64</v>
      </c>
      <c r="D45" s="100">
        <v>150</v>
      </c>
      <c r="E45" s="100">
        <v>300</v>
      </c>
      <c r="F45" s="116">
        <v>450</v>
      </c>
    </row>
    <row r="46" spans="1:6" ht="12.75">
      <c r="A46" s="99" t="s">
        <v>106</v>
      </c>
      <c r="B46" s="99">
        <v>128</v>
      </c>
      <c r="C46" s="99">
        <v>128</v>
      </c>
      <c r="D46" s="100">
        <v>260</v>
      </c>
      <c r="E46" s="100">
        <v>300</v>
      </c>
      <c r="F46" s="116">
        <v>560</v>
      </c>
    </row>
    <row r="47" spans="1:6" ht="12.75">
      <c r="A47" s="99" t="s">
        <v>107</v>
      </c>
      <c r="B47" s="99">
        <v>192</v>
      </c>
      <c r="C47" s="99">
        <v>192</v>
      </c>
      <c r="D47" s="100">
        <v>390</v>
      </c>
      <c r="E47" s="100">
        <v>300</v>
      </c>
      <c r="F47" s="116">
        <v>690</v>
      </c>
    </row>
    <row r="48" spans="1:6" ht="12.75">
      <c r="A48" s="99" t="s">
        <v>108</v>
      </c>
      <c r="B48" s="99">
        <v>256</v>
      </c>
      <c r="C48" s="99">
        <v>256</v>
      </c>
      <c r="D48" s="100">
        <v>470</v>
      </c>
      <c r="E48" s="100">
        <v>300</v>
      </c>
      <c r="F48" s="116">
        <v>770</v>
      </c>
    </row>
    <row r="49" spans="1:6" ht="12.75">
      <c r="A49" s="99" t="s">
        <v>109</v>
      </c>
      <c r="B49" s="99">
        <v>384</v>
      </c>
      <c r="C49" s="99">
        <v>384</v>
      </c>
      <c r="D49" s="100">
        <v>785</v>
      </c>
      <c r="E49" s="100">
        <v>300</v>
      </c>
      <c r="F49" s="116">
        <v>1085</v>
      </c>
    </row>
    <row r="50" spans="1:6" ht="12.75">
      <c r="A50" s="99" t="s">
        <v>110</v>
      </c>
      <c r="B50" s="99">
        <v>512</v>
      </c>
      <c r="C50" s="99">
        <v>512</v>
      </c>
      <c r="D50" s="100">
        <v>915</v>
      </c>
      <c r="E50" s="100">
        <v>300</v>
      </c>
      <c r="F50" s="116">
        <v>1215</v>
      </c>
    </row>
    <row r="51" spans="1:6" ht="12.75">
      <c r="A51" s="99" t="s">
        <v>111</v>
      </c>
      <c r="B51" s="99">
        <v>640</v>
      </c>
      <c r="C51" s="99">
        <v>640</v>
      </c>
      <c r="D51" s="100">
        <v>1310</v>
      </c>
      <c r="E51" s="100">
        <v>300</v>
      </c>
      <c r="F51" s="116">
        <v>1610</v>
      </c>
    </row>
    <row r="52" spans="1:6" ht="12.75">
      <c r="A52" s="99" t="s">
        <v>112</v>
      </c>
      <c r="B52" s="99">
        <v>768</v>
      </c>
      <c r="C52" s="99">
        <v>768</v>
      </c>
      <c r="D52" s="100">
        <v>1470</v>
      </c>
      <c r="E52" s="100">
        <v>300</v>
      </c>
      <c r="F52" s="116">
        <v>1770</v>
      </c>
    </row>
    <row r="53" spans="1:6" ht="12.75">
      <c r="A53" s="99" t="s">
        <v>113</v>
      </c>
      <c r="B53" s="99">
        <v>1024</v>
      </c>
      <c r="C53" s="99">
        <v>1024</v>
      </c>
      <c r="D53" s="100">
        <v>1810</v>
      </c>
      <c r="E53" s="100">
        <v>300</v>
      </c>
      <c r="F53" s="116">
        <v>2110</v>
      </c>
    </row>
    <row r="54" spans="1:6" ht="12.75">
      <c r="A54" s="99" t="s">
        <v>114</v>
      </c>
      <c r="B54" s="99">
        <v>2048</v>
      </c>
      <c r="C54" s="99">
        <v>2048</v>
      </c>
      <c r="D54" s="100">
        <v>3150</v>
      </c>
      <c r="E54" s="100">
        <v>300</v>
      </c>
      <c r="F54" s="116">
        <v>3450</v>
      </c>
    </row>
    <row r="55" spans="4:6" ht="12.75">
      <c r="D55" s="116"/>
      <c r="F55" s="116">
        <v>14120</v>
      </c>
    </row>
    <row r="56" ht="12.75">
      <c r="F56" s="155">
        <v>1283.6363636363637</v>
      </c>
    </row>
    <row r="57" ht="12.75">
      <c r="F57">
        <v>25.672727272727276</v>
      </c>
    </row>
    <row r="58" spans="1:6" ht="12.75">
      <c r="A58" s="320" t="s">
        <v>140</v>
      </c>
      <c r="B58" s="320"/>
      <c r="C58" s="320"/>
      <c r="D58" s="320"/>
      <c r="E58" s="320"/>
      <c r="F58" s="320"/>
    </row>
    <row r="59" spans="1:6" ht="12.75">
      <c r="A59" s="119" t="s">
        <v>64</v>
      </c>
      <c r="B59" s="120" t="s">
        <v>94</v>
      </c>
      <c r="C59" s="120" t="s">
        <v>95</v>
      </c>
      <c r="D59" s="120" t="s">
        <v>96</v>
      </c>
      <c r="E59" s="120" t="s">
        <v>97</v>
      </c>
      <c r="F59" s="120" t="s">
        <v>98</v>
      </c>
    </row>
    <row r="60" spans="1:6" ht="12.75">
      <c r="A60" s="121" t="s">
        <v>99</v>
      </c>
      <c r="B60" s="128">
        <v>1283.6363636363637</v>
      </c>
      <c r="C60" s="128">
        <v>1283.6363636363637</v>
      </c>
      <c r="D60" s="128">
        <v>1283.6363636363637</v>
      </c>
      <c r="E60" s="128">
        <v>1283.6363636363637</v>
      </c>
      <c r="F60" s="128">
        <v>1283.6363636363637</v>
      </c>
    </row>
    <row r="61" spans="1:6" ht="12.75">
      <c r="A61" s="121"/>
      <c r="B61" s="122"/>
      <c r="C61" s="122"/>
      <c r="D61" s="122"/>
      <c r="E61" s="122"/>
      <c r="F61" s="122"/>
    </row>
    <row r="62" spans="1:6" ht="12.75">
      <c r="A62" s="121" t="s">
        <v>100</v>
      </c>
      <c r="B62" s="128">
        <v>25.672727272727276</v>
      </c>
      <c r="C62" s="122">
        <v>26.335083636363642</v>
      </c>
      <c r="D62" s="122">
        <v>27.014528794181825</v>
      </c>
      <c r="E62" s="122">
        <v>27.71150363707172</v>
      </c>
      <c r="F62" s="122">
        <v>28.42646043090817</v>
      </c>
    </row>
    <row r="63" spans="1:6" ht="12.75">
      <c r="A63" s="121"/>
      <c r="B63" s="122"/>
      <c r="C63" s="122"/>
      <c r="D63" s="122"/>
      <c r="E63" s="122"/>
      <c r="F63" s="122"/>
    </row>
    <row r="64" spans="1:6" ht="12.75">
      <c r="A64" s="121" t="s">
        <v>101</v>
      </c>
      <c r="B64" s="123">
        <v>33690.4</v>
      </c>
      <c r="C64" s="123">
        <v>34033.449799999995</v>
      </c>
      <c r="D64" s="123">
        <v>34680.67981919999</v>
      </c>
      <c r="E64" s="123">
        <v>35332.19790725536</v>
      </c>
      <c r="F64" s="123">
        <v>35988.11469634254</v>
      </c>
    </row>
    <row r="65" spans="1:6" ht="12.75">
      <c r="A65" s="121"/>
      <c r="B65" s="122"/>
      <c r="C65" s="122"/>
      <c r="D65" s="122"/>
      <c r="E65" s="122"/>
      <c r="F65" s="122"/>
    </row>
    <row r="66" spans="1:6" ht="25.5">
      <c r="A66" s="124" t="s">
        <v>102</v>
      </c>
      <c r="B66" s="125">
        <v>26.781696247904257</v>
      </c>
      <c r="C66" s="125">
        <v>27.068651198700753</v>
      </c>
      <c r="D66" s="125">
        <v>27.59834252247854</v>
      </c>
      <c r="E66" s="125">
        <v>28.132413835072327</v>
      </c>
      <c r="F66" s="125">
        <v>28.67099327725104</v>
      </c>
    </row>
    <row r="67" spans="1:6" ht="12.75">
      <c r="A67" s="121"/>
      <c r="B67" s="125"/>
      <c r="C67" s="125"/>
      <c r="D67" s="125"/>
      <c r="E67" s="125"/>
      <c r="F67" s="125"/>
    </row>
    <row r="68" spans="1:6" ht="12.75">
      <c r="A68" s="121" t="s">
        <v>103</v>
      </c>
      <c r="B68" s="122">
        <v>34377.95918367347</v>
      </c>
      <c r="C68" s="122">
        <v>34746.304993241334</v>
      </c>
      <c r="D68" s="122">
        <v>35426.236037945186</v>
      </c>
      <c r="E68" s="122">
        <v>36111.789395565575</v>
      </c>
      <c r="F68" s="122">
        <v>36803.12955225316</v>
      </c>
    </row>
    <row r="69" ht="12.75">
      <c r="A69" s="40" t="s">
        <v>30</v>
      </c>
    </row>
    <row r="73" spans="1:5" ht="15.75">
      <c r="A73" s="319" t="s">
        <v>141</v>
      </c>
      <c r="B73" s="319"/>
      <c r="C73" s="319"/>
      <c r="D73" s="319"/>
      <c r="E73" s="319"/>
    </row>
    <row r="76" spans="1:5" ht="12.75">
      <c r="A76" s="321" t="s">
        <v>65</v>
      </c>
      <c r="B76" s="321" t="s">
        <v>66</v>
      </c>
      <c r="C76" s="321"/>
      <c r="D76" s="321" t="s">
        <v>67</v>
      </c>
      <c r="E76" s="321" t="s">
        <v>68</v>
      </c>
    </row>
    <row r="77" spans="1:5" ht="12.75">
      <c r="A77" s="321"/>
      <c r="B77" s="98" t="s">
        <v>69</v>
      </c>
      <c r="C77" s="98" t="s">
        <v>70</v>
      </c>
      <c r="D77" s="321"/>
      <c r="E77" s="321"/>
    </row>
    <row r="78" spans="1:6" ht="12.75">
      <c r="A78" s="99" t="s">
        <v>116</v>
      </c>
      <c r="B78" s="99">
        <v>32</v>
      </c>
      <c r="C78" s="99">
        <v>32</v>
      </c>
      <c r="D78" s="100">
        <v>60</v>
      </c>
      <c r="E78" s="100">
        <v>300</v>
      </c>
      <c r="F78" s="116">
        <v>360</v>
      </c>
    </row>
    <row r="79" spans="1:6" ht="12.75">
      <c r="A79" s="99" t="s">
        <v>117</v>
      </c>
      <c r="B79" s="99">
        <v>64</v>
      </c>
      <c r="C79" s="99">
        <v>64</v>
      </c>
      <c r="D79" s="100">
        <v>80</v>
      </c>
      <c r="E79" s="100">
        <v>300</v>
      </c>
      <c r="F79" s="116">
        <v>380</v>
      </c>
    </row>
    <row r="80" spans="1:6" ht="12.75">
      <c r="A80" s="99" t="s">
        <v>118</v>
      </c>
      <c r="B80" s="99">
        <v>128</v>
      </c>
      <c r="C80" s="99">
        <v>128</v>
      </c>
      <c r="D80" s="100">
        <v>135</v>
      </c>
      <c r="E80" s="100">
        <v>300</v>
      </c>
      <c r="F80" s="116">
        <v>435</v>
      </c>
    </row>
    <row r="81" spans="1:6" ht="12.75">
      <c r="A81" s="99" t="s">
        <v>119</v>
      </c>
      <c r="B81" s="99">
        <v>192</v>
      </c>
      <c r="C81" s="99">
        <v>192</v>
      </c>
      <c r="D81" s="100">
        <v>200</v>
      </c>
      <c r="E81" s="100">
        <v>300</v>
      </c>
      <c r="F81" s="116">
        <v>500</v>
      </c>
    </row>
    <row r="82" spans="1:6" ht="12.75">
      <c r="A82" s="99" t="s">
        <v>120</v>
      </c>
      <c r="B82" s="99">
        <v>256</v>
      </c>
      <c r="C82" s="99">
        <v>256</v>
      </c>
      <c r="D82" s="100">
        <v>240</v>
      </c>
      <c r="E82" s="100">
        <v>300</v>
      </c>
      <c r="F82" s="116">
        <v>540</v>
      </c>
    </row>
    <row r="83" spans="1:6" ht="12.75">
      <c r="A83" s="99" t="s">
        <v>121</v>
      </c>
      <c r="B83" s="99">
        <v>384</v>
      </c>
      <c r="C83" s="99">
        <v>384</v>
      </c>
      <c r="D83" s="100">
        <v>395</v>
      </c>
      <c r="E83" s="100">
        <v>300</v>
      </c>
      <c r="F83" s="116">
        <v>695</v>
      </c>
    </row>
    <row r="84" spans="1:6" ht="12.75">
      <c r="A84" s="99" t="s">
        <v>122</v>
      </c>
      <c r="B84" s="99">
        <v>512</v>
      </c>
      <c r="C84" s="99">
        <v>512</v>
      </c>
      <c r="D84" s="100">
        <v>460</v>
      </c>
      <c r="E84" s="100">
        <v>300</v>
      </c>
      <c r="F84" s="116">
        <v>760</v>
      </c>
    </row>
    <row r="85" spans="1:6" ht="12.75">
      <c r="A85" s="99" t="s">
        <v>123</v>
      </c>
      <c r="B85" s="99">
        <v>640</v>
      </c>
      <c r="C85" s="99">
        <v>640</v>
      </c>
      <c r="D85" s="100">
        <v>660</v>
      </c>
      <c r="E85" s="100">
        <v>300</v>
      </c>
      <c r="F85" s="116">
        <v>960</v>
      </c>
    </row>
    <row r="86" spans="1:6" ht="12.75">
      <c r="A86" s="99" t="s">
        <v>124</v>
      </c>
      <c r="B86" s="99">
        <v>768</v>
      </c>
      <c r="C86" s="99">
        <v>768</v>
      </c>
      <c r="D86" s="100">
        <v>750</v>
      </c>
      <c r="E86" s="100">
        <v>300</v>
      </c>
      <c r="F86" s="116">
        <v>1050</v>
      </c>
    </row>
    <row r="87" spans="1:6" ht="12.75">
      <c r="A87" s="99" t="s">
        <v>125</v>
      </c>
      <c r="B87" s="99">
        <v>1024</v>
      </c>
      <c r="C87" s="99">
        <v>1024</v>
      </c>
      <c r="D87" s="100">
        <v>865</v>
      </c>
      <c r="E87" s="100">
        <v>300</v>
      </c>
      <c r="F87" s="116">
        <v>1165</v>
      </c>
    </row>
    <row r="88" spans="1:6" ht="12.75">
      <c r="A88" s="99" t="s">
        <v>126</v>
      </c>
      <c r="B88" s="99">
        <v>2048</v>
      </c>
      <c r="C88" s="99">
        <v>2048</v>
      </c>
      <c r="D88" s="100">
        <v>1590</v>
      </c>
      <c r="E88" s="100">
        <v>300</v>
      </c>
      <c r="F88" s="116">
        <v>1890</v>
      </c>
    </row>
    <row r="89" spans="4:7" ht="12.75">
      <c r="D89" s="116"/>
      <c r="F89" s="116"/>
      <c r="G89" s="116">
        <v>8735</v>
      </c>
    </row>
    <row r="90" ht="12.75">
      <c r="G90">
        <v>794.0909090909091</v>
      </c>
    </row>
    <row r="91" spans="1:7" ht="12.75">
      <c r="A91" s="320" t="s">
        <v>142</v>
      </c>
      <c r="B91" s="320"/>
      <c r="C91" s="320"/>
      <c r="D91" s="320"/>
      <c r="E91" s="320"/>
      <c r="F91" s="320"/>
      <c r="G91">
        <v>15.881818181818183</v>
      </c>
    </row>
    <row r="92" spans="1:6" ht="12.75">
      <c r="A92" s="119" t="s">
        <v>64</v>
      </c>
      <c r="B92" s="120" t="s">
        <v>94</v>
      </c>
      <c r="C92" s="120" t="s">
        <v>95</v>
      </c>
      <c r="D92" s="120" t="s">
        <v>96</v>
      </c>
      <c r="E92" s="120" t="s">
        <v>97</v>
      </c>
      <c r="F92" s="120" t="s">
        <v>98</v>
      </c>
    </row>
    <row r="93" spans="1:6" ht="12.75">
      <c r="A93" s="121" t="s">
        <v>99</v>
      </c>
      <c r="B93" s="128">
        <v>794.0909090909091</v>
      </c>
      <c r="C93" s="128">
        <v>794.0909090909091</v>
      </c>
      <c r="D93" s="128">
        <v>794.0909090909091</v>
      </c>
      <c r="E93" s="128">
        <v>794.0909090909091</v>
      </c>
      <c r="F93" s="128">
        <v>794.0909090909091</v>
      </c>
    </row>
    <row r="94" spans="1:6" ht="12.75">
      <c r="A94" s="121"/>
      <c r="B94" s="122"/>
      <c r="C94" s="122"/>
      <c r="D94" s="122"/>
      <c r="E94" s="122"/>
      <c r="F94" s="122"/>
    </row>
    <row r="95" spans="1:6" ht="12.75">
      <c r="A95" s="121" t="s">
        <v>100</v>
      </c>
      <c r="B95" s="128">
        <v>15.881818181818183</v>
      </c>
      <c r="C95" s="122">
        <v>16.291569090909093</v>
      </c>
      <c r="D95" s="122">
        <v>16.711891573454547</v>
      </c>
      <c r="E95" s="122">
        <v>17.143058376049677</v>
      </c>
      <c r="F95" s="122">
        <v>17.58534928215176</v>
      </c>
    </row>
    <row r="96" spans="1:6" ht="12.75">
      <c r="A96" s="121"/>
      <c r="B96" s="122"/>
      <c r="C96" s="122"/>
      <c r="D96" s="122"/>
      <c r="E96" s="122"/>
      <c r="F96" s="122"/>
    </row>
    <row r="97" spans="1:6" ht="12.75">
      <c r="A97" s="121" t="s">
        <v>101</v>
      </c>
      <c r="B97" s="123">
        <v>33690.4</v>
      </c>
      <c r="C97" s="123">
        <v>34033.449799999995</v>
      </c>
      <c r="D97" s="123">
        <v>34680.67981919999</v>
      </c>
      <c r="E97" s="123">
        <v>35332.19790725536</v>
      </c>
      <c r="F97" s="123">
        <v>35988.11469634254</v>
      </c>
    </row>
    <row r="98" spans="1:6" ht="12.75">
      <c r="A98" s="121"/>
      <c r="B98" s="122"/>
      <c r="C98" s="122"/>
      <c r="D98" s="122"/>
      <c r="E98" s="122"/>
      <c r="F98" s="122"/>
    </row>
    <row r="99" spans="1:6" ht="25.5">
      <c r="A99" s="124" t="s">
        <v>102</v>
      </c>
      <c r="B99" s="125">
        <v>43.29222106701867</v>
      </c>
      <c r="C99" s="125">
        <v>43.756079556457316</v>
      </c>
      <c r="D99" s="125">
        <v>44.612317849730616</v>
      </c>
      <c r="E99" s="125">
        <v>45.47563633099271</v>
      </c>
      <c r="F99" s="125">
        <v>46.346242137926126</v>
      </c>
    </row>
    <row r="100" spans="1:6" ht="12.75">
      <c r="A100" s="121"/>
      <c r="B100" s="125"/>
      <c r="C100" s="125"/>
      <c r="D100" s="125"/>
      <c r="E100" s="125"/>
      <c r="F100" s="125"/>
    </row>
    <row r="101" spans="1:6" ht="12.75">
      <c r="A101" s="121" t="s">
        <v>103</v>
      </c>
      <c r="B101" s="122">
        <v>34377.95918367347</v>
      </c>
      <c r="C101" s="122">
        <v>34746.304993241334</v>
      </c>
      <c r="D101" s="122">
        <v>35426.23603794518</v>
      </c>
      <c r="E101" s="122">
        <v>36111.789395565575</v>
      </c>
      <c r="F101" s="122">
        <v>36803.12955225316</v>
      </c>
    </row>
    <row r="102" ht="12.75">
      <c r="A102" s="40" t="s">
        <v>30</v>
      </c>
    </row>
  </sheetData>
  <sheetProtection/>
  <mergeCells count="18">
    <mergeCell ref="D10:D11"/>
    <mergeCell ref="A58:F58"/>
    <mergeCell ref="A91:F91"/>
    <mergeCell ref="A73:E73"/>
    <mergeCell ref="A76:A77"/>
    <mergeCell ref="B76:C76"/>
    <mergeCell ref="D76:D77"/>
    <mergeCell ref="E76:E77"/>
    <mergeCell ref="A3:C3"/>
    <mergeCell ref="A8:E8"/>
    <mergeCell ref="A26:F26"/>
    <mergeCell ref="A42:A43"/>
    <mergeCell ref="B42:C42"/>
    <mergeCell ref="D42:D43"/>
    <mergeCell ref="E42:E43"/>
    <mergeCell ref="A40:E40"/>
    <mergeCell ref="A10:A11"/>
    <mergeCell ref="B10:C10"/>
  </mergeCells>
  <printOptions/>
  <pageMargins left="0.75" right="0.75" top="1" bottom="1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B17" sqref="B17"/>
    </sheetView>
  </sheetViews>
  <sheetFormatPr defaultColWidth="11.421875" defaultRowHeight="12.75"/>
  <cols>
    <col min="1" max="1" width="18.8515625" style="0" bestFit="1" customWidth="1"/>
    <col min="2" max="2" width="11.8515625" style="0" bestFit="1" customWidth="1"/>
    <col min="3" max="3" width="14.421875" style="0" bestFit="1" customWidth="1"/>
    <col min="4" max="5" width="13.28125" style="0" customWidth="1"/>
    <col min="6" max="6" width="11.8515625" style="0" bestFit="1" customWidth="1"/>
    <col min="7" max="7" width="17.28125" style="0" bestFit="1" customWidth="1"/>
    <col min="8" max="8" width="12.7109375" style="0" bestFit="1" customWidth="1"/>
  </cols>
  <sheetData>
    <row r="1" spans="1:3" ht="23.25">
      <c r="A1" s="101" t="s">
        <v>84</v>
      </c>
      <c r="B1" s="102"/>
      <c r="C1" s="102"/>
    </row>
    <row r="2" spans="1:3" ht="13.5" thickBot="1">
      <c r="A2" s="102"/>
      <c r="B2" s="102"/>
      <c r="C2" s="102"/>
    </row>
    <row r="3" spans="1:3" ht="13.5" thickBot="1">
      <c r="A3" s="316" t="s">
        <v>85</v>
      </c>
      <c r="B3" s="317"/>
      <c r="C3" s="318"/>
    </row>
    <row r="4" spans="1:3" ht="12.75">
      <c r="A4" s="103" t="s">
        <v>85</v>
      </c>
      <c r="B4" s="104">
        <v>2048</v>
      </c>
      <c r="C4" s="105" t="s">
        <v>86</v>
      </c>
    </row>
    <row r="5" spans="1:8" ht="13.5" thickBot="1">
      <c r="A5" s="106" t="s">
        <v>87</v>
      </c>
      <c r="B5" s="107">
        <v>2000</v>
      </c>
      <c r="C5" s="108" t="s">
        <v>88</v>
      </c>
      <c r="F5" s="117"/>
      <c r="H5" s="130"/>
    </row>
    <row r="6" spans="1:3" ht="13.5" thickBot="1">
      <c r="A6" s="106" t="s">
        <v>89</v>
      </c>
      <c r="B6" s="109">
        <v>0.9765625</v>
      </c>
      <c r="C6" s="108"/>
    </row>
    <row r="8" spans="1:13" ht="30" customHeight="1">
      <c r="A8" s="319" t="s">
        <v>90</v>
      </c>
      <c r="B8" s="319"/>
      <c r="C8" s="319"/>
      <c r="D8" s="319"/>
      <c r="E8" s="319"/>
      <c r="F8" s="118"/>
      <c r="G8" s="118"/>
      <c r="H8" s="118"/>
      <c r="I8" s="118"/>
      <c r="J8" s="118"/>
      <c r="K8" s="118"/>
      <c r="L8" s="118"/>
      <c r="M8" s="118"/>
    </row>
    <row r="10" spans="1:5" ht="12.75" customHeight="1">
      <c r="A10" s="321" t="s">
        <v>65</v>
      </c>
      <c r="B10" s="321" t="s">
        <v>66</v>
      </c>
      <c r="C10" s="321"/>
      <c r="D10" s="321" t="s">
        <v>67</v>
      </c>
      <c r="E10" s="321" t="s">
        <v>68</v>
      </c>
    </row>
    <row r="11" spans="1:5" ht="12.75">
      <c r="A11" s="321"/>
      <c r="B11" s="98" t="s">
        <v>69</v>
      </c>
      <c r="C11" s="98" t="s">
        <v>70</v>
      </c>
      <c r="D11" s="321"/>
      <c r="E11" s="321"/>
    </row>
    <row r="12" spans="1:6" ht="12.75">
      <c r="A12" s="99" t="s">
        <v>71</v>
      </c>
      <c r="B12" s="99">
        <v>32</v>
      </c>
      <c r="C12" s="99">
        <v>32</v>
      </c>
      <c r="D12" s="100">
        <v>241.5</v>
      </c>
      <c r="E12" s="100">
        <v>300</v>
      </c>
      <c r="F12" s="113">
        <v>541.5</v>
      </c>
    </row>
    <row r="13" spans="1:6" ht="12.75">
      <c r="A13" s="99" t="s">
        <v>72</v>
      </c>
      <c r="B13" s="99">
        <v>64</v>
      </c>
      <c r="C13" s="99">
        <v>64</v>
      </c>
      <c r="D13" s="100">
        <v>333.5</v>
      </c>
      <c r="E13" s="100">
        <v>300</v>
      </c>
      <c r="F13" s="113">
        <v>633.5</v>
      </c>
    </row>
    <row r="14" spans="1:6" ht="12.75">
      <c r="A14" s="99" t="s">
        <v>73</v>
      </c>
      <c r="B14" s="99">
        <v>128</v>
      </c>
      <c r="C14" s="99">
        <v>128</v>
      </c>
      <c r="D14" s="100">
        <v>575</v>
      </c>
      <c r="E14" s="100">
        <v>300</v>
      </c>
      <c r="F14" s="113">
        <v>875</v>
      </c>
    </row>
    <row r="15" spans="1:6" ht="12.75">
      <c r="A15" s="99" t="s">
        <v>74</v>
      </c>
      <c r="B15" s="99">
        <v>192</v>
      </c>
      <c r="C15" s="99">
        <v>192</v>
      </c>
      <c r="D15" s="100">
        <v>862.5</v>
      </c>
      <c r="E15" s="100">
        <v>300</v>
      </c>
      <c r="F15" s="113">
        <v>1162.5</v>
      </c>
    </row>
    <row r="16" spans="1:6" ht="12.75">
      <c r="A16" s="99" t="s">
        <v>75</v>
      </c>
      <c r="B16" s="99">
        <v>256</v>
      </c>
      <c r="C16" s="99">
        <v>256</v>
      </c>
      <c r="D16" s="100">
        <v>1035</v>
      </c>
      <c r="E16" s="100">
        <v>300</v>
      </c>
      <c r="F16" s="113">
        <v>1335</v>
      </c>
    </row>
    <row r="17" spans="1:6" ht="12.75">
      <c r="A17" s="99" t="s">
        <v>76</v>
      </c>
      <c r="B17" s="99">
        <v>384</v>
      </c>
      <c r="C17" s="99">
        <v>384</v>
      </c>
      <c r="D17" s="100">
        <v>1725</v>
      </c>
      <c r="E17" s="100">
        <v>300</v>
      </c>
      <c r="F17" s="113">
        <v>2025</v>
      </c>
    </row>
    <row r="18" spans="1:6" ht="12.75">
      <c r="A18" s="99" t="s">
        <v>77</v>
      </c>
      <c r="B18" s="99">
        <v>512</v>
      </c>
      <c r="C18" s="99">
        <v>512</v>
      </c>
      <c r="D18" s="100">
        <v>2012.5</v>
      </c>
      <c r="E18" s="100">
        <v>300</v>
      </c>
      <c r="F18" s="113">
        <v>2312.5</v>
      </c>
    </row>
    <row r="19" spans="1:6" ht="12.75">
      <c r="A19" s="99" t="s">
        <v>78</v>
      </c>
      <c r="B19" s="99">
        <v>640</v>
      </c>
      <c r="C19" s="99">
        <v>640</v>
      </c>
      <c r="D19" s="100">
        <v>2875</v>
      </c>
      <c r="E19" s="100">
        <v>300</v>
      </c>
      <c r="F19" s="113">
        <v>3175</v>
      </c>
    </row>
    <row r="20" spans="1:6" ht="12.75">
      <c r="A20" s="99" t="s">
        <v>79</v>
      </c>
      <c r="B20" s="99">
        <v>768</v>
      </c>
      <c r="C20" s="99">
        <v>768</v>
      </c>
      <c r="D20" s="100">
        <v>3220</v>
      </c>
      <c r="E20" s="100">
        <v>300</v>
      </c>
      <c r="F20" s="113">
        <v>3520</v>
      </c>
    </row>
    <row r="21" spans="1:6" ht="12.75">
      <c r="A21" s="99" t="s">
        <v>80</v>
      </c>
      <c r="B21" s="99">
        <v>1024</v>
      </c>
      <c r="C21" s="99">
        <v>1024</v>
      </c>
      <c r="D21" s="100">
        <v>3967.5</v>
      </c>
      <c r="E21" s="100">
        <v>300</v>
      </c>
      <c r="F21" s="113">
        <v>4267.5</v>
      </c>
    </row>
    <row r="22" spans="1:7" ht="12.75">
      <c r="A22" s="99" t="s">
        <v>81</v>
      </c>
      <c r="B22" s="99">
        <v>2048</v>
      </c>
      <c r="C22" s="99">
        <v>2048</v>
      </c>
      <c r="D22" s="100">
        <v>6900</v>
      </c>
      <c r="E22" s="100">
        <v>300</v>
      </c>
      <c r="F22" s="113">
        <v>7200</v>
      </c>
      <c r="G22" t="s">
        <v>91</v>
      </c>
    </row>
    <row r="23" spans="1:8" ht="12.75">
      <c r="A23" s="126"/>
      <c r="B23" s="126"/>
      <c r="C23" s="126"/>
      <c r="D23" s="127"/>
      <c r="E23" s="127"/>
      <c r="F23" s="113">
        <v>2458.8636363636365</v>
      </c>
      <c r="G23" s="116">
        <v>49.17727272727273</v>
      </c>
      <c r="H23" t="s">
        <v>92</v>
      </c>
    </row>
    <row r="26" spans="1:6" ht="12.75">
      <c r="A26" s="320" t="s">
        <v>143</v>
      </c>
      <c r="B26" s="320"/>
      <c r="C26" s="320"/>
      <c r="D26" s="320"/>
      <c r="E26" s="320"/>
      <c r="F26" s="320"/>
    </row>
    <row r="27" spans="1:6" ht="12.75">
      <c r="A27" s="119" t="s">
        <v>64</v>
      </c>
      <c r="B27" s="120" t="s">
        <v>94</v>
      </c>
      <c r="C27" s="120" t="s">
        <v>95</v>
      </c>
      <c r="D27" s="120" t="s">
        <v>96</v>
      </c>
      <c r="E27" s="120" t="s">
        <v>97</v>
      </c>
      <c r="F27" s="120" t="s">
        <v>98</v>
      </c>
    </row>
    <row r="28" spans="1:6" ht="12.75">
      <c r="A28" s="121" t="s">
        <v>99</v>
      </c>
      <c r="B28" s="128">
        <v>2458.8636363636365</v>
      </c>
      <c r="C28" s="128">
        <v>2458.8636363636365</v>
      </c>
      <c r="D28" s="128">
        <v>2458.8636363636365</v>
      </c>
      <c r="E28" s="128">
        <v>2458.8636363636365</v>
      </c>
      <c r="F28" s="128">
        <v>2458.8636363636365</v>
      </c>
    </row>
    <row r="29" spans="1:6" ht="12.75">
      <c r="A29" s="121"/>
      <c r="B29" s="122"/>
      <c r="C29" s="122"/>
      <c r="D29" s="122"/>
      <c r="E29" s="122"/>
      <c r="F29" s="122"/>
    </row>
    <row r="30" spans="1:6" ht="12.75">
      <c r="A30" s="121" t="s">
        <v>100</v>
      </c>
      <c r="B30" s="128">
        <v>49.17727272727273</v>
      </c>
      <c r="C30" s="122">
        <v>50.44604636363637</v>
      </c>
      <c r="D30" s="122">
        <v>51.74755435981819</v>
      </c>
      <c r="E30" s="122">
        <v>53.0826412623015</v>
      </c>
      <c r="F30" s="122">
        <v>54.45217340686888</v>
      </c>
    </row>
    <row r="31" spans="1:6" ht="12.75">
      <c r="A31" s="121"/>
      <c r="B31" s="122"/>
      <c r="C31" s="122"/>
      <c r="D31" s="122"/>
      <c r="E31" s="122"/>
      <c r="F31" s="122"/>
    </row>
    <row r="32" spans="1:6" ht="12.75">
      <c r="A32" s="121" t="s">
        <v>101</v>
      </c>
      <c r="B32" s="123">
        <v>33690.4</v>
      </c>
      <c r="C32" s="123">
        <v>34033.449799999995</v>
      </c>
      <c r="D32" s="123">
        <v>34680.67981919999</v>
      </c>
      <c r="E32" s="123">
        <v>35332.19790725536</v>
      </c>
      <c r="F32" s="123">
        <v>35988.11469634254</v>
      </c>
    </row>
    <row r="33" spans="1:6" ht="12.75">
      <c r="A33" s="121"/>
      <c r="B33" s="122"/>
      <c r="C33" s="122"/>
      <c r="D33" s="122"/>
      <c r="E33" s="122"/>
      <c r="F33" s="122"/>
    </row>
    <row r="34" spans="1:6" ht="25.5">
      <c r="A34" s="124" t="s">
        <v>102</v>
      </c>
      <c r="B34" s="125">
        <v>13.981238599515965</v>
      </c>
      <c r="C34" s="125">
        <v>14.131041868034186</v>
      </c>
      <c r="D34" s="125">
        <v>14.407564337458062</v>
      </c>
      <c r="E34" s="125">
        <v>14.686373356177882</v>
      </c>
      <c r="F34" s="125">
        <v>14.96753581938385</v>
      </c>
    </row>
    <row r="35" spans="1:6" ht="12.75">
      <c r="A35" s="121"/>
      <c r="B35" s="125"/>
      <c r="C35" s="125"/>
      <c r="D35" s="125"/>
      <c r="E35" s="125"/>
      <c r="F35" s="125"/>
    </row>
    <row r="36" spans="1:6" ht="12.75">
      <c r="A36" s="121" t="s">
        <v>103</v>
      </c>
      <c r="B36" s="122">
        <v>34377.95918367346</v>
      </c>
      <c r="C36" s="122">
        <v>34746.304993241334</v>
      </c>
      <c r="D36" s="122">
        <v>35426.23603794518</v>
      </c>
      <c r="E36" s="122">
        <v>36111.78939556557</v>
      </c>
      <c r="F36" s="122">
        <v>36803.12955225315</v>
      </c>
    </row>
    <row r="37" ht="12.75">
      <c r="A37" s="40" t="s">
        <v>30</v>
      </c>
    </row>
    <row r="40" spans="1:5" ht="15.75">
      <c r="A40" s="319" t="s">
        <v>115</v>
      </c>
      <c r="B40" s="319"/>
      <c r="C40" s="319"/>
      <c r="D40" s="319"/>
      <c r="E40" s="319"/>
    </row>
    <row r="42" spans="1:5" ht="12.75" customHeight="1">
      <c r="A42" s="321" t="s">
        <v>65</v>
      </c>
      <c r="B42" s="321" t="s">
        <v>66</v>
      </c>
      <c r="C42" s="321"/>
      <c r="D42" s="321" t="s">
        <v>67</v>
      </c>
      <c r="E42" s="321" t="s">
        <v>68</v>
      </c>
    </row>
    <row r="43" spans="1:5" ht="12.75">
      <c r="A43" s="321"/>
      <c r="B43" s="98" t="s">
        <v>69</v>
      </c>
      <c r="C43" s="98" t="s">
        <v>70</v>
      </c>
      <c r="D43" s="321"/>
      <c r="E43" s="321"/>
    </row>
    <row r="44" spans="1:6" ht="12.75">
      <c r="A44" s="129" t="s">
        <v>104</v>
      </c>
      <c r="B44" s="99">
        <v>32</v>
      </c>
      <c r="C44" s="99">
        <v>32</v>
      </c>
      <c r="D44" s="100">
        <v>126.5</v>
      </c>
      <c r="E44" s="100">
        <v>300</v>
      </c>
      <c r="F44" s="116">
        <v>426.5</v>
      </c>
    </row>
    <row r="45" spans="1:6" ht="12.75">
      <c r="A45" s="99" t="s">
        <v>105</v>
      </c>
      <c r="B45" s="99">
        <v>64</v>
      </c>
      <c r="C45" s="99">
        <v>64</v>
      </c>
      <c r="D45" s="100">
        <v>172.5</v>
      </c>
      <c r="E45" s="100">
        <v>300</v>
      </c>
      <c r="F45" s="116">
        <v>472.5</v>
      </c>
    </row>
    <row r="46" spans="1:6" ht="12.75">
      <c r="A46" s="99" t="s">
        <v>106</v>
      </c>
      <c r="B46" s="99">
        <v>128</v>
      </c>
      <c r="C46" s="99">
        <v>128</v>
      </c>
      <c r="D46" s="100">
        <v>299</v>
      </c>
      <c r="E46" s="100">
        <v>300</v>
      </c>
      <c r="F46" s="116">
        <v>599</v>
      </c>
    </row>
    <row r="47" spans="1:6" ht="12.75">
      <c r="A47" s="99" t="s">
        <v>107</v>
      </c>
      <c r="B47" s="99">
        <v>192</v>
      </c>
      <c r="C47" s="99">
        <v>192</v>
      </c>
      <c r="D47" s="100">
        <v>448.5</v>
      </c>
      <c r="E47" s="100">
        <v>300</v>
      </c>
      <c r="F47" s="116">
        <v>748.5</v>
      </c>
    </row>
    <row r="48" spans="1:6" ht="12.75">
      <c r="A48" s="99" t="s">
        <v>108</v>
      </c>
      <c r="B48" s="99">
        <v>256</v>
      </c>
      <c r="C48" s="99">
        <v>256</v>
      </c>
      <c r="D48" s="100">
        <v>540.5</v>
      </c>
      <c r="E48" s="100">
        <v>300</v>
      </c>
      <c r="F48" s="116">
        <v>840.5</v>
      </c>
    </row>
    <row r="49" spans="1:6" ht="12.75">
      <c r="A49" s="99" t="s">
        <v>109</v>
      </c>
      <c r="B49" s="99">
        <v>384</v>
      </c>
      <c r="C49" s="99">
        <v>384</v>
      </c>
      <c r="D49" s="100">
        <v>902.75</v>
      </c>
      <c r="E49" s="100">
        <v>300</v>
      </c>
      <c r="F49" s="116">
        <v>1202.75</v>
      </c>
    </row>
    <row r="50" spans="1:6" ht="12.75">
      <c r="A50" s="99" t="s">
        <v>110</v>
      </c>
      <c r="B50" s="99">
        <v>512</v>
      </c>
      <c r="C50" s="99">
        <v>512</v>
      </c>
      <c r="D50" s="100">
        <v>1052.25</v>
      </c>
      <c r="E50" s="100">
        <v>300</v>
      </c>
      <c r="F50" s="116">
        <v>1352.25</v>
      </c>
    </row>
    <row r="51" spans="1:6" ht="12.75">
      <c r="A51" s="99" t="s">
        <v>111</v>
      </c>
      <c r="B51" s="99">
        <v>640</v>
      </c>
      <c r="C51" s="99">
        <v>640</v>
      </c>
      <c r="D51" s="100">
        <v>1506.5</v>
      </c>
      <c r="E51" s="100">
        <v>300</v>
      </c>
      <c r="F51" s="116">
        <v>1806.5</v>
      </c>
    </row>
    <row r="52" spans="1:6" ht="12.75">
      <c r="A52" s="99" t="s">
        <v>112</v>
      </c>
      <c r="B52" s="99">
        <v>768</v>
      </c>
      <c r="C52" s="99">
        <v>768</v>
      </c>
      <c r="D52" s="100">
        <v>1690.5</v>
      </c>
      <c r="E52" s="100">
        <v>300</v>
      </c>
      <c r="F52" s="116">
        <v>1990.5</v>
      </c>
    </row>
    <row r="53" spans="1:6" ht="12.75">
      <c r="A53" s="99" t="s">
        <v>113</v>
      </c>
      <c r="B53" s="99">
        <v>1024</v>
      </c>
      <c r="C53" s="99">
        <v>1024</v>
      </c>
      <c r="D53" s="100">
        <v>2081.5</v>
      </c>
      <c r="E53" s="100">
        <v>300</v>
      </c>
      <c r="F53" s="116">
        <v>2381.5</v>
      </c>
    </row>
    <row r="54" spans="1:6" ht="12.75">
      <c r="A54" s="99" t="s">
        <v>114</v>
      </c>
      <c r="B54" s="99">
        <v>2048</v>
      </c>
      <c r="C54" s="99">
        <v>2048</v>
      </c>
      <c r="D54" s="100">
        <v>3622.5</v>
      </c>
      <c r="E54" s="100">
        <v>300</v>
      </c>
      <c r="F54" s="116">
        <v>3922.5</v>
      </c>
    </row>
    <row r="55" spans="6:7" ht="12.75">
      <c r="F55" s="116">
        <v>1431.1818181818182</v>
      </c>
      <c r="G55">
        <v>28.623636363636365</v>
      </c>
    </row>
    <row r="58" spans="1:6" ht="12.75">
      <c r="A58" s="320" t="s">
        <v>144</v>
      </c>
      <c r="B58" s="320"/>
      <c r="C58" s="320"/>
      <c r="D58" s="320"/>
      <c r="E58" s="320"/>
      <c r="F58" s="320"/>
    </row>
    <row r="59" spans="1:6" ht="12.75">
      <c r="A59" s="119" t="s">
        <v>64</v>
      </c>
      <c r="B59" s="120" t="s">
        <v>94</v>
      </c>
      <c r="C59" s="120" t="s">
        <v>95</v>
      </c>
      <c r="D59" s="120" t="s">
        <v>96</v>
      </c>
      <c r="E59" s="120" t="s">
        <v>97</v>
      </c>
      <c r="F59" s="120" t="s">
        <v>98</v>
      </c>
    </row>
    <row r="60" spans="1:6" ht="12.75">
      <c r="A60" s="121" t="s">
        <v>99</v>
      </c>
      <c r="B60" s="128">
        <v>1431.1818181818182</v>
      </c>
      <c r="C60" s="128">
        <v>1431.1818181818182</v>
      </c>
      <c r="D60" s="128">
        <v>1431.1818181818182</v>
      </c>
      <c r="E60" s="128">
        <v>1431.1818181818182</v>
      </c>
      <c r="F60" s="128">
        <v>1431.1818181818182</v>
      </c>
    </row>
    <row r="61" spans="1:6" ht="12.75">
      <c r="A61" s="121"/>
      <c r="B61" s="122"/>
      <c r="C61" s="122"/>
      <c r="D61" s="122"/>
      <c r="E61" s="122"/>
      <c r="F61" s="122"/>
    </row>
    <row r="62" spans="1:6" ht="12.75">
      <c r="A62" s="121" t="s">
        <v>100</v>
      </c>
      <c r="B62" s="128">
        <v>28.623636363636365</v>
      </c>
      <c r="C62" s="122">
        <v>29.362126181818184</v>
      </c>
      <c r="D62" s="122">
        <v>30.119669037309095</v>
      </c>
      <c r="E62" s="122">
        <v>30.89675649847167</v>
      </c>
      <c r="F62" s="122">
        <v>31.69389281613224</v>
      </c>
    </row>
    <row r="63" spans="1:6" ht="12.75">
      <c r="A63" s="121"/>
      <c r="B63" s="122"/>
      <c r="C63" s="122"/>
      <c r="D63" s="122"/>
      <c r="E63" s="122"/>
      <c r="F63" s="122"/>
    </row>
    <row r="64" spans="1:6" ht="12.75">
      <c r="A64" s="121" t="s">
        <v>101</v>
      </c>
      <c r="B64" s="123">
        <v>33690.4</v>
      </c>
      <c r="C64" s="123">
        <v>34033.449799999995</v>
      </c>
      <c r="D64" s="123">
        <v>34680.67981919999</v>
      </c>
      <c r="E64" s="123">
        <v>35332.19790725536</v>
      </c>
      <c r="F64" s="123">
        <v>35988.11469634254</v>
      </c>
    </row>
    <row r="65" spans="1:6" ht="12.75">
      <c r="A65" s="121"/>
      <c r="B65" s="122"/>
      <c r="C65" s="122"/>
      <c r="D65" s="122"/>
      <c r="E65" s="122"/>
      <c r="F65" s="122"/>
    </row>
    <row r="66" spans="1:6" ht="25.5">
      <c r="A66" s="124" t="s">
        <v>102</v>
      </c>
      <c r="B66" s="125">
        <v>24.02067909676733</v>
      </c>
      <c r="C66" s="125">
        <v>24.278050875033646</v>
      </c>
      <c r="D66" s="125">
        <v>24.75313449897713</v>
      </c>
      <c r="E66" s="125">
        <v>25.23214656362963</v>
      </c>
      <c r="F66" s="125">
        <v>25.7152019992876</v>
      </c>
    </row>
    <row r="67" spans="1:6" ht="12.75">
      <c r="A67" s="121"/>
      <c r="B67" s="125"/>
      <c r="C67" s="125"/>
      <c r="D67" s="125"/>
      <c r="E67" s="125"/>
      <c r="F67" s="125"/>
    </row>
    <row r="68" spans="1:6" ht="12.75">
      <c r="A68" s="121" t="s">
        <v>103</v>
      </c>
      <c r="B68" s="122">
        <v>34377.95918367346</v>
      </c>
      <c r="C68" s="122">
        <v>34746.304993241334</v>
      </c>
      <c r="D68" s="122">
        <v>35426.23603794518</v>
      </c>
      <c r="E68" s="122">
        <v>36111.789395565575</v>
      </c>
      <c r="F68" s="122">
        <v>36803.12955225316</v>
      </c>
    </row>
    <row r="69" ht="12.75">
      <c r="A69" s="40" t="s">
        <v>30</v>
      </c>
    </row>
    <row r="73" spans="1:5" ht="15.75">
      <c r="A73" s="319" t="s">
        <v>127</v>
      </c>
      <c r="B73" s="319"/>
      <c r="C73" s="319"/>
      <c r="D73" s="319"/>
      <c r="E73" s="319"/>
    </row>
    <row r="76" spans="1:5" ht="12.75" customHeight="1">
      <c r="A76" s="321" t="s">
        <v>65</v>
      </c>
      <c r="B76" s="321" t="s">
        <v>66</v>
      </c>
      <c r="C76" s="321"/>
      <c r="D76" s="321" t="s">
        <v>67</v>
      </c>
      <c r="E76" s="321" t="s">
        <v>68</v>
      </c>
    </row>
    <row r="77" spans="1:5" ht="12.75">
      <c r="A77" s="321"/>
      <c r="B77" s="98" t="s">
        <v>69</v>
      </c>
      <c r="C77" s="98" t="s">
        <v>70</v>
      </c>
      <c r="D77" s="321"/>
      <c r="E77" s="321"/>
    </row>
    <row r="78" spans="1:6" ht="12.75">
      <c r="A78" s="99" t="s">
        <v>116</v>
      </c>
      <c r="B78" s="99">
        <v>32</v>
      </c>
      <c r="C78" s="99">
        <v>32</v>
      </c>
      <c r="D78" s="100">
        <v>69</v>
      </c>
      <c r="E78" s="100">
        <v>300</v>
      </c>
      <c r="F78" s="116">
        <v>369</v>
      </c>
    </row>
    <row r="79" spans="1:6" ht="12.75">
      <c r="A79" s="99" t="s">
        <v>117</v>
      </c>
      <c r="B79" s="99">
        <v>64</v>
      </c>
      <c r="C79" s="99">
        <v>64</v>
      </c>
      <c r="D79" s="100">
        <v>92</v>
      </c>
      <c r="E79" s="100">
        <v>300</v>
      </c>
      <c r="F79" s="116">
        <v>392</v>
      </c>
    </row>
    <row r="80" spans="1:6" ht="12.75">
      <c r="A80" s="99" t="s">
        <v>118</v>
      </c>
      <c r="B80" s="99">
        <v>128</v>
      </c>
      <c r="C80" s="99">
        <v>128</v>
      </c>
      <c r="D80" s="100">
        <v>155.25</v>
      </c>
      <c r="E80" s="100">
        <v>300</v>
      </c>
      <c r="F80" s="116">
        <v>455.25</v>
      </c>
    </row>
    <row r="81" spans="1:6" ht="12.75">
      <c r="A81" s="99" t="s">
        <v>119</v>
      </c>
      <c r="B81" s="99">
        <v>192</v>
      </c>
      <c r="C81" s="99">
        <v>192</v>
      </c>
      <c r="D81" s="100">
        <v>230</v>
      </c>
      <c r="E81" s="100">
        <v>300</v>
      </c>
      <c r="F81" s="116">
        <v>530</v>
      </c>
    </row>
    <row r="82" spans="1:6" ht="12.75">
      <c r="A82" s="99" t="s">
        <v>120</v>
      </c>
      <c r="B82" s="99">
        <v>256</v>
      </c>
      <c r="C82" s="99">
        <v>256</v>
      </c>
      <c r="D82" s="100">
        <v>276</v>
      </c>
      <c r="E82" s="100">
        <v>300</v>
      </c>
      <c r="F82" s="116">
        <v>576</v>
      </c>
    </row>
    <row r="83" spans="1:6" ht="12.75">
      <c r="A83" s="99" t="s">
        <v>121</v>
      </c>
      <c r="B83" s="99">
        <v>384</v>
      </c>
      <c r="C83" s="99">
        <v>384</v>
      </c>
      <c r="D83" s="100">
        <v>454.25</v>
      </c>
      <c r="E83" s="100">
        <v>300</v>
      </c>
      <c r="F83" s="116">
        <v>754.25</v>
      </c>
    </row>
    <row r="84" spans="1:6" ht="12.75">
      <c r="A84" s="99" t="s">
        <v>122</v>
      </c>
      <c r="B84" s="99">
        <v>512</v>
      </c>
      <c r="C84" s="99">
        <v>512</v>
      </c>
      <c r="D84" s="100">
        <v>529</v>
      </c>
      <c r="E84" s="100">
        <v>300</v>
      </c>
      <c r="F84" s="116">
        <v>829</v>
      </c>
    </row>
    <row r="85" spans="1:6" ht="12.75">
      <c r="A85" s="99" t="s">
        <v>123</v>
      </c>
      <c r="B85" s="99">
        <v>640</v>
      </c>
      <c r="C85" s="99">
        <v>640</v>
      </c>
      <c r="D85" s="100">
        <v>759</v>
      </c>
      <c r="E85" s="100">
        <v>300</v>
      </c>
      <c r="F85" s="116">
        <v>1059</v>
      </c>
    </row>
    <row r="86" spans="1:6" ht="12.75">
      <c r="A86" s="99" t="s">
        <v>124</v>
      </c>
      <c r="B86" s="99">
        <v>768</v>
      </c>
      <c r="C86" s="99">
        <v>768</v>
      </c>
      <c r="D86" s="100">
        <v>862.5</v>
      </c>
      <c r="E86" s="100">
        <v>300</v>
      </c>
      <c r="F86" s="116">
        <v>1162.5</v>
      </c>
    </row>
    <row r="87" spans="1:6" ht="12.75">
      <c r="A87" s="99" t="s">
        <v>125</v>
      </c>
      <c r="B87" s="99">
        <v>1024</v>
      </c>
      <c r="C87" s="99">
        <v>1024</v>
      </c>
      <c r="D87" s="100">
        <v>994.75</v>
      </c>
      <c r="E87" s="100">
        <v>300</v>
      </c>
      <c r="F87" s="116">
        <v>1294.75</v>
      </c>
    </row>
    <row r="88" spans="1:6" ht="12.75">
      <c r="A88" s="99" t="s">
        <v>126</v>
      </c>
      <c r="B88" s="99">
        <v>2048</v>
      </c>
      <c r="C88" s="99">
        <v>2048</v>
      </c>
      <c r="D88" s="100">
        <v>1828.5</v>
      </c>
      <c r="E88" s="100">
        <v>300</v>
      </c>
      <c r="F88" s="116">
        <v>2128.5</v>
      </c>
    </row>
    <row r="89" spans="6:7" ht="12.75">
      <c r="F89" s="116">
        <v>868.2045454545455</v>
      </c>
      <c r="G89">
        <v>17.364090909090912</v>
      </c>
    </row>
    <row r="90" ht="12.75">
      <c r="F90" s="155"/>
    </row>
    <row r="91" spans="1:6" ht="12.75">
      <c r="A91" s="320" t="s">
        <v>145</v>
      </c>
      <c r="B91" s="320"/>
      <c r="C91" s="320"/>
      <c r="D91" s="320"/>
      <c r="E91" s="320"/>
      <c r="F91" s="320"/>
    </row>
    <row r="92" spans="1:6" ht="12.75">
      <c r="A92" s="119" t="s">
        <v>64</v>
      </c>
      <c r="B92" s="120" t="s">
        <v>94</v>
      </c>
      <c r="C92" s="120" t="s">
        <v>95</v>
      </c>
      <c r="D92" s="120" t="s">
        <v>96</v>
      </c>
      <c r="E92" s="120" t="s">
        <v>97</v>
      </c>
      <c r="F92" s="120" t="s">
        <v>98</v>
      </c>
    </row>
    <row r="93" spans="1:6" ht="12.75">
      <c r="A93" s="121" t="s">
        <v>99</v>
      </c>
      <c r="B93" s="128">
        <v>868.2045454545455</v>
      </c>
      <c r="C93" s="128">
        <v>868.2045454545455</v>
      </c>
      <c r="D93" s="128">
        <v>868.2045454545455</v>
      </c>
      <c r="E93" s="128">
        <v>868.2045454545455</v>
      </c>
      <c r="F93" s="128">
        <v>868.2045454545455</v>
      </c>
    </row>
    <row r="94" spans="1:6" ht="12.75">
      <c r="A94" s="121"/>
      <c r="B94" s="122"/>
      <c r="C94" s="122"/>
      <c r="D94" s="122"/>
      <c r="E94" s="122"/>
      <c r="F94" s="122"/>
    </row>
    <row r="95" spans="1:6" ht="12.75">
      <c r="A95" s="121" t="s">
        <v>100</v>
      </c>
      <c r="B95" s="128">
        <v>17.364090909090912</v>
      </c>
      <c r="C95" s="122">
        <v>17.81208445454546</v>
      </c>
      <c r="D95" s="122">
        <v>18.271636233472734</v>
      </c>
      <c r="E95" s="122">
        <v>18.74304444829633</v>
      </c>
      <c r="F95" s="122">
        <v>19.226614995062377</v>
      </c>
    </row>
    <row r="96" spans="1:6" ht="12.75">
      <c r="A96" s="121"/>
      <c r="B96" s="122"/>
      <c r="C96" s="122"/>
      <c r="D96" s="122"/>
      <c r="E96" s="122"/>
      <c r="F96" s="122"/>
    </row>
    <row r="97" spans="1:6" ht="12.75">
      <c r="A97" s="121" t="s">
        <v>101</v>
      </c>
      <c r="B97" s="123">
        <v>33690.4</v>
      </c>
      <c r="C97" s="123">
        <v>34033.449799999995</v>
      </c>
      <c r="D97" s="123">
        <v>34680.67981919999</v>
      </c>
      <c r="E97" s="123">
        <v>35332.19790725536</v>
      </c>
      <c r="F97" s="123">
        <v>35988.11469634254</v>
      </c>
    </row>
    <row r="98" spans="1:6" ht="12.75">
      <c r="A98" s="121"/>
      <c r="B98" s="122"/>
      <c r="C98" s="122"/>
      <c r="D98" s="122"/>
      <c r="E98" s="122"/>
      <c r="F98" s="122"/>
    </row>
    <row r="99" spans="1:6" ht="25.5">
      <c r="A99" s="124" t="s">
        <v>102</v>
      </c>
      <c r="B99" s="125">
        <v>39.59661276096522</v>
      </c>
      <c r="C99" s="125">
        <v>40.02087431487706</v>
      </c>
      <c r="D99" s="125">
        <v>40.804020462019</v>
      </c>
      <c r="E99" s="125">
        <v>41.59364240215924</v>
      </c>
      <c r="F99" s="125">
        <v>42.38992959082586</v>
      </c>
    </row>
    <row r="100" spans="1:6" ht="12.75">
      <c r="A100" s="121"/>
      <c r="B100" s="125"/>
      <c r="C100" s="125"/>
      <c r="D100" s="125"/>
      <c r="E100" s="125"/>
      <c r="F100" s="125"/>
    </row>
    <row r="101" spans="1:6" ht="12.75">
      <c r="A101" s="121" t="s">
        <v>103</v>
      </c>
      <c r="B101" s="122">
        <v>34377.95918367347</v>
      </c>
      <c r="C101" s="122">
        <v>34746.304993241334</v>
      </c>
      <c r="D101" s="122">
        <v>35426.23603794518</v>
      </c>
      <c r="E101" s="122">
        <v>36111.789395565575</v>
      </c>
      <c r="F101" s="122">
        <v>36803.12955225315</v>
      </c>
    </row>
    <row r="102" ht="12.75">
      <c r="A102" s="40" t="s">
        <v>30</v>
      </c>
    </row>
  </sheetData>
  <sheetProtection/>
  <mergeCells count="19">
    <mergeCell ref="E42:E43"/>
    <mergeCell ref="E10:E11"/>
    <mergeCell ref="D10:D11"/>
    <mergeCell ref="A91:F91"/>
    <mergeCell ref="A73:E73"/>
    <mergeCell ref="A76:A77"/>
    <mergeCell ref="B76:C76"/>
    <mergeCell ref="D76:D77"/>
    <mergeCell ref="E76:E77"/>
    <mergeCell ref="A58:F58"/>
    <mergeCell ref="A3:C3"/>
    <mergeCell ref="A8:E8"/>
    <mergeCell ref="A26:F26"/>
    <mergeCell ref="A10:A11"/>
    <mergeCell ref="B10:C10"/>
    <mergeCell ref="A40:E40"/>
    <mergeCell ref="A42:A43"/>
    <mergeCell ref="B42:C42"/>
    <mergeCell ref="D42:D43"/>
  </mergeCells>
  <printOptions/>
  <pageMargins left="0.75" right="0.75" top="1" bottom="1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N30"/>
  <sheetViews>
    <sheetView zoomScalePageLayoutView="0" workbookViewId="0" topLeftCell="A10">
      <selection activeCell="J12" sqref="J12"/>
    </sheetView>
  </sheetViews>
  <sheetFormatPr defaultColWidth="11.421875" defaultRowHeight="12.75"/>
  <cols>
    <col min="1" max="7" width="11.421875" style="221" customWidth="1"/>
    <col min="8" max="8" width="13.00390625" style="221" customWidth="1"/>
    <col min="9" max="9" width="11.421875" style="221" customWidth="1"/>
    <col min="10" max="10" width="16.140625" style="221" customWidth="1"/>
    <col min="11" max="13" width="11.421875" style="221" customWidth="1"/>
    <col min="14" max="14" width="14.00390625" style="221" customWidth="1"/>
    <col min="15" max="16384" width="11.421875" style="221" customWidth="1"/>
  </cols>
  <sheetData>
    <row r="6" spans="7:10" ht="15">
      <c r="G6" s="325" t="s">
        <v>266</v>
      </c>
      <c r="H6" s="325"/>
      <c r="I6" s="325"/>
      <c r="J6" s="325"/>
    </row>
    <row r="7" spans="7:10" ht="15.75" thickBot="1">
      <c r="G7" s="326" t="s">
        <v>267</v>
      </c>
      <c r="H7" s="326"/>
      <c r="I7" s="326"/>
      <c r="J7" s="326"/>
    </row>
    <row r="8" spans="7:10" ht="13.5" thickBot="1">
      <c r="G8" s="316" t="s">
        <v>268</v>
      </c>
      <c r="H8" s="317"/>
      <c r="I8" s="317"/>
      <c r="J8" s="318"/>
    </row>
    <row r="9" spans="7:10" ht="39" thickBot="1">
      <c r="G9" s="216" t="s">
        <v>20</v>
      </c>
      <c r="H9" s="217" t="s">
        <v>269</v>
      </c>
      <c r="I9" s="218" t="s">
        <v>270</v>
      </c>
      <c r="J9" s="216" t="s">
        <v>271</v>
      </c>
    </row>
    <row r="10" spans="7:10" s="226" customFormat="1" ht="12.75">
      <c r="G10" s="222">
        <v>2006</v>
      </c>
      <c r="H10" s="223">
        <v>67551.79</v>
      </c>
      <c r="I10" s="224"/>
      <c r="J10" s="225"/>
    </row>
    <row r="11" spans="7:10" s="226" customFormat="1" ht="12.75">
      <c r="G11" s="222">
        <v>2008</v>
      </c>
      <c r="H11" s="223">
        <v>168879.47499999998</v>
      </c>
      <c r="I11" s="227">
        <v>1.5</v>
      </c>
      <c r="J11" s="228">
        <v>101327.68499999998</v>
      </c>
    </row>
    <row r="12" spans="7:10" s="226" customFormat="1" ht="12.75">
      <c r="G12" s="229">
        <v>2009</v>
      </c>
      <c r="H12" s="230">
        <v>253319.21249999997</v>
      </c>
      <c r="I12" s="231">
        <v>0.5</v>
      </c>
      <c r="J12" s="232">
        <v>84439.73749999999</v>
      </c>
    </row>
    <row r="13" spans="7:10" s="226" customFormat="1" ht="12.75">
      <c r="G13" s="222">
        <v>2010</v>
      </c>
      <c r="H13" s="230">
        <v>379978.81875</v>
      </c>
      <c r="I13" s="231">
        <v>0.5</v>
      </c>
      <c r="J13" s="232">
        <v>126659.60625000001</v>
      </c>
    </row>
    <row r="14" spans="7:10" s="226" customFormat="1" ht="12.75">
      <c r="G14" s="229">
        <v>2011</v>
      </c>
      <c r="H14" s="230">
        <v>569968.2281249999</v>
      </c>
      <c r="I14" s="231">
        <v>0.5</v>
      </c>
      <c r="J14" s="232">
        <v>189989.40937499993</v>
      </c>
    </row>
    <row r="15" spans="7:10" s="226" customFormat="1" ht="13.5" thickBot="1">
      <c r="G15" s="233">
        <v>2012</v>
      </c>
      <c r="H15" s="234">
        <v>854952.3421874999</v>
      </c>
      <c r="I15" s="235">
        <v>0.5</v>
      </c>
      <c r="J15" s="236">
        <v>284984.11406249995</v>
      </c>
    </row>
    <row r="16" spans="7:10" s="226" customFormat="1" ht="13.5" thickBot="1">
      <c r="G16" s="93" t="s">
        <v>166</v>
      </c>
      <c r="H16" s="219">
        <v>2227098.0765624996</v>
      </c>
      <c r="I16" s="237"/>
      <c r="J16" s="238"/>
    </row>
    <row r="17" spans="7:10" s="226" customFormat="1" ht="12.75">
      <c r="G17" s="220" t="s">
        <v>30</v>
      </c>
      <c r="H17" s="238"/>
      <c r="I17" s="238"/>
      <c r="J17" s="238"/>
    </row>
    <row r="22" spans="1:14" ht="18">
      <c r="A22" s="324" t="s">
        <v>253</v>
      </c>
      <c r="B22" s="324"/>
      <c r="C22" s="324"/>
      <c r="D22" s="324"/>
      <c r="E22" s="324"/>
      <c r="F22" s="324"/>
      <c r="G22" s="324"/>
      <c r="H22" s="324"/>
      <c r="I22" s="324"/>
      <c r="J22" s="324"/>
      <c r="K22" s="324"/>
      <c r="L22" s="324"/>
      <c r="M22" s="324"/>
      <c r="N22" s="324"/>
    </row>
    <row r="23" spans="1:14" s="226" customFormat="1" ht="12.75">
      <c r="A23" s="238"/>
      <c r="B23" s="238"/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</row>
    <row r="24" spans="1:14" ht="12.75">
      <c r="A24" s="214"/>
      <c r="B24" s="214" t="s">
        <v>254</v>
      </c>
      <c r="C24" s="214" t="s">
        <v>255</v>
      </c>
      <c r="D24" s="214" t="s">
        <v>256</v>
      </c>
      <c r="E24" s="214" t="s">
        <v>257</v>
      </c>
      <c r="F24" s="214" t="s">
        <v>258</v>
      </c>
      <c r="G24" s="214" t="s">
        <v>259</v>
      </c>
      <c r="H24" s="214" t="s">
        <v>260</v>
      </c>
      <c r="I24" s="214" t="s">
        <v>261</v>
      </c>
      <c r="J24" s="214" t="s">
        <v>262</v>
      </c>
      <c r="K24" s="214" t="s">
        <v>263</v>
      </c>
      <c r="L24" s="214" t="s">
        <v>264</v>
      </c>
      <c r="M24" s="214" t="s">
        <v>265</v>
      </c>
      <c r="N24" s="214" t="s">
        <v>166</v>
      </c>
    </row>
    <row r="25" spans="1:14" s="226" customFormat="1" ht="12.75">
      <c r="A25" s="214">
        <v>2008</v>
      </c>
      <c r="B25" s="239">
        <v>11315.035993473528</v>
      </c>
      <c r="C25" s="239">
        <v>14319.707204713888</v>
      </c>
      <c r="D25" s="239">
        <v>15482.317920091813</v>
      </c>
      <c r="E25" s="239">
        <v>16761.37451006449</v>
      </c>
      <c r="F25" s="239">
        <v>16067.111868140797</v>
      </c>
      <c r="G25" s="239">
        <v>13947.002955050708</v>
      </c>
      <c r="H25" s="239">
        <v>14154.169942723029</v>
      </c>
      <c r="I25" s="239">
        <v>15283.01226108617</v>
      </c>
      <c r="J25" s="239">
        <v>13761.453073955114</v>
      </c>
      <c r="K25" s="239">
        <v>13241.237027368023</v>
      </c>
      <c r="L25" s="239">
        <v>11370.338918116631</v>
      </c>
      <c r="M25" s="239">
        <v>13176.713325215764</v>
      </c>
      <c r="N25" s="239">
        <v>168879.47499999998</v>
      </c>
    </row>
    <row r="26" spans="1:14" s="226" customFormat="1" ht="12.75">
      <c r="A26" s="214">
        <v>2009</v>
      </c>
      <c r="B26" s="239">
        <v>16972.553990210294</v>
      </c>
      <c r="C26" s="239">
        <v>21479.560807070833</v>
      </c>
      <c r="D26" s="239">
        <v>23223.47688013772</v>
      </c>
      <c r="E26" s="239">
        <v>25142.061765096732</v>
      </c>
      <c r="F26" s="239">
        <v>24100.667802211196</v>
      </c>
      <c r="G26" s="239">
        <v>20920.50443257606</v>
      </c>
      <c r="H26" s="239">
        <v>21231.254914084544</v>
      </c>
      <c r="I26" s="239">
        <v>22924.518391629255</v>
      </c>
      <c r="J26" s="239">
        <v>20642.179610932668</v>
      </c>
      <c r="K26" s="239">
        <v>19861.855541052035</v>
      </c>
      <c r="L26" s="239">
        <v>17055.50837717495</v>
      </c>
      <c r="M26" s="239">
        <v>19765.069987823645</v>
      </c>
      <c r="N26" s="239">
        <v>253319.21249999988</v>
      </c>
    </row>
    <row r="27" spans="1:14" s="226" customFormat="1" ht="12.75">
      <c r="A27" s="214">
        <v>2010</v>
      </c>
      <c r="B27" s="239">
        <v>25458.830985315442</v>
      </c>
      <c r="C27" s="239">
        <v>32219.341210606253</v>
      </c>
      <c r="D27" s="239">
        <v>34835.21532020658</v>
      </c>
      <c r="E27" s="239">
        <v>37713.0926476451</v>
      </c>
      <c r="F27" s="239">
        <v>36151.0017033168</v>
      </c>
      <c r="G27" s="239">
        <v>31380.756648864095</v>
      </c>
      <c r="H27" s="239">
        <v>31846.882371126816</v>
      </c>
      <c r="I27" s="239">
        <v>34386.77758744389</v>
      </c>
      <c r="J27" s="239">
        <v>30963.269416399005</v>
      </c>
      <c r="K27" s="239">
        <v>29792.783311578052</v>
      </c>
      <c r="L27" s="239">
        <v>25583.262565762423</v>
      </c>
      <c r="M27" s="239">
        <v>29647.60498173547</v>
      </c>
      <c r="N27" s="239">
        <v>379978.8187499999</v>
      </c>
    </row>
    <row r="28" spans="1:14" s="226" customFormat="1" ht="12.75">
      <c r="A28" s="214">
        <v>2011</v>
      </c>
      <c r="B28" s="239">
        <v>38188.24647797316</v>
      </c>
      <c r="C28" s="239">
        <v>48329.011815909376</v>
      </c>
      <c r="D28" s="239">
        <v>52252.822980309866</v>
      </c>
      <c r="E28" s="239">
        <v>56569.63897146765</v>
      </c>
      <c r="F28" s="239">
        <v>54226.50255497519</v>
      </c>
      <c r="G28" s="239">
        <v>47071.13497329614</v>
      </c>
      <c r="H28" s="239">
        <v>47770.32355669022</v>
      </c>
      <c r="I28" s="239">
        <v>51580.16638116582</v>
      </c>
      <c r="J28" s="239">
        <v>46444.904124598506</v>
      </c>
      <c r="K28" s="239">
        <v>44689.17496736707</v>
      </c>
      <c r="L28" s="239">
        <v>38374.89384864363</v>
      </c>
      <c r="M28" s="239">
        <v>44471.4074726032</v>
      </c>
      <c r="N28" s="239">
        <v>569968.2281249999</v>
      </c>
    </row>
    <row r="29" spans="1:14" s="226" customFormat="1" ht="12.75">
      <c r="A29" s="214">
        <v>2012</v>
      </c>
      <c r="B29" s="239">
        <v>57282.369716959736</v>
      </c>
      <c r="C29" s="239">
        <v>72493.51772386406</v>
      </c>
      <c r="D29" s="239">
        <v>78379.2344704648</v>
      </c>
      <c r="E29" s="239">
        <v>84854.45845720147</v>
      </c>
      <c r="F29" s="239">
        <v>81339.75383246278</v>
      </c>
      <c r="G29" s="239">
        <v>70606.70245994421</v>
      </c>
      <c r="H29" s="239">
        <v>71655.48533503534</v>
      </c>
      <c r="I29" s="239">
        <v>77370.24957174873</v>
      </c>
      <c r="J29" s="239">
        <v>69667.35618689776</v>
      </c>
      <c r="K29" s="239">
        <v>67033.76245105061</v>
      </c>
      <c r="L29" s="239">
        <v>57562.34077296545</v>
      </c>
      <c r="M29" s="239">
        <v>66707.1112089048</v>
      </c>
      <c r="N29" s="239">
        <v>854952.3421874997</v>
      </c>
    </row>
    <row r="30" spans="1:14" ht="12.75">
      <c r="A30" s="214" t="s">
        <v>166</v>
      </c>
      <c r="B30" s="240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15">
        <v>2227098.0765624996</v>
      </c>
    </row>
  </sheetData>
  <sheetProtection/>
  <mergeCells count="4">
    <mergeCell ref="A22:N22"/>
    <mergeCell ref="G6:J6"/>
    <mergeCell ref="G7:J7"/>
    <mergeCell ref="G8:J8"/>
  </mergeCells>
  <printOptions/>
  <pageMargins left="0.75" right="0.75" top="1" bottom="1" header="0" footer="0"/>
  <pageSetup fitToHeight="1" fitToWidth="1" horizontalDpi="600" verticalDpi="6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D19"/>
  <sheetViews>
    <sheetView zoomScalePageLayoutView="0" workbookViewId="0" topLeftCell="A1">
      <selection activeCell="C16" sqref="C16"/>
    </sheetView>
  </sheetViews>
  <sheetFormatPr defaultColWidth="11.421875" defaultRowHeight="12.75"/>
  <cols>
    <col min="1" max="1" width="16.28125" style="0" customWidth="1"/>
  </cols>
  <sheetData>
    <row r="3" spans="1:4" ht="12.75">
      <c r="A3" s="310" t="s">
        <v>0</v>
      </c>
      <c r="B3" s="310"/>
      <c r="C3" s="310"/>
      <c r="D3" s="310"/>
    </row>
    <row r="4" ht="13.5" thickBot="1"/>
    <row r="5" spans="1:4" ht="13.5" thickBot="1">
      <c r="A5" s="13" t="s">
        <v>20</v>
      </c>
      <c r="B5" s="14">
        <v>2004</v>
      </c>
      <c r="C5" s="15">
        <v>2005</v>
      </c>
      <c r="D5" s="16">
        <v>2006</v>
      </c>
    </row>
    <row r="6" spans="1:4" ht="25.5">
      <c r="A6" s="7" t="s">
        <v>1</v>
      </c>
      <c r="B6" s="12">
        <f>124804.96</f>
        <v>124804.96</v>
      </c>
      <c r="C6" s="9">
        <v>115801.75</v>
      </c>
      <c r="D6" s="4">
        <v>67551.9</v>
      </c>
    </row>
    <row r="7" spans="1:4" ht="12.75">
      <c r="A7" s="7" t="s">
        <v>2</v>
      </c>
      <c r="B7" s="4">
        <v>61288.52</v>
      </c>
      <c r="C7" s="10">
        <v>63209.45</v>
      </c>
      <c r="D7" s="4">
        <f>(2500*12)+(1800*4)</f>
        <v>37200</v>
      </c>
    </row>
    <row r="8" spans="1:4" ht="12.75">
      <c r="A8" s="7" t="s">
        <v>3</v>
      </c>
      <c r="B8" s="4">
        <f>B6-B7</f>
        <v>63516.44000000001</v>
      </c>
      <c r="C8" s="9">
        <f>C6-C7</f>
        <v>52592.3</v>
      </c>
      <c r="D8" s="4">
        <f>D6-D7</f>
        <v>30351.899999999994</v>
      </c>
    </row>
    <row r="9" spans="1:4" ht="25.5">
      <c r="A9" s="7" t="s">
        <v>4</v>
      </c>
      <c r="B9" s="4">
        <f>60858.46-B10</f>
        <v>58945.03</v>
      </c>
      <c r="C9" s="9">
        <v>51426.19</v>
      </c>
      <c r="D9" s="4">
        <f>C9*1.04</f>
        <v>53483.23760000001</v>
      </c>
    </row>
    <row r="10" spans="1:4" ht="12.75">
      <c r="A10" s="7" t="s">
        <v>5</v>
      </c>
      <c r="B10" s="4">
        <f>135+200+60+135+46+99+135+885+82.25+136.18</f>
        <v>1913.43</v>
      </c>
      <c r="C10" s="9">
        <v>1685.44</v>
      </c>
      <c r="D10" s="4">
        <v>1350.44</v>
      </c>
    </row>
    <row r="11" spans="1:4" ht="25.5" customHeight="1">
      <c r="A11" s="7" t="s">
        <v>6</v>
      </c>
      <c r="B11" s="4" t="e">
        <f>#REF!</f>
        <v>#REF!</v>
      </c>
      <c r="C11" s="9" t="e">
        <f>B11</f>
        <v>#REF!</v>
      </c>
      <c r="D11" s="6">
        <f>637.89*2</f>
        <v>1275.78</v>
      </c>
    </row>
    <row r="12" spans="1:4" ht="25.5" customHeight="1">
      <c r="A12" s="7" t="s">
        <v>7</v>
      </c>
      <c r="B12" s="4" t="e">
        <f>B8-B9-B10-B11</f>
        <v>#REF!</v>
      </c>
      <c r="C12" s="9" t="e">
        <f>C8-C9-C10-C11</f>
        <v>#REF!</v>
      </c>
      <c r="D12" s="4">
        <f>D8-D9-D10-D11</f>
        <v>-25757.55760000001</v>
      </c>
    </row>
    <row r="13" spans="1:4" ht="25.5" customHeight="1">
      <c r="A13" s="7" t="s">
        <v>8</v>
      </c>
      <c r="B13" s="4" t="e">
        <f>B12*15%</f>
        <v>#REF!</v>
      </c>
      <c r="C13" s="9">
        <v>0</v>
      </c>
      <c r="D13" s="4">
        <v>0</v>
      </c>
    </row>
    <row r="14" spans="1:4" ht="25.5" customHeight="1">
      <c r="A14" s="7" t="s">
        <v>9</v>
      </c>
      <c r="B14" s="4" t="e">
        <f>B12-B13</f>
        <v>#REF!</v>
      </c>
      <c r="C14" s="9" t="e">
        <f>C12-C13</f>
        <v>#REF!</v>
      </c>
      <c r="D14" s="4">
        <f>D12-D13</f>
        <v>-25757.55760000001</v>
      </c>
    </row>
    <row r="15" spans="1:4" ht="25.5" customHeight="1">
      <c r="A15" s="7" t="s">
        <v>10</v>
      </c>
      <c r="B15" s="4" t="e">
        <f>B14*25%</f>
        <v>#REF!</v>
      </c>
      <c r="C15" s="9">
        <v>0</v>
      </c>
      <c r="D15" s="4">
        <v>0</v>
      </c>
    </row>
    <row r="16" spans="1:4" ht="25.5" customHeight="1" thickBot="1">
      <c r="A16" s="8" t="s">
        <v>11</v>
      </c>
      <c r="B16" s="5" t="e">
        <f>B14-B15</f>
        <v>#REF!</v>
      </c>
      <c r="C16" s="11" t="e">
        <f>C14-C15</f>
        <v>#REF!</v>
      </c>
      <c r="D16" s="5">
        <f>D14-D15</f>
        <v>-25757.55760000001</v>
      </c>
    </row>
    <row r="19" ht="12.75">
      <c r="A19" s="37"/>
    </row>
  </sheetData>
  <sheetProtection/>
  <mergeCells count="1">
    <mergeCell ref="A3:D3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A1" sqref="A1:C42"/>
    </sheetView>
  </sheetViews>
  <sheetFormatPr defaultColWidth="11.421875" defaultRowHeight="12.75"/>
  <cols>
    <col min="1" max="1" width="55.28125" style="193" customWidth="1"/>
    <col min="2" max="2" width="9.57421875" style="193" bestFit="1" customWidth="1"/>
    <col min="3" max="16384" width="11.421875" style="193" customWidth="1"/>
  </cols>
  <sheetData>
    <row r="1" spans="1:3" ht="15.75">
      <c r="A1" s="280" t="s">
        <v>283</v>
      </c>
      <c r="B1" s="280"/>
      <c r="C1" s="280"/>
    </row>
    <row r="2" spans="1:3" ht="12.75">
      <c r="A2" s="279" t="s">
        <v>186</v>
      </c>
      <c r="B2" s="279"/>
      <c r="C2" s="279"/>
    </row>
    <row r="3" spans="1:3" ht="12.75">
      <c r="A3" s="194"/>
      <c r="B3" s="191" t="s">
        <v>187</v>
      </c>
      <c r="C3" s="191" t="s">
        <v>188</v>
      </c>
    </row>
    <row r="4" spans="1:3" ht="12.75">
      <c r="A4" s="194" t="s">
        <v>189</v>
      </c>
      <c r="B4" s="195">
        <v>1000</v>
      </c>
      <c r="C4" s="196">
        <v>1</v>
      </c>
    </row>
    <row r="5" spans="1:3" ht="12.75">
      <c r="A5" s="194" t="s">
        <v>190</v>
      </c>
      <c r="B5" s="195">
        <v>800</v>
      </c>
      <c r="C5" s="196">
        <v>1</v>
      </c>
    </row>
    <row r="6" spans="1:3" ht="12.75">
      <c r="A6" s="194" t="s">
        <v>191</v>
      </c>
      <c r="B6" s="195">
        <v>500</v>
      </c>
      <c r="C6" s="196">
        <v>1</v>
      </c>
    </row>
    <row r="7" spans="1:3" ht="12.75">
      <c r="A7" s="194" t="s">
        <v>192</v>
      </c>
      <c r="B7" s="195">
        <v>500</v>
      </c>
      <c r="C7" s="196">
        <v>1</v>
      </c>
    </row>
    <row r="8" spans="1:3" ht="12.75">
      <c r="A8" s="194" t="s">
        <v>193</v>
      </c>
      <c r="B8" s="195">
        <v>500</v>
      </c>
      <c r="C8" s="196">
        <v>1</v>
      </c>
    </row>
    <row r="9" spans="1:3" ht="12.75">
      <c r="A9" s="194" t="s">
        <v>194</v>
      </c>
      <c r="B9" s="195">
        <v>500</v>
      </c>
      <c r="C9" s="196">
        <v>1</v>
      </c>
    </row>
    <row r="10" spans="1:3" ht="12.75">
      <c r="A10" s="194" t="s">
        <v>195</v>
      </c>
      <c r="B10" s="195">
        <v>280</v>
      </c>
      <c r="C10" s="196">
        <v>1</v>
      </c>
    </row>
    <row r="11" spans="1:4" ht="12.75">
      <c r="A11" s="194" t="s">
        <v>196</v>
      </c>
      <c r="B11" s="195">
        <v>250</v>
      </c>
      <c r="C11" s="196">
        <v>1</v>
      </c>
      <c r="D11" s="197"/>
    </row>
    <row r="12" spans="1:3" ht="12.75">
      <c r="A12" s="194" t="s">
        <v>197</v>
      </c>
      <c r="B12" s="195">
        <v>360</v>
      </c>
      <c r="C12" s="196">
        <v>2</v>
      </c>
    </row>
    <row r="13" spans="1:3" ht="12.75">
      <c r="A13" s="194" t="s">
        <v>198</v>
      </c>
      <c r="B13" s="195">
        <v>300</v>
      </c>
      <c r="C13" s="196">
        <v>1</v>
      </c>
    </row>
    <row r="14" spans="1:3" ht="12.75">
      <c r="A14" s="194" t="s">
        <v>199</v>
      </c>
      <c r="B14" s="195">
        <v>160</v>
      </c>
      <c r="C14" s="196">
        <v>1</v>
      </c>
    </row>
    <row r="15" spans="1:3" ht="12.75">
      <c r="A15" s="194" t="s">
        <v>200</v>
      </c>
      <c r="B15" s="195">
        <v>600</v>
      </c>
      <c r="C15" s="196">
        <v>2</v>
      </c>
    </row>
    <row r="16" spans="1:3" ht="12.75">
      <c r="A16" s="194" t="s">
        <v>201</v>
      </c>
      <c r="B16" s="195">
        <v>180</v>
      </c>
      <c r="C16" s="196">
        <v>1</v>
      </c>
    </row>
    <row r="17" spans="1:2" ht="12.75">
      <c r="A17" s="198" t="s">
        <v>202</v>
      </c>
      <c r="B17" s="199">
        <v>5930</v>
      </c>
    </row>
    <row r="18" spans="1:2" ht="12.75">
      <c r="A18" s="190" t="s">
        <v>30</v>
      </c>
      <c r="B18" s="200"/>
    </row>
    <row r="19" ht="12.75">
      <c r="B19" s="201"/>
    </row>
    <row r="20" ht="12.75">
      <c r="B20" s="201"/>
    </row>
    <row r="21" spans="1:2" ht="12.75">
      <c r="A21" s="279" t="s">
        <v>203</v>
      </c>
      <c r="B21" s="279"/>
    </row>
    <row r="22" spans="1:2" ht="12.75">
      <c r="A22" s="194" t="s">
        <v>191</v>
      </c>
      <c r="B22" s="195">
        <v>500</v>
      </c>
    </row>
    <row r="23" spans="1:2" ht="12.75">
      <c r="A23" s="194" t="s">
        <v>199</v>
      </c>
      <c r="B23" s="195">
        <v>160</v>
      </c>
    </row>
    <row r="24" spans="1:2" ht="12.75">
      <c r="A24" s="194" t="s">
        <v>196</v>
      </c>
      <c r="B24" s="195">
        <v>250</v>
      </c>
    </row>
    <row r="25" spans="1:2" ht="12.75">
      <c r="A25" s="194" t="s">
        <v>204</v>
      </c>
      <c r="B25" s="202">
        <v>910</v>
      </c>
    </row>
    <row r="26" spans="1:2" ht="12.75">
      <c r="A26" s="203" t="s">
        <v>205</v>
      </c>
      <c r="B26" s="199">
        <v>10920</v>
      </c>
    </row>
    <row r="27" spans="1:2" ht="12.75">
      <c r="A27" s="190" t="s">
        <v>30</v>
      </c>
      <c r="B27" s="200"/>
    </row>
    <row r="28" ht="12.75">
      <c r="B28" s="201"/>
    </row>
    <row r="29" ht="12.75">
      <c r="B29" s="201"/>
    </row>
    <row r="30" spans="1:2" ht="12.75">
      <c r="A30" s="279" t="s">
        <v>206</v>
      </c>
      <c r="B30" s="279"/>
    </row>
    <row r="31" spans="1:2" ht="12.75">
      <c r="A31" s="194" t="s">
        <v>207</v>
      </c>
      <c r="B31" s="195">
        <v>5020</v>
      </c>
    </row>
    <row r="32" spans="1:2" ht="12.75">
      <c r="A32" s="194" t="s">
        <v>208</v>
      </c>
      <c r="B32" s="195">
        <v>3645.8</v>
      </c>
    </row>
    <row r="33" spans="1:2" ht="12.75">
      <c r="A33" s="194" t="s">
        <v>209</v>
      </c>
      <c r="B33" s="195">
        <v>1374.2</v>
      </c>
    </row>
    <row r="34" spans="1:2" ht="12.75">
      <c r="A34" s="204" t="s">
        <v>210</v>
      </c>
      <c r="B34" s="199">
        <v>16490.4</v>
      </c>
    </row>
    <row r="35" spans="1:2" ht="12.75">
      <c r="A35" s="190" t="s">
        <v>30</v>
      </c>
      <c r="B35" s="205"/>
    </row>
    <row r="38" spans="1:2" ht="12.75">
      <c r="A38" s="279" t="s">
        <v>211</v>
      </c>
      <c r="B38" s="279"/>
    </row>
    <row r="39" spans="1:2" ht="12.75">
      <c r="A39" s="194" t="s">
        <v>212</v>
      </c>
      <c r="B39" s="195">
        <v>10920</v>
      </c>
    </row>
    <row r="40" spans="1:2" ht="12.75">
      <c r="A40" s="194" t="s">
        <v>213</v>
      </c>
      <c r="B40" s="195">
        <v>16490.4</v>
      </c>
    </row>
    <row r="41" spans="1:2" ht="12.75">
      <c r="A41" s="204" t="s">
        <v>214</v>
      </c>
      <c r="B41" s="199">
        <v>27410.4</v>
      </c>
    </row>
    <row r="42" spans="1:2" ht="12.75">
      <c r="A42" s="190" t="s">
        <v>30</v>
      </c>
      <c r="B42" s="205"/>
    </row>
  </sheetData>
  <sheetProtection/>
  <mergeCells count="5">
    <mergeCell ref="A38:B38"/>
    <mergeCell ref="A1:C1"/>
    <mergeCell ref="A2:C2"/>
    <mergeCell ref="A21:B21"/>
    <mergeCell ref="A30:B30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A1" sqref="A1:E34"/>
    </sheetView>
  </sheetViews>
  <sheetFormatPr defaultColWidth="11.421875" defaultRowHeight="12.75"/>
  <cols>
    <col min="1" max="1" width="41.8515625" style="181" customWidth="1"/>
    <col min="2" max="2" width="21.28125" style="181" customWidth="1"/>
    <col min="3" max="3" width="12.421875" style="181" customWidth="1"/>
    <col min="4" max="4" width="19.140625" style="181" customWidth="1"/>
    <col min="5" max="5" width="11.57421875" style="181" customWidth="1"/>
    <col min="6" max="16384" width="11.421875" style="181" customWidth="1"/>
  </cols>
  <sheetData>
    <row r="1" spans="1:5" ht="15.75">
      <c r="A1" s="281" t="s">
        <v>282</v>
      </c>
      <c r="B1" s="281"/>
      <c r="C1" s="281"/>
      <c r="D1" s="281"/>
      <c r="E1" s="281"/>
    </row>
    <row r="2" spans="1:5" ht="12.75">
      <c r="A2" s="278" t="s">
        <v>215</v>
      </c>
      <c r="B2" s="278"/>
      <c r="C2" s="278"/>
      <c r="D2" s="278"/>
      <c r="E2" s="278"/>
    </row>
    <row r="4" spans="1:5" s="206" customFormat="1" ht="38.25">
      <c r="A4" s="182" t="s">
        <v>216</v>
      </c>
      <c r="B4" s="182" t="s">
        <v>217</v>
      </c>
      <c r="C4" s="182" t="s">
        <v>218</v>
      </c>
      <c r="D4" s="182" t="s">
        <v>219</v>
      </c>
      <c r="E4" s="182" t="s">
        <v>220</v>
      </c>
    </row>
    <row r="5" spans="1:5" ht="12.75">
      <c r="A5" s="184" t="s">
        <v>221</v>
      </c>
      <c r="B5" s="185">
        <v>270</v>
      </c>
      <c r="C5" s="207">
        <v>1</v>
      </c>
      <c r="D5" s="208">
        <v>300</v>
      </c>
      <c r="E5" s="209">
        <v>570</v>
      </c>
    </row>
    <row r="6" spans="1:5" ht="12.75">
      <c r="A6" s="184" t="s">
        <v>222</v>
      </c>
      <c r="B6" s="185">
        <v>270</v>
      </c>
      <c r="C6" s="207">
        <v>1</v>
      </c>
      <c r="D6" s="208">
        <v>300</v>
      </c>
      <c r="E6" s="209">
        <v>570</v>
      </c>
    </row>
    <row r="7" spans="1:5" ht="12.75">
      <c r="A7" s="243" t="s">
        <v>223</v>
      </c>
      <c r="B7" s="244">
        <v>270</v>
      </c>
      <c r="C7" s="245">
        <v>1</v>
      </c>
      <c r="D7" s="246">
        <v>300</v>
      </c>
      <c r="E7" s="209">
        <v>570</v>
      </c>
    </row>
    <row r="8" spans="1:5" ht="12.75">
      <c r="A8" s="274" t="s">
        <v>170</v>
      </c>
      <c r="B8" s="274"/>
      <c r="C8" s="274"/>
      <c r="D8" s="274"/>
      <c r="E8" s="242">
        <v>1710</v>
      </c>
    </row>
    <row r="9" ht="12.75">
      <c r="A9" s="241" t="s">
        <v>30</v>
      </c>
    </row>
    <row r="12" spans="1:4" ht="12.75">
      <c r="A12" s="278" t="s">
        <v>224</v>
      </c>
      <c r="B12" s="278"/>
      <c r="C12" s="278"/>
      <c r="D12" s="278"/>
    </row>
    <row r="13" spans="1:4" ht="12.75">
      <c r="A13" s="180"/>
      <c r="B13" s="180"/>
      <c r="C13" s="180"/>
      <c r="D13" s="180"/>
    </row>
    <row r="14" spans="1:4" ht="12.75">
      <c r="A14" s="191" t="s">
        <v>162</v>
      </c>
      <c r="B14" s="191" t="s">
        <v>163</v>
      </c>
      <c r="C14" s="191" t="s">
        <v>164</v>
      </c>
      <c r="D14" s="191" t="s">
        <v>166</v>
      </c>
    </row>
    <row r="15" spans="1:4" ht="12.75">
      <c r="A15" s="184" t="s">
        <v>225</v>
      </c>
      <c r="B15" s="185">
        <v>1</v>
      </c>
      <c r="C15" s="185">
        <v>1200</v>
      </c>
      <c r="D15" s="187">
        <v>1200</v>
      </c>
    </row>
    <row r="16" spans="1:4" ht="12.75">
      <c r="A16" s="184" t="s">
        <v>226</v>
      </c>
      <c r="B16" s="185">
        <v>2</v>
      </c>
      <c r="C16" s="185">
        <v>600</v>
      </c>
      <c r="D16" s="187">
        <v>1200</v>
      </c>
    </row>
    <row r="17" spans="1:4" ht="12.75">
      <c r="A17" s="184" t="s">
        <v>227</v>
      </c>
      <c r="B17" s="185">
        <v>12</v>
      </c>
      <c r="C17" s="185">
        <v>70</v>
      </c>
      <c r="D17" s="187">
        <v>840</v>
      </c>
    </row>
    <row r="18" spans="1:4" ht="12.75">
      <c r="A18" s="184" t="s">
        <v>228</v>
      </c>
      <c r="B18" s="185">
        <v>6</v>
      </c>
      <c r="C18" s="185">
        <v>50</v>
      </c>
      <c r="D18" s="187">
        <v>300</v>
      </c>
    </row>
    <row r="19" spans="1:4" ht="12.75">
      <c r="A19" s="274" t="s">
        <v>170</v>
      </c>
      <c r="B19" s="274"/>
      <c r="C19" s="274"/>
      <c r="D19" s="189">
        <v>3540</v>
      </c>
    </row>
    <row r="20" ht="12.75">
      <c r="A20" s="241" t="s">
        <v>30</v>
      </c>
    </row>
    <row r="23" spans="1:4" ht="12.75">
      <c r="A23" s="278" t="s">
        <v>229</v>
      </c>
      <c r="B23" s="278"/>
      <c r="C23" s="278"/>
      <c r="D23" s="278"/>
    </row>
    <row r="24" spans="1:4" ht="12.75">
      <c r="A24" s="180"/>
      <c r="B24" s="180"/>
      <c r="C24" s="180"/>
      <c r="D24" s="180"/>
    </row>
    <row r="25" spans="1:4" ht="12.75">
      <c r="A25" s="191" t="s">
        <v>162</v>
      </c>
      <c r="B25" s="191" t="s">
        <v>163</v>
      </c>
      <c r="C25" s="191" t="s">
        <v>164</v>
      </c>
      <c r="D25" s="191" t="s">
        <v>166</v>
      </c>
    </row>
    <row r="26" spans="1:4" ht="12.75">
      <c r="A26" s="184" t="s">
        <v>230</v>
      </c>
      <c r="B26" s="185">
        <v>3</v>
      </c>
      <c r="C26" s="185">
        <v>2500</v>
      </c>
      <c r="D26" s="187">
        <v>7500</v>
      </c>
    </row>
    <row r="27" spans="1:4" ht="12.75">
      <c r="A27" s="184" t="s">
        <v>231</v>
      </c>
      <c r="B27" s="185">
        <v>3</v>
      </c>
      <c r="C27" s="185">
        <v>850</v>
      </c>
      <c r="D27" s="187">
        <v>2550</v>
      </c>
    </row>
    <row r="28" spans="1:4" ht="12.75">
      <c r="A28" s="184" t="s">
        <v>232</v>
      </c>
      <c r="B28" s="185">
        <v>3</v>
      </c>
      <c r="C28" s="185">
        <v>63</v>
      </c>
      <c r="D28" s="187">
        <v>189</v>
      </c>
    </row>
    <row r="29" spans="1:4" ht="12.75">
      <c r="A29" s="184" t="s">
        <v>233</v>
      </c>
      <c r="B29" s="185">
        <v>6</v>
      </c>
      <c r="C29" s="185">
        <v>50</v>
      </c>
      <c r="D29" s="187">
        <v>300</v>
      </c>
    </row>
    <row r="30" spans="1:4" ht="12.75">
      <c r="A30" s="184" t="s">
        <v>234</v>
      </c>
      <c r="B30" s="185">
        <v>6</v>
      </c>
      <c r="C30" s="185">
        <v>320</v>
      </c>
      <c r="D30" s="187">
        <v>1920</v>
      </c>
    </row>
    <row r="31" spans="1:4" ht="12.75">
      <c r="A31" s="184" t="s">
        <v>235</v>
      </c>
      <c r="B31" s="185">
        <v>6</v>
      </c>
      <c r="C31" s="185">
        <v>253</v>
      </c>
      <c r="D31" s="187">
        <v>1518</v>
      </c>
    </row>
    <row r="32" spans="1:4" ht="12.75">
      <c r="A32" s="184" t="s">
        <v>236</v>
      </c>
      <c r="B32" s="185">
        <v>12</v>
      </c>
      <c r="C32" s="185">
        <v>150</v>
      </c>
      <c r="D32" s="187">
        <v>1800</v>
      </c>
    </row>
    <row r="33" spans="1:4" ht="12.75">
      <c r="A33" s="274" t="s">
        <v>170</v>
      </c>
      <c r="B33" s="274"/>
      <c r="C33" s="274"/>
      <c r="D33" s="189">
        <v>15777</v>
      </c>
    </row>
    <row r="34" ht="12.75">
      <c r="A34" s="241" t="s">
        <v>30</v>
      </c>
    </row>
  </sheetData>
  <sheetProtection/>
  <mergeCells count="7">
    <mergeCell ref="A1:E1"/>
    <mergeCell ref="A23:D23"/>
    <mergeCell ref="A33:C33"/>
    <mergeCell ref="A2:E2"/>
    <mergeCell ref="A8:D8"/>
    <mergeCell ref="A12:D12"/>
    <mergeCell ref="A19:C19"/>
  </mergeCells>
  <printOptions/>
  <pageMargins left="0.75" right="0.75" top="1" bottom="1" header="0" footer="0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1">
      <selection activeCell="A1" sqref="A1:E18"/>
    </sheetView>
  </sheetViews>
  <sheetFormatPr defaultColWidth="11.421875" defaultRowHeight="12.75"/>
  <cols>
    <col min="1" max="1" width="38.8515625" style="181" bestFit="1" customWidth="1"/>
    <col min="2" max="2" width="13.57421875" style="212" customWidth="1"/>
    <col min="3" max="3" width="52.28125" style="181" bestFit="1" customWidth="1"/>
    <col min="4" max="4" width="18.421875" style="181" customWidth="1"/>
    <col min="5" max="16384" width="11.421875" style="181" customWidth="1"/>
  </cols>
  <sheetData>
    <row r="1" spans="1:5" ht="15.75">
      <c r="A1" s="281" t="s">
        <v>282</v>
      </c>
      <c r="B1" s="281"/>
      <c r="C1" s="281"/>
      <c r="D1" s="281"/>
      <c r="E1" s="281"/>
    </row>
    <row r="2" spans="1:5" ht="12.75">
      <c r="A2" s="278" t="s">
        <v>237</v>
      </c>
      <c r="B2" s="278"/>
      <c r="C2" s="278"/>
      <c r="D2" s="278"/>
      <c r="E2" s="278"/>
    </row>
    <row r="3" spans="1:5" s="206" customFormat="1" ht="12.75">
      <c r="A3" s="181"/>
      <c r="B3" s="212"/>
      <c r="C3" s="181"/>
      <c r="D3" s="181"/>
      <c r="E3" s="181"/>
    </row>
    <row r="4" spans="1:5" ht="25.5">
      <c r="A4" s="182" t="s">
        <v>238</v>
      </c>
      <c r="B4" s="182" t="s">
        <v>239</v>
      </c>
      <c r="C4" s="182" t="s">
        <v>240</v>
      </c>
      <c r="D4" s="182" t="s">
        <v>241</v>
      </c>
      <c r="E4" s="182" t="s">
        <v>166</v>
      </c>
    </row>
    <row r="5" spans="1:5" ht="12.75">
      <c r="A5" s="184" t="s">
        <v>189</v>
      </c>
      <c r="B5" s="185">
        <v>1</v>
      </c>
      <c r="C5" s="184" t="s">
        <v>242</v>
      </c>
      <c r="D5" s="210">
        <v>110</v>
      </c>
      <c r="E5" s="210">
        <v>110</v>
      </c>
    </row>
    <row r="6" spans="1:5" ht="12.75">
      <c r="A6" s="184" t="s">
        <v>190</v>
      </c>
      <c r="B6" s="185">
        <v>1</v>
      </c>
      <c r="C6" s="184" t="s">
        <v>242</v>
      </c>
      <c r="D6" s="210">
        <v>110</v>
      </c>
      <c r="E6" s="210">
        <v>110</v>
      </c>
    </row>
    <row r="7" spans="1:5" ht="12.75">
      <c r="A7" s="184" t="s">
        <v>195</v>
      </c>
      <c r="B7" s="185">
        <v>1</v>
      </c>
      <c r="C7" s="184" t="s">
        <v>243</v>
      </c>
      <c r="D7" s="210">
        <v>30</v>
      </c>
      <c r="E7" s="210">
        <v>30</v>
      </c>
    </row>
    <row r="8" spans="1:5" ht="12.75">
      <c r="A8" s="184" t="s">
        <v>201</v>
      </c>
      <c r="B8" s="185">
        <v>1</v>
      </c>
      <c r="C8" s="184" t="s">
        <v>244</v>
      </c>
      <c r="D8" s="210">
        <v>30</v>
      </c>
      <c r="E8" s="210">
        <v>30</v>
      </c>
    </row>
    <row r="9" spans="1:5" ht="12.75">
      <c r="A9" s="184" t="s">
        <v>193</v>
      </c>
      <c r="B9" s="185">
        <v>1</v>
      </c>
      <c r="C9" s="184" t="s">
        <v>245</v>
      </c>
      <c r="D9" s="210">
        <v>30</v>
      </c>
      <c r="E9" s="210">
        <v>30</v>
      </c>
    </row>
    <row r="10" spans="1:5" ht="12.75">
      <c r="A10" s="184" t="s">
        <v>198</v>
      </c>
      <c r="B10" s="185">
        <v>1</v>
      </c>
      <c r="C10" s="184" t="s">
        <v>245</v>
      </c>
      <c r="D10" s="210">
        <v>30</v>
      </c>
      <c r="E10" s="210">
        <v>30</v>
      </c>
    </row>
    <row r="11" spans="1:5" ht="12.75">
      <c r="A11" s="184" t="s">
        <v>191</v>
      </c>
      <c r="B11" s="185">
        <v>1</v>
      </c>
      <c r="C11" s="184" t="s">
        <v>246</v>
      </c>
      <c r="D11" s="210">
        <v>100</v>
      </c>
      <c r="E11" s="210">
        <v>100</v>
      </c>
    </row>
    <row r="12" spans="1:5" ht="12.75">
      <c r="A12" s="184" t="s">
        <v>196</v>
      </c>
      <c r="B12" s="185">
        <v>1</v>
      </c>
      <c r="C12" s="184" t="s">
        <v>246</v>
      </c>
      <c r="D12" s="210">
        <v>100</v>
      </c>
      <c r="E12" s="210">
        <v>100</v>
      </c>
    </row>
    <row r="13" spans="1:5" ht="12.75">
      <c r="A13" s="184" t="s">
        <v>247</v>
      </c>
      <c r="B13" s="185">
        <v>1</v>
      </c>
      <c r="C13" s="184" t="s">
        <v>248</v>
      </c>
      <c r="D13" s="210">
        <v>400</v>
      </c>
      <c r="E13" s="210">
        <v>400</v>
      </c>
    </row>
    <row r="14" spans="1:5" ht="12.75">
      <c r="A14" s="184" t="s">
        <v>197</v>
      </c>
      <c r="B14" s="185">
        <v>2</v>
      </c>
      <c r="C14" s="184" t="s">
        <v>249</v>
      </c>
      <c r="D14" s="210">
        <v>500</v>
      </c>
      <c r="E14" s="210">
        <v>1000</v>
      </c>
    </row>
    <row r="15" spans="1:5" ht="12.75">
      <c r="A15" s="184" t="s">
        <v>200</v>
      </c>
      <c r="B15" s="185">
        <v>2</v>
      </c>
      <c r="C15" s="184" t="s">
        <v>250</v>
      </c>
      <c r="D15" s="210">
        <v>150</v>
      </c>
      <c r="E15" s="210">
        <v>300</v>
      </c>
    </row>
    <row r="16" spans="1:5" ht="12.75">
      <c r="A16" s="184" t="s">
        <v>251</v>
      </c>
      <c r="B16" s="185"/>
      <c r="C16" s="184" t="s">
        <v>252</v>
      </c>
      <c r="D16" s="210">
        <v>500</v>
      </c>
      <c r="E16" s="210">
        <v>500</v>
      </c>
    </row>
    <row r="17" spans="1:5" ht="12.75">
      <c r="A17" s="275" t="s">
        <v>170</v>
      </c>
      <c r="B17" s="276"/>
      <c r="C17" s="276"/>
      <c r="D17" s="277"/>
      <c r="E17" s="211">
        <v>2740</v>
      </c>
    </row>
    <row r="18" spans="1:5" ht="12.75">
      <c r="A18" s="190" t="s">
        <v>30</v>
      </c>
      <c r="D18" s="213"/>
      <c r="E18" s="213"/>
    </row>
  </sheetData>
  <sheetProtection/>
  <mergeCells count="3">
    <mergeCell ref="A2:E2"/>
    <mergeCell ref="A17:D17"/>
    <mergeCell ref="A1:E1"/>
  </mergeCells>
  <printOptions/>
  <pageMargins left="0.75" right="0.75" top="1" bottom="1" header="0" footer="0"/>
  <pageSetup fitToHeight="1" fitToWidth="1"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68"/>
  <sheetViews>
    <sheetView zoomScalePageLayoutView="0" workbookViewId="0" topLeftCell="A16">
      <selection activeCell="G27" sqref="G27:J39"/>
    </sheetView>
  </sheetViews>
  <sheetFormatPr defaultColWidth="11.421875" defaultRowHeight="12.75"/>
  <sheetData>
    <row r="3" spans="1:10" ht="15.75">
      <c r="A3" s="299" t="s">
        <v>281</v>
      </c>
      <c r="B3" s="299"/>
      <c r="C3" s="299"/>
      <c r="D3" s="299"/>
      <c r="E3" s="299"/>
      <c r="F3" s="299"/>
      <c r="G3" s="299"/>
      <c r="H3" s="299"/>
      <c r="I3" s="299"/>
      <c r="J3" s="299"/>
    </row>
    <row r="4" spans="1:10" ht="21" thickBot="1">
      <c r="A4" s="300" t="s">
        <v>146</v>
      </c>
      <c r="B4" s="300"/>
      <c r="C4" s="300"/>
      <c r="D4" s="300"/>
      <c r="E4" s="300"/>
      <c r="F4" s="300"/>
      <c r="G4" s="300"/>
      <c r="H4" s="300"/>
      <c r="I4" s="300"/>
      <c r="J4" s="300"/>
    </row>
    <row r="5" spans="1:10" ht="13.5" thickTop="1">
      <c r="A5" s="102"/>
      <c r="B5" s="164"/>
      <c r="C5" s="165"/>
      <c r="D5" s="165"/>
      <c r="E5" s="166"/>
      <c r="F5" s="166"/>
      <c r="G5" s="126"/>
      <c r="H5" s="126"/>
      <c r="I5" s="167"/>
      <c r="J5" s="102"/>
    </row>
    <row r="6" spans="1:10" ht="30" customHeight="1">
      <c r="A6" s="284" t="s">
        <v>90</v>
      </c>
      <c r="B6" s="284"/>
      <c r="C6" s="284"/>
      <c r="D6" s="284"/>
      <c r="E6" s="284"/>
      <c r="F6" s="284"/>
      <c r="G6" s="284"/>
      <c r="H6" s="284"/>
      <c r="I6" s="284"/>
      <c r="J6" s="284"/>
    </row>
    <row r="7" spans="1:10" ht="12.75">
      <c r="A7" s="168"/>
      <c r="B7" s="168"/>
      <c r="C7" s="168"/>
      <c r="D7" s="168"/>
      <c r="E7" s="168"/>
      <c r="F7" s="168"/>
      <c r="G7" s="102"/>
      <c r="H7" s="102"/>
      <c r="I7" s="102"/>
      <c r="J7" s="102"/>
    </row>
    <row r="8" spans="1:10" ht="12.75">
      <c r="A8" s="291" t="s">
        <v>65</v>
      </c>
      <c r="B8" s="291" t="s">
        <v>66</v>
      </c>
      <c r="C8" s="291"/>
      <c r="D8" s="291" t="s">
        <v>67</v>
      </c>
      <c r="E8" s="291" t="s">
        <v>68</v>
      </c>
      <c r="F8" s="168"/>
      <c r="G8" s="292" t="s">
        <v>147</v>
      </c>
      <c r="H8" s="293"/>
      <c r="I8" s="293"/>
      <c r="J8" s="294"/>
    </row>
    <row r="9" spans="1:10" ht="12.75" customHeight="1">
      <c r="A9" s="291"/>
      <c r="B9" s="256" t="s">
        <v>69</v>
      </c>
      <c r="C9" s="256" t="s">
        <v>70</v>
      </c>
      <c r="D9" s="291"/>
      <c r="E9" s="291"/>
      <c r="F9" s="168"/>
      <c r="G9" s="268" t="s">
        <v>148</v>
      </c>
      <c r="H9" s="269"/>
      <c r="I9" s="269"/>
      <c r="J9" s="270"/>
    </row>
    <row r="10" spans="1:10" ht="12.75">
      <c r="A10" s="99" t="s">
        <v>71</v>
      </c>
      <c r="B10" s="99">
        <v>32</v>
      </c>
      <c r="C10" s="99">
        <v>32</v>
      </c>
      <c r="D10" s="100">
        <v>210</v>
      </c>
      <c r="E10" s="100">
        <v>300</v>
      </c>
      <c r="F10" s="168"/>
      <c r="G10" s="271"/>
      <c r="H10" s="272"/>
      <c r="I10" s="272"/>
      <c r="J10" s="273"/>
    </row>
    <row r="11" spans="1:10" ht="12.75">
      <c r="A11" s="99" t="s">
        <v>72</v>
      </c>
      <c r="B11" s="99">
        <v>64</v>
      </c>
      <c r="C11" s="99">
        <v>64</v>
      </c>
      <c r="D11" s="100">
        <v>290</v>
      </c>
      <c r="E11" s="100">
        <v>300</v>
      </c>
      <c r="F11" s="168"/>
      <c r="G11" s="271"/>
      <c r="H11" s="272"/>
      <c r="I11" s="272"/>
      <c r="J11" s="273"/>
    </row>
    <row r="12" spans="1:10" ht="12.75">
      <c r="A12" s="99" t="s">
        <v>73</v>
      </c>
      <c r="B12" s="99">
        <v>128</v>
      </c>
      <c r="C12" s="99">
        <v>128</v>
      </c>
      <c r="D12" s="100">
        <v>500</v>
      </c>
      <c r="E12" s="100">
        <v>300</v>
      </c>
      <c r="F12" s="168"/>
      <c r="G12" s="271"/>
      <c r="H12" s="272"/>
      <c r="I12" s="272"/>
      <c r="J12" s="273"/>
    </row>
    <row r="13" spans="1:10" ht="12.75">
      <c r="A13" s="99" t="s">
        <v>74</v>
      </c>
      <c r="B13" s="99">
        <v>192</v>
      </c>
      <c r="C13" s="99">
        <v>192</v>
      </c>
      <c r="D13" s="100">
        <v>750</v>
      </c>
      <c r="E13" s="100">
        <v>300</v>
      </c>
      <c r="F13" s="168"/>
      <c r="G13" s="271"/>
      <c r="H13" s="272"/>
      <c r="I13" s="272"/>
      <c r="J13" s="273"/>
    </row>
    <row r="14" spans="1:10" ht="12.75">
      <c r="A14" s="99" t="s">
        <v>75</v>
      </c>
      <c r="B14" s="99">
        <v>256</v>
      </c>
      <c r="C14" s="99">
        <v>256</v>
      </c>
      <c r="D14" s="100">
        <v>900</v>
      </c>
      <c r="E14" s="100">
        <v>300</v>
      </c>
      <c r="F14" s="168"/>
      <c r="G14" s="263"/>
      <c r="H14" s="264"/>
      <c r="I14" s="264"/>
      <c r="J14" s="265"/>
    </row>
    <row r="15" spans="1:10" ht="12.75">
      <c r="A15" s="99" t="s">
        <v>76</v>
      </c>
      <c r="B15" s="99">
        <v>384</v>
      </c>
      <c r="C15" s="99">
        <v>384</v>
      </c>
      <c r="D15" s="100">
        <v>1500</v>
      </c>
      <c r="E15" s="100">
        <v>300</v>
      </c>
      <c r="F15" s="168"/>
      <c r="G15" s="260"/>
      <c r="H15" s="170"/>
      <c r="I15" s="170"/>
      <c r="J15" s="261"/>
    </row>
    <row r="16" spans="1:10" ht="12.75">
      <c r="A16" s="99" t="s">
        <v>77</v>
      </c>
      <c r="B16" s="99">
        <v>512</v>
      </c>
      <c r="C16" s="99">
        <v>512</v>
      </c>
      <c r="D16" s="100">
        <v>1750</v>
      </c>
      <c r="E16" s="100">
        <v>300</v>
      </c>
      <c r="F16" s="168"/>
      <c r="G16" s="292" t="s">
        <v>149</v>
      </c>
      <c r="H16" s="293"/>
      <c r="I16" s="293"/>
      <c r="J16" s="294"/>
    </row>
    <row r="17" spans="1:10" ht="12.75">
      <c r="A17" s="99" t="s">
        <v>78</v>
      </c>
      <c r="B17" s="99">
        <v>640</v>
      </c>
      <c r="C17" s="99">
        <v>640</v>
      </c>
      <c r="D17" s="100">
        <v>2500</v>
      </c>
      <c r="E17" s="100">
        <v>300</v>
      </c>
      <c r="F17" s="168"/>
      <c r="G17" s="285" t="s">
        <v>150</v>
      </c>
      <c r="H17" s="286"/>
      <c r="I17" s="286"/>
      <c r="J17" s="287"/>
    </row>
    <row r="18" spans="1:10" ht="12.75">
      <c r="A18" s="99" t="s">
        <v>79</v>
      </c>
      <c r="B18" s="99">
        <v>768</v>
      </c>
      <c r="C18" s="99">
        <v>768</v>
      </c>
      <c r="D18" s="100">
        <v>2800</v>
      </c>
      <c r="E18" s="100">
        <v>300</v>
      </c>
      <c r="F18" s="168"/>
      <c r="G18" s="285" t="s">
        <v>152</v>
      </c>
      <c r="H18" s="286"/>
      <c r="I18" s="286"/>
      <c r="J18" s="287"/>
    </row>
    <row r="19" spans="1:10" ht="22.5" customHeight="1">
      <c r="A19" s="99" t="s">
        <v>80</v>
      </c>
      <c r="B19" s="99">
        <v>1024</v>
      </c>
      <c r="C19" s="99">
        <v>1024</v>
      </c>
      <c r="D19" s="100">
        <v>3450</v>
      </c>
      <c r="E19" s="100">
        <v>300</v>
      </c>
      <c r="F19" s="168"/>
      <c r="G19" s="285"/>
      <c r="H19" s="286"/>
      <c r="I19" s="286"/>
      <c r="J19" s="287"/>
    </row>
    <row r="20" spans="1:10" ht="12.75" customHeight="1">
      <c r="A20" s="99" t="s">
        <v>81</v>
      </c>
      <c r="B20" s="99">
        <v>2048</v>
      </c>
      <c r="C20" s="99">
        <v>2048</v>
      </c>
      <c r="D20" s="100">
        <v>6000</v>
      </c>
      <c r="E20" s="100">
        <v>300</v>
      </c>
      <c r="F20" s="168"/>
      <c r="G20" s="285" t="s">
        <v>153</v>
      </c>
      <c r="H20" s="286"/>
      <c r="I20" s="286"/>
      <c r="J20" s="287"/>
    </row>
    <row r="21" spans="1:10" ht="12.75" customHeight="1">
      <c r="A21" s="168"/>
      <c r="B21" s="168"/>
      <c r="C21" s="168"/>
      <c r="D21" s="168"/>
      <c r="E21" s="168"/>
      <c r="F21" s="168"/>
      <c r="G21" s="302"/>
      <c r="H21" s="303"/>
      <c r="I21" s="303"/>
      <c r="J21" s="304"/>
    </row>
    <row r="22" spans="1:10" ht="12.75">
      <c r="A22" s="288" t="s">
        <v>151</v>
      </c>
      <c r="B22" s="288"/>
      <c r="C22" s="288"/>
      <c r="D22" s="288"/>
      <c r="E22" s="288"/>
      <c r="F22" s="288"/>
      <c r="G22" s="295"/>
      <c r="H22" s="286"/>
      <c r="I22" s="286"/>
      <c r="J22" s="296"/>
    </row>
    <row r="23" spans="1:10" ht="12.75">
      <c r="A23" s="102"/>
      <c r="B23" s="102"/>
      <c r="C23" s="102"/>
      <c r="D23" s="102"/>
      <c r="E23" s="174"/>
      <c r="F23" s="102"/>
      <c r="G23" s="102"/>
      <c r="H23" s="102"/>
      <c r="I23" s="102"/>
      <c r="J23" s="102"/>
    </row>
    <row r="24" spans="1:10" ht="30" customHeight="1">
      <c r="A24" s="284" t="s">
        <v>139</v>
      </c>
      <c r="B24" s="284"/>
      <c r="C24" s="284"/>
      <c r="D24" s="284"/>
      <c r="E24" s="284"/>
      <c r="F24" s="284"/>
      <c r="G24" s="284"/>
      <c r="H24" s="284"/>
      <c r="I24" s="284"/>
      <c r="J24" s="284"/>
    </row>
    <row r="25" spans="1:10" ht="15.75">
      <c r="A25" s="290" t="s">
        <v>154</v>
      </c>
      <c r="B25" s="290"/>
      <c r="C25" s="290"/>
      <c r="D25" s="290"/>
      <c r="E25" s="290"/>
      <c r="F25" s="290"/>
      <c r="G25" s="290"/>
      <c r="H25" s="290"/>
      <c r="I25" s="290"/>
      <c r="J25" s="102"/>
    </row>
    <row r="26" spans="1:10" ht="12.75">
      <c r="A26" s="175"/>
      <c r="B26" s="175"/>
      <c r="C26" s="175"/>
      <c r="D26" s="175"/>
      <c r="E26" s="175"/>
      <c r="F26" s="175"/>
      <c r="G26" s="176"/>
      <c r="H26" s="102"/>
      <c r="I26" s="102"/>
      <c r="J26" s="102"/>
    </row>
    <row r="27" spans="1:10" ht="12.75">
      <c r="A27" s="291" t="s">
        <v>65</v>
      </c>
      <c r="B27" s="291" t="s">
        <v>66</v>
      </c>
      <c r="C27" s="291"/>
      <c r="D27" s="291" t="s">
        <v>67</v>
      </c>
      <c r="E27" s="291" t="s">
        <v>68</v>
      </c>
      <c r="F27" s="175"/>
      <c r="G27" s="297" t="s">
        <v>147</v>
      </c>
      <c r="H27" s="297"/>
      <c r="I27" s="297"/>
      <c r="J27" s="297"/>
    </row>
    <row r="28" spans="1:10" ht="12.75" customHeight="1">
      <c r="A28" s="291"/>
      <c r="B28" s="256" t="s">
        <v>69</v>
      </c>
      <c r="C28" s="256" t="s">
        <v>70</v>
      </c>
      <c r="D28" s="291"/>
      <c r="E28" s="291"/>
      <c r="F28" s="175"/>
      <c r="G28" s="305" t="s">
        <v>155</v>
      </c>
      <c r="H28" s="305"/>
      <c r="I28" s="305"/>
      <c r="J28" s="305"/>
    </row>
    <row r="29" spans="1:10" ht="12.75">
      <c r="A29" s="129" t="s">
        <v>104</v>
      </c>
      <c r="B29" s="99">
        <v>32</v>
      </c>
      <c r="C29" s="99">
        <v>32</v>
      </c>
      <c r="D29" s="100">
        <v>110</v>
      </c>
      <c r="E29" s="100">
        <v>300</v>
      </c>
      <c r="F29" s="175"/>
      <c r="G29" s="305"/>
      <c r="H29" s="305"/>
      <c r="I29" s="305"/>
      <c r="J29" s="305"/>
    </row>
    <row r="30" spans="1:10" ht="12.75">
      <c r="A30" s="99" t="s">
        <v>105</v>
      </c>
      <c r="B30" s="99">
        <v>64</v>
      </c>
      <c r="C30" s="99">
        <v>64</v>
      </c>
      <c r="D30" s="100">
        <v>150</v>
      </c>
      <c r="E30" s="100">
        <v>300</v>
      </c>
      <c r="F30" s="175"/>
      <c r="G30" s="305"/>
      <c r="H30" s="305"/>
      <c r="I30" s="305"/>
      <c r="J30" s="305"/>
    </row>
    <row r="31" spans="1:10" ht="12.75">
      <c r="A31" s="99" t="s">
        <v>106</v>
      </c>
      <c r="B31" s="99">
        <v>128</v>
      </c>
      <c r="C31" s="99">
        <v>128</v>
      </c>
      <c r="D31" s="100">
        <v>260</v>
      </c>
      <c r="E31" s="100">
        <v>300</v>
      </c>
      <c r="F31" s="175"/>
      <c r="G31" s="305"/>
      <c r="H31" s="305"/>
      <c r="I31" s="305"/>
      <c r="J31" s="305"/>
    </row>
    <row r="32" spans="1:10" ht="12.75">
      <c r="A32" s="99" t="s">
        <v>107</v>
      </c>
      <c r="B32" s="99">
        <v>192</v>
      </c>
      <c r="C32" s="99">
        <v>192</v>
      </c>
      <c r="D32" s="100">
        <v>390</v>
      </c>
      <c r="E32" s="100">
        <v>300</v>
      </c>
      <c r="F32" s="175"/>
      <c r="G32" s="305"/>
      <c r="H32" s="305"/>
      <c r="I32" s="305"/>
      <c r="J32" s="305"/>
    </row>
    <row r="33" spans="1:10" ht="12.75">
      <c r="A33" s="99" t="s">
        <v>108</v>
      </c>
      <c r="B33" s="99">
        <v>256</v>
      </c>
      <c r="C33" s="99">
        <v>256</v>
      </c>
      <c r="D33" s="100">
        <v>470</v>
      </c>
      <c r="E33" s="100">
        <v>300</v>
      </c>
      <c r="F33" s="175"/>
      <c r="G33" s="260"/>
      <c r="H33" s="170"/>
      <c r="I33" s="170"/>
      <c r="J33" s="261"/>
    </row>
    <row r="34" spans="1:10" ht="12.75">
      <c r="A34" s="99" t="s">
        <v>109</v>
      </c>
      <c r="B34" s="99">
        <v>384</v>
      </c>
      <c r="C34" s="99">
        <v>384</v>
      </c>
      <c r="D34" s="100">
        <v>785</v>
      </c>
      <c r="E34" s="100">
        <v>300</v>
      </c>
      <c r="F34" s="175"/>
      <c r="G34" s="292" t="s">
        <v>149</v>
      </c>
      <c r="H34" s="293"/>
      <c r="I34" s="293"/>
      <c r="J34" s="294"/>
    </row>
    <row r="35" spans="1:10" ht="12.75">
      <c r="A35" s="99" t="s">
        <v>110</v>
      </c>
      <c r="B35" s="99">
        <v>512</v>
      </c>
      <c r="C35" s="99">
        <v>512</v>
      </c>
      <c r="D35" s="100">
        <v>915</v>
      </c>
      <c r="E35" s="100">
        <v>300</v>
      </c>
      <c r="F35" s="175"/>
      <c r="G35" s="285" t="s">
        <v>150</v>
      </c>
      <c r="H35" s="286"/>
      <c r="I35" s="286"/>
      <c r="J35" s="287"/>
    </row>
    <row r="36" spans="1:10" ht="12.75">
      <c r="A36" s="99" t="s">
        <v>111</v>
      </c>
      <c r="B36" s="99">
        <v>640</v>
      </c>
      <c r="C36" s="99">
        <v>640</v>
      </c>
      <c r="D36" s="100">
        <v>1310</v>
      </c>
      <c r="E36" s="100">
        <v>300</v>
      </c>
      <c r="F36" s="175"/>
      <c r="G36" s="285" t="s">
        <v>152</v>
      </c>
      <c r="H36" s="286"/>
      <c r="I36" s="286"/>
      <c r="J36" s="287"/>
    </row>
    <row r="37" spans="1:10" ht="12.75">
      <c r="A37" s="99" t="s">
        <v>112</v>
      </c>
      <c r="B37" s="99">
        <v>768</v>
      </c>
      <c r="C37" s="99">
        <v>768</v>
      </c>
      <c r="D37" s="100">
        <v>1470</v>
      </c>
      <c r="E37" s="100">
        <v>300</v>
      </c>
      <c r="F37" s="175"/>
      <c r="G37" s="285"/>
      <c r="H37" s="286"/>
      <c r="I37" s="286"/>
      <c r="J37" s="287"/>
    </row>
    <row r="38" spans="1:10" ht="12.75">
      <c r="A38" s="99" t="s">
        <v>113</v>
      </c>
      <c r="B38" s="99">
        <v>1024</v>
      </c>
      <c r="C38" s="99">
        <v>1024</v>
      </c>
      <c r="D38" s="100">
        <v>1810</v>
      </c>
      <c r="E38" s="100">
        <v>300</v>
      </c>
      <c r="F38" s="175"/>
      <c r="G38" s="285" t="s">
        <v>153</v>
      </c>
      <c r="H38" s="286"/>
      <c r="I38" s="286"/>
      <c r="J38" s="287"/>
    </row>
    <row r="39" spans="1:10" ht="12.75" customHeight="1">
      <c r="A39" s="99" t="s">
        <v>114</v>
      </c>
      <c r="B39" s="99">
        <v>2048</v>
      </c>
      <c r="C39" s="99">
        <v>2048</v>
      </c>
      <c r="D39" s="100">
        <v>3150</v>
      </c>
      <c r="E39" s="100">
        <v>300</v>
      </c>
      <c r="F39" s="175"/>
      <c r="G39" s="302"/>
      <c r="H39" s="303"/>
      <c r="I39" s="303"/>
      <c r="J39" s="304"/>
    </row>
    <row r="40" spans="1:6" ht="12.75">
      <c r="A40" s="298"/>
      <c r="B40" s="298"/>
      <c r="C40" s="298"/>
      <c r="D40" s="175"/>
      <c r="E40" s="175"/>
      <c r="F40" s="175"/>
    </row>
    <row r="41" spans="1:10" ht="12.75">
      <c r="A41" s="102"/>
      <c r="B41" s="102"/>
      <c r="C41" s="102"/>
      <c r="D41" s="102"/>
      <c r="E41" s="174"/>
      <c r="F41" s="102"/>
      <c r="G41" s="173"/>
      <c r="H41" s="173"/>
      <c r="I41" s="173"/>
      <c r="J41" s="102"/>
    </row>
    <row r="42" spans="1:10" ht="30">
      <c r="A42" s="284" t="s">
        <v>141</v>
      </c>
      <c r="B42" s="284"/>
      <c r="C42" s="284"/>
      <c r="D42" s="284"/>
      <c r="E42" s="284"/>
      <c r="F42" s="284"/>
      <c r="G42" s="284"/>
      <c r="H42" s="284"/>
      <c r="I42" s="284"/>
      <c r="J42" s="284"/>
    </row>
    <row r="43" spans="1:10" ht="15.75">
      <c r="A43" s="290" t="s">
        <v>156</v>
      </c>
      <c r="B43" s="290"/>
      <c r="C43" s="290"/>
      <c r="D43" s="290"/>
      <c r="E43" s="290"/>
      <c r="F43" s="290"/>
      <c r="G43" s="290"/>
      <c r="H43" s="290"/>
      <c r="I43" s="290"/>
      <c r="J43" s="102"/>
    </row>
    <row r="44" spans="1:10" ht="12.75">
      <c r="A44" s="175"/>
      <c r="B44" s="175"/>
      <c r="C44" s="175"/>
      <c r="D44" s="175"/>
      <c r="E44" s="175"/>
      <c r="F44" s="175"/>
      <c r="G44" s="176"/>
      <c r="H44" s="102"/>
      <c r="I44" s="102"/>
      <c r="J44" s="102"/>
    </row>
    <row r="45" spans="1:10" ht="12.75">
      <c r="A45" s="291" t="s">
        <v>65</v>
      </c>
      <c r="B45" s="291" t="s">
        <v>66</v>
      </c>
      <c r="C45" s="291"/>
      <c r="D45" s="291" t="s">
        <v>67</v>
      </c>
      <c r="E45" s="291" t="s">
        <v>68</v>
      </c>
      <c r="F45" s="175"/>
      <c r="G45" s="292" t="s">
        <v>147</v>
      </c>
      <c r="H45" s="293"/>
      <c r="I45" s="293"/>
      <c r="J45" s="294"/>
    </row>
    <row r="46" spans="1:10" ht="12.75" customHeight="1">
      <c r="A46" s="291"/>
      <c r="B46" s="256" t="s">
        <v>69</v>
      </c>
      <c r="C46" s="256" t="s">
        <v>70</v>
      </c>
      <c r="D46" s="291"/>
      <c r="E46" s="291"/>
      <c r="F46" s="175"/>
      <c r="G46" s="268" t="s">
        <v>157</v>
      </c>
      <c r="H46" s="269"/>
      <c r="I46" s="269"/>
      <c r="J46" s="270"/>
    </row>
    <row r="47" spans="1:10" ht="12.75">
      <c r="A47" s="99" t="s">
        <v>116</v>
      </c>
      <c r="B47" s="99">
        <v>32</v>
      </c>
      <c r="C47" s="99">
        <v>32</v>
      </c>
      <c r="D47" s="100">
        <v>60</v>
      </c>
      <c r="E47" s="100">
        <v>300</v>
      </c>
      <c r="F47" s="175"/>
      <c r="G47" s="271"/>
      <c r="H47" s="272"/>
      <c r="I47" s="272"/>
      <c r="J47" s="273"/>
    </row>
    <row r="48" spans="1:10" ht="12.75">
      <c r="A48" s="99" t="s">
        <v>117</v>
      </c>
      <c r="B48" s="99">
        <v>64</v>
      </c>
      <c r="C48" s="99">
        <v>64</v>
      </c>
      <c r="D48" s="100">
        <v>80</v>
      </c>
      <c r="E48" s="100">
        <v>300</v>
      </c>
      <c r="F48" s="175"/>
      <c r="G48" s="271"/>
      <c r="H48" s="272"/>
      <c r="I48" s="272"/>
      <c r="J48" s="273"/>
    </row>
    <row r="49" spans="1:10" ht="12.75">
      <c r="A49" s="99" t="s">
        <v>118</v>
      </c>
      <c r="B49" s="99">
        <v>128</v>
      </c>
      <c r="C49" s="99">
        <v>128</v>
      </c>
      <c r="D49" s="100">
        <v>135</v>
      </c>
      <c r="E49" s="100">
        <v>300</v>
      </c>
      <c r="F49" s="169"/>
      <c r="G49" s="271"/>
      <c r="H49" s="272"/>
      <c r="I49" s="272"/>
      <c r="J49" s="273"/>
    </row>
    <row r="50" spans="1:10" ht="12.75">
      <c r="A50" s="99" t="s">
        <v>119</v>
      </c>
      <c r="B50" s="99">
        <v>192</v>
      </c>
      <c r="C50" s="99">
        <v>192</v>
      </c>
      <c r="D50" s="100">
        <v>200</v>
      </c>
      <c r="E50" s="100">
        <v>300</v>
      </c>
      <c r="F50" s="169"/>
      <c r="G50" s="271"/>
      <c r="H50" s="272"/>
      <c r="I50" s="272"/>
      <c r="J50" s="273"/>
    </row>
    <row r="51" spans="1:10" ht="12.75">
      <c r="A51" s="99" t="s">
        <v>120</v>
      </c>
      <c r="B51" s="99">
        <v>256</v>
      </c>
      <c r="C51" s="99">
        <v>256</v>
      </c>
      <c r="D51" s="100">
        <v>240</v>
      </c>
      <c r="E51" s="100">
        <v>300</v>
      </c>
      <c r="F51" s="169"/>
      <c r="G51" s="263"/>
      <c r="H51" s="264"/>
      <c r="I51" s="264"/>
      <c r="J51" s="265"/>
    </row>
    <row r="52" spans="1:10" ht="12.75">
      <c r="A52" s="99" t="s">
        <v>121</v>
      </c>
      <c r="B52" s="99">
        <v>384</v>
      </c>
      <c r="C52" s="99">
        <v>384</v>
      </c>
      <c r="D52" s="100">
        <v>395</v>
      </c>
      <c r="E52" s="100">
        <v>300</v>
      </c>
      <c r="F52" s="169"/>
      <c r="G52" s="260"/>
      <c r="H52" s="170"/>
      <c r="I52" s="170"/>
      <c r="J52" s="261"/>
    </row>
    <row r="53" spans="1:10" ht="12.75">
      <c r="A53" s="99" t="s">
        <v>122</v>
      </c>
      <c r="B53" s="99">
        <v>512</v>
      </c>
      <c r="C53" s="99">
        <v>512</v>
      </c>
      <c r="D53" s="100">
        <v>460</v>
      </c>
      <c r="E53" s="100">
        <v>300</v>
      </c>
      <c r="F53" s="169"/>
      <c r="G53" s="292" t="s">
        <v>149</v>
      </c>
      <c r="H53" s="293"/>
      <c r="I53" s="293"/>
      <c r="J53" s="294"/>
    </row>
    <row r="54" spans="1:10" ht="12.75">
      <c r="A54" s="99" t="s">
        <v>123</v>
      </c>
      <c r="B54" s="99">
        <v>640</v>
      </c>
      <c r="C54" s="99">
        <v>640</v>
      </c>
      <c r="D54" s="100">
        <v>660</v>
      </c>
      <c r="E54" s="100">
        <v>300</v>
      </c>
      <c r="F54" s="169"/>
      <c r="G54" s="266" t="s">
        <v>158</v>
      </c>
      <c r="H54" s="267"/>
      <c r="I54" s="267"/>
      <c r="J54" s="301"/>
    </row>
    <row r="55" spans="1:10" ht="12.75">
      <c r="A55" s="99" t="s">
        <v>124</v>
      </c>
      <c r="B55" s="99">
        <v>768</v>
      </c>
      <c r="C55" s="99">
        <v>768</v>
      </c>
      <c r="D55" s="100">
        <v>750</v>
      </c>
      <c r="E55" s="100">
        <v>300</v>
      </c>
      <c r="F55" s="169"/>
      <c r="G55" s="285" t="s">
        <v>159</v>
      </c>
      <c r="H55" s="286"/>
      <c r="I55" s="286"/>
      <c r="J55" s="287"/>
    </row>
    <row r="56" spans="1:10" ht="12.75" customHeight="1">
      <c r="A56" s="99" t="s">
        <v>125</v>
      </c>
      <c r="B56" s="99">
        <v>1024</v>
      </c>
      <c r="C56" s="99">
        <v>1024</v>
      </c>
      <c r="D56" s="100">
        <v>865</v>
      </c>
      <c r="E56" s="100">
        <v>300</v>
      </c>
      <c r="F56" s="169"/>
      <c r="G56" s="285" t="s">
        <v>153</v>
      </c>
      <c r="H56" s="286"/>
      <c r="I56" s="286"/>
      <c r="J56" s="287"/>
    </row>
    <row r="57" spans="1:10" ht="12.75" customHeight="1">
      <c r="A57" s="99" t="s">
        <v>126</v>
      </c>
      <c r="B57" s="99">
        <v>2048</v>
      </c>
      <c r="C57" s="99">
        <v>2048</v>
      </c>
      <c r="D57" s="100">
        <v>1590</v>
      </c>
      <c r="E57" s="100">
        <v>300</v>
      </c>
      <c r="F57" s="169"/>
      <c r="G57" s="302"/>
      <c r="H57" s="303"/>
      <c r="I57" s="303"/>
      <c r="J57" s="304"/>
    </row>
    <row r="58" spans="1:6" ht="78.75" customHeight="1">
      <c r="A58" s="178"/>
      <c r="B58" s="178"/>
      <c r="C58" s="178"/>
      <c r="D58" s="178"/>
      <c r="E58" s="169"/>
      <c r="F58" s="169"/>
    </row>
    <row r="59" spans="1:10" ht="12.75" customHeight="1">
      <c r="A59" s="288"/>
      <c r="B59" s="288"/>
      <c r="C59" s="288"/>
      <c r="D59" s="288"/>
      <c r="E59" s="288"/>
      <c r="F59" s="288"/>
      <c r="G59" s="257"/>
      <c r="H59" s="258"/>
      <c r="I59" s="258"/>
      <c r="J59" s="259"/>
    </row>
    <row r="60" spans="1:6" ht="12.75">
      <c r="A60" s="289"/>
      <c r="B60" s="289"/>
      <c r="C60" s="289"/>
      <c r="D60" s="289"/>
      <c r="E60" s="289"/>
      <c r="F60" s="289"/>
    </row>
    <row r="61" spans="1:10" ht="12.75">
      <c r="A61" s="289"/>
      <c r="B61" s="289"/>
      <c r="C61" s="289"/>
      <c r="D61" s="289"/>
      <c r="E61" s="289"/>
      <c r="F61" s="289"/>
      <c r="G61" s="102"/>
      <c r="H61" s="102"/>
      <c r="I61" s="102"/>
      <c r="J61" s="102"/>
    </row>
    <row r="62" spans="1:10" ht="12.75">
      <c r="A62" s="282"/>
      <c r="B62" s="282"/>
      <c r="C62" s="282"/>
      <c r="D62" s="282"/>
      <c r="E62" s="282"/>
      <c r="F62" s="282"/>
      <c r="G62" s="102"/>
      <c r="H62" s="102"/>
      <c r="I62" s="102"/>
      <c r="J62" s="102"/>
    </row>
    <row r="63" spans="1:10" ht="12.75">
      <c r="A63" s="282"/>
      <c r="B63" s="282"/>
      <c r="C63" s="282"/>
      <c r="D63" s="282"/>
      <c r="E63" s="282"/>
      <c r="F63" s="282"/>
      <c r="G63" s="102"/>
      <c r="H63" s="102"/>
      <c r="I63" s="102"/>
      <c r="J63" s="102"/>
    </row>
    <row r="64" spans="1:10" ht="12.75">
      <c r="A64" s="283"/>
      <c r="B64" s="283"/>
      <c r="C64" s="283"/>
      <c r="D64" s="283"/>
      <c r="E64" s="283"/>
      <c r="F64" s="283"/>
      <c r="G64" s="283"/>
      <c r="H64" s="283"/>
      <c r="I64" s="283"/>
      <c r="J64" s="102"/>
    </row>
    <row r="65" spans="1:10" ht="12.75">
      <c r="A65" s="172"/>
      <c r="B65" s="172"/>
      <c r="C65" s="172"/>
      <c r="D65" s="172"/>
      <c r="E65" s="172"/>
      <c r="F65" s="172"/>
      <c r="G65" s="171"/>
      <c r="H65" s="171"/>
      <c r="I65" s="171"/>
      <c r="J65" s="102"/>
    </row>
    <row r="66" spans="1:10" ht="12.75">
      <c r="A66" s="134"/>
      <c r="B66" s="177"/>
      <c r="C66" s="177"/>
      <c r="D66" s="177"/>
      <c r="E66" s="177"/>
      <c r="F66" s="177"/>
      <c r="G66" s="171"/>
      <c r="H66" s="171"/>
      <c r="I66" s="171"/>
      <c r="J66" s="102"/>
    </row>
    <row r="67" spans="1:10" ht="12.75">
      <c r="A67" s="102"/>
      <c r="B67" s="177"/>
      <c r="C67" s="177"/>
      <c r="D67" s="177"/>
      <c r="E67" s="177"/>
      <c r="F67" s="177"/>
      <c r="G67" s="171"/>
      <c r="H67" s="171"/>
      <c r="I67" s="171"/>
      <c r="J67" s="102"/>
    </row>
    <row r="68" spans="1:10" ht="12.75">
      <c r="A68" s="179"/>
      <c r="B68" s="177"/>
      <c r="C68" s="177"/>
      <c r="D68" s="177"/>
      <c r="E68" s="177"/>
      <c r="F68" s="177"/>
      <c r="G68" s="171"/>
      <c r="H68" s="171"/>
      <c r="I68" s="171"/>
      <c r="J68" s="102"/>
    </row>
  </sheetData>
  <sheetProtection/>
  <mergeCells count="44">
    <mergeCell ref="G17:J17"/>
    <mergeCell ref="G18:J19"/>
    <mergeCell ref="G20:J21"/>
    <mergeCell ref="G46:J51"/>
    <mergeCell ref="G54:J54"/>
    <mergeCell ref="G53:J53"/>
    <mergeCell ref="G56:J57"/>
    <mergeCell ref="G28:J32"/>
    <mergeCell ref="G34:J34"/>
    <mergeCell ref="G35:J35"/>
    <mergeCell ref="G36:J37"/>
    <mergeCell ref="G38:J39"/>
    <mergeCell ref="A40:C40"/>
    <mergeCell ref="A3:J3"/>
    <mergeCell ref="A4:J4"/>
    <mergeCell ref="A8:A9"/>
    <mergeCell ref="B8:C8"/>
    <mergeCell ref="D8:D9"/>
    <mergeCell ref="E8:E9"/>
    <mergeCell ref="G8:J8"/>
    <mergeCell ref="G9:J14"/>
    <mergeCell ref="G16:J16"/>
    <mergeCell ref="A22:F22"/>
    <mergeCell ref="G22:J22"/>
    <mergeCell ref="A25:I25"/>
    <mergeCell ref="A27:A28"/>
    <mergeCell ref="B27:C27"/>
    <mergeCell ref="D27:D28"/>
    <mergeCell ref="E27:E28"/>
    <mergeCell ref="G27:J27"/>
    <mergeCell ref="B45:C45"/>
    <mergeCell ref="D45:D46"/>
    <mergeCell ref="E45:E46"/>
    <mergeCell ref="G45:J45"/>
    <mergeCell ref="A62:F63"/>
    <mergeCell ref="A64:I64"/>
    <mergeCell ref="A6:J6"/>
    <mergeCell ref="A24:J24"/>
    <mergeCell ref="A42:J42"/>
    <mergeCell ref="G55:J55"/>
    <mergeCell ref="A59:F59"/>
    <mergeCell ref="A60:F61"/>
    <mergeCell ref="A43:I43"/>
    <mergeCell ref="A45:A46"/>
  </mergeCells>
  <printOptions/>
  <pageMargins left="1.5748031496062993" right="1.0236220472440944" top="1.5748031496062993" bottom="0.984251968503937" header="0" footer="0"/>
  <pageSetup fitToHeight="1" fitToWidth="1" horizontalDpi="600" verticalDpi="600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67"/>
  <sheetViews>
    <sheetView zoomScalePageLayoutView="0" workbookViewId="0" topLeftCell="A1">
      <selection activeCell="A3" sqref="A3:J60"/>
    </sheetView>
  </sheetViews>
  <sheetFormatPr defaultColWidth="11.421875" defaultRowHeight="12.75"/>
  <cols>
    <col min="1" max="1" width="7.00390625" style="0" bestFit="1" customWidth="1"/>
    <col min="2" max="3" width="7.8515625" style="0" customWidth="1"/>
    <col min="4" max="4" width="10.28125" style="0" customWidth="1"/>
    <col min="5" max="5" width="10.140625" style="0" customWidth="1"/>
    <col min="6" max="6" width="3.28125" style="0" customWidth="1"/>
  </cols>
  <sheetData>
    <row r="3" spans="1:10" ht="15.75">
      <c r="A3" s="299" t="s">
        <v>281</v>
      </c>
      <c r="B3" s="299"/>
      <c r="C3" s="299"/>
      <c r="D3" s="299"/>
      <c r="E3" s="299"/>
      <c r="F3" s="299"/>
      <c r="G3" s="299"/>
      <c r="H3" s="299"/>
      <c r="I3" s="299"/>
      <c r="J3" s="299"/>
    </row>
    <row r="4" spans="1:10" ht="21" thickBot="1">
      <c r="A4" s="300" t="s">
        <v>160</v>
      </c>
      <c r="B4" s="300"/>
      <c r="C4" s="300"/>
      <c r="D4" s="300"/>
      <c r="E4" s="300"/>
      <c r="F4" s="300"/>
      <c r="G4" s="300"/>
      <c r="H4" s="300"/>
      <c r="I4" s="300"/>
      <c r="J4" s="300"/>
    </row>
    <row r="5" spans="1:10" ht="8.25" customHeight="1" thickTop="1">
      <c r="A5" s="102"/>
      <c r="B5" s="164"/>
      <c r="C5" s="165"/>
      <c r="D5" s="165"/>
      <c r="E5" s="166"/>
      <c r="F5" s="166"/>
      <c r="G5" s="126"/>
      <c r="H5" s="126"/>
      <c r="I5" s="167"/>
      <c r="J5" s="102"/>
    </row>
    <row r="6" spans="1:10" ht="30" customHeight="1">
      <c r="A6" s="284" t="s">
        <v>284</v>
      </c>
      <c r="B6" s="284"/>
      <c r="C6" s="284"/>
      <c r="D6" s="284"/>
      <c r="E6" s="284"/>
      <c r="F6" s="284"/>
      <c r="G6" s="284"/>
      <c r="H6" s="284"/>
      <c r="I6" s="284"/>
      <c r="J6" s="284"/>
    </row>
    <row r="7" spans="1:10" ht="9" customHeight="1">
      <c r="A7" s="168"/>
      <c r="B7" s="168"/>
      <c r="C7" s="168"/>
      <c r="D7" s="168"/>
      <c r="E7" s="168"/>
      <c r="F7" s="168"/>
      <c r="G7" s="102"/>
      <c r="H7" s="102"/>
      <c r="I7" s="102"/>
      <c r="J7" s="102"/>
    </row>
    <row r="8" spans="1:10" ht="12.75">
      <c r="A8" s="291" t="s">
        <v>65</v>
      </c>
      <c r="B8" s="291" t="s">
        <v>66</v>
      </c>
      <c r="C8" s="291"/>
      <c r="D8" s="291" t="s">
        <v>67</v>
      </c>
      <c r="E8" s="291" t="s">
        <v>68</v>
      </c>
      <c r="F8" s="168"/>
      <c r="G8" s="297" t="s">
        <v>147</v>
      </c>
      <c r="H8" s="297"/>
      <c r="I8" s="297"/>
      <c r="J8" s="297"/>
    </row>
    <row r="9" spans="1:10" ht="12.75">
      <c r="A9" s="291"/>
      <c r="B9" s="256" t="s">
        <v>69</v>
      </c>
      <c r="C9" s="256" t="s">
        <v>70</v>
      </c>
      <c r="D9" s="291"/>
      <c r="E9" s="291"/>
      <c r="F9" s="168"/>
      <c r="G9" s="305" t="s">
        <v>155</v>
      </c>
      <c r="H9" s="305"/>
      <c r="I9" s="305"/>
      <c r="J9" s="305"/>
    </row>
    <row r="10" spans="1:10" ht="12.75">
      <c r="A10" s="99" t="s">
        <v>71</v>
      </c>
      <c r="B10" s="99">
        <v>32</v>
      </c>
      <c r="C10" s="99">
        <v>32</v>
      </c>
      <c r="D10" s="100">
        <f>210*1.15</f>
        <v>241.49999999999997</v>
      </c>
      <c r="E10" s="100">
        <v>300</v>
      </c>
      <c r="F10" s="168"/>
      <c r="G10" s="305"/>
      <c r="H10" s="305"/>
      <c r="I10" s="305"/>
      <c r="J10" s="305"/>
    </row>
    <row r="11" spans="1:10" ht="12.75">
      <c r="A11" s="99" t="s">
        <v>72</v>
      </c>
      <c r="B11" s="99">
        <v>64</v>
      </c>
      <c r="C11" s="99">
        <v>64</v>
      </c>
      <c r="D11" s="100">
        <f>290*1.15</f>
        <v>333.5</v>
      </c>
      <c r="E11" s="100">
        <v>300</v>
      </c>
      <c r="F11" s="168"/>
      <c r="G11" s="305"/>
      <c r="H11" s="305"/>
      <c r="I11" s="305"/>
      <c r="J11" s="305"/>
    </row>
    <row r="12" spans="1:10" ht="12.75">
      <c r="A12" s="99" t="s">
        <v>73</v>
      </c>
      <c r="B12" s="99">
        <v>128</v>
      </c>
      <c r="C12" s="99">
        <v>128</v>
      </c>
      <c r="D12" s="100">
        <f>500*1.15</f>
        <v>575</v>
      </c>
      <c r="E12" s="100">
        <v>300</v>
      </c>
      <c r="F12" s="168"/>
      <c r="G12" s="305"/>
      <c r="H12" s="305"/>
      <c r="I12" s="305"/>
      <c r="J12" s="305"/>
    </row>
    <row r="13" spans="1:10" ht="12.75">
      <c r="A13" s="99" t="s">
        <v>74</v>
      </c>
      <c r="B13" s="99">
        <v>192</v>
      </c>
      <c r="C13" s="99">
        <v>192</v>
      </c>
      <c r="D13" s="100">
        <f>750*1.15</f>
        <v>862.4999999999999</v>
      </c>
      <c r="E13" s="100">
        <v>300</v>
      </c>
      <c r="F13" s="168"/>
      <c r="G13" s="305"/>
      <c r="H13" s="305"/>
      <c r="I13" s="305"/>
      <c r="J13" s="305"/>
    </row>
    <row r="14" spans="1:10" ht="12.75">
      <c r="A14" s="99" t="s">
        <v>75</v>
      </c>
      <c r="B14" s="99">
        <v>256</v>
      </c>
      <c r="C14" s="99">
        <v>256</v>
      </c>
      <c r="D14" s="100">
        <f>900*1.15</f>
        <v>1035</v>
      </c>
      <c r="E14" s="100">
        <v>300</v>
      </c>
      <c r="F14" s="168"/>
      <c r="G14" s="260"/>
      <c r="H14" s="170"/>
      <c r="I14" s="170"/>
      <c r="J14" s="261"/>
    </row>
    <row r="15" spans="1:10" ht="12.75">
      <c r="A15" s="99" t="s">
        <v>76</v>
      </c>
      <c r="B15" s="99">
        <v>384</v>
      </c>
      <c r="C15" s="99">
        <v>384</v>
      </c>
      <c r="D15" s="100">
        <f>1500*1.15</f>
        <v>1724.9999999999998</v>
      </c>
      <c r="E15" s="100">
        <v>300</v>
      </c>
      <c r="F15" s="168"/>
      <c r="G15" s="292" t="s">
        <v>149</v>
      </c>
      <c r="H15" s="293"/>
      <c r="I15" s="293"/>
      <c r="J15" s="294"/>
    </row>
    <row r="16" spans="1:10" ht="12.75">
      <c r="A16" s="99" t="s">
        <v>77</v>
      </c>
      <c r="B16" s="99">
        <v>512</v>
      </c>
      <c r="C16" s="99">
        <v>512</v>
      </c>
      <c r="D16" s="100">
        <f>1750*1.15</f>
        <v>2012.4999999999998</v>
      </c>
      <c r="E16" s="100">
        <v>300</v>
      </c>
      <c r="F16" s="168"/>
      <c r="G16" s="266" t="s">
        <v>150</v>
      </c>
      <c r="H16" s="267"/>
      <c r="I16" s="267"/>
      <c r="J16" s="301"/>
    </row>
    <row r="17" spans="1:10" ht="12.75">
      <c r="A17" s="99" t="s">
        <v>78</v>
      </c>
      <c r="B17" s="99">
        <v>640</v>
      </c>
      <c r="C17" s="99">
        <v>640</v>
      </c>
      <c r="D17" s="100">
        <f>2500*1.15</f>
        <v>2875</v>
      </c>
      <c r="E17" s="100">
        <v>300</v>
      </c>
      <c r="F17" s="168"/>
      <c r="G17" s="285" t="s">
        <v>152</v>
      </c>
      <c r="H17" s="286"/>
      <c r="I17" s="286"/>
      <c r="J17" s="287"/>
    </row>
    <row r="18" spans="1:10" ht="12.75">
      <c r="A18" s="99" t="s">
        <v>79</v>
      </c>
      <c r="B18" s="99">
        <v>768</v>
      </c>
      <c r="C18" s="99">
        <v>768</v>
      </c>
      <c r="D18" s="100">
        <f>2800*1.15</f>
        <v>3219.9999999999995</v>
      </c>
      <c r="E18" s="100">
        <v>300</v>
      </c>
      <c r="F18" s="168"/>
      <c r="G18" s="285"/>
      <c r="H18" s="286"/>
      <c r="I18" s="286"/>
      <c r="J18" s="287"/>
    </row>
    <row r="19" spans="1:10" ht="12.75">
      <c r="A19" s="99" t="s">
        <v>80</v>
      </c>
      <c r="B19" s="99">
        <v>1024</v>
      </c>
      <c r="C19" s="99">
        <v>1024</v>
      </c>
      <c r="D19" s="100">
        <f>3450*1.15</f>
        <v>3967.4999999999995</v>
      </c>
      <c r="E19" s="100">
        <v>300</v>
      </c>
      <c r="F19" s="168"/>
      <c r="G19" s="285" t="s">
        <v>153</v>
      </c>
      <c r="H19" s="286"/>
      <c r="I19" s="286"/>
      <c r="J19" s="287"/>
    </row>
    <row r="20" spans="1:10" ht="12.75">
      <c r="A20" s="99" t="s">
        <v>81</v>
      </c>
      <c r="B20" s="99">
        <v>2048</v>
      </c>
      <c r="C20" s="99">
        <v>2048</v>
      </c>
      <c r="D20" s="100">
        <f>6000*1.15</f>
        <v>6899.999999999999</v>
      </c>
      <c r="E20" s="100">
        <v>300</v>
      </c>
      <c r="F20" s="168"/>
      <c r="G20" s="302"/>
      <c r="H20" s="303"/>
      <c r="I20" s="303"/>
      <c r="J20" s="304"/>
    </row>
    <row r="21" spans="1:10" ht="12.75">
      <c r="A21" s="168"/>
      <c r="B21" s="168"/>
      <c r="C21" s="168"/>
      <c r="D21" s="168"/>
      <c r="E21" s="168"/>
      <c r="F21" s="168"/>
      <c r="G21" s="295"/>
      <c r="H21" s="286"/>
      <c r="I21" s="286"/>
      <c r="J21" s="296"/>
    </row>
    <row r="22" spans="1:10" ht="12.75">
      <c r="A22" s="288" t="s">
        <v>151</v>
      </c>
      <c r="B22" s="288"/>
      <c r="C22" s="288"/>
      <c r="D22" s="288"/>
      <c r="E22" s="288"/>
      <c r="F22" s="288"/>
      <c r="G22" s="295"/>
      <c r="H22" s="286"/>
      <c r="I22" s="286"/>
      <c r="J22" s="296"/>
    </row>
    <row r="23" spans="1:10" ht="12.75">
      <c r="A23" s="102"/>
      <c r="B23" s="102"/>
      <c r="C23" s="102"/>
      <c r="D23" s="102"/>
      <c r="E23" s="174"/>
      <c r="F23" s="102"/>
      <c r="G23" s="102"/>
      <c r="H23" s="102"/>
      <c r="I23" s="102"/>
      <c r="J23" s="102"/>
    </row>
    <row r="24" spans="1:10" ht="30" customHeight="1">
      <c r="A24" s="284" t="s">
        <v>285</v>
      </c>
      <c r="B24" s="284"/>
      <c r="C24" s="284"/>
      <c r="D24" s="284"/>
      <c r="E24" s="284"/>
      <c r="F24" s="284"/>
      <c r="G24" s="284"/>
      <c r="H24" s="284"/>
      <c r="I24" s="284"/>
      <c r="J24" s="284"/>
    </row>
    <row r="25" spans="1:10" ht="15.75">
      <c r="A25" s="290" t="s">
        <v>154</v>
      </c>
      <c r="B25" s="290"/>
      <c r="C25" s="290"/>
      <c r="D25" s="290"/>
      <c r="E25" s="290"/>
      <c r="F25" s="290"/>
      <c r="G25" s="290"/>
      <c r="H25" s="290"/>
      <c r="I25" s="290"/>
      <c r="J25" s="102"/>
    </row>
    <row r="26" spans="1:10" ht="12.75">
      <c r="A26" s="175"/>
      <c r="B26" s="175"/>
      <c r="C26" s="175"/>
      <c r="D26" s="175"/>
      <c r="E26" s="175"/>
      <c r="F26" s="175"/>
      <c r="G26" s="176"/>
      <c r="H26" s="102"/>
      <c r="I26" s="102"/>
      <c r="J26" s="102"/>
    </row>
    <row r="27" spans="1:10" ht="12.75" customHeight="1">
      <c r="A27" s="291" t="s">
        <v>65</v>
      </c>
      <c r="B27" s="291" t="s">
        <v>66</v>
      </c>
      <c r="C27" s="291"/>
      <c r="D27" s="291" t="s">
        <v>67</v>
      </c>
      <c r="E27" s="291" t="s">
        <v>68</v>
      </c>
      <c r="F27" s="175"/>
      <c r="G27" s="297" t="s">
        <v>147</v>
      </c>
      <c r="H27" s="297"/>
      <c r="I27" s="297"/>
      <c r="J27" s="297"/>
    </row>
    <row r="28" spans="1:10" ht="12.75" customHeight="1">
      <c r="A28" s="291"/>
      <c r="B28" s="256" t="s">
        <v>69</v>
      </c>
      <c r="C28" s="256" t="s">
        <v>70</v>
      </c>
      <c r="D28" s="291"/>
      <c r="E28" s="291"/>
      <c r="F28" s="175"/>
      <c r="G28" s="305" t="s">
        <v>155</v>
      </c>
      <c r="H28" s="305"/>
      <c r="I28" s="305"/>
      <c r="J28" s="305"/>
    </row>
    <row r="29" spans="1:10" ht="12.75">
      <c r="A29" s="129" t="s">
        <v>104</v>
      </c>
      <c r="B29" s="99">
        <v>32</v>
      </c>
      <c r="C29" s="99">
        <v>32</v>
      </c>
      <c r="D29" s="100">
        <f>110*1.15</f>
        <v>126.49999999999999</v>
      </c>
      <c r="E29" s="100">
        <v>300</v>
      </c>
      <c r="F29" s="175"/>
      <c r="G29" s="305"/>
      <c r="H29" s="305"/>
      <c r="I29" s="305"/>
      <c r="J29" s="305"/>
    </row>
    <row r="30" spans="1:10" ht="12.75">
      <c r="A30" s="99" t="s">
        <v>105</v>
      </c>
      <c r="B30" s="99">
        <v>64</v>
      </c>
      <c r="C30" s="99">
        <v>64</v>
      </c>
      <c r="D30" s="100">
        <f>150*1.15</f>
        <v>172.5</v>
      </c>
      <c r="E30" s="100">
        <v>300</v>
      </c>
      <c r="F30" s="175"/>
      <c r="G30" s="305"/>
      <c r="H30" s="305"/>
      <c r="I30" s="305"/>
      <c r="J30" s="305"/>
    </row>
    <row r="31" spans="1:10" ht="12.75">
      <c r="A31" s="99" t="s">
        <v>106</v>
      </c>
      <c r="B31" s="99">
        <v>128</v>
      </c>
      <c r="C31" s="99">
        <v>128</v>
      </c>
      <c r="D31" s="100">
        <f>260*1.15</f>
        <v>299</v>
      </c>
      <c r="E31" s="100">
        <v>300</v>
      </c>
      <c r="F31" s="175"/>
      <c r="G31" s="305"/>
      <c r="H31" s="305"/>
      <c r="I31" s="305"/>
      <c r="J31" s="305"/>
    </row>
    <row r="32" spans="1:10" ht="12.75">
      <c r="A32" s="99" t="s">
        <v>107</v>
      </c>
      <c r="B32" s="99">
        <v>192</v>
      </c>
      <c r="C32" s="99">
        <v>192</v>
      </c>
      <c r="D32" s="100">
        <f>390*1.15</f>
        <v>448.49999999999994</v>
      </c>
      <c r="E32" s="100">
        <v>300</v>
      </c>
      <c r="F32" s="175"/>
      <c r="G32" s="305"/>
      <c r="H32" s="305"/>
      <c r="I32" s="305"/>
      <c r="J32" s="305"/>
    </row>
    <row r="33" spans="1:10" ht="12.75">
      <c r="A33" s="99" t="s">
        <v>108</v>
      </c>
      <c r="B33" s="99">
        <v>256</v>
      </c>
      <c r="C33" s="99">
        <v>256</v>
      </c>
      <c r="D33" s="100">
        <f>470*1.15</f>
        <v>540.5</v>
      </c>
      <c r="E33" s="100">
        <v>300</v>
      </c>
      <c r="F33" s="175"/>
      <c r="G33" s="260"/>
      <c r="H33" s="170"/>
      <c r="I33" s="170"/>
      <c r="J33" s="261"/>
    </row>
    <row r="34" spans="1:10" ht="12.75" customHeight="1">
      <c r="A34" s="99" t="s">
        <v>109</v>
      </c>
      <c r="B34" s="99">
        <v>384</v>
      </c>
      <c r="C34" s="99">
        <v>384</v>
      </c>
      <c r="D34" s="100">
        <f>785*1.15</f>
        <v>902.7499999999999</v>
      </c>
      <c r="E34" s="100">
        <v>300</v>
      </c>
      <c r="F34" s="175"/>
      <c r="G34" s="292" t="s">
        <v>149</v>
      </c>
      <c r="H34" s="293"/>
      <c r="I34" s="293"/>
      <c r="J34" s="294"/>
    </row>
    <row r="35" spans="1:10" ht="12.75" customHeight="1">
      <c r="A35" s="99" t="s">
        <v>110</v>
      </c>
      <c r="B35" s="99">
        <v>512</v>
      </c>
      <c r="C35" s="99">
        <v>512</v>
      </c>
      <c r="D35" s="100">
        <f>915*1.15</f>
        <v>1052.25</v>
      </c>
      <c r="E35" s="100">
        <v>300</v>
      </c>
      <c r="F35" s="175"/>
      <c r="G35" s="266" t="s">
        <v>150</v>
      </c>
      <c r="H35" s="267"/>
      <c r="I35" s="267"/>
      <c r="J35" s="301"/>
    </row>
    <row r="36" spans="1:10" ht="12.75" customHeight="1">
      <c r="A36" s="99" t="s">
        <v>111</v>
      </c>
      <c r="B36" s="99">
        <v>640</v>
      </c>
      <c r="C36" s="99">
        <v>640</v>
      </c>
      <c r="D36" s="100">
        <f>1310*1.15</f>
        <v>1506.4999999999998</v>
      </c>
      <c r="E36" s="100">
        <v>300</v>
      </c>
      <c r="F36" s="175"/>
      <c r="G36" s="285" t="s">
        <v>152</v>
      </c>
      <c r="H36" s="286"/>
      <c r="I36" s="286"/>
      <c r="J36" s="287"/>
    </row>
    <row r="37" spans="1:10" ht="12.75">
      <c r="A37" s="99" t="s">
        <v>112</v>
      </c>
      <c r="B37" s="99">
        <v>768</v>
      </c>
      <c r="C37" s="99">
        <v>768</v>
      </c>
      <c r="D37" s="100">
        <f>1470*1.15</f>
        <v>1690.4999999999998</v>
      </c>
      <c r="E37" s="100">
        <v>300</v>
      </c>
      <c r="F37" s="175"/>
      <c r="G37" s="285"/>
      <c r="H37" s="286"/>
      <c r="I37" s="286"/>
      <c r="J37" s="287"/>
    </row>
    <row r="38" spans="1:10" ht="12.75" customHeight="1">
      <c r="A38" s="99" t="s">
        <v>113</v>
      </c>
      <c r="B38" s="99">
        <v>1024</v>
      </c>
      <c r="C38" s="99">
        <v>1024</v>
      </c>
      <c r="D38" s="100">
        <f>1810*1.15</f>
        <v>2081.5</v>
      </c>
      <c r="E38" s="100">
        <v>300</v>
      </c>
      <c r="F38" s="175"/>
      <c r="G38" s="285" t="s">
        <v>153</v>
      </c>
      <c r="H38" s="286"/>
      <c r="I38" s="286"/>
      <c r="J38" s="287"/>
    </row>
    <row r="39" spans="1:10" ht="12.75">
      <c r="A39" s="99" t="s">
        <v>114</v>
      </c>
      <c r="B39" s="99">
        <v>2048</v>
      </c>
      <c r="C39" s="99">
        <v>2048</v>
      </c>
      <c r="D39" s="100">
        <f>3150*1.15</f>
        <v>3622.4999999999995</v>
      </c>
      <c r="E39" s="100">
        <v>300</v>
      </c>
      <c r="F39" s="175"/>
      <c r="G39" s="302"/>
      <c r="H39" s="303"/>
      <c r="I39" s="303"/>
      <c r="J39" s="304"/>
    </row>
    <row r="40" spans="1:10" ht="12.75">
      <c r="A40" s="175"/>
      <c r="B40" s="175"/>
      <c r="C40" s="175"/>
      <c r="D40" s="175"/>
      <c r="E40" s="175"/>
      <c r="F40" s="175"/>
      <c r="G40" s="306"/>
      <c r="H40" s="307"/>
      <c r="I40" s="307"/>
      <c r="J40" s="308"/>
    </row>
    <row r="41" spans="1:10" ht="12.75">
      <c r="A41" s="288" t="s">
        <v>151</v>
      </c>
      <c r="B41" s="288"/>
      <c r="C41" s="288"/>
      <c r="D41" s="288"/>
      <c r="E41" s="288"/>
      <c r="F41" s="288"/>
      <c r="G41" s="295"/>
      <c r="H41" s="286"/>
      <c r="I41" s="286"/>
      <c r="J41" s="296"/>
    </row>
    <row r="42" spans="1:10" ht="12.75">
      <c r="A42" s="102"/>
      <c r="B42" s="102"/>
      <c r="C42" s="102"/>
      <c r="D42" s="102"/>
      <c r="E42" s="174"/>
      <c r="F42" s="102"/>
      <c r="G42" s="173"/>
      <c r="H42" s="173"/>
      <c r="I42" s="173"/>
      <c r="J42" s="102"/>
    </row>
    <row r="43" spans="1:10" ht="30">
      <c r="A43" s="284" t="s">
        <v>286</v>
      </c>
      <c r="B43" s="284"/>
      <c r="C43" s="284"/>
      <c r="D43" s="284"/>
      <c r="E43" s="284"/>
      <c r="F43" s="284"/>
      <c r="G43" s="284"/>
      <c r="H43" s="284"/>
      <c r="I43" s="284"/>
      <c r="J43" s="284"/>
    </row>
    <row r="44" spans="1:10" ht="15.75">
      <c r="A44" s="290" t="s">
        <v>156</v>
      </c>
      <c r="B44" s="290"/>
      <c r="C44" s="290"/>
      <c r="D44" s="290"/>
      <c r="E44" s="290"/>
      <c r="F44" s="290"/>
      <c r="G44" s="290"/>
      <c r="H44" s="290"/>
      <c r="I44" s="290"/>
      <c r="J44" s="102"/>
    </row>
    <row r="45" spans="1:10" ht="12.75">
      <c r="A45" s="175"/>
      <c r="B45" s="175"/>
      <c r="C45" s="175"/>
      <c r="D45" s="175"/>
      <c r="E45" s="175"/>
      <c r="F45" s="175"/>
      <c r="G45" s="176"/>
      <c r="H45" s="102"/>
      <c r="I45" s="102"/>
      <c r="J45" s="102"/>
    </row>
    <row r="46" spans="1:10" ht="12.75">
      <c r="A46" s="291" t="s">
        <v>65</v>
      </c>
      <c r="B46" s="291" t="s">
        <v>66</v>
      </c>
      <c r="C46" s="291"/>
      <c r="D46" s="291" t="s">
        <v>67</v>
      </c>
      <c r="E46" s="291" t="s">
        <v>68</v>
      </c>
      <c r="F46" s="175"/>
      <c r="G46" s="262"/>
      <c r="H46" s="262"/>
      <c r="I46" s="262"/>
      <c r="J46" s="262"/>
    </row>
    <row r="47" spans="1:10" ht="12.75" customHeight="1">
      <c r="A47" s="291"/>
      <c r="B47" s="256" t="s">
        <v>69</v>
      </c>
      <c r="C47" s="256" t="s">
        <v>70</v>
      </c>
      <c r="D47" s="291"/>
      <c r="E47" s="291"/>
      <c r="F47" s="175"/>
      <c r="G47" s="297" t="s">
        <v>147</v>
      </c>
      <c r="H47" s="297"/>
      <c r="I47" s="297"/>
      <c r="J47" s="297"/>
    </row>
    <row r="48" spans="1:10" ht="12.75" customHeight="1">
      <c r="A48" s="99" t="s">
        <v>116</v>
      </c>
      <c r="B48" s="99">
        <v>32</v>
      </c>
      <c r="C48" s="99">
        <v>32</v>
      </c>
      <c r="D48" s="100">
        <f>60*1.15</f>
        <v>69</v>
      </c>
      <c r="E48" s="100">
        <v>300</v>
      </c>
      <c r="F48" s="175"/>
      <c r="G48" s="305" t="s">
        <v>155</v>
      </c>
      <c r="H48" s="305"/>
      <c r="I48" s="305"/>
      <c r="J48" s="305"/>
    </row>
    <row r="49" spans="1:10" ht="12.75">
      <c r="A49" s="99" t="s">
        <v>117</v>
      </c>
      <c r="B49" s="99">
        <v>64</v>
      </c>
      <c r="C49" s="99">
        <v>64</v>
      </c>
      <c r="D49" s="100">
        <f>80*1.15</f>
        <v>92</v>
      </c>
      <c r="E49" s="100">
        <v>300</v>
      </c>
      <c r="F49" s="175"/>
      <c r="G49" s="305"/>
      <c r="H49" s="305"/>
      <c r="I49" s="305"/>
      <c r="J49" s="305"/>
    </row>
    <row r="50" spans="1:10" ht="12.75">
      <c r="A50" s="99" t="s">
        <v>118</v>
      </c>
      <c r="B50" s="99">
        <v>128</v>
      </c>
      <c r="C50" s="99">
        <v>128</v>
      </c>
      <c r="D50" s="100">
        <f>135*1.15</f>
        <v>155.25</v>
      </c>
      <c r="E50" s="100">
        <v>300</v>
      </c>
      <c r="F50" s="169"/>
      <c r="G50" s="305"/>
      <c r="H50" s="305"/>
      <c r="I50" s="305"/>
      <c r="J50" s="305"/>
    </row>
    <row r="51" spans="1:10" ht="12.75">
      <c r="A51" s="99" t="s">
        <v>119</v>
      </c>
      <c r="B51" s="99">
        <v>192</v>
      </c>
      <c r="C51" s="99">
        <v>192</v>
      </c>
      <c r="D51" s="100">
        <f>200*1.15</f>
        <v>229.99999999999997</v>
      </c>
      <c r="E51" s="100">
        <v>300</v>
      </c>
      <c r="F51" s="169"/>
      <c r="G51" s="305"/>
      <c r="H51" s="305"/>
      <c r="I51" s="305"/>
      <c r="J51" s="305"/>
    </row>
    <row r="52" spans="1:10" ht="12.75">
      <c r="A52" s="99" t="s">
        <v>120</v>
      </c>
      <c r="B52" s="99">
        <v>256</v>
      </c>
      <c r="C52" s="99">
        <v>256</v>
      </c>
      <c r="D52" s="100">
        <f>240*1.15</f>
        <v>276</v>
      </c>
      <c r="E52" s="100">
        <v>300</v>
      </c>
      <c r="F52" s="169"/>
      <c r="G52" s="305"/>
      <c r="H52" s="305"/>
      <c r="I52" s="305"/>
      <c r="J52" s="305"/>
    </row>
    <row r="53" spans="1:10" ht="12.75">
      <c r="A53" s="99" t="s">
        <v>121</v>
      </c>
      <c r="B53" s="99">
        <v>384</v>
      </c>
      <c r="C53" s="99">
        <v>384</v>
      </c>
      <c r="D53" s="100">
        <f>395*1.15</f>
        <v>454.24999999999994</v>
      </c>
      <c r="E53" s="100">
        <v>300</v>
      </c>
      <c r="F53" s="169"/>
      <c r="G53" s="260"/>
      <c r="H53" s="170"/>
      <c r="I53" s="170"/>
      <c r="J53" s="261"/>
    </row>
    <row r="54" spans="1:10" ht="12.75" customHeight="1">
      <c r="A54" s="99" t="s">
        <v>122</v>
      </c>
      <c r="B54" s="99">
        <v>512</v>
      </c>
      <c r="C54" s="99">
        <v>512</v>
      </c>
      <c r="D54" s="100">
        <f>460*1.15</f>
        <v>529</v>
      </c>
      <c r="E54" s="100">
        <v>300</v>
      </c>
      <c r="F54" s="169"/>
      <c r="G54" s="292" t="s">
        <v>149</v>
      </c>
      <c r="H54" s="293"/>
      <c r="I54" s="293"/>
      <c r="J54" s="294"/>
    </row>
    <row r="55" spans="1:10" ht="12.75" customHeight="1">
      <c r="A55" s="99" t="s">
        <v>123</v>
      </c>
      <c r="B55" s="99">
        <v>640</v>
      </c>
      <c r="C55" s="99">
        <v>640</v>
      </c>
      <c r="D55" s="100">
        <f>660*1.15</f>
        <v>758.9999999999999</v>
      </c>
      <c r="E55" s="100">
        <v>300</v>
      </c>
      <c r="F55" s="169"/>
      <c r="G55" s="266" t="s">
        <v>150</v>
      </c>
      <c r="H55" s="267"/>
      <c r="I55" s="267"/>
      <c r="J55" s="301"/>
    </row>
    <row r="56" spans="1:10" ht="12.75" customHeight="1">
      <c r="A56" s="99" t="s">
        <v>124</v>
      </c>
      <c r="B56" s="99">
        <v>768</v>
      </c>
      <c r="C56" s="99">
        <v>768</v>
      </c>
      <c r="D56" s="100">
        <f>750*1.15</f>
        <v>862.4999999999999</v>
      </c>
      <c r="E56" s="100">
        <v>300</v>
      </c>
      <c r="F56" s="169"/>
      <c r="G56" s="285" t="s">
        <v>152</v>
      </c>
      <c r="H56" s="286"/>
      <c r="I56" s="286"/>
      <c r="J56" s="287"/>
    </row>
    <row r="57" spans="1:10" ht="12.75">
      <c r="A57" s="99" t="s">
        <v>125</v>
      </c>
      <c r="B57" s="99">
        <v>1024</v>
      </c>
      <c r="C57" s="99">
        <v>1024</v>
      </c>
      <c r="D57" s="100">
        <f>865*1.15</f>
        <v>994.7499999999999</v>
      </c>
      <c r="E57" s="100">
        <v>300</v>
      </c>
      <c r="F57" s="169"/>
      <c r="G57" s="285"/>
      <c r="H57" s="286"/>
      <c r="I57" s="286"/>
      <c r="J57" s="287"/>
    </row>
    <row r="58" spans="1:10" ht="12.75" customHeight="1">
      <c r="A58" s="99" t="s">
        <v>126</v>
      </c>
      <c r="B58" s="99">
        <v>2048</v>
      </c>
      <c r="C58" s="99">
        <v>2048</v>
      </c>
      <c r="D58" s="100">
        <f>1590*1.15</f>
        <v>1828.4999999999998</v>
      </c>
      <c r="E58" s="100">
        <v>300</v>
      </c>
      <c r="F58" s="169"/>
      <c r="G58" s="285" t="s">
        <v>153</v>
      </c>
      <c r="H58" s="286"/>
      <c r="I58" s="286"/>
      <c r="J58" s="287"/>
    </row>
    <row r="59" spans="1:10" ht="12.75">
      <c r="A59" s="178"/>
      <c r="B59" s="178"/>
      <c r="C59" s="178"/>
      <c r="D59" s="178"/>
      <c r="E59" s="169"/>
      <c r="F59" s="169"/>
      <c r="G59" s="302"/>
      <c r="H59" s="303"/>
      <c r="I59" s="303"/>
      <c r="J59" s="304"/>
    </row>
    <row r="60" spans="1:10" ht="12.75">
      <c r="A60" s="288" t="s">
        <v>151</v>
      </c>
      <c r="B60" s="288"/>
      <c r="C60" s="288"/>
      <c r="D60" s="288"/>
      <c r="E60" s="288"/>
      <c r="F60" s="288"/>
      <c r="G60" s="295"/>
      <c r="H60" s="286"/>
      <c r="I60" s="286"/>
      <c r="J60" s="296"/>
    </row>
    <row r="61" spans="1:10" ht="12.75">
      <c r="A61" s="282"/>
      <c r="B61" s="282"/>
      <c r="C61" s="282"/>
      <c r="D61" s="282"/>
      <c r="E61" s="282"/>
      <c r="F61" s="282"/>
      <c r="G61" s="102"/>
      <c r="H61" s="102"/>
      <c r="I61" s="102"/>
      <c r="J61" s="102"/>
    </row>
    <row r="62" spans="1:10" ht="12.75">
      <c r="A62" s="282"/>
      <c r="B62" s="282"/>
      <c r="C62" s="282"/>
      <c r="D62" s="282"/>
      <c r="E62" s="282"/>
      <c r="F62" s="282"/>
      <c r="G62" s="102"/>
      <c r="H62" s="102"/>
      <c r="I62" s="102"/>
      <c r="J62" s="102"/>
    </row>
    <row r="63" spans="1:10" ht="12.75">
      <c r="A63" s="283"/>
      <c r="B63" s="283"/>
      <c r="C63" s="283"/>
      <c r="D63" s="283"/>
      <c r="E63" s="283"/>
      <c r="F63" s="283"/>
      <c r="G63" s="283"/>
      <c r="H63" s="283"/>
      <c r="I63" s="283"/>
      <c r="J63" s="102"/>
    </row>
    <row r="64" spans="1:10" ht="12.75">
      <c r="A64" s="172"/>
      <c r="B64" s="172"/>
      <c r="C64" s="172"/>
      <c r="D64" s="172"/>
      <c r="E64" s="172"/>
      <c r="F64" s="172"/>
      <c r="G64" s="171"/>
      <c r="H64" s="171"/>
      <c r="I64" s="171"/>
      <c r="J64" s="102"/>
    </row>
    <row r="65" spans="1:10" ht="12.75">
      <c r="A65" s="134"/>
      <c r="B65" s="177"/>
      <c r="C65" s="177"/>
      <c r="D65" s="177"/>
      <c r="E65" s="177"/>
      <c r="F65" s="177"/>
      <c r="G65" s="171"/>
      <c r="H65" s="171"/>
      <c r="I65" s="171"/>
      <c r="J65" s="102"/>
    </row>
    <row r="66" spans="1:10" ht="12.75">
      <c r="A66" s="102"/>
      <c r="B66" s="177"/>
      <c r="C66" s="177"/>
      <c r="D66" s="177"/>
      <c r="E66" s="177"/>
      <c r="F66" s="177"/>
      <c r="G66" s="171"/>
      <c r="H66" s="171"/>
      <c r="I66" s="171"/>
      <c r="J66" s="102"/>
    </row>
    <row r="67" spans="1:10" ht="12.75">
      <c r="A67" s="179"/>
      <c r="B67" s="177"/>
      <c r="C67" s="177"/>
      <c r="D67" s="177"/>
      <c r="E67" s="177"/>
      <c r="F67" s="177"/>
      <c r="G67" s="171"/>
      <c r="H67" s="171"/>
      <c r="I67" s="171"/>
      <c r="J67" s="102"/>
    </row>
  </sheetData>
  <sheetProtection/>
  <mergeCells count="47">
    <mergeCell ref="G56:J57"/>
    <mergeCell ref="G47:J47"/>
    <mergeCell ref="G48:J52"/>
    <mergeCell ref="G54:J54"/>
    <mergeCell ref="G55:J55"/>
    <mergeCell ref="G17:J18"/>
    <mergeCell ref="G19:J20"/>
    <mergeCell ref="G28:J32"/>
    <mergeCell ref="G34:J34"/>
    <mergeCell ref="A25:I25"/>
    <mergeCell ref="A27:A28"/>
    <mergeCell ref="B27:C27"/>
    <mergeCell ref="D27:D28"/>
    <mergeCell ref="E27:E28"/>
    <mergeCell ref="G27:J27"/>
    <mergeCell ref="A3:J3"/>
    <mergeCell ref="A61:F62"/>
    <mergeCell ref="A63:I63"/>
    <mergeCell ref="A6:J6"/>
    <mergeCell ref="A24:J24"/>
    <mergeCell ref="A43:J43"/>
    <mergeCell ref="G58:J59"/>
    <mergeCell ref="A60:F60"/>
    <mergeCell ref="G60:J60"/>
    <mergeCell ref="A44:I44"/>
    <mergeCell ref="A46:A47"/>
    <mergeCell ref="B46:C46"/>
    <mergeCell ref="D46:D47"/>
    <mergeCell ref="E46:E47"/>
    <mergeCell ref="G40:J40"/>
    <mergeCell ref="A41:F41"/>
    <mergeCell ref="G41:J41"/>
    <mergeCell ref="G38:J39"/>
    <mergeCell ref="G35:J35"/>
    <mergeCell ref="G36:J37"/>
    <mergeCell ref="G21:J21"/>
    <mergeCell ref="A22:F22"/>
    <mergeCell ref="G22:J22"/>
    <mergeCell ref="G15:J15"/>
    <mergeCell ref="G16:J16"/>
    <mergeCell ref="A4:J4"/>
    <mergeCell ref="A8:A9"/>
    <mergeCell ref="B8:C8"/>
    <mergeCell ref="D8:D9"/>
    <mergeCell ref="E8:E9"/>
    <mergeCell ref="G8:J8"/>
    <mergeCell ref="G9:J13"/>
  </mergeCells>
  <printOptions/>
  <pageMargins left="1.5748031496062993" right="1.0236220472440944" top="1.5748031496062993" bottom="0.984251968503937" header="0" footer="0"/>
  <pageSetup fitToHeight="1" fitToWidth="1" horizontalDpi="600" verticalDpi="600" orientation="portrait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69"/>
  <sheetViews>
    <sheetView tabSelected="1" zoomScale="115" zoomScaleNormal="115" zoomScalePageLayoutView="0" workbookViewId="0" topLeftCell="A29">
      <selection activeCell="E51" sqref="E51"/>
    </sheetView>
  </sheetViews>
  <sheetFormatPr defaultColWidth="11.421875" defaultRowHeight="12.75"/>
  <cols>
    <col min="1" max="1" width="10.7109375" style="17" customWidth="1"/>
    <col min="2" max="2" width="8.7109375" style="1" customWidth="1"/>
    <col min="3" max="3" width="8.57421875" style="1" customWidth="1"/>
    <col min="4" max="4" width="9.421875" style="1" customWidth="1"/>
  </cols>
  <sheetData>
    <row r="2" ht="12.75">
      <c r="E2" s="39"/>
    </row>
    <row r="3" spans="1:6" ht="15.75">
      <c r="A3" s="299" t="s">
        <v>287</v>
      </c>
      <c r="B3" s="299"/>
      <c r="C3" s="299"/>
      <c r="D3" s="299"/>
      <c r="E3" s="299"/>
      <c r="F3" s="299"/>
    </row>
    <row r="4" spans="1:6" ht="13.5" thickBot="1">
      <c r="A4" s="309" t="s">
        <v>62</v>
      </c>
      <c r="B4" s="309"/>
      <c r="C4" s="309"/>
      <c r="D4" s="309"/>
      <c r="E4" s="309"/>
      <c r="F4" s="309"/>
    </row>
    <row r="5" spans="1:6" s="38" customFormat="1" ht="23.25" thickBot="1">
      <c r="A5" s="253" t="s">
        <v>31</v>
      </c>
      <c r="B5" s="254" t="s">
        <v>61</v>
      </c>
      <c r="C5" s="255" t="s">
        <v>32</v>
      </c>
      <c r="D5" s="254" t="s">
        <v>23</v>
      </c>
      <c r="E5" s="175"/>
      <c r="F5" s="175"/>
    </row>
    <row r="6" spans="1:6" ht="12.75">
      <c r="A6" s="157">
        <v>1</v>
      </c>
      <c r="B6" s="158">
        <v>1153.88</v>
      </c>
      <c r="C6" s="159">
        <v>1183.33</v>
      </c>
      <c r="D6" s="158">
        <f>+B6+C6</f>
        <v>2337.21</v>
      </c>
      <c r="E6" s="251"/>
      <c r="F6" s="250"/>
    </row>
    <row r="7" spans="1:6" ht="12.75">
      <c r="A7" s="157">
        <v>2</v>
      </c>
      <c r="B7" s="158">
        <v>1167.53</v>
      </c>
      <c r="C7" s="159">
        <v>1169.68</v>
      </c>
      <c r="D7" s="158">
        <f aca="true" t="shared" si="0" ref="D7:D65">+B7+C7</f>
        <v>2337.21</v>
      </c>
      <c r="E7" s="250"/>
      <c r="F7" s="250"/>
    </row>
    <row r="8" spans="1:6" ht="12.75">
      <c r="A8" s="157">
        <v>3</v>
      </c>
      <c r="B8" s="158">
        <v>1181.35</v>
      </c>
      <c r="C8" s="159">
        <v>1155.86</v>
      </c>
      <c r="D8" s="158">
        <f t="shared" si="0"/>
        <v>2337.21</v>
      </c>
      <c r="E8" s="250"/>
      <c r="F8" s="250"/>
    </row>
    <row r="9" spans="1:6" ht="12.75">
      <c r="A9" s="157">
        <v>4</v>
      </c>
      <c r="B9" s="158">
        <v>1195.33</v>
      </c>
      <c r="C9" s="159">
        <v>1141.88</v>
      </c>
      <c r="D9" s="158">
        <f t="shared" si="0"/>
        <v>2337.21</v>
      </c>
      <c r="E9" s="250"/>
      <c r="F9" s="250"/>
    </row>
    <row r="10" spans="1:6" ht="12.75">
      <c r="A10" s="157">
        <v>5</v>
      </c>
      <c r="B10" s="158">
        <v>1209.47</v>
      </c>
      <c r="C10" s="159">
        <v>1127.74</v>
      </c>
      <c r="D10" s="158">
        <f t="shared" si="0"/>
        <v>2337.21</v>
      </c>
      <c r="E10" s="250"/>
      <c r="F10" s="250"/>
    </row>
    <row r="11" spans="1:6" ht="12.75">
      <c r="A11" s="157">
        <v>6</v>
      </c>
      <c r="B11" s="158">
        <v>1223.78</v>
      </c>
      <c r="C11" s="159">
        <v>1113.43</v>
      </c>
      <c r="D11" s="158">
        <f t="shared" si="0"/>
        <v>2337.21</v>
      </c>
      <c r="E11" s="250"/>
      <c r="F11" s="250"/>
    </row>
    <row r="12" spans="1:6" ht="12.75">
      <c r="A12" s="157">
        <v>7</v>
      </c>
      <c r="B12" s="158">
        <v>1238.26</v>
      </c>
      <c r="C12" s="159">
        <v>1098.95</v>
      </c>
      <c r="D12" s="158">
        <f t="shared" si="0"/>
        <v>2337.21</v>
      </c>
      <c r="E12" s="250"/>
      <c r="F12" s="250"/>
    </row>
    <row r="13" spans="1:6" ht="12.75">
      <c r="A13" s="157">
        <v>8</v>
      </c>
      <c r="B13" s="158">
        <v>1252.92</v>
      </c>
      <c r="C13" s="159">
        <v>1084.29</v>
      </c>
      <c r="D13" s="158">
        <f t="shared" si="0"/>
        <v>2337.21</v>
      </c>
      <c r="E13" s="250"/>
      <c r="F13" s="250"/>
    </row>
    <row r="14" spans="1:6" ht="12.75">
      <c r="A14" s="157">
        <v>9</v>
      </c>
      <c r="B14" s="158">
        <v>1267.74</v>
      </c>
      <c r="C14" s="159">
        <v>1069.47</v>
      </c>
      <c r="D14" s="158">
        <f t="shared" si="0"/>
        <v>2337.21</v>
      </c>
      <c r="E14" s="250"/>
      <c r="F14" s="250"/>
    </row>
    <row r="15" spans="1:6" ht="12.75">
      <c r="A15" s="157">
        <v>10</v>
      </c>
      <c r="B15" s="158">
        <v>1282.74</v>
      </c>
      <c r="C15" s="159">
        <v>1054.47</v>
      </c>
      <c r="D15" s="158">
        <f t="shared" si="0"/>
        <v>2337.21</v>
      </c>
      <c r="E15" s="250"/>
      <c r="F15" s="250"/>
    </row>
    <row r="16" spans="1:6" ht="12.75">
      <c r="A16" s="157">
        <v>11</v>
      </c>
      <c r="B16" s="158">
        <v>1297.92</v>
      </c>
      <c r="C16" s="159">
        <v>1039.29</v>
      </c>
      <c r="D16" s="158">
        <f t="shared" si="0"/>
        <v>2337.21</v>
      </c>
      <c r="E16" s="250"/>
      <c r="F16" s="250"/>
    </row>
    <row r="17" spans="1:6" ht="12.75">
      <c r="A17" s="157">
        <v>12</v>
      </c>
      <c r="B17" s="158">
        <v>1313.28</v>
      </c>
      <c r="C17" s="159">
        <v>1023.93</v>
      </c>
      <c r="D17" s="158">
        <f t="shared" si="0"/>
        <v>2337.21</v>
      </c>
      <c r="E17" s="251">
        <f>SUM(B6:B17)</f>
        <v>14784.2</v>
      </c>
      <c r="F17" s="251">
        <f>SUM(C6:C17)</f>
        <v>13262.32</v>
      </c>
    </row>
    <row r="18" spans="1:6" ht="12.75">
      <c r="A18" s="157">
        <v>13</v>
      </c>
      <c r="B18" s="158">
        <v>1328.82</v>
      </c>
      <c r="C18" s="159">
        <v>1008.39</v>
      </c>
      <c r="D18" s="158">
        <f t="shared" si="0"/>
        <v>2337.21</v>
      </c>
      <c r="E18" s="250"/>
      <c r="F18" s="250"/>
    </row>
    <row r="19" spans="1:6" ht="12.75">
      <c r="A19" s="157">
        <v>14</v>
      </c>
      <c r="B19" s="158">
        <v>1344.55</v>
      </c>
      <c r="C19" s="159">
        <v>992.66</v>
      </c>
      <c r="D19" s="158">
        <f t="shared" si="0"/>
        <v>2337.21</v>
      </c>
      <c r="E19" s="250"/>
      <c r="F19" s="250"/>
    </row>
    <row r="20" spans="1:6" ht="12.75">
      <c r="A20" s="157">
        <v>15</v>
      </c>
      <c r="B20" s="158">
        <v>1360.46</v>
      </c>
      <c r="C20" s="159">
        <v>976.75</v>
      </c>
      <c r="D20" s="158">
        <f t="shared" si="0"/>
        <v>2337.21</v>
      </c>
      <c r="E20" s="250"/>
      <c r="F20" s="250"/>
    </row>
    <row r="21" spans="1:6" ht="12.75">
      <c r="A21" s="157">
        <v>16</v>
      </c>
      <c r="B21" s="158">
        <v>1376.56</v>
      </c>
      <c r="C21" s="159">
        <v>960.65</v>
      </c>
      <c r="D21" s="158">
        <f t="shared" si="0"/>
        <v>2337.21</v>
      </c>
      <c r="E21" s="250"/>
      <c r="F21" s="250"/>
    </row>
    <row r="22" spans="1:6" ht="12.75">
      <c r="A22" s="157">
        <v>17</v>
      </c>
      <c r="B22" s="158">
        <v>1392.85</v>
      </c>
      <c r="C22" s="159">
        <v>944.36</v>
      </c>
      <c r="D22" s="158">
        <f t="shared" si="0"/>
        <v>2337.21</v>
      </c>
      <c r="E22" s="250"/>
      <c r="F22" s="250"/>
    </row>
    <row r="23" spans="1:6" ht="12.75">
      <c r="A23" s="157">
        <v>18</v>
      </c>
      <c r="B23" s="158">
        <v>1409.33</v>
      </c>
      <c r="C23" s="159">
        <v>927.88</v>
      </c>
      <c r="D23" s="158">
        <f t="shared" si="0"/>
        <v>2337.21</v>
      </c>
      <c r="E23" s="250"/>
      <c r="F23" s="250"/>
    </row>
    <row r="24" spans="1:6" ht="12.75">
      <c r="A24" s="157">
        <v>19</v>
      </c>
      <c r="B24" s="158">
        <v>1426.01</v>
      </c>
      <c r="C24" s="159">
        <v>911.2</v>
      </c>
      <c r="D24" s="158">
        <f t="shared" si="0"/>
        <v>2337.21</v>
      </c>
      <c r="E24" s="250"/>
      <c r="F24" s="250"/>
    </row>
    <row r="25" spans="1:6" ht="12.75">
      <c r="A25" s="157">
        <v>20</v>
      </c>
      <c r="B25" s="158">
        <v>1442.88</v>
      </c>
      <c r="C25" s="159">
        <v>894.33</v>
      </c>
      <c r="D25" s="158">
        <f t="shared" si="0"/>
        <v>2337.21</v>
      </c>
      <c r="E25" s="250"/>
      <c r="F25" s="250"/>
    </row>
    <row r="26" spans="1:6" ht="12.75">
      <c r="A26" s="157">
        <v>21</v>
      </c>
      <c r="B26" s="158">
        <v>1459.95</v>
      </c>
      <c r="C26" s="159">
        <v>877.26</v>
      </c>
      <c r="D26" s="158">
        <f t="shared" si="0"/>
        <v>2337.21</v>
      </c>
      <c r="E26" s="250"/>
      <c r="F26" s="250"/>
    </row>
    <row r="27" spans="1:6" ht="12.75">
      <c r="A27" s="157">
        <v>22</v>
      </c>
      <c r="B27" s="158">
        <v>1477.23</v>
      </c>
      <c r="C27" s="159">
        <v>859.98</v>
      </c>
      <c r="D27" s="158">
        <f t="shared" si="0"/>
        <v>2337.21</v>
      </c>
      <c r="E27" s="250"/>
      <c r="F27" s="250"/>
    </row>
    <row r="28" spans="1:6" ht="12.75">
      <c r="A28" s="157">
        <v>23</v>
      </c>
      <c r="B28" s="158">
        <v>1494.71</v>
      </c>
      <c r="C28" s="159">
        <v>842.5</v>
      </c>
      <c r="D28" s="158">
        <f t="shared" si="0"/>
        <v>2337.21</v>
      </c>
      <c r="E28" s="250"/>
      <c r="F28" s="250"/>
    </row>
    <row r="29" spans="1:6" ht="12.75">
      <c r="A29" s="157">
        <v>24</v>
      </c>
      <c r="B29" s="158">
        <v>1512.4</v>
      </c>
      <c r="C29" s="159">
        <v>824.81</v>
      </c>
      <c r="D29" s="158">
        <f t="shared" si="0"/>
        <v>2337.21</v>
      </c>
      <c r="E29" s="251">
        <f>SUM(B18:B29)</f>
        <v>17025.75</v>
      </c>
      <c r="F29" s="251">
        <f>SUM(C18:C29)</f>
        <v>11020.769999999999</v>
      </c>
    </row>
    <row r="30" spans="1:6" ht="12.75">
      <c r="A30" s="157">
        <v>25</v>
      </c>
      <c r="B30" s="158">
        <v>1530.29</v>
      </c>
      <c r="C30" s="159">
        <v>806.92</v>
      </c>
      <c r="D30" s="158">
        <f t="shared" si="0"/>
        <v>2337.21</v>
      </c>
      <c r="E30" s="250"/>
      <c r="F30" s="250"/>
    </row>
    <row r="31" spans="1:6" ht="12.75">
      <c r="A31" s="157">
        <v>26</v>
      </c>
      <c r="B31" s="158">
        <v>1548.4</v>
      </c>
      <c r="C31" s="159">
        <v>788.81</v>
      </c>
      <c r="D31" s="158">
        <f t="shared" si="0"/>
        <v>2337.21</v>
      </c>
      <c r="E31" s="250"/>
      <c r="F31" s="250"/>
    </row>
    <row r="32" spans="1:6" ht="12.75">
      <c r="A32" s="157">
        <v>27</v>
      </c>
      <c r="B32" s="158">
        <v>1566.73</v>
      </c>
      <c r="C32" s="159">
        <v>770.48</v>
      </c>
      <c r="D32" s="158">
        <f t="shared" si="0"/>
        <v>2337.21</v>
      </c>
      <c r="E32" s="250"/>
      <c r="F32" s="250"/>
    </row>
    <row r="33" spans="1:6" ht="12.75">
      <c r="A33" s="157">
        <v>28</v>
      </c>
      <c r="B33" s="158">
        <v>1585.27</v>
      </c>
      <c r="C33" s="159">
        <v>751.94</v>
      </c>
      <c r="D33" s="158">
        <f t="shared" si="0"/>
        <v>2337.21</v>
      </c>
      <c r="E33" s="250"/>
      <c r="F33" s="250"/>
    </row>
    <row r="34" spans="1:6" ht="12.75">
      <c r="A34" s="157">
        <v>29</v>
      </c>
      <c r="B34" s="158">
        <v>1604.02</v>
      </c>
      <c r="C34" s="159">
        <v>733.19</v>
      </c>
      <c r="D34" s="158">
        <f t="shared" si="0"/>
        <v>2337.21</v>
      </c>
      <c r="E34" s="250"/>
      <c r="F34" s="250"/>
    </row>
    <row r="35" spans="1:6" ht="12.75">
      <c r="A35" s="157">
        <v>30</v>
      </c>
      <c r="B35" s="158">
        <v>1623.01</v>
      </c>
      <c r="C35" s="159">
        <v>714.2</v>
      </c>
      <c r="D35" s="158">
        <f t="shared" si="0"/>
        <v>2337.21</v>
      </c>
      <c r="E35" s="250"/>
      <c r="F35" s="250"/>
    </row>
    <row r="36" spans="1:6" ht="12.75">
      <c r="A36" s="157">
        <v>31</v>
      </c>
      <c r="B36" s="158">
        <v>1642.21</v>
      </c>
      <c r="C36" s="159">
        <v>695</v>
      </c>
      <c r="D36" s="158">
        <f t="shared" si="0"/>
        <v>2337.21</v>
      </c>
      <c r="E36" s="250"/>
      <c r="F36" s="250"/>
    </row>
    <row r="37" spans="1:6" ht="12.75">
      <c r="A37" s="157">
        <v>32</v>
      </c>
      <c r="B37" s="158">
        <v>1661.64</v>
      </c>
      <c r="C37" s="159">
        <v>675.57</v>
      </c>
      <c r="D37" s="158">
        <f t="shared" si="0"/>
        <v>2337.21</v>
      </c>
      <c r="E37" s="250"/>
      <c r="F37" s="250"/>
    </row>
    <row r="38" spans="1:6" ht="12.75">
      <c r="A38" s="157">
        <v>33</v>
      </c>
      <c r="B38" s="158">
        <v>1681.31</v>
      </c>
      <c r="C38" s="159">
        <v>655.9</v>
      </c>
      <c r="D38" s="158">
        <f t="shared" si="0"/>
        <v>2337.21</v>
      </c>
      <c r="E38" s="250"/>
      <c r="F38" s="250"/>
    </row>
    <row r="39" spans="1:6" ht="12.75">
      <c r="A39" s="157">
        <v>34</v>
      </c>
      <c r="B39" s="158">
        <v>1701.2</v>
      </c>
      <c r="C39" s="159">
        <v>636.01</v>
      </c>
      <c r="D39" s="158">
        <f t="shared" si="0"/>
        <v>2337.21</v>
      </c>
      <c r="E39" s="250"/>
      <c r="F39" s="250"/>
    </row>
    <row r="40" spans="1:6" ht="12.75">
      <c r="A40" s="157">
        <v>35</v>
      </c>
      <c r="B40" s="158">
        <v>1721.33</v>
      </c>
      <c r="C40" s="159">
        <v>615.88</v>
      </c>
      <c r="D40" s="158">
        <f t="shared" si="0"/>
        <v>2337.21</v>
      </c>
      <c r="E40" s="250"/>
      <c r="F40" s="250"/>
    </row>
    <row r="41" spans="1:6" ht="12.75">
      <c r="A41" s="157">
        <v>36</v>
      </c>
      <c r="B41" s="158">
        <v>1741.7</v>
      </c>
      <c r="C41" s="159">
        <v>595.51</v>
      </c>
      <c r="D41" s="158">
        <f t="shared" si="0"/>
        <v>2337.21</v>
      </c>
      <c r="E41" s="251">
        <f>SUM(B30:B41)</f>
        <v>19607.11</v>
      </c>
      <c r="F41" s="251">
        <f>SUM(C30:C41)</f>
        <v>8439.41</v>
      </c>
    </row>
    <row r="42" spans="1:6" ht="12.75">
      <c r="A42" s="157">
        <v>37</v>
      </c>
      <c r="B42" s="158">
        <v>1762.31</v>
      </c>
      <c r="C42" s="159">
        <v>574.9</v>
      </c>
      <c r="D42" s="158">
        <f t="shared" si="0"/>
        <v>2337.21</v>
      </c>
      <c r="E42" s="250"/>
      <c r="F42" s="250"/>
    </row>
    <row r="43" spans="1:6" ht="12.75">
      <c r="A43" s="157">
        <v>38</v>
      </c>
      <c r="B43" s="158">
        <v>1783.17</v>
      </c>
      <c r="C43" s="159">
        <v>554.04</v>
      </c>
      <c r="D43" s="158">
        <f t="shared" si="0"/>
        <v>2337.21</v>
      </c>
      <c r="E43" s="250"/>
      <c r="F43" s="250"/>
    </row>
    <row r="44" spans="1:6" ht="12.75">
      <c r="A44" s="157">
        <v>39</v>
      </c>
      <c r="B44" s="158">
        <v>1804.27</v>
      </c>
      <c r="C44" s="159">
        <v>532.94</v>
      </c>
      <c r="D44" s="158">
        <f t="shared" si="0"/>
        <v>2337.21</v>
      </c>
      <c r="E44" s="250"/>
      <c r="F44" s="250"/>
    </row>
    <row r="45" spans="1:6" ht="12.75">
      <c r="A45" s="157">
        <v>40</v>
      </c>
      <c r="B45" s="158">
        <v>1825.62</v>
      </c>
      <c r="C45" s="159">
        <v>511.59</v>
      </c>
      <c r="D45" s="158">
        <f t="shared" si="0"/>
        <v>2337.21</v>
      </c>
      <c r="E45" s="250"/>
      <c r="F45" s="250"/>
    </row>
    <row r="46" spans="1:6" ht="12.75">
      <c r="A46" s="157">
        <v>41</v>
      </c>
      <c r="B46" s="158">
        <v>1847.22</v>
      </c>
      <c r="C46" s="159">
        <v>489.99</v>
      </c>
      <c r="D46" s="158">
        <f t="shared" si="0"/>
        <v>2337.21</v>
      </c>
      <c r="E46" s="250"/>
      <c r="F46" s="250"/>
    </row>
    <row r="47" spans="1:6" ht="12.75">
      <c r="A47" s="157">
        <v>42</v>
      </c>
      <c r="B47" s="158">
        <v>1869.08</v>
      </c>
      <c r="C47" s="159">
        <v>468.13</v>
      </c>
      <c r="D47" s="158">
        <f t="shared" si="0"/>
        <v>2337.21</v>
      </c>
      <c r="E47" s="250"/>
      <c r="F47" s="250"/>
    </row>
    <row r="48" spans="1:6" ht="12.75">
      <c r="A48" s="157">
        <v>43</v>
      </c>
      <c r="B48" s="158">
        <v>1891.2</v>
      </c>
      <c r="C48" s="159">
        <v>446.01</v>
      </c>
      <c r="D48" s="158">
        <f t="shared" si="0"/>
        <v>2337.21</v>
      </c>
      <c r="E48" s="250"/>
      <c r="F48" s="250"/>
    </row>
    <row r="49" spans="1:6" ht="12.75">
      <c r="A49" s="157">
        <v>44</v>
      </c>
      <c r="B49" s="158">
        <v>1913.58</v>
      </c>
      <c r="C49" s="159">
        <v>423.63</v>
      </c>
      <c r="D49" s="158">
        <f t="shared" si="0"/>
        <v>2337.21</v>
      </c>
      <c r="E49" s="250"/>
      <c r="F49" s="250"/>
    </row>
    <row r="50" spans="1:6" ht="12.75">
      <c r="A50" s="157">
        <v>45</v>
      </c>
      <c r="B50" s="158">
        <v>1936.22</v>
      </c>
      <c r="C50" s="159">
        <v>400.99</v>
      </c>
      <c r="D50" s="158">
        <f t="shared" si="0"/>
        <v>2337.21</v>
      </c>
      <c r="E50" s="250"/>
      <c r="F50" s="250"/>
    </row>
    <row r="51" spans="1:6" ht="12.75">
      <c r="A51" s="157">
        <v>46</v>
      </c>
      <c r="B51" s="158">
        <v>1959.13</v>
      </c>
      <c r="C51" s="159">
        <v>378.08</v>
      </c>
      <c r="D51" s="158">
        <f t="shared" si="0"/>
        <v>2337.21</v>
      </c>
      <c r="E51" s="250"/>
      <c r="F51" s="250"/>
    </row>
    <row r="52" spans="1:6" ht="12.75">
      <c r="A52" s="157">
        <v>47</v>
      </c>
      <c r="B52" s="158">
        <v>1982.31</v>
      </c>
      <c r="C52" s="159">
        <v>354.9</v>
      </c>
      <c r="D52" s="158">
        <f t="shared" si="0"/>
        <v>2337.21</v>
      </c>
      <c r="E52" s="250"/>
      <c r="F52" s="250"/>
    </row>
    <row r="53" spans="1:6" ht="12.75">
      <c r="A53" s="157">
        <v>48</v>
      </c>
      <c r="B53" s="158">
        <v>2005.77</v>
      </c>
      <c r="C53" s="159">
        <v>331.44</v>
      </c>
      <c r="D53" s="158">
        <f t="shared" si="0"/>
        <v>2337.21</v>
      </c>
      <c r="E53" s="251">
        <f>SUM(B42:B53)</f>
        <v>22579.880000000005</v>
      </c>
      <c r="F53" s="251">
        <f>SUM(C42:C53)</f>
        <v>5466.639999999999</v>
      </c>
    </row>
    <row r="54" spans="1:6" ht="12.75">
      <c r="A54" s="157">
        <v>49</v>
      </c>
      <c r="B54" s="158">
        <v>2029.51</v>
      </c>
      <c r="C54" s="159">
        <v>307.7</v>
      </c>
      <c r="D54" s="158">
        <f t="shared" si="0"/>
        <v>2337.21</v>
      </c>
      <c r="E54" s="250"/>
      <c r="F54" s="250"/>
    </row>
    <row r="55" spans="1:6" ht="12.75">
      <c r="A55" s="157">
        <v>50</v>
      </c>
      <c r="B55" s="158">
        <v>2053.52</v>
      </c>
      <c r="C55" s="159">
        <v>283.69</v>
      </c>
      <c r="D55" s="158">
        <f t="shared" si="0"/>
        <v>2337.21</v>
      </c>
      <c r="E55" s="250"/>
      <c r="F55" s="250"/>
    </row>
    <row r="56" spans="1:6" ht="12.75">
      <c r="A56" s="157">
        <v>51</v>
      </c>
      <c r="B56" s="158">
        <v>2077.82</v>
      </c>
      <c r="C56" s="159">
        <v>259.39</v>
      </c>
      <c r="D56" s="158">
        <f t="shared" si="0"/>
        <v>2337.21</v>
      </c>
      <c r="E56" s="250"/>
      <c r="F56" s="250"/>
    </row>
    <row r="57" spans="1:6" ht="12.75">
      <c r="A57" s="157">
        <v>52</v>
      </c>
      <c r="B57" s="158">
        <v>2102.41</v>
      </c>
      <c r="C57" s="159">
        <v>234.8</v>
      </c>
      <c r="D57" s="158">
        <f t="shared" si="0"/>
        <v>2337.21</v>
      </c>
      <c r="E57" s="250"/>
      <c r="F57" s="250"/>
    </row>
    <row r="58" spans="1:6" ht="12.75">
      <c r="A58" s="157">
        <v>53</v>
      </c>
      <c r="B58" s="158">
        <v>2127.29</v>
      </c>
      <c r="C58" s="159">
        <v>209.92</v>
      </c>
      <c r="D58" s="158">
        <f t="shared" si="0"/>
        <v>2337.21</v>
      </c>
      <c r="E58" s="250"/>
      <c r="F58" s="250"/>
    </row>
    <row r="59" spans="1:6" ht="12.75">
      <c r="A59" s="157">
        <v>54</v>
      </c>
      <c r="B59" s="158">
        <v>2152.46</v>
      </c>
      <c r="C59" s="159">
        <v>184.75</v>
      </c>
      <c r="D59" s="158">
        <f t="shared" si="0"/>
        <v>2337.21</v>
      </c>
      <c r="E59" s="250"/>
      <c r="F59" s="250"/>
    </row>
    <row r="60" spans="1:6" ht="12.75">
      <c r="A60" s="157">
        <v>55</v>
      </c>
      <c r="B60" s="158">
        <v>2177.93</v>
      </c>
      <c r="C60" s="159">
        <v>159.28</v>
      </c>
      <c r="D60" s="158">
        <f t="shared" si="0"/>
        <v>2337.21</v>
      </c>
      <c r="E60" s="250"/>
      <c r="F60" s="250"/>
    </row>
    <row r="61" spans="1:6" ht="12.75">
      <c r="A61" s="157">
        <v>56</v>
      </c>
      <c r="B61" s="158">
        <v>2203.7</v>
      </c>
      <c r="C61" s="159">
        <v>133.51</v>
      </c>
      <c r="D61" s="158">
        <f t="shared" si="0"/>
        <v>2337.21</v>
      </c>
      <c r="E61" s="250"/>
      <c r="F61" s="250"/>
    </row>
    <row r="62" spans="1:6" ht="12.75">
      <c r="A62" s="157">
        <v>57</v>
      </c>
      <c r="B62" s="158">
        <v>2229.78</v>
      </c>
      <c r="C62" s="159">
        <v>107.43</v>
      </c>
      <c r="D62" s="158">
        <f t="shared" si="0"/>
        <v>2337.21</v>
      </c>
      <c r="E62" s="250"/>
      <c r="F62" s="250"/>
    </row>
    <row r="63" spans="1:6" ht="12.75">
      <c r="A63" s="157">
        <v>58</v>
      </c>
      <c r="B63" s="158">
        <v>2256.17</v>
      </c>
      <c r="C63" s="159">
        <v>81.04</v>
      </c>
      <c r="D63" s="158">
        <f t="shared" si="0"/>
        <v>2337.21</v>
      </c>
      <c r="E63" s="250"/>
      <c r="F63" s="250"/>
    </row>
    <row r="64" spans="1:6" ht="12.75">
      <c r="A64" s="157">
        <v>59</v>
      </c>
      <c r="B64" s="158">
        <v>2282.87</v>
      </c>
      <c r="C64" s="159">
        <v>54.34</v>
      </c>
      <c r="D64" s="158">
        <f t="shared" si="0"/>
        <v>2337.21</v>
      </c>
      <c r="E64" s="250"/>
      <c r="F64" s="250"/>
    </row>
    <row r="65" spans="1:6" ht="12.75">
      <c r="A65" s="157">
        <v>60</v>
      </c>
      <c r="B65" s="158">
        <v>2309.6</v>
      </c>
      <c r="C65" s="159">
        <v>27.33</v>
      </c>
      <c r="D65" s="158">
        <f t="shared" si="0"/>
        <v>2336.93</v>
      </c>
      <c r="E65" s="251">
        <f>SUM(B54:B65)</f>
        <v>26003.059999999994</v>
      </c>
      <c r="F65" s="251">
        <f>SUM(C54:C65)</f>
        <v>2043.1799999999998</v>
      </c>
    </row>
    <row r="66" spans="1:6" ht="13.5" thickBot="1">
      <c r="A66" s="160"/>
      <c r="B66" s="161">
        <f>SUM(B6:B65)</f>
        <v>99999.99999999999</v>
      </c>
      <c r="C66" s="162"/>
      <c r="D66" s="163"/>
      <c r="E66" s="250"/>
      <c r="F66" s="250"/>
    </row>
    <row r="67" spans="1:6" ht="12.75">
      <c r="A67" s="252"/>
      <c r="B67" s="251"/>
      <c r="C67" s="251"/>
      <c r="D67" s="251"/>
      <c r="E67" s="250"/>
      <c r="F67" s="250"/>
    </row>
    <row r="68" spans="1:6" ht="12.75">
      <c r="A68" s="252"/>
      <c r="B68" s="251"/>
      <c r="C68" s="251"/>
      <c r="D68" s="251"/>
      <c r="E68" s="250"/>
      <c r="F68" s="250"/>
    </row>
    <row r="69" spans="1:6" ht="12.75">
      <c r="A69" s="252"/>
      <c r="B69" s="251"/>
      <c r="C69" s="251"/>
      <c r="D69" s="251"/>
      <c r="E69" s="250"/>
      <c r="F69" s="250"/>
    </row>
  </sheetData>
  <sheetProtection/>
  <mergeCells count="2">
    <mergeCell ref="A3:F3"/>
    <mergeCell ref="A4:F4"/>
  </mergeCells>
  <printOptions/>
  <pageMargins left="1.968503937007874" right="0.7480314960629921" top="0.984251968503937" bottom="0.98425196850393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5:G34"/>
  <sheetViews>
    <sheetView zoomScalePageLayoutView="0" workbookViewId="0" topLeftCell="A1">
      <selection activeCell="C5" sqref="C5:G5"/>
    </sheetView>
  </sheetViews>
  <sheetFormatPr defaultColWidth="11.421875" defaultRowHeight="12.75"/>
  <sheetData>
    <row r="5" spans="3:7" ht="15.75">
      <c r="C5" s="299" t="s">
        <v>277</v>
      </c>
      <c r="D5" s="299"/>
      <c r="E5" s="299"/>
      <c r="F5" s="299"/>
      <c r="G5" s="299"/>
    </row>
    <row r="8" spans="4:6" ht="12.75">
      <c r="D8" s="310"/>
      <c r="E8" s="310"/>
      <c r="F8" s="310"/>
    </row>
    <row r="9" spans="4:6" ht="12.75">
      <c r="D9" s="310" t="s">
        <v>273</v>
      </c>
      <c r="E9" s="310"/>
      <c r="F9" s="310"/>
    </row>
    <row r="10" spans="4:6" ht="12.75">
      <c r="D10" s="310" t="s">
        <v>274</v>
      </c>
      <c r="E10" s="310"/>
      <c r="F10" s="310"/>
    </row>
    <row r="11" spans="4:6" ht="12.75">
      <c r="D11" s="238"/>
      <c r="E11" s="238"/>
      <c r="F11" s="238"/>
    </row>
    <row r="12" spans="4:6" ht="12.75">
      <c r="D12" s="247" t="s">
        <v>20</v>
      </c>
      <c r="E12" s="247" t="s">
        <v>269</v>
      </c>
      <c r="F12" s="247" t="s">
        <v>275</v>
      </c>
    </row>
    <row r="13" spans="4:6" ht="12.75">
      <c r="D13" s="248">
        <v>2004</v>
      </c>
      <c r="E13" s="240">
        <v>54288.52</v>
      </c>
      <c r="F13" s="240"/>
    </row>
    <row r="14" spans="4:6" ht="12.75">
      <c r="D14" s="248">
        <v>2005</v>
      </c>
      <c r="E14" s="240">
        <v>63209.45</v>
      </c>
      <c r="F14" s="240">
        <f>+(E14-E13)/E13</f>
        <v>0.1643244280742964</v>
      </c>
    </row>
    <row r="15" spans="4:6" ht="12.75">
      <c r="D15" s="248">
        <v>2006</v>
      </c>
      <c r="E15" s="239">
        <v>37200</v>
      </c>
      <c r="F15" s="240">
        <f>(E15-E14)/E14</f>
        <v>-0.4114804036421769</v>
      </c>
    </row>
    <row r="16" spans="4:6" ht="12.75">
      <c r="D16" s="240"/>
      <c r="E16" s="240"/>
      <c r="F16" s="240"/>
    </row>
    <row r="17" spans="4:6" ht="12.75">
      <c r="D17" s="238"/>
      <c r="E17" s="238"/>
      <c r="F17" s="238"/>
    </row>
    <row r="18" spans="4:6" ht="12.75">
      <c r="D18" s="238" t="s">
        <v>272</v>
      </c>
      <c r="E18" s="238"/>
      <c r="F18" s="238">
        <f>+F14+F15/2</f>
        <v>-0.04141577374679206</v>
      </c>
    </row>
    <row r="19" spans="4:6" ht="12.75">
      <c r="D19" s="238" t="s">
        <v>276</v>
      </c>
      <c r="E19" s="238"/>
      <c r="F19" s="249">
        <f>F18</f>
        <v>-0.04141577374679206</v>
      </c>
    </row>
    <row r="20" spans="4:6" ht="12.75">
      <c r="D20" s="238"/>
      <c r="E20" s="238"/>
      <c r="F20" s="238"/>
    </row>
    <row r="22" spans="4:6" ht="12.75">
      <c r="D22" s="310"/>
      <c r="E22" s="310"/>
      <c r="F22" s="310"/>
    </row>
    <row r="23" spans="4:6" ht="12.75">
      <c r="D23" s="310" t="s">
        <v>278</v>
      </c>
      <c r="E23" s="310"/>
      <c r="F23" s="310"/>
    </row>
    <row r="24" spans="4:6" ht="12.75">
      <c r="D24" s="310" t="s">
        <v>274</v>
      </c>
      <c r="E24" s="310"/>
      <c r="F24" s="310"/>
    </row>
    <row r="25" spans="4:6" ht="12.75">
      <c r="D25" s="238"/>
      <c r="E25" s="238"/>
      <c r="F25" s="238"/>
    </row>
    <row r="26" spans="4:6" ht="12.75">
      <c r="D26" s="240" t="s">
        <v>20</v>
      </c>
      <c r="E26" s="240" t="s">
        <v>269</v>
      </c>
      <c r="F26" s="240" t="s">
        <v>275</v>
      </c>
    </row>
    <row r="27" spans="4:6" ht="12.75">
      <c r="D27" s="240">
        <v>2004</v>
      </c>
      <c r="E27" s="240">
        <v>124804.96</v>
      </c>
      <c r="F27" s="240"/>
    </row>
    <row r="28" spans="4:6" ht="12.75">
      <c r="D28" s="240">
        <v>2005</v>
      </c>
      <c r="E28" s="240">
        <v>115801.75</v>
      </c>
      <c r="F28" s="240">
        <v>-0.07213823873666564</v>
      </c>
    </row>
    <row r="29" spans="4:6" ht="12.75">
      <c r="D29" s="240">
        <v>2006</v>
      </c>
      <c r="E29" s="240">
        <v>67551.79</v>
      </c>
      <c r="F29" s="240">
        <v>-0.41666002456784984</v>
      </c>
    </row>
    <row r="30" spans="4:6" ht="12.75">
      <c r="D30" s="240"/>
      <c r="E30" s="240"/>
      <c r="F30" s="240"/>
    </row>
    <row r="31" spans="4:6" ht="12.75">
      <c r="D31" s="238"/>
      <c r="E31" s="238"/>
      <c r="F31" s="238"/>
    </row>
    <row r="32" spans="4:6" ht="12.75">
      <c r="D32" s="238" t="s">
        <v>272</v>
      </c>
      <c r="E32" s="238"/>
      <c r="F32" s="238">
        <v>-0.2804682510205906</v>
      </c>
    </row>
    <row r="33" spans="4:6" ht="12.75">
      <c r="D33" s="238" t="s">
        <v>276</v>
      </c>
      <c r="E33" s="238"/>
      <c r="F33" s="249">
        <v>-0.2804682510205906</v>
      </c>
    </row>
    <row r="34" spans="4:6" ht="12.75">
      <c r="D34" s="226"/>
      <c r="E34" s="226"/>
      <c r="F34" s="226"/>
    </row>
  </sheetData>
  <sheetProtection/>
  <mergeCells count="7">
    <mergeCell ref="D22:F22"/>
    <mergeCell ref="D23:F23"/>
    <mergeCell ref="D24:F24"/>
    <mergeCell ref="C5:G5"/>
    <mergeCell ref="D8:F8"/>
    <mergeCell ref="D9:F9"/>
    <mergeCell ref="D10:F10"/>
  </mergeCell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1" sqref="A1:E1"/>
    </sheetView>
  </sheetViews>
  <sheetFormatPr defaultColWidth="11.421875" defaultRowHeight="12.75"/>
  <cols>
    <col min="1" max="1" width="41.28125" style="0" customWidth="1"/>
    <col min="2" max="2" width="12.140625" style="0" bestFit="1" customWidth="1"/>
    <col min="3" max="3" width="12.00390625" style="0" customWidth="1"/>
    <col min="4" max="4" width="13.8515625" style="0" customWidth="1"/>
    <col min="5" max="5" width="14.8515625" style="0" bestFit="1" customWidth="1"/>
  </cols>
  <sheetData>
    <row r="1" spans="1:5" ht="12.75">
      <c r="A1" s="310" t="s">
        <v>279</v>
      </c>
      <c r="B1" s="310"/>
      <c r="C1" s="310"/>
      <c r="D1" s="310"/>
      <c r="E1" s="310"/>
    </row>
    <row r="2" spans="1:5" ht="16.5" customHeight="1">
      <c r="A2" s="311" t="s">
        <v>29</v>
      </c>
      <c r="B2" s="311"/>
      <c r="C2" s="311"/>
      <c r="D2" s="311"/>
      <c r="E2" s="311"/>
    </row>
    <row r="3" spans="1:5" ht="5.25" customHeight="1" thickBot="1">
      <c r="A3" s="22"/>
      <c r="B3" s="22"/>
      <c r="C3" s="22"/>
      <c r="D3" s="22"/>
      <c r="E3" s="22"/>
    </row>
    <row r="4" spans="1:5" ht="26.25" thickBot="1">
      <c r="A4" s="23" t="s">
        <v>27</v>
      </c>
      <c r="B4" s="24" t="s">
        <v>23</v>
      </c>
      <c r="C4" s="25" t="s">
        <v>24</v>
      </c>
      <c r="D4" s="24" t="s">
        <v>25</v>
      </c>
      <c r="E4" s="26" t="s">
        <v>26</v>
      </c>
    </row>
    <row r="5" spans="1:6" ht="12.75">
      <c r="A5" s="21" t="s">
        <v>12</v>
      </c>
      <c r="B5" s="30">
        <v>42500</v>
      </c>
      <c r="C5" s="27">
        <v>20</v>
      </c>
      <c r="D5" s="30">
        <f>B5*19%</f>
        <v>8075</v>
      </c>
      <c r="E5" s="31">
        <f>(B5-D5)/C5</f>
        <v>1721.25</v>
      </c>
      <c r="F5" s="1"/>
    </row>
    <row r="6" spans="1:6" ht="12.75">
      <c r="A6" s="19" t="s">
        <v>13</v>
      </c>
      <c r="B6" s="32">
        <v>25764.39</v>
      </c>
      <c r="C6" s="28">
        <v>5</v>
      </c>
      <c r="D6" s="32">
        <f>B6*20%</f>
        <v>5152.878000000001</v>
      </c>
      <c r="E6" s="33">
        <f>(B6-D6)/C6</f>
        <v>4122.3024</v>
      </c>
      <c r="F6" s="1"/>
    </row>
    <row r="7" spans="1:6" ht="12.75">
      <c r="A7" s="19" t="s">
        <v>21</v>
      </c>
      <c r="B7" s="32">
        <v>9983.83</v>
      </c>
      <c r="C7" s="28">
        <v>3</v>
      </c>
      <c r="D7" s="32">
        <f>B7*33%</f>
        <v>3294.6639</v>
      </c>
      <c r="E7" s="33">
        <f>(B7-D7)/C7</f>
        <v>2229.7220333333335</v>
      </c>
      <c r="F7" s="1"/>
    </row>
    <row r="8" spans="1:6" ht="12.75">
      <c r="A8" s="19" t="s">
        <v>14</v>
      </c>
      <c r="B8" s="32">
        <v>10839.83</v>
      </c>
      <c r="C8" s="28">
        <v>10</v>
      </c>
      <c r="D8" s="32">
        <f>B8*10%</f>
        <v>1083.983</v>
      </c>
      <c r="E8" s="33">
        <f>(B8-D8)/C8</f>
        <v>975.5847</v>
      </c>
      <c r="F8" s="1"/>
    </row>
    <row r="9" spans="1:6" ht="13.5" thickBot="1">
      <c r="A9" s="20" t="s">
        <v>22</v>
      </c>
      <c r="B9" s="34">
        <f>(180*8)+70</f>
        <v>1510</v>
      </c>
      <c r="C9" s="29">
        <v>10</v>
      </c>
      <c r="D9" s="34">
        <f>B9*10%</f>
        <v>151</v>
      </c>
      <c r="E9" s="35">
        <f>(B9-D9)/C9</f>
        <v>135.9</v>
      </c>
      <c r="F9" s="1"/>
    </row>
    <row r="10" spans="2:6" ht="13.5" thickBot="1">
      <c r="B10" s="18"/>
      <c r="C10" s="312" t="s">
        <v>28</v>
      </c>
      <c r="D10" s="313"/>
      <c r="E10" s="36">
        <f>SUM(E5:E9)</f>
        <v>9184.759133333333</v>
      </c>
      <c r="F10" s="1"/>
    </row>
    <row r="11" spans="1:7" ht="12.75">
      <c r="A11" t="s">
        <v>30</v>
      </c>
      <c r="F11" s="1"/>
      <c r="G11" s="1"/>
    </row>
    <row r="19" spans="1:2" ht="17.25">
      <c r="A19" s="2" t="s">
        <v>15</v>
      </c>
      <c r="B19" s="3">
        <v>3316</v>
      </c>
    </row>
    <row r="20" spans="1:2" ht="17.25">
      <c r="A20" s="2" t="s">
        <v>16</v>
      </c>
      <c r="B20" s="3">
        <v>8120</v>
      </c>
    </row>
    <row r="21" spans="1:2" ht="17.25">
      <c r="A21" s="2" t="s">
        <v>17</v>
      </c>
      <c r="B21" s="3">
        <v>33570</v>
      </c>
    </row>
    <row r="22" spans="1:2" ht="17.25">
      <c r="A22" s="2"/>
      <c r="B22" s="3"/>
    </row>
    <row r="27" spans="1:2" ht="17.25">
      <c r="A27" s="2" t="s">
        <v>18</v>
      </c>
      <c r="B27" s="3">
        <v>12750</v>
      </c>
    </row>
    <row r="28" spans="1:2" ht="17.25">
      <c r="A28" s="2" t="s">
        <v>19</v>
      </c>
      <c r="B28" s="3">
        <v>29750</v>
      </c>
    </row>
    <row r="29" spans="1:2" ht="17.25">
      <c r="A29" s="2" t="s">
        <v>15</v>
      </c>
      <c r="B29" s="3">
        <v>10839.62</v>
      </c>
    </row>
    <row r="30" spans="1:2" ht="17.25">
      <c r="A30" s="2" t="s">
        <v>16</v>
      </c>
      <c r="B30" s="3">
        <v>9983.83</v>
      </c>
    </row>
    <row r="31" spans="1:2" ht="17.25">
      <c r="A31" s="2" t="s">
        <v>17</v>
      </c>
      <c r="B31" s="3">
        <v>25764.39</v>
      </c>
    </row>
    <row r="32" spans="1:2" ht="17.25">
      <c r="A32" s="2"/>
      <c r="B32" s="3"/>
    </row>
  </sheetData>
  <sheetProtection/>
  <mergeCells count="3">
    <mergeCell ref="A1:E1"/>
    <mergeCell ref="A2:E2"/>
    <mergeCell ref="C10:D10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Alcivar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Sauces</dc:creator>
  <cp:keywords/>
  <dc:description/>
  <cp:lastModifiedBy>CARGOSUR</cp:lastModifiedBy>
  <cp:lastPrinted>2008-01-12T14:23:12Z</cp:lastPrinted>
  <dcterms:created xsi:type="dcterms:W3CDTF">2007-08-04T10:56:27Z</dcterms:created>
  <dcterms:modified xsi:type="dcterms:W3CDTF">2008-02-28T15:35:00Z</dcterms:modified>
  <cp:category/>
  <cp:version/>
  <cp:contentType/>
  <cp:contentStatus/>
</cp:coreProperties>
</file>