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900" activeTab="4"/>
  </bookViews>
  <sheets>
    <sheet name="Sheet1" sheetId="1" r:id="rId1"/>
    <sheet name="soft" sheetId="2" r:id="rId2"/>
    <sheet name="diaphragm" sheetId="3" r:id="rId3"/>
    <sheet name="grav.col." sheetId="4" r:id="rId4"/>
    <sheet name="periods" sheetId="5" r:id="rId5"/>
  </sheets>
  <definedNames>
    <definedName name="_xlnm.Print_Area" localSheetId="2">'diaphragm'!$A$4:$M$51</definedName>
    <definedName name="_xlnm.Print_Area" localSheetId="0">'Sheet1'!$A$91:$L$222</definedName>
  </definedNames>
  <calcPr calcMode="manual" fullCalcOnLoad="1"/>
</workbook>
</file>

<file path=xl/sharedStrings.xml><?xml version="1.0" encoding="utf-8"?>
<sst xmlns="http://schemas.openxmlformats.org/spreadsheetml/2006/main" count="738" uniqueCount="295">
  <si>
    <t>INPUT DATA</t>
  </si>
  <si>
    <t>ft</t>
  </si>
  <si>
    <t>Floor</t>
  </si>
  <si>
    <t>V =</t>
  </si>
  <si>
    <t>Kips</t>
  </si>
  <si>
    <t>k =</t>
  </si>
  <si>
    <t>Kips*ft</t>
  </si>
  <si>
    <r>
      <t>Kips*s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/in</t>
    </r>
  </si>
  <si>
    <t xml:space="preserve"> -------------</t>
  </si>
  <si>
    <r>
      <t>h</t>
    </r>
    <r>
      <rPr>
        <b/>
        <vertAlign val="subscript"/>
        <sz val="10"/>
        <rFont val="Arial"/>
        <family val="0"/>
      </rPr>
      <t>x</t>
    </r>
  </si>
  <si>
    <r>
      <t>W</t>
    </r>
    <r>
      <rPr>
        <b/>
        <vertAlign val="subscript"/>
        <sz val="10"/>
        <rFont val="Arial"/>
        <family val="0"/>
      </rPr>
      <t>x</t>
    </r>
  </si>
  <si>
    <r>
      <t>W</t>
    </r>
    <r>
      <rPr>
        <b/>
        <vertAlign val="subscript"/>
        <sz val="10"/>
        <rFont val="Arial"/>
        <family val="0"/>
      </rPr>
      <t>i</t>
    </r>
    <r>
      <rPr>
        <b/>
        <sz val="10"/>
        <rFont val="Arial"/>
        <family val="0"/>
      </rPr>
      <t>h</t>
    </r>
    <r>
      <rPr>
        <b/>
        <vertAlign val="subscript"/>
        <sz val="10"/>
        <rFont val="Arial"/>
        <family val="0"/>
      </rPr>
      <t>i</t>
    </r>
    <r>
      <rPr>
        <b/>
        <vertAlign val="superscript"/>
        <sz val="10"/>
        <rFont val="Arial"/>
        <family val="0"/>
      </rPr>
      <t>k</t>
    </r>
  </si>
  <si>
    <r>
      <t>C</t>
    </r>
    <r>
      <rPr>
        <b/>
        <vertAlign val="subscript"/>
        <sz val="10"/>
        <rFont val="Arial"/>
        <family val="0"/>
      </rPr>
      <t>vx</t>
    </r>
  </si>
  <si>
    <r>
      <t>F</t>
    </r>
    <r>
      <rPr>
        <b/>
        <vertAlign val="subscript"/>
        <sz val="10"/>
        <rFont val="Arial"/>
        <family val="0"/>
      </rPr>
      <t>x</t>
    </r>
  </si>
  <si>
    <t>TABLE TO COMPUTE DEAD WEIGHT OF THE BUILDING</t>
  </si>
  <si>
    <t>A</t>
  </si>
  <si>
    <r>
      <t>ft</t>
    </r>
    <r>
      <rPr>
        <b/>
        <vertAlign val="superscript"/>
        <sz val="10"/>
        <rFont val="Arial"/>
        <family val="0"/>
      </rPr>
      <t>2</t>
    </r>
  </si>
  <si>
    <t>L =</t>
  </si>
  <si>
    <t>ft.</t>
  </si>
  <si>
    <t>B =</t>
  </si>
  <si>
    <r>
      <t>A</t>
    </r>
    <r>
      <rPr>
        <b/>
        <vertAlign val="subscript"/>
        <sz val="10"/>
        <rFont val="Arial"/>
        <family val="0"/>
      </rPr>
      <t>o</t>
    </r>
  </si>
  <si>
    <r>
      <t>A-A</t>
    </r>
    <r>
      <rPr>
        <b/>
        <vertAlign val="subscript"/>
        <sz val="10"/>
        <rFont val="Arial"/>
        <family val="0"/>
      </rPr>
      <t>o</t>
    </r>
  </si>
  <si>
    <r>
      <t>w</t>
    </r>
    <r>
      <rPr>
        <b/>
        <vertAlign val="subscript"/>
        <sz val="10"/>
        <rFont val="Arial"/>
        <family val="0"/>
      </rPr>
      <t>D</t>
    </r>
  </si>
  <si>
    <r>
      <t>W</t>
    </r>
    <r>
      <rPr>
        <b/>
        <vertAlign val="subscript"/>
        <sz val="10"/>
        <rFont val="Arial"/>
        <family val="0"/>
      </rPr>
      <t>D</t>
    </r>
  </si>
  <si>
    <r>
      <t>S</t>
    </r>
    <r>
      <rPr>
        <b/>
        <sz val="10"/>
        <rFont val="Arial"/>
        <family val="0"/>
      </rPr>
      <t>W</t>
    </r>
    <r>
      <rPr>
        <b/>
        <vertAlign val="subscript"/>
        <sz val="10"/>
        <rFont val="Arial"/>
        <family val="0"/>
      </rPr>
      <t xml:space="preserve">D </t>
    </r>
    <r>
      <rPr>
        <b/>
        <sz val="10"/>
        <rFont val="Arial"/>
        <family val="0"/>
      </rPr>
      <t>=</t>
    </r>
  </si>
  <si>
    <r>
      <t>S</t>
    </r>
    <r>
      <rPr>
        <b/>
        <sz val="10"/>
        <rFont val="Arial"/>
        <family val="0"/>
      </rPr>
      <t>W</t>
    </r>
    <r>
      <rPr>
        <b/>
        <vertAlign val="subscript"/>
        <sz val="10"/>
        <rFont val="Arial"/>
        <family val="0"/>
      </rPr>
      <t xml:space="preserve">Df </t>
    </r>
    <r>
      <rPr>
        <b/>
        <sz val="10"/>
        <rFont val="Arial"/>
        <family val="0"/>
      </rPr>
      <t>=</t>
    </r>
  </si>
  <si>
    <t xml:space="preserve">       Columns weight computation</t>
  </si>
  <si>
    <t xml:space="preserve">       Floor dead weight computation</t>
  </si>
  <si>
    <t>W14x233</t>
  </si>
  <si>
    <t>W14x398</t>
  </si>
  <si>
    <t>W14x426</t>
  </si>
  <si>
    <t>psf</t>
  </si>
  <si>
    <t>Section</t>
  </si>
  <si>
    <t>n</t>
  </si>
  <si>
    <t xml:space="preserve">           Exterior Columns</t>
  </si>
  <si>
    <t xml:space="preserve">           Interior Columns</t>
  </si>
  <si>
    <r>
      <t>S</t>
    </r>
    <r>
      <rPr>
        <b/>
        <sz val="10"/>
        <rFont val="Arial"/>
        <family val="0"/>
      </rPr>
      <t>W</t>
    </r>
    <r>
      <rPr>
        <b/>
        <vertAlign val="subscript"/>
        <sz val="10"/>
        <rFont val="Arial"/>
        <family val="0"/>
      </rPr>
      <t xml:space="preserve">Dc </t>
    </r>
    <r>
      <rPr>
        <b/>
        <sz val="10"/>
        <rFont val="Arial"/>
        <family val="0"/>
      </rPr>
      <t>=</t>
    </r>
  </si>
  <si>
    <t>Story</t>
  </si>
  <si>
    <t xml:space="preserve">       Beams weight computation</t>
  </si>
  <si>
    <t xml:space="preserve">           Exterior Beams</t>
  </si>
  <si>
    <t>W24x62</t>
  </si>
  <si>
    <t>W30x99</t>
  </si>
  <si>
    <t>W30x108</t>
  </si>
  <si>
    <t>W36x150</t>
  </si>
  <si>
    <t>W36x160</t>
  </si>
  <si>
    <r>
      <t>L</t>
    </r>
    <r>
      <rPr>
        <b/>
        <vertAlign val="subscript"/>
        <sz val="10"/>
        <rFont val="Arial"/>
        <family val="0"/>
      </rPr>
      <t>e</t>
    </r>
  </si>
  <si>
    <r>
      <t>L</t>
    </r>
    <r>
      <rPr>
        <b/>
        <vertAlign val="subscript"/>
        <sz val="10"/>
        <rFont val="Arial"/>
        <family val="0"/>
      </rPr>
      <t>i</t>
    </r>
  </si>
  <si>
    <r>
      <t>S</t>
    </r>
    <r>
      <rPr>
        <b/>
        <sz val="10"/>
        <rFont val="Arial"/>
        <family val="0"/>
      </rPr>
      <t>W</t>
    </r>
    <r>
      <rPr>
        <b/>
        <vertAlign val="subscript"/>
        <sz val="10"/>
        <rFont val="Arial"/>
        <family val="0"/>
      </rPr>
      <t xml:space="preserve">Db </t>
    </r>
    <r>
      <rPr>
        <b/>
        <sz val="10"/>
        <rFont val="Arial"/>
        <family val="0"/>
      </rPr>
      <t>=</t>
    </r>
  </si>
  <si>
    <r>
      <t>m</t>
    </r>
    <r>
      <rPr>
        <b/>
        <vertAlign val="subscript"/>
        <sz val="10"/>
        <rFont val="Arial"/>
        <family val="0"/>
      </rPr>
      <t>f</t>
    </r>
  </si>
  <si>
    <r>
      <t>m</t>
    </r>
    <r>
      <rPr>
        <b/>
        <vertAlign val="subscript"/>
        <sz val="10"/>
        <rFont val="Arial"/>
        <family val="0"/>
      </rPr>
      <t>b</t>
    </r>
  </si>
  <si>
    <r>
      <t>m</t>
    </r>
    <r>
      <rPr>
        <b/>
        <vertAlign val="subscript"/>
        <sz val="10"/>
        <rFont val="Arial"/>
        <family val="0"/>
      </rPr>
      <t>c</t>
    </r>
  </si>
  <si>
    <r>
      <t>S</t>
    </r>
    <r>
      <rPr>
        <b/>
        <sz val="10"/>
        <rFont val="Arial"/>
        <family val="0"/>
      </rPr>
      <t>m</t>
    </r>
    <r>
      <rPr>
        <b/>
        <vertAlign val="subscript"/>
        <sz val="10"/>
        <rFont val="Arial"/>
        <family val="0"/>
      </rPr>
      <t xml:space="preserve"> </t>
    </r>
  </si>
  <si>
    <t>plf</t>
  </si>
  <si>
    <r>
      <t>S</t>
    </r>
    <r>
      <rPr>
        <b/>
        <sz val="10"/>
        <rFont val="Arial"/>
        <family val="0"/>
      </rPr>
      <t>m/2</t>
    </r>
  </si>
  <si>
    <r>
      <t>C</t>
    </r>
    <r>
      <rPr>
        <b/>
        <vertAlign val="subscript"/>
        <sz val="10"/>
        <rFont val="Arial"/>
        <family val="0"/>
      </rPr>
      <t>s</t>
    </r>
    <r>
      <rPr>
        <b/>
        <sz val="10"/>
        <rFont val="Arial"/>
        <family val="0"/>
      </rPr>
      <t xml:space="preserve"> =</t>
    </r>
  </si>
  <si>
    <t>R =</t>
  </si>
  <si>
    <t xml:space="preserve">Response Modification Factor </t>
  </si>
  <si>
    <r>
      <t>I</t>
    </r>
    <r>
      <rPr>
        <b/>
        <vertAlign val="subscript"/>
        <sz val="10"/>
        <rFont val="Arial"/>
        <family val="0"/>
      </rPr>
      <t>E</t>
    </r>
    <r>
      <rPr>
        <b/>
        <sz val="10"/>
        <rFont val="Arial"/>
        <family val="0"/>
      </rPr>
      <t xml:space="preserve"> =</t>
    </r>
  </si>
  <si>
    <t>Occupancy Importance Factor</t>
  </si>
  <si>
    <t>(Section 1616.2)</t>
  </si>
  <si>
    <t>Seismic Hazard Exposure Group</t>
  </si>
  <si>
    <t>I</t>
  </si>
  <si>
    <t>Soil Profile Type</t>
  </si>
  <si>
    <t>Seismic Design Category</t>
  </si>
  <si>
    <t>D</t>
  </si>
  <si>
    <t>(Section 1616.3)</t>
  </si>
  <si>
    <t>(Table 1615.1.3)</t>
  </si>
  <si>
    <t>(Table 1615.1.1)</t>
  </si>
  <si>
    <t>(Table 1604.5)</t>
  </si>
  <si>
    <t>Spectral response acceleration factors</t>
  </si>
  <si>
    <r>
      <t>S</t>
    </r>
    <r>
      <rPr>
        <b/>
        <vertAlign val="subscript"/>
        <sz val="10"/>
        <rFont val="Arial"/>
        <family val="0"/>
      </rPr>
      <t>s</t>
    </r>
    <r>
      <rPr>
        <b/>
        <sz val="10"/>
        <rFont val="Arial"/>
        <family val="0"/>
      </rPr>
      <t xml:space="preserve"> =</t>
    </r>
  </si>
  <si>
    <t>Mapped Short Period Spectral Response Acceleration</t>
  </si>
  <si>
    <t>Mapped Spectral Response Acceleration at 1 second</t>
  </si>
  <si>
    <r>
      <t>S</t>
    </r>
    <r>
      <rPr>
        <b/>
        <vertAlign val="subscript"/>
        <sz val="10"/>
        <rFont val="Arial"/>
        <family val="0"/>
      </rPr>
      <t>I</t>
    </r>
    <r>
      <rPr>
        <b/>
        <sz val="10"/>
        <rFont val="Arial"/>
        <family val="0"/>
      </rPr>
      <t xml:space="preserve"> =</t>
    </r>
  </si>
  <si>
    <t>Site Coefficient</t>
  </si>
  <si>
    <r>
      <t>F</t>
    </r>
    <r>
      <rPr>
        <b/>
        <vertAlign val="subscript"/>
        <sz val="10"/>
        <rFont val="Arial"/>
        <family val="0"/>
      </rPr>
      <t>a</t>
    </r>
    <r>
      <rPr>
        <b/>
        <sz val="10"/>
        <rFont val="Arial"/>
        <family val="0"/>
      </rPr>
      <t xml:space="preserve"> =</t>
    </r>
  </si>
  <si>
    <r>
      <t>F</t>
    </r>
    <r>
      <rPr>
        <b/>
        <vertAlign val="subscript"/>
        <sz val="10"/>
        <rFont val="Arial"/>
        <family val="0"/>
      </rPr>
      <t>v</t>
    </r>
    <r>
      <rPr>
        <b/>
        <sz val="10"/>
        <rFont val="Arial"/>
        <family val="0"/>
      </rPr>
      <t xml:space="preserve"> =</t>
    </r>
  </si>
  <si>
    <t>(Section 1615.2.2)</t>
  </si>
  <si>
    <t>(Table 1615.1.2(1))</t>
  </si>
  <si>
    <t>(Table 1615.1.2(2))</t>
  </si>
  <si>
    <t>Max. Considered EQ Spectral Response Acceleration for Short Periods</t>
  </si>
  <si>
    <r>
      <t>S</t>
    </r>
    <r>
      <rPr>
        <b/>
        <vertAlign val="subscript"/>
        <sz val="10"/>
        <rFont val="Arial"/>
        <family val="0"/>
      </rPr>
      <t>MS</t>
    </r>
    <r>
      <rPr>
        <b/>
        <sz val="10"/>
        <rFont val="Arial"/>
        <family val="0"/>
      </rPr>
      <t xml:space="preserve"> =</t>
    </r>
  </si>
  <si>
    <r>
      <t>S</t>
    </r>
    <r>
      <rPr>
        <b/>
        <vertAlign val="subscript"/>
        <sz val="10"/>
        <rFont val="Arial"/>
        <family val="0"/>
      </rPr>
      <t xml:space="preserve">MI </t>
    </r>
    <r>
      <rPr>
        <b/>
        <sz val="10"/>
        <rFont val="Arial"/>
        <family val="0"/>
      </rPr>
      <t>=</t>
    </r>
  </si>
  <si>
    <t>Max. Considered EQ Spectral Response Acceleration at 1 sec. Period</t>
  </si>
  <si>
    <t>Design EQ Spectral Response Acceleration for Short Periods</t>
  </si>
  <si>
    <t>Design EQ Spectral Response Acceleration at 1 sec. Period</t>
  </si>
  <si>
    <r>
      <t>S</t>
    </r>
    <r>
      <rPr>
        <b/>
        <vertAlign val="subscript"/>
        <sz val="10"/>
        <rFont val="Arial"/>
        <family val="0"/>
      </rPr>
      <t>DS</t>
    </r>
    <r>
      <rPr>
        <b/>
        <sz val="10"/>
        <rFont val="Arial"/>
        <family val="0"/>
      </rPr>
      <t xml:space="preserve"> =</t>
    </r>
  </si>
  <si>
    <r>
      <t>S</t>
    </r>
    <r>
      <rPr>
        <b/>
        <vertAlign val="subscript"/>
        <sz val="10"/>
        <rFont val="Arial"/>
        <family val="0"/>
      </rPr>
      <t xml:space="preserve">DI </t>
    </r>
    <r>
      <rPr>
        <b/>
        <sz val="10"/>
        <rFont val="Arial"/>
        <family val="0"/>
      </rPr>
      <t>=</t>
    </r>
  </si>
  <si>
    <t>(Section 1615.1.2)</t>
  </si>
  <si>
    <t>(Section 1615.1.3)</t>
  </si>
  <si>
    <t>Building factors</t>
  </si>
  <si>
    <t>Design spectral response acceleration parameters</t>
  </si>
  <si>
    <t>Seismic Response Coefficients</t>
  </si>
  <si>
    <r>
      <t>C</t>
    </r>
    <r>
      <rPr>
        <b/>
        <vertAlign val="subscript"/>
        <sz val="10"/>
        <rFont val="Arial"/>
        <family val="0"/>
      </rPr>
      <t xml:space="preserve">s </t>
    </r>
    <r>
      <rPr>
        <b/>
        <sz val="10"/>
        <rFont val="Arial"/>
        <family val="0"/>
      </rPr>
      <t>=</t>
    </r>
  </si>
  <si>
    <r>
      <t>C</t>
    </r>
    <r>
      <rPr>
        <b/>
        <vertAlign val="subscript"/>
        <sz val="10"/>
        <rFont val="Arial"/>
        <family val="0"/>
      </rPr>
      <t xml:space="preserve">smax </t>
    </r>
    <r>
      <rPr>
        <b/>
        <sz val="10"/>
        <rFont val="Arial"/>
        <family val="0"/>
      </rPr>
      <t>=</t>
    </r>
  </si>
  <si>
    <r>
      <t>T</t>
    </r>
    <r>
      <rPr>
        <b/>
        <sz val="10"/>
        <rFont val="Arial"/>
        <family val="0"/>
      </rPr>
      <t xml:space="preserve"> =</t>
    </r>
  </si>
  <si>
    <t>sec</t>
  </si>
  <si>
    <t>Approximate fundamental period</t>
  </si>
  <si>
    <t>Fundamental period by structural analysis</t>
  </si>
  <si>
    <t>Fundamental period computation</t>
  </si>
  <si>
    <t>Number of stories</t>
  </si>
  <si>
    <t>N =</t>
  </si>
  <si>
    <r>
      <t>C</t>
    </r>
    <r>
      <rPr>
        <b/>
        <vertAlign val="subscript"/>
        <sz val="10"/>
        <rFont val="Arial"/>
        <family val="0"/>
      </rPr>
      <t>T</t>
    </r>
    <r>
      <rPr>
        <b/>
        <sz val="10"/>
        <rFont val="Arial"/>
        <family val="0"/>
      </rPr>
      <t xml:space="preserve"> =</t>
    </r>
  </si>
  <si>
    <r>
      <t>C</t>
    </r>
    <r>
      <rPr>
        <b/>
        <vertAlign val="subscript"/>
        <sz val="10"/>
        <rFont val="Arial"/>
        <family val="0"/>
      </rPr>
      <t>u</t>
    </r>
    <r>
      <rPr>
        <b/>
        <sz val="10"/>
        <rFont val="Arial"/>
        <family val="0"/>
      </rPr>
      <t xml:space="preserve"> =</t>
    </r>
  </si>
  <si>
    <t>Coefficient for upper limit on calculated period</t>
  </si>
  <si>
    <t>Building period coefficient</t>
  </si>
  <si>
    <r>
      <t>h</t>
    </r>
    <r>
      <rPr>
        <b/>
        <vertAlign val="subscript"/>
        <sz val="10"/>
        <rFont val="Arial"/>
        <family val="0"/>
      </rPr>
      <t>n</t>
    </r>
    <r>
      <rPr>
        <b/>
        <sz val="10"/>
        <rFont val="Arial"/>
        <family val="0"/>
      </rPr>
      <t xml:space="preserve"> =</t>
    </r>
  </si>
  <si>
    <t>Height above the base to the highest level of the building</t>
  </si>
  <si>
    <r>
      <t>T</t>
    </r>
    <r>
      <rPr>
        <b/>
        <vertAlign val="subscript"/>
        <sz val="10"/>
        <rFont val="Arial"/>
        <family val="0"/>
      </rPr>
      <t>amax</t>
    </r>
    <r>
      <rPr>
        <b/>
        <sz val="10"/>
        <rFont val="Arial"/>
        <family val="0"/>
      </rPr>
      <t xml:space="preserve"> =</t>
    </r>
  </si>
  <si>
    <r>
      <t>T</t>
    </r>
    <r>
      <rPr>
        <b/>
        <vertAlign val="subscript"/>
        <sz val="10"/>
        <rFont val="Arial"/>
        <family val="0"/>
      </rPr>
      <t>amin</t>
    </r>
    <r>
      <rPr>
        <b/>
        <sz val="10"/>
        <rFont val="Arial"/>
        <family val="0"/>
      </rPr>
      <t xml:space="preserve"> =</t>
    </r>
  </si>
  <si>
    <t>Use :</t>
  </si>
  <si>
    <t>(Eq. 16-40)</t>
  </si>
  <si>
    <t>(Eq. 16-39)</t>
  </si>
  <si>
    <r>
      <t>C</t>
    </r>
    <r>
      <rPr>
        <b/>
        <vertAlign val="subscript"/>
        <sz val="10"/>
        <rFont val="Arial"/>
        <family val="0"/>
      </rPr>
      <t xml:space="preserve">smin </t>
    </r>
    <r>
      <rPr>
        <b/>
        <sz val="10"/>
        <rFont val="Arial"/>
        <family val="0"/>
      </rPr>
      <t>=</t>
    </r>
  </si>
  <si>
    <t>Buidling dimensions</t>
  </si>
  <si>
    <t xml:space="preserve">       Total Mass computation per floor</t>
  </si>
  <si>
    <r>
      <t>m</t>
    </r>
    <r>
      <rPr>
        <b/>
        <vertAlign val="subscript"/>
        <sz val="10"/>
        <rFont val="Arial"/>
        <family val="0"/>
      </rPr>
      <t>ext</t>
    </r>
  </si>
  <si>
    <r>
      <t>m</t>
    </r>
    <r>
      <rPr>
        <b/>
        <vertAlign val="subscript"/>
        <sz val="10"/>
        <rFont val="Arial"/>
        <family val="0"/>
      </rPr>
      <t>int</t>
    </r>
  </si>
  <si>
    <r>
      <t>F</t>
    </r>
    <r>
      <rPr>
        <b/>
        <vertAlign val="subscript"/>
        <sz val="10"/>
        <rFont val="Arial"/>
        <family val="0"/>
      </rPr>
      <t>xn</t>
    </r>
  </si>
  <si>
    <t xml:space="preserve">       Floor dead and live weight computation</t>
  </si>
  <si>
    <r>
      <t>w</t>
    </r>
    <r>
      <rPr>
        <b/>
        <vertAlign val="subscript"/>
        <sz val="10"/>
        <rFont val="Arial"/>
        <family val="0"/>
      </rPr>
      <t>L</t>
    </r>
  </si>
  <si>
    <t>L</t>
  </si>
  <si>
    <r>
      <t>L</t>
    </r>
    <r>
      <rPr>
        <b/>
        <vertAlign val="subscript"/>
        <sz val="10"/>
        <rFont val="Arial"/>
        <family val="2"/>
      </rPr>
      <t>min</t>
    </r>
  </si>
  <si>
    <t>Live Load Reduction Factors</t>
  </si>
  <si>
    <r>
      <t>R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=</t>
    </r>
  </si>
  <si>
    <r>
      <t>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</si>
  <si>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L</t>
    </r>
  </si>
  <si>
    <r>
      <t>W</t>
    </r>
    <r>
      <rPr>
        <b/>
        <vertAlign val="subscript"/>
        <sz val="10"/>
        <rFont val="Arial"/>
        <family val="2"/>
      </rPr>
      <t>T</t>
    </r>
  </si>
  <si>
    <r>
      <t>S</t>
    </r>
    <r>
      <rPr>
        <b/>
        <sz val="10"/>
        <rFont val="Arial"/>
        <family val="0"/>
      </rPr>
      <t>W</t>
    </r>
    <r>
      <rPr>
        <b/>
        <vertAlign val="subscript"/>
        <sz val="10"/>
        <rFont val="Arial"/>
        <family val="0"/>
      </rPr>
      <t xml:space="preserve">D+L </t>
    </r>
    <r>
      <rPr>
        <b/>
        <sz val="10"/>
        <rFont val="Arial"/>
        <family val="0"/>
      </rPr>
      <t>=</t>
    </r>
  </si>
  <si>
    <r>
      <t>S</t>
    </r>
    <r>
      <rPr>
        <b/>
        <sz val="10"/>
        <rFont val="Arial"/>
        <family val="0"/>
      </rPr>
      <t>W</t>
    </r>
    <r>
      <rPr>
        <b/>
        <vertAlign val="subscript"/>
        <sz val="10"/>
        <rFont val="Arial"/>
        <family val="0"/>
      </rPr>
      <t xml:space="preserve"> </t>
    </r>
    <r>
      <rPr>
        <b/>
        <sz val="10"/>
        <rFont val="Arial"/>
        <family val="0"/>
      </rPr>
      <t>=</t>
    </r>
  </si>
  <si>
    <r>
      <t>W</t>
    </r>
    <r>
      <rPr>
        <b/>
        <vertAlign val="subscript"/>
        <sz val="10"/>
        <rFont val="Arial"/>
        <family val="0"/>
      </rPr>
      <t>b</t>
    </r>
  </si>
  <si>
    <r>
      <t>W</t>
    </r>
    <r>
      <rPr>
        <b/>
        <vertAlign val="subscript"/>
        <sz val="10"/>
        <rFont val="Arial"/>
        <family val="0"/>
      </rPr>
      <t>c</t>
    </r>
  </si>
  <si>
    <r>
      <t>S</t>
    </r>
    <r>
      <rPr>
        <b/>
        <sz val="10"/>
        <rFont val="Arial"/>
        <family val="0"/>
      </rPr>
      <t>W/2</t>
    </r>
  </si>
  <si>
    <t>b =</t>
  </si>
  <si>
    <r>
      <t>d</t>
    </r>
    <r>
      <rPr>
        <b/>
        <vertAlign val="subscript"/>
        <sz val="10"/>
        <rFont val="Arial"/>
        <family val="0"/>
      </rPr>
      <t>c</t>
    </r>
  </si>
  <si>
    <t>in</t>
  </si>
  <si>
    <r>
      <t>d</t>
    </r>
    <r>
      <rPr>
        <b/>
        <vertAlign val="subscript"/>
        <sz val="10"/>
        <rFont val="Arial"/>
        <family val="0"/>
      </rPr>
      <t>b</t>
    </r>
  </si>
  <si>
    <t>s</t>
  </si>
  <si>
    <t>a</t>
  </si>
  <si>
    <t>b</t>
  </si>
  <si>
    <t>s-2*a</t>
  </si>
  <si>
    <t>c</t>
  </si>
  <si>
    <t>L/2-s</t>
  </si>
  <si>
    <r>
      <t>P</t>
    </r>
    <r>
      <rPr>
        <b/>
        <vertAlign val="subscript"/>
        <sz val="10"/>
        <rFont val="Arial"/>
        <family val="2"/>
      </rPr>
      <t>1</t>
    </r>
  </si>
  <si>
    <r>
      <t>P</t>
    </r>
    <r>
      <rPr>
        <b/>
        <vertAlign val="subscript"/>
        <sz val="10"/>
        <rFont val="Arial"/>
        <family val="2"/>
      </rPr>
      <t>2</t>
    </r>
  </si>
  <si>
    <r>
      <t>P</t>
    </r>
    <r>
      <rPr>
        <b/>
        <vertAlign val="subscript"/>
        <sz val="10"/>
        <rFont val="Arial"/>
        <family val="2"/>
      </rPr>
      <t>3</t>
    </r>
  </si>
  <si>
    <t>n =</t>
  </si>
  <si>
    <r>
      <t>F</t>
    </r>
    <r>
      <rPr>
        <b/>
        <vertAlign val="subscript"/>
        <sz val="10"/>
        <rFont val="Arial"/>
        <family val="0"/>
      </rPr>
      <t>xn</t>
    </r>
    <r>
      <rPr>
        <b/>
        <sz val="10"/>
        <rFont val="Arial"/>
        <family val="2"/>
      </rPr>
      <t>/n</t>
    </r>
  </si>
  <si>
    <r>
      <t>S</t>
    </r>
    <r>
      <rPr>
        <b/>
        <sz val="10"/>
        <rFont val="Arial"/>
        <family val="2"/>
      </rPr>
      <t>W</t>
    </r>
  </si>
  <si>
    <t>W14x61</t>
  </si>
  <si>
    <t>W14x109</t>
  </si>
  <si>
    <r>
      <t>T</t>
    </r>
    <r>
      <rPr>
        <b/>
        <vertAlign val="subscript"/>
        <sz val="10"/>
        <rFont val="Arial"/>
        <family val="0"/>
      </rPr>
      <t>a</t>
    </r>
    <r>
      <rPr>
        <b/>
        <sz val="10"/>
        <rFont val="Arial"/>
        <family val="0"/>
      </rPr>
      <t xml:space="preserve"> =</t>
    </r>
  </si>
  <si>
    <t>Total Dead Weight of the Building</t>
  </si>
  <si>
    <t>Building factor</t>
  </si>
  <si>
    <t>East dir.</t>
  </si>
  <si>
    <t>West dir.</t>
  </si>
  <si>
    <t>W18x60</t>
  </si>
  <si>
    <t>W12x26</t>
  </si>
  <si>
    <t>W18x86</t>
  </si>
  <si>
    <t>W12x35</t>
  </si>
  <si>
    <t xml:space="preserve">           Exterior Girders</t>
  </si>
  <si>
    <t xml:space="preserve">           Gravity Beams</t>
  </si>
  <si>
    <r>
      <t>a</t>
    </r>
    <r>
      <rPr>
        <b/>
        <vertAlign val="subscript"/>
        <sz val="10"/>
        <rFont val="Arial"/>
        <family val="0"/>
      </rPr>
      <t>ext</t>
    </r>
  </si>
  <si>
    <r>
      <t>a</t>
    </r>
    <r>
      <rPr>
        <b/>
        <vertAlign val="subscript"/>
        <sz val="10"/>
        <rFont val="Arial"/>
        <family val="0"/>
      </rPr>
      <t>int</t>
    </r>
  </si>
  <si>
    <t xml:space="preserve">          Gravity Columns</t>
  </si>
  <si>
    <t xml:space="preserve">       Total Mass computation per node (six story frame)</t>
  </si>
  <si>
    <t>TABLE TO COMPUTE THE LATERAL FORCES FOR THE SIX-STORY FRAME</t>
  </si>
  <si>
    <t>IBC 2000 Provisions</t>
  </si>
  <si>
    <t>SEISMIC DESIGN RESPONSE COEFFICIENT COMPUTATION</t>
  </si>
  <si>
    <r>
      <t>w</t>
    </r>
    <r>
      <rPr>
        <b/>
        <vertAlign val="subscript"/>
        <sz val="10"/>
        <rFont val="Arial"/>
        <family val="0"/>
      </rPr>
      <t xml:space="preserve">D </t>
    </r>
    <r>
      <rPr>
        <b/>
        <sz val="10"/>
        <rFont val="Arial"/>
        <family val="2"/>
      </rPr>
      <t>=</t>
    </r>
  </si>
  <si>
    <r>
      <t>w</t>
    </r>
    <r>
      <rPr>
        <b/>
        <vertAlign val="subscript"/>
        <sz val="10"/>
        <rFont val="Arial"/>
        <family val="0"/>
      </rPr>
      <t>L</t>
    </r>
    <r>
      <rPr>
        <b/>
        <sz val="10"/>
        <rFont val="Arial"/>
        <family val="2"/>
      </rPr>
      <t xml:space="preserve"> =</t>
    </r>
  </si>
  <si>
    <t>Loads</t>
  </si>
  <si>
    <r>
      <t>w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=</t>
    </r>
  </si>
  <si>
    <t>Roof</t>
  </si>
  <si>
    <t xml:space="preserve">         First to fifth floors</t>
  </si>
  <si>
    <t xml:space="preserve">P  </t>
  </si>
  <si>
    <t>pounds</t>
  </si>
  <si>
    <t>P</t>
  </si>
  <si>
    <t>K</t>
  </si>
  <si>
    <t>TABLE TO COMPUTE GRAVITY LOAD ON LEANING COLUMN</t>
  </si>
  <si>
    <t xml:space="preserve">       Total Gravity Load on Leaning Column</t>
  </si>
  <si>
    <r>
      <t>W</t>
    </r>
    <r>
      <rPr>
        <b/>
        <vertAlign val="subscript"/>
        <sz val="10"/>
        <rFont val="Arial"/>
        <family val="0"/>
      </rPr>
      <t>cw</t>
    </r>
  </si>
  <si>
    <r>
      <t>W</t>
    </r>
    <r>
      <rPr>
        <b/>
        <vertAlign val="subscript"/>
        <sz val="10"/>
        <rFont val="Arial"/>
        <family val="0"/>
      </rPr>
      <t>p</t>
    </r>
  </si>
  <si>
    <t>Curtain wall</t>
  </si>
  <si>
    <t>Vert. Proy.</t>
  </si>
  <si>
    <t>Parapet</t>
  </si>
  <si>
    <t>pcf</t>
  </si>
  <si>
    <t>e=5"</t>
  </si>
  <si>
    <t>h=3'</t>
  </si>
  <si>
    <t>Roof:</t>
  </si>
  <si>
    <r>
      <t>P</t>
    </r>
    <r>
      <rPr>
        <b/>
        <vertAlign val="subscript"/>
        <sz val="10"/>
        <rFont val="Arial"/>
        <family val="2"/>
      </rPr>
      <t>c</t>
    </r>
  </si>
  <si>
    <t xml:space="preserve">        GRAVITY LOADS ON MOMENT RESISTING FRAMES</t>
  </si>
  <si>
    <r>
      <t>P</t>
    </r>
    <r>
      <rPr>
        <b/>
        <vertAlign val="subscript"/>
        <sz val="10"/>
        <rFont val="Arial"/>
        <family val="2"/>
      </rPr>
      <t>i</t>
    </r>
  </si>
  <si>
    <r>
      <t>P</t>
    </r>
    <r>
      <rPr>
        <b/>
        <vertAlign val="subscript"/>
        <sz val="10"/>
        <rFont val="Arial"/>
        <family val="2"/>
      </rPr>
      <t>e</t>
    </r>
  </si>
  <si>
    <t>Note:</t>
  </si>
  <si>
    <t>P1, P2, and P3 includes the self-weight of the girders</t>
  </si>
  <si>
    <r>
      <t>S</t>
    </r>
    <r>
      <rPr>
        <b/>
        <sz val="10"/>
        <rFont val="Arial"/>
        <family val="0"/>
      </rPr>
      <t>m/2 =</t>
    </r>
  </si>
  <si>
    <r>
      <t>S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e</t>
    </r>
  </si>
  <si>
    <t>Total Gravity Load on each column</t>
  </si>
  <si>
    <r>
      <t>S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i</t>
    </r>
  </si>
  <si>
    <r>
      <t>S</t>
    </r>
    <r>
      <rPr>
        <b/>
        <sz val="10"/>
        <rFont val="Arial"/>
        <family val="2"/>
      </rPr>
      <t>P</t>
    </r>
    <r>
      <rPr>
        <b/>
        <sz val="10"/>
        <rFont val="Symbol"/>
        <family val="1"/>
      </rPr>
      <t xml:space="preserve"> =</t>
    </r>
  </si>
  <si>
    <r>
      <t>S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T</t>
    </r>
    <r>
      <rPr>
        <b/>
        <sz val="10"/>
        <rFont val="Symbol"/>
        <family val="1"/>
      </rPr>
      <t xml:space="preserve"> =</t>
    </r>
  </si>
  <si>
    <r>
      <t>S</t>
    </r>
    <r>
      <rPr>
        <b/>
        <sz val="10"/>
        <rFont val="Arial"/>
        <family val="0"/>
      </rPr>
      <t>W+P</t>
    </r>
    <r>
      <rPr>
        <b/>
        <vertAlign val="subscript"/>
        <sz val="10"/>
        <rFont val="Arial"/>
        <family val="2"/>
      </rPr>
      <t>T</t>
    </r>
    <r>
      <rPr>
        <b/>
        <vertAlign val="subscript"/>
        <sz val="10"/>
        <rFont val="Arial"/>
        <family val="0"/>
      </rPr>
      <t xml:space="preserve"> </t>
    </r>
    <r>
      <rPr>
        <b/>
        <sz val="10"/>
        <rFont val="Arial"/>
        <family val="0"/>
      </rPr>
      <t>=</t>
    </r>
  </si>
  <si>
    <r>
      <t>T</t>
    </r>
    <r>
      <rPr>
        <b/>
        <sz val="10"/>
        <rFont val="Arial"/>
        <family val="0"/>
      </rPr>
      <t xml:space="preserve"> </t>
    </r>
  </si>
  <si>
    <t>S</t>
  </si>
  <si>
    <t>(sec)</t>
  </si>
  <si>
    <t>g.</t>
  </si>
  <si>
    <t>E</t>
  </si>
  <si>
    <t>Target Spectrum according to SAC Project</t>
  </si>
  <si>
    <r>
      <t>S</t>
    </r>
    <r>
      <rPr>
        <b/>
        <vertAlign val="subscript"/>
        <sz val="10"/>
        <rFont val="Arial"/>
        <family val="2"/>
      </rPr>
      <t>a</t>
    </r>
  </si>
  <si>
    <t>MCEQ</t>
  </si>
  <si>
    <t>DEQ</t>
  </si>
  <si>
    <t xml:space="preserve"> 2-50</t>
  </si>
  <si>
    <t xml:space="preserve"> 10-50</t>
  </si>
  <si>
    <t xml:space="preserve"> 50-50</t>
  </si>
  <si>
    <t>Table to compare response spectra: IBC-SAC</t>
  </si>
  <si>
    <t>T</t>
  </si>
  <si>
    <t>sec.</t>
  </si>
  <si>
    <t>PSA</t>
  </si>
  <si>
    <t>g</t>
  </si>
  <si>
    <t>ARTIFICIAL GROUND MOTION (10/50)</t>
  </si>
  <si>
    <r>
      <t>(</t>
    </r>
    <r>
      <rPr>
        <sz val="10"/>
        <rFont val="Symbol"/>
        <family val="1"/>
      </rPr>
      <t>S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  <r>
      <rPr>
        <sz val="10"/>
        <rFont val="Arial"/>
        <family val="0"/>
      </rPr>
      <t>w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)w</t>
    </r>
    <r>
      <rPr>
        <vertAlign val="subscript"/>
        <sz val="10"/>
        <rFont val="Arial"/>
        <family val="2"/>
      </rPr>
      <t>px</t>
    </r>
  </si>
  <si>
    <r>
      <t>w</t>
    </r>
    <r>
      <rPr>
        <b/>
        <vertAlign val="subscript"/>
        <sz val="10"/>
        <rFont val="Arial"/>
        <family val="0"/>
      </rPr>
      <t>px</t>
    </r>
  </si>
  <si>
    <r>
      <t>w</t>
    </r>
    <r>
      <rPr>
        <b/>
        <vertAlign val="subscript"/>
        <sz val="10"/>
        <rFont val="Arial"/>
        <family val="0"/>
      </rPr>
      <t>x</t>
    </r>
  </si>
  <si>
    <r>
      <t>F</t>
    </r>
    <r>
      <rPr>
        <b/>
        <vertAlign val="subscript"/>
        <sz val="10"/>
        <rFont val="Arial"/>
        <family val="2"/>
      </rPr>
      <t>px</t>
    </r>
    <r>
      <rPr>
        <b/>
        <sz val="10"/>
        <rFont val="Arial"/>
        <family val="2"/>
      </rPr>
      <t xml:space="preserve"> </t>
    </r>
  </si>
  <si>
    <r>
      <t>0.3S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I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w</t>
    </r>
    <r>
      <rPr>
        <vertAlign val="subscript"/>
        <sz val="10"/>
        <rFont val="Arial"/>
        <family val="2"/>
      </rPr>
      <t>px</t>
    </r>
  </si>
  <si>
    <t>(upper limit)</t>
  </si>
  <si>
    <r>
      <t>0.15S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I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w</t>
    </r>
    <r>
      <rPr>
        <vertAlign val="subscript"/>
        <sz val="10"/>
        <rFont val="Arial"/>
        <family val="2"/>
      </rPr>
      <t>px</t>
    </r>
  </si>
  <si>
    <t>(lower limit)</t>
  </si>
  <si>
    <r>
      <t>F</t>
    </r>
    <r>
      <rPr>
        <b/>
        <vertAlign val="subscript"/>
        <sz val="10"/>
        <rFont val="Arial"/>
        <family val="2"/>
      </rPr>
      <t>px</t>
    </r>
    <r>
      <rPr>
        <b/>
        <sz val="10"/>
        <rFont val="Arial"/>
        <family val="2"/>
      </rPr>
      <t xml:space="preserve"> =</t>
    </r>
  </si>
  <si>
    <r>
      <t>S</t>
    </r>
    <r>
      <rPr>
        <b/>
        <sz val="10"/>
        <rFont val="Arial"/>
        <family val="2"/>
      </rPr>
      <t>Fi</t>
    </r>
    <r>
      <rPr>
        <b/>
        <sz val="10"/>
        <rFont val="Symbol"/>
        <family val="1"/>
      </rPr>
      <t xml:space="preserve"> =</t>
    </r>
  </si>
  <si>
    <t>Upper limit</t>
  </si>
  <si>
    <t>Lower limit</t>
  </si>
  <si>
    <t>(Eq. 16-65)</t>
  </si>
  <si>
    <t>DIAPHRAGM SEISMIC FORCES (IBC 2000)</t>
  </si>
  <si>
    <t>DIAPHRAGM SEISMIC FORCES (UBC 1997)</t>
  </si>
  <si>
    <r>
      <t>(F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+</t>
    </r>
    <r>
      <rPr>
        <sz val="10"/>
        <rFont val="Symbol"/>
        <family val="1"/>
      </rPr>
      <t>S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  <r>
      <rPr>
        <sz val="10"/>
        <rFont val="Arial"/>
        <family val="0"/>
      </rPr>
      <t>w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)w</t>
    </r>
    <r>
      <rPr>
        <vertAlign val="subscript"/>
        <sz val="10"/>
        <rFont val="Arial"/>
        <family val="2"/>
      </rPr>
      <t>px</t>
    </r>
  </si>
  <si>
    <t>(Eq. 33-1)</t>
  </si>
  <si>
    <r>
      <t>1.0C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I</t>
    </r>
    <r>
      <rPr>
        <sz val="10"/>
        <rFont val="Arial"/>
        <family val="0"/>
      </rPr>
      <t>w</t>
    </r>
    <r>
      <rPr>
        <vertAlign val="subscript"/>
        <sz val="10"/>
        <rFont val="Arial"/>
        <family val="2"/>
      </rPr>
      <t>px</t>
    </r>
  </si>
  <si>
    <r>
      <t>0.5C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Iw</t>
    </r>
    <r>
      <rPr>
        <vertAlign val="subscript"/>
        <sz val="10"/>
        <rFont val="Arial"/>
        <family val="2"/>
      </rPr>
      <t>px</t>
    </r>
  </si>
  <si>
    <r>
      <t>F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</t>
    </r>
  </si>
  <si>
    <t>W</t>
  </si>
  <si>
    <r>
      <t>F</t>
    </r>
    <r>
      <rPr>
        <b/>
        <vertAlign val="subscript"/>
        <sz val="10"/>
        <rFont val="Arial"/>
        <family val="2"/>
      </rPr>
      <t>px</t>
    </r>
    <r>
      <rPr>
        <b/>
        <sz val="10"/>
        <rFont val="Arial"/>
        <family val="2"/>
      </rPr>
      <t>/W</t>
    </r>
  </si>
  <si>
    <r>
      <t>F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/W</t>
    </r>
  </si>
  <si>
    <r>
      <t>W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0"/>
      </rPr>
      <t>Q</t>
    </r>
    <r>
      <rPr>
        <b/>
        <vertAlign val="subscript"/>
        <sz val="10"/>
        <rFont val="Arial"/>
        <family val="2"/>
      </rPr>
      <t>E</t>
    </r>
  </si>
  <si>
    <r>
      <t>W</t>
    </r>
    <r>
      <rPr>
        <b/>
        <sz val="10"/>
        <rFont val="Arial"/>
        <family val="2"/>
      </rPr>
      <t>o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0"/>
      </rPr>
      <t>=</t>
    </r>
    <r>
      <rPr>
        <b/>
        <vertAlign val="subscript"/>
        <sz val="10"/>
        <rFont val="Arial"/>
        <family val="2"/>
      </rPr>
      <t xml:space="preserve"> </t>
    </r>
  </si>
  <si>
    <r>
      <t>E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0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</si>
  <si>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mx</t>
    </r>
    <r>
      <rPr>
        <b/>
        <sz val="10"/>
        <rFont val="Arial"/>
        <family val="0"/>
      </rPr>
      <t xml:space="preserve"> </t>
    </r>
  </si>
  <si>
    <t xml:space="preserve">Using Frame Seismic Forces but including overstrength factor </t>
  </si>
  <si>
    <t>Girders</t>
  </si>
  <si>
    <t>Columns</t>
  </si>
  <si>
    <t>Point Loads at each node to be input in Drain file for exterior coulmns and girders</t>
  </si>
  <si>
    <t>Point Loads at each node to be input in Drain file for interior columns and girders</t>
  </si>
  <si>
    <r>
      <t>S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2-4</t>
    </r>
  </si>
  <si>
    <r>
      <t>S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3</t>
    </r>
  </si>
  <si>
    <t>Old Model</t>
  </si>
  <si>
    <t>New Model</t>
  </si>
  <si>
    <r>
      <t>P</t>
    </r>
    <r>
      <rPr>
        <b/>
        <vertAlign val="subscript"/>
        <sz val="10"/>
        <rFont val="Arial"/>
        <family val="2"/>
      </rPr>
      <t>2-4</t>
    </r>
  </si>
  <si>
    <r>
      <t>n</t>
    </r>
    <r>
      <rPr>
        <b/>
        <vertAlign val="subscript"/>
        <sz val="10"/>
        <rFont val="Arial"/>
        <family val="2"/>
      </rPr>
      <t>ext</t>
    </r>
  </si>
  <si>
    <r>
      <t>n</t>
    </r>
    <r>
      <rPr>
        <b/>
        <vertAlign val="subscript"/>
        <sz val="10"/>
        <rFont val="Arial"/>
        <family val="2"/>
      </rPr>
      <t>int</t>
    </r>
  </si>
  <si>
    <r>
      <t>I</t>
    </r>
    <r>
      <rPr>
        <b/>
        <vertAlign val="subscript"/>
        <sz val="10"/>
        <rFont val="Arial"/>
        <family val="2"/>
      </rPr>
      <t>x</t>
    </r>
  </si>
  <si>
    <r>
      <t>in</t>
    </r>
    <r>
      <rPr>
        <b/>
        <vertAlign val="superscript"/>
        <sz val="10"/>
        <rFont val="Arial"/>
        <family val="2"/>
      </rPr>
      <t>4</t>
    </r>
  </si>
  <si>
    <r>
      <t>in</t>
    </r>
    <r>
      <rPr>
        <b/>
        <vertAlign val="superscript"/>
        <sz val="10"/>
        <rFont val="Arial"/>
        <family val="2"/>
      </rPr>
      <t>2</t>
    </r>
  </si>
  <si>
    <r>
      <t>S</t>
    </r>
    <r>
      <rPr>
        <b/>
        <sz val="10"/>
        <rFont val="Arial"/>
        <family val="0"/>
      </rPr>
      <t>I</t>
    </r>
    <r>
      <rPr>
        <b/>
        <vertAlign val="subscript"/>
        <sz val="10"/>
        <rFont val="Arial"/>
        <family val="2"/>
      </rPr>
      <t>x</t>
    </r>
  </si>
  <si>
    <r>
      <t>S</t>
    </r>
    <r>
      <rPr>
        <b/>
        <sz val="10"/>
        <rFont val="Arial"/>
        <family val="0"/>
      </rPr>
      <t>A</t>
    </r>
  </si>
  <si>
    <r>
      <t>I</t>
    </r>
    <r>
      <rPr>
        <b/>
        <vertAlign val="subscript"/>
        <sz val="10"/>
        <rFont val="Arial"/>
        <family val="2"/>
      </rPr>
      <t>y</t>
    </r>
  </si>
  <si>
    <t xml:space="preserve">          Gravity Columns: Interior</t>
  </si>
  <si>
    <t xml:space="preserve">          Gravity Columns: Exterior</t>
  </si>
  <si>
    <t xml:space="preserve">          MRF Columns: Exterior</t>
  </si>
  <si>
    <t>Properties to assign to the leaning column (half of the building</t>
  </si>
  <si>
    <r>
      <t>S</t>
    </r>
    <r>
      <rPr>
        <b/>
        <sz val="10"/>
        <rFont val="Arial"/>
        <family val="0"/>
      </rPr>
      <t>I</t>
    </r>
    <r>
      <rPr>
        <b/>
        <vertAlign val="subscript"/>
        <sz val="10"/>
        <rFont val="Arial"/>
        <family val="2"/>
      </rPr>
      <t>y</t>
    </r>
  </si>
  <si>
    <r>
      <t>S</t>
    </r>
    <r>
      <rPr>
        <b/>
        <sz val="10"/>
        <rFont val="Arial"/>
        <family val="0"/>
      </rPr>
      <t>I</t>
    </r>
  </si>
  <si>
    <r>
      <t>in</t>
    </r>
    <r>
      <rPr>
        <b/>
        <vertAlign val="superscript"/>
        <sz val="10"/>
        <rFont val="Arial"/>
        <family val="2"/>
      </rPr>
      <t>3</t>
    </r>
  </si>
  <si>
    <r>
      <t>S</t>
    </r>
    <r>
      <rPr>
        <b/>
        <sz val="10"/>
        <rFont val="Arial"/>
        <family val="2"/>
      </rPr>
      <t>A</t>
    </r>
    <r>
      <rPr>
        <b/>
        <vertAlign val="subscript"/>
        <sz val="10"/>
        <rFont val="Arial"/>
        <family val="2"/>
      </rPr>
      <t>v</t>
    </r>
  </si>
  <si>
    <r>
      <t>S</t>
    </r>
    <r>
      <rPr>
        <b/>
        <sz val="10"/>
        <rFont val="Arial"/>
        <family val="0"/>
      </rPr>
      <t>M</t>
    </r>
    <r>
      <rPr>
        <b/>
        <vertAlign val="subscript"/>
        <sz val="10"/>
        <rFont val="Arial"/>
        <family val="2"/>
      </rPr>
      <t>x</t>
    </r>
  </si>
  <si>
    <t>K-in</t>
  </si>
  <si>
    <r>
      <t>Z</t>
    </r>
    <r>
      <rPr>
        <b/>
        <vertAlign val="subscript"/>
        <sz val="10"/>
        <rFont val="Arial"/>
        <family val="2"/>
      </rPr>
      <t>x</t>
    </r>
  </si>
  <si>
    <r>
      <t>Z</t>
    </r>
    <r>
      <rPr>
        <b/>
        <vertAlign val="subscript"/>
        <sz val="10"/>
        <rFont val="Arial"/>
        <family val="2"/>
      </rPr>
      <t>y</t>
    </r>
  </si>
  <si>
    <r>
      <t>S</t>
    </r>
    <r>
      <rPr>
        <b/>
        <sz val="10"/>
        <rFont val="Arial"/>
        <family val="0"/>
      </rPr>
      <t>M</t>
    </r>
  </si>
  <si>
    <r>
      <t>S</t>
    </r>
    <r>
      <rPr>
        <b/>
        <sz val="10"/>
        <rFont val="Arial"/>
        <family val="0"/>
      </rPr>
      <t>M</t>
    </r>
    <r>
      <rPr>
        <b/>
        <vertAlign val="subscript"/>
        <sz val="10"/>
        <rFont val="Arial"/>
        <family val="2"/>
      </rPr>
      <t>y</t>
    </r>
  </si>
  <si>
    <t>Periods</t>
  </si>
  <si>
    <t>Modes</t>
  </si>
  <si>
    <t>rad/sec</t>
  </si>
  <si>
    <r>
      <t>w</t>
    </r>
    <r>
      <rPr>
        <b/>
        <vertAlign val="subscript"/>
        <sz val="10"/>
        <rFont val="Arial"/>
        <family val="2"/>
      </rPr>
      <t>n</t>
    </r>
  </si>
  <si>
    <t>Damping =</t>
  </si>
  <si>
    <t>PT-MRF</t>
  </si>
  <si>
    <r>
      <t>S</t>
    </r>
    <r>
      <rPr>
        <b/>
        <sz val="10"/>
        <rFont val="Arial"/>
        <family val="0"/>
      </rPr>
      <t>F</t>
    </r>
    <r>
      <rPr>
        <b/>
        <vertAlign val="subscript"/>
        <sz val="10"/>
        <rFont val="Arial"/>
        <family val="0"/>
      </rPr>
      <t>x</t>
    </r>
  </si>
  <si>
    <r>
      <t>S</t>
    </r>
    <r>
      <rPr>
        <b/>
        <sz val="10"/>
        <rFont val="Arial"/>
        <family val="0"/>
      </rPr>
      <t>w</t>
    </r>
    <r>
      <rPr>
        <b/>
        <vertAlign val="subscript"/>
        <sz val="10"/>
        <rFont val="Arial"/>
        <family val="0"/>
      </rPr>
      <t>px</t>
    </r>
  </si>
  <si>
    <t>Maria's computation</t>
  </si>
  <si>
    <t>kips/pie2</t>
  </si>
  <si>
    <t>T/m2</t>
  </si>
  <si>
    <t>Total =</t>
  </si>
  <si>
    <t>Factor por placas y conectores</t>
  </si>
  <si>
    <t>vigas + columnas</t>
  </si>
  <si>
    <t>vigas + columnas+conectores+placas de anclaje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</si>
</sst>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  <numFmt numFmtId="176" formatCode="0.0000000"/>
    <numFmt numFmtId="177" formatCode="0.000000"/>
  </numFmts>
  <fonts count="20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0"/>
    </font>
    <font>
      <b/>
      <vertAlign val="subscript"/>
      <sz val="10"/>
      <name val="Arial"/>
      <family val="0"/>
    </font>
    <font>
      <b/>
      <sz val="10"/>
      <name val="Symbol"/>
      <family val="1"/>
    </font>
    <font>
      <b/>
      <vertAlign val="subscript"/>
      <sz val="10.25"/>
      <name val="Arial"/>
      <family val="2"/>
    </font>
    <font>
      <b/>
      <sz val="10.25"/>
      <name val="Arial"/>
      <family val="0"/>
    </font>
    <font>
      <b/>
      <sz val="8.25"/>
      <name val="Arial"/>
      <family val="2"/>
    </font>
    <font>
      <b/>
      <vertAlign val="subscript"/>
      <sz val="8.25"/>
      <name val="Arial"/>
      <family val="2"/>
    </font>
    <font>
      <sz val="10.25"/>
      <name val="Arial"/>
      <family val="0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0" fillId="3" borderId="0" xfId="0" applyNumberFormat="1" applyFill="1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Fill="1" applyAlignment="1">
      <alignment horizontal="center"/>
    </xf>
    <xf numFmtId="174" fontId="0" fillId="0" borderId="0" xfId="0" applyNumberFormat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72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172" fontId="0" fillId="4" borderId="0" xfId="0" applyNumberFormat="1" applyFill="1" applyAlignment="1">
      <alignment horizontal="center"/>
    </xf>
    <xf numFmtId="175" fontId="0" fillId="0" borderId="0" xfId="0" applyNumberFormat="1" applyAlignment="1">
      <alignment horizontal="center"/>
    </xf>
    <xf numFmtId="0" fontId="0" fillId="3" borderId="0" xfId="0" applyFont="1" applyFill="1" applyAlignment="1">
      <alignment horizontal="center"/>
    </xf>
    <xf numFmtId="173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RESPONSE SPECTRA: IBC 2000 (6 SMRF)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825" b="1" i="0" u="none" baseline="-25000">
                <a:latin typeface="Arial"/>
                <a:ea typeface="Arial"/>
                <a:cs typeface="Arial"/>
              </a:rPr>
              <a:t>s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=1.5, S</a:t>
            </a:r>
            <a:r>
              <a:rPr lang="en-US" cap="none" sz="825" b="1" i="0" u="none" baseline="-25000">
                <a:latin typeface="Arial"/>
                <a:ea typeface="Arial"/>
                <a:cs typeface="Arial"/>
              </a:rPr>
              <a:t>1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=0.6, R=8, I</a:t>
            </a:r>
            <a:r>
              <a:rPr lang="en-US" cap="none" sz="825" b="1" i="0" u="none" baseline="-25000">
                <a:latin typeface="Arial"/>
                <a:ea typeface="Arial"/>
                <a:cs typeface="Arial"/>
              </a:rPr>
              <a:t>E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=1.0, Group=I, Soil Type 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Stiff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Sheet1!$AG$11:$AG$22</c:f>
              <c:numCache>
                <c:ptCount val="12"/>
                <c:pt idx="0">
                  <c:v>0</c:v>
                </c:pt>
                <c:pt idx="1">
                  <c:v>0.12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</c:numCache>
            </c:numRef>
          </c:xVal>
          <c:yVal>
            <c:numRef>
              <c:f>Sheet1!$AH$11:$AH$22</c:f>
              <c:numCache>
                <c:ptCount val="12"/>
                <c:pt idx="0">
                  <c:v>0.4</c:v>
                </c:pt>
                <c:pt idx="1">
                  <c:v>1</c:v>
                </c:pt>
                <c:pt idx="2">
                  <c:v>1</c:v>
                </c:pt>
                <c:pt idx="3">
                  <c:v>0.7499999999999999</c:v>
                </c:pt>
                <c:pt idx="4">
                  <c:v>0.6</c:v>
                </c:pt>
                <c:pt idx="5">
                  <c:v>0.5</c:v>
                </c:pt>
                <c:pt idx="6">
                  <c:v>0.4285714285714286</c:v>
                </c:pt>
                <c:pt idx="7">
                  <c:v>0.375</c:v>
                </c:pt>
                <c:pt idx="8">
                  <c:v>0.33333333333333337</c:v>
                </c:pt>
                <c:pt idx="9">
                  <c:v>0.30000000000000004</c:v>
                </c:pt>
                <c:pt idx="10">
                  <c:v>0.27272727272727276</c:v>
                </c:pt>
                <c:pt idx="11">
                  <c:v>0.25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Sheet1!$AA$49:$AA$50</c:f>
              <c:numCache>
                <c:ptCount val="2"/>
                <c:pt idx="0">
                  <c:v>1.784</c:v>
                </c:pt>
                <c:pt idx="1">
                  <c:v>1.784</c:v>
                </c:pt>
              </c:numCache>
            </c:numRef>
          </c:xVal>
          <c:yVal>
            <c:numRef>
              <c:f>Sheet1!$AB$49:$AB$50</c:f>
              <c:numCach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Sheet1!$AG$11:$AG$22</c:f>
              <c:numCache>
                <c:ptCount val="12"/>
                <c:pt idx="0">
                  <c:v>0</c:v>
                </c:pt>
                <c:pt idx="1">
                  <c:v>0.12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</c:numCache>
            </c:numRef>
          </c:xVal>
          <c:yVal>
            <c:numRef>
              <c:f>Sheet1!$AI$11:$AI$22</c:f>
              <c:numCache>
                <c:ptCount val="12"/>
                <c:pt idx="0">
                  <c:v>0.6000000000000001</c:v>
                </c:pt>
                <c:pt idx="1">
                  <c:v>1.5</c:v>
                </c:pt>
                <c:pt idx="2">
                  <c:v>1.5</c:v>
                </c:pt>
                <c:pt idx="3">
                  <c:v>1.1249999999999998</c:v>
                </c:pt>
                <c:pt idx="4">
                  <c:v>0.8999999999999999</c:v>
                </c:pt>
                <c:pt idx="5">
                  <c:v>0.75</c:v>
                </c:pt>
                <c:pt idx="6">
                  <c:v>0.6428571428571429</c:v>
                </c:pt>
                <c:pt idx="7">
                  <c:v>0.5625</c:v>
                </c:pt>
                <c:pt idx="8">
                  <c:v>0.5</c:v>
                </c:pt>
                <c:pt idx="9">
                  <c:v>0.45000000000000007</c:v>
                </c:pt>
                <c:pt idx="10">
                  <c:v>0.40909090909090917</c:v>
                </c:pt>
                <c:pt idx="11">
                  <c:v>0.375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Sheet1!$AC$49:$AC$50</c:f>
              <c:numCache>
                <c:ptCount val="2"/>
                <c:pt idx="0">
                  <c:v>1.98</c:v>
                </c:pt>
                <c:pt idx="1">
                  <c:v>1.98</c:v>
                </c:pt>
              </c:numCache>
            </c:numRef>
          </c:xVal>
          <c:yVal>
            <c:numRef>
              <c:f>Sheet1!$AB$49:$AB$50</c:f>
              <c:numCach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yVal>
          <c:smooth val="1"/>
        </c:ser>
        <c:axId val="58149533"/>
        <c:axId val="53583750"/>
      </c:scatterChart>
      <c:valAx>
        <c:axId val="581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T, 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83750"/>
        <c:crosses val="autoZero"/>
        <c:crossBetween val="midCat"/>
        <c:dispUnits/>
        <c:majorUnit val="0.5"/>
      </c:valAx>
      <c:valAx>
        <c:axId val="53583750"/>
        <c:scaling>
          <c:orientation val="minMax"/>
          <c:max val="1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025" b="1" i="0" u="none" baseline="-2500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58149533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RESPONSE SPECTRA: IBC 2000-SAC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800" b="1" i="0" u="none" baseline="-25000">
                <a:latin typeface="Arial"/>
                <a:ea typeface="Arial"/>
                <a:cs typeface="Arial"/>
              </a:rPr>
              <a:t>s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=1.5, S</a:t>
            </a:r>
            <a:r>
              <a:rPr lang="en-US" cap="none" sz="800" b="1" i="0" u="none" baseline="-25000">
                <a:latin typeface="Arial"/>
                <a:ea typeface="Arial"/>
                <a:cs typeface="Arial"/>
              </a:rPr>
              <a:t>1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=0.6, R=8, I</a:t>
            </a:r>
            <a:r>
              <a:rPr lang="en-US" cap="none" sz="800" b="1" i="0" u="none" baseline="-25000">
                <a:latin typeface="Arial"/>
                <a:ea typeface="Arial"/>
                <a:cs typeface="Arial"/>
              </a:rPr>
              <a:t>E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=1.0, Group=I, Soil Type 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DEQ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Sheet1!$AG$11:$AG$30</c:f>
              <c:numCache>
                <c:ptCount val="20"/>
                <c:pt idx="0">
                  <c:v>0</c:v>
                </c:pt>
                <c:pt idx="1">
                  <c:v>0.12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  <c:pt idx="18">
                  <c:v>3.800000000000001</c:v>
                </c:pt>
                <c:pt idx="19">
                  <c:v>4.000000000000001</c:v>
                </c:pt>
              </c:numCache>
            </c:numRef>
          </c:xVal>
          <c:yVal>
            <c:numRef>
              <c:f>Sheet1!$AH$11:$AH$30</c:f>
              <c:numCache>
                <c:ptCount val="20"/>
                <c:pt idx="0">
                  <c:v>0.4</c:v>
                </c:pt>
                <c:pt idx="1">
                  <c:v>1</c:v>
                </c:pt>
                <c:pt idx="2">
                  <c:v>1</c:v>
                </c:pt>
                <c:pt idx="3">
                  <c:v>0.7499999999999999</c:v>
                </c:pt>
                <c:pt idx="4">
                  <c:v>0.6</c:v>
                </c:pt>
                <c:pt idx="5">
                  <c:v>0.5</c:v>
                </c:pt>
                <c:pt idx="6">
                  <c:v>0.4285714285714286</c:v>
                </c:pt>
                <c:pt idx="7">
                  <c:v>0.375</c:v>
                </c:pt>
                <c:pt idx="8">
                  <c:v>0.33333333333333337</c:v>
                </c:pt>
                <c:pt idx="9">
                  <c:v>0.30000000000000004</c:v>
                </c:pt>
                <c:pt idx="10">
                  <c:v>0.27272727272727276</c:v>
                </c:pt>
                <c:pt idx="11">
                  <c:v>0.25</c:v>
                </c:pt>
                <c:pt idx="12">
                  <c:v>0.23076923076923075</c:v>
                </c:pt>
                <c:pt idx="13">
                  <c:v>0.21428571428571425</c:v>
                </c:pt>
                <c:pt idx="14">
                  <c:v>0.19999999999999996</c:v>
                </c:pt>
                <c:pt idx="15">
                  <c:v>0.18749999999999994</c:v>
                </c:pt>
                <c:pt idx="16">
                  <c:v>0.17647058823529407</c:v>
                </c:pt>
                <c:pt idx="17">
                  <c:v>0.1666666666666666</c:v>
                </c:pt>
                <c:pt idx="18">
                  <c:v>0.1578947368421052</c:v>
                </c:pt>
                <c:pt idx="19">
                  <c:v>0.14999999999999997</c:v>
                </c:pt>
              </c:numCache>
            </c:numRef>
          </c:yVal>
          <c:smooth val="1"/>
        </c:ser>
        <c:ser>
          <c:idx val="2"/>
          <c:order val="1"/>
          <c:tx>
            <c:v>MCEQ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Sheet1!$AG$11:$AG$30</c:f>
              <c:numCache>
                <c:ptCount val="20"/>
                <c:pt idx="0">
                  <c:v>0</c:v>
                </c:pt>
                <c:pt idx="1">
                  <c:v>0.12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  <c:pt idx="18">
                  <c:v>3.800000000000001</c:v>
                </c:pt>
                <c:pt idx="19">
                  <c:v>4.000000000000001</c:v>
                </c:pt>
              </c:numCache>
            </c:numRef>
          </c:xVal>
          <c:yVal>
            <c:numRef>
              <c:f>Sheet1!$AI$11:$AI$30</c:f>
              <c:numCache>
                <c:ptCount val="20"/>
                <c:pt idx="0">
                  <c:v>0.6000000000000001</c:v>
                </c:pt>
                <c:pt idx="1">
                  <c:v>1.5</c:v>
                </c:pt>
                <c:pt idx="2">
                  <c:v>1.5</c:v>
                </c:pt>
                <c:pt idx="3">
                  <c:v>1.1249999999999998</c:v>
                </c:pt>
                <c:pt idx="4">
                  <c:v>0.8999999999999999</c:v>
                </c:pt>
                <c:pt idx="5">
                  <c:v>0.75</c:v>
                </c:pt>
                <c:pt idx="6">
                  <c:v>0.6428571428571429</c:v>
                </c:pt>
                <c:pt idx="7">
                  <c:v>0.5625</c:v>
                </c:pt>
                <c:pt idx="8">
                  <c:v>0.5</c:v>
                </c:pt>
                <c:pt idx="9">
                  <c:v>0.45000000000000007</c:v>
                </c:pt>
                <c:pt idx="10">
                  <c:v>0.40909090909090917</c:v>
                </c:pt>
                <c:pt idx="11">
                  <c:v>0.375</c:v>
                </c:pt>
                <c:pt idx="12">
                  <c:v>0.34615384615384615</c:v>
                </c:pt>
                <c:pt idx="13">
                  <c:v>0.3214285714285714</c:v>
                </c:pt>
                <c:pt idx="14">
                  <c:v>0.29999999999999993</c:v>
                </c:pt>
                <c:pt idx="15">
                  <c:v>0.2812499999999999</c:v>
                </c:pt>
                <c:pt idx="16">
                  <c:v>0.2647058823529411</c:v>
                </c:pt>
                <c:pt idx="17">
                  <c:v>0.2499999999999999</c:v>
                </c:pt>
                <c:pt idx="18">
                  <c:v>0.2368421052631578</c:v>
                </c:pt>
                <c:pt idx="19">
                  <c:v>0.22499999999999995</c:v>
                </c:pt>
              </c:numCache>
            </c:numRef>
          </c:yVal>
          <c:smooth val="1"/>
        </c:ser>
        <c:ser>
          <c:idx val="4"/>
          <c:order val="2"/>
          <c:tx>
            <c:v>2-50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Sheet1!$AJ$18:$AJ$21</c:f>
              <c:numCache>
                <c:ptCount val="4"/>
                <c:pt idx="0">
                  <c:v>0.3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xVal>
          <c:yVal>
            <c:numRef>
              <c:f>Sheet1!$AK$18:$AK$21</c:f>
              <c:numCache>
                <c:ptCount val="4"/>
                <c:pt idx="0">
                  <c:v>1.61</c:v>
                </c:pt>
                <c:pt idx="1">
                  <c:v>1.19</c:v>
                </c:pt>
                <c:pt idx="2">
                  <c:v>0.54</c:v>
                </c:pt>
                <c:pt idx="3">
                  <c:v>0.19</c:v>
                </c:pt>
              </c:numCache>
            </c:numRef>
          </c:yVal>
          <c:smooth val="1"/>
        </c:ser>
        <c:ser>
          <c:idx val="5"/>
          <c:order val="3"/>
          <c:tx>
            <c:v>10-50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Sheet1!$AJ$18:$AJ$21</c:f>
              <c:numCache>
                <c:ptCount val="4"/>
                <c:pt idx="0">
                  <c:v>0.3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xVal>
          <c:yVal>
            <c:numRef>
              <c:f>Sheet1!$AL$18:$AL$21</c:f>
              <c:numCache>
                <c:ptCount val="4"/>
                <c:pt idx="0">
                  <c:v>1.07</c:v>
                </c:pt>
                <c:pt idx="1">
                  <c:v>0.68</c:v>
                </c:pt>
                <c:pt idx="2">
                  <c:v>0.33</c:v>
                </c:pt>
                <c:pt idx="3">
                  <c:v>0.123</c:v>
                </c:pt>
              </c:numCache>
            </c:numRef>
          </c:yVal>
          <c:smooth val="1"/>
        </c:ser>
        <c:ser>
          <c:idx val="6"/>
          <c:order val="4"/>
          <c:tx>
            <c:v>50-50</c:v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Sheet1!$AJ$18:$AJ$21</c:f>
              <c:numCache>
                <c:ptCount val="4"/>
                <c:pt idx="0">
                  <c:v>0.3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xVal>
          <c:yVal>
            <c:numRef>
              <c:f>Sheet1!$AM$18:$AM$21</c:f>
              <c:numCache>
                <c:ptCount val="4"/>
                <c:pt idx="0">
                  <c:v>0.514</c:v>
                </c:pt>
                <c:pt idx="1">
                  <c:v>0.288</c:v>
                </c:pt>
                <c:pt idx="2">
                  <c:v>0.149</c:v>
                </c:pt>
                <c:pt idx="3">
                  <c:v>0.069</c:v>
                </c:pt>
              </c:numCache>
            </c:numRef>
          </c:yVal>
          <c:smooth val="1"/>
        </c:ser>
        <c:ser>
          <c:idx val="1"/>
          <c:order val="5"/>
          <c:tx>
            <c:v>ARTI 10-50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Sheet1!$AR$8:$AR$101</c:f>
              <c:numCache>
                <c:ptCount val="93"/>
                <c:pt idx="0">
                  <c:v>0.04</c:v>
                </c:pt>
                <c:pt idx="1">
                  <c:v>0.042</c:v>
                </c:pt>
                <c:pt idx="2">
                  <c:v>0.044</c:v>
                </c:pt>
                <c:pt idx="3">
                  <c:v>0.046</c:v>
                </c:pt>
                <c:pt idx="4">
                  <c:v>0.048</c:v>
                </c:pt>
                <c:pt idx="5">
                  <c:v>0.05</c:v>
                </c:pt>
                <c:pt idx="6">
                  <c:v>0.055</c:v>
                </c:pt>
                <c:pt idx="7">
                  <c:v>0.06</c:v>
                </c:pt>
                <c:pt idx="8">
                  <c:v>0.065</c:v>
                </c:pt>
                <c:pt idx="9">
                  <c:v>0.07</c:v>
                </c:pt>
                <c:pt idx="10">
                  <c:v>0.075</c:v>
                </c:pt>
                <c:pt idx="11">
                  <c:v>0.08</c:v>
                </c:pt>
                <c:pt idx="12">
                  <c:v>0.085</c:v>
                </c:pt>
                <c:pt idx="13">
                  <c:v>0.09</c:v>
                </c:pt>
                <c:pt idx="14">
                  <c:v>0.095</c:v>
                </c:pt>
                <c:pt idx="15">
                  <c:v>0.1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0.14</c:v>
                </c:pt>
                <c:pt idx="20">
                  <c:v>0.15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0.19</c:v>
                </c:pt>
                <c:pt idx="25">
                  <c:v>0.2</c:v>
                </c:pt>
                <c:pt idx="26">
                  <c:v>0.22</c:v>
                </c:pt>
                <c:pt idx="27">
                  <c:v>0.24</c:v>
                </c:pt>
                <c:pt idx="28">
                  <c:v>0.26</c:v>
                </c:pt>
                <c:pt idx="29">
                  <c:v>0.28</c:v>
                </c:pt>
                <c:pt idx="30">
                  <c:v>0.3</c:v>
                </c:pt>
                <c:pt idx="31">
                  <c:v>0.32</c:v>
                </c:pt>
                <c:pt idx="32">
                  <c:v>0.34</c:v>
                </c:pt>
                <c:pt idx="33">
                  <c:v>0.36</c:v>
                </c:pt>
                <c:pt idx="34">
                  <c:v>0.38</c:v>
                </c:pt>
                <c:pt idx="35">
                  <c:v>0.4</c:v>
                </c:pt>
                <c:pt idx="36">
                  <c:v>0.42</c:v>
                </c:pt>
                <c:pt idx="37">
                  <c:v>0.44</c:v>
                </c:pt>
                <c:pt idx="38">
                  <c:v>0.46</c:v>
                </c:pt>
                <c:pt idx="39">
                  <c:v>0.48</c:v>
                </c:pt>
                <c:pt idx="40">
                  <c:v>0.5</c:v>
                </c:pt>
                <c:pt idx="41">
                  <c:v>0.55</c:v>
                </c:pt>
                <c:pt idx="42">
                  <c:v>0.6</c:v>
                </c:pt>
                <c:pt idx="43">
                  <c:v>0.65</c:v>
                </c:pt>
                <c:pt idx="44">
                  <c:v>0.7</c:v>
                </c:pt>
                <c:pt idx="45">
                  <c:v>0.75</c:v>
                </c:pt>
                <c:pt idx="46">
                  <c:v>0.8</c:v>
                </c:pt>
                <c:pt idx="49">
                  <c:v>0.85</c:v>
                </c:pt>
                <c:pt idx="50">
                  <c:v>0.9</c:v>
                </c:pt>
                <c:pt idx="51">
                  <c:v>0.95</c:v>
                </c:pt>
                <c:pt idx="52">
                  <c:v>1</c:v>
                </c:pt>
                <c:pt idx="53">
                  <c:v>1.1</c:v>
                </c:pt>
                <c:pt idx="54">
                  <c:v>1.2</c:v>
                </c:pt>
                <c:pt idx="55">
                  <c:v>1.3</c:v>
                </c:pt>
                <c:pt idx="56">
                  <c:v>1.4</c:v>
                </c:pt>
                <c:pt idx="57">
                  <c:v>1.5</c:v>
                </c:pt>
                <c:pt idx="58">
                  <c:v>1.6</c:v>
                </c:pt>
                <c:pt idx="59">
                  <c:v>1.7</c:v>
                </c:pt>
                <c:pt idx="60">
                  <c:v>1.8</c:v>
                </c:pt>
                <c:pt idx="61">
                  <c:v>1.9</c:v>
                </c:pt>
                <c:pt idx="62">
                  <c:v>2</c:v>
                </c:pt>
                <c:pt idx="63">
                  <c:v>2.2</c:v>
                </c:pt>
                <c:pt idx="64">
                  <c:v>2.4</c:v>
                </c:pt>
                <c:pt idx="65">
                  <c:v>2.6</c:v>
                </c:pt>
                <c:pt idx="66">
                  <c:v>2.8</c:v>
                </c:pt>
                <c:pt idx="67">
                  <c:v>3</c:v>
                </c:pt>
                <c:pt idx="68">
                  <c:v>3.2</c:v>
                </c:pt>
                <c:pt idx="69">
                  <c:v>3.4</c:v>
                </c:pt>
                <c:pt idx="70">
                  <c:v>3.6</c:v>
                </c:pt>
                <c:pt idx="71">
                  <c:v>3.8</c:v>
                </c:pt>
                <c:pt idx="72">
                  <c:v>4</c:v>
                </c:pt>
                <c:pt idx="73">
                  <c:v>4.2</c:v>
                </c:pt>
                <c:pt idx="74">
                  <c:v>4.4</c:v>
                </c:pt>
                <c:pt idx="75">
                  <c:v>4.6</c:v>
                </c:pt>
                <c:pt idx="76">
                  <c:v>4.8</c:v>
                </c:pt>
                <c:pt idx="77">
                  <c:v>5</c:v>
                </c:pt>
                <c:pt idx="78">
                  <c:v>5.5</c:v>
                </c:pt>
                <c:pt idx="79">
                  <c:v>6</c:v>
                </c:pt>
                <c:pt idx="80">
                  <c:v>6.5</c:v>
                </c:pt>
                <c:pt idx="81">
                  <c:v>7</c:v>
                </c:pt>
                <c:pt idx="82">
                  <c:v>7.5</c:v>
                </c:pt>
                <c:pt idx="83">
                  <c:v>8</c:v>
                </c:pt>
                <c:pt idx="84">
                  <c:v>8.5</c:v>
                </c:pt>
                <c:pt idx="85">
                  <c:v>9</c:v>
                </c:pt>
                <c:pt idx="86">
                  <c:v>9.5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13</c:v>
                </c:pt>
                <c:pt idx="91">
                  <c:v>14</c:v>
                </c:pt>
                <c:pt idx="92">
                  <c:v>15</c:v>
                </c:pt>
              </c:numCache>
            </c:numRef>
          </c:xVal>
          <c:yVal>
            <c:numRef>
              <c:f>Sheet1!$AS$8:$AS$101</c:f>
              <c:numCache>
                <c:ptCount val="93"/>
                <c:pt idx="0">
                  <c:v>0.609479</c:v>
                </c:pt>
                <c:pt idx="1">
                  <c:v>0.649476</c:v>
                </c:pt>
                <c:pt idx="2">
                  <c:v>0.663057</c:v>
                </c:pt>
                <c:pt idx="3">
                  <c:v>0.641476</c:v>
                </c:pt>
                <c:pt idx="4">
                  <c:v>0.64408</c:v>
                </c:pt>
                <c:pt idx="5">
                  <c:v>0.660814</c:v>
                </c:pt>
                <c:pt idx="6">
                  <c:v>0.661123</c:v>
                </c:pt>
                <c:pt idx="7">
                  <c:v>0.710791</c:v>
                </c:pt>
                <c:pt idx="8">
                  <c:v>0.719034</c:v>
                </c:pt>
                <c:pt idx="9">
                  <c:v>0.766228</c:v>
                </c:pt>
                <c:pt idx="10">
                  <c:v>0.7685</c:v>
                </c:pt>
                <c:pt idx="11">
                  <c:v>0.812488</c:v>
                </c:pt>
                <c:pt idx="12">
                  <c:v>0.846823</c:v>
                </c:pt>
                <c:pt idx="13">
                  <c:v>0.879519</c:v>
                </c:pt>
                <c:pt idx="14">
                  <c:v>0.893726</c:v>
                </c:pt>
                <c:pt idx="15">
                  <c:v>0.909863</c:v>
                </c:pt>
                <c:pt idx="16">
                  <c:v>0.968052</c:v>
                </c:pt>
                <c:pt idx="17">
                  <c:v>0.943646</c:v>
                </c:pt>
                <c:pt idx="18">
                  <c:v>1.06852</c:v>
                </c:pt>
                <c:pt idx="19">
                  <c:v>1.00828</c:v>
                </c:pt>
                <c:pt idx="20">
                  <c:v>1.03867</c:v>
                </c:pt>
                <c:pt idx="21">
                  <c:v>1.01562</c:v>
                </c:pt>
                <c:pt idx="22">
                  <c:v>0.954677</c:v>
                </c:pt>
                <c:pt idx="23">
                  <c:v>1.08897</c:v>
                </c:pt>
                <c:pt idx="24">
                  <c:v>1.00488</c:v>
                </c:pt>
                <c:pt idx="25">
                  <c:v>1.02792</c:v>
                </c:pt>
                <c:pt idx="26">
                  <c:v>1.03477</c:v>
                </c:pt>
                <c:pt idx="27">
                  <c:v>1.02344</c:v>
                </c:pt>
                <c:pt idx="28">
                  <c:v>1.06288</c:v>
                </c:pt>
                <c:pt idx="29">
                  <c:v>0.92133</c:v>
                </c:pt>
                <c:pt idx="30">
                  <c:v>0.993179</c:v>
                </c:pt>
                <c:pt idx="31">
                  <c:v>1.06457</c:v>
                </c:pt>
                <c:pt idx="32">
                  <c:v>0.98922</c:v>
                </c:pt>
                <c:pt idx="33">
                  <c:v>1.01565</c:v>
                </c:pt>
                <c:pt idx="34">
                  <c:v>0.929799</c:v>
                </c:pt>
                <c:pt idx="35">
                  <c:v>1.00299</c:v>
                </c:pt>
                <c:pt idx="36">
                  <c:v>1.05664</c:v>
                </c:pt>
                <c:pt idx="37">
                  <c:v>1.0411</c:v>
                </c:pt>
                <c:pt idx="38">
                  <c:v>0.936542</c:v>
                </c:pt>
                <c:pt idx="39">
                  <c:v>0.878422</c:v>
                </c:pt>
                <c:pt idx="40">
                  <c:v>1.00795</c:v>
                </c:pt>
                <c:pt idx="41">
                  <c:v>1.03399</c:v>
                </c:pt>
                <c:pt idx="42">
                  <c:v>0.912277</c:v>
                </c:pt>
                <c:pt idx="43">
                  <c:v>0.967926</c:v>
                </c:pt>
                <c:pt idx="44">
                  <c:v>0.86609</c:v>
                </c:pt>
                <c:pt idx="45">
                  <c:v>0.847271</c:v>
                </c:pt>
                <c:pt idx="46">
                  <c:v>0.682042</c:v>
                </c:pt>
                <c:pt idx="49">
                  <c:v>0.64672</c:v>
                </c:pt>
                <c:pt idx="50">
                  <c:v>0.713832</c:v>
                </c:pt>
                <c:pt idx="51">
                  <c:v>0.61713</c:v>
                </c:pt>
                <c:pt idx="52">
                  <c:v>0.59106</c:v>
                </c:pt>
                <c:pt idx="53">
                  <c:v>0.547963</c:v>
                </c:pt>
                <c:pt idx="54">
                  <c:v>0.473658</c:v>
                </c:pt>
                <c:pt idx="55">
                  <c:v>0.490903</c:v>
                </c:pt>
                <c:pt idx="56">
                  <c:v>0.430469</c:v>
                </c:pt>
                <c:pt idx="57">
                  <c:v>0.422044</c:v>
                </c:pt>
                <c:pt idx="58">
                  <c:v>0.397505</c:v>
                </c:pt>
                <c:pt idx="59">
                  <c:v>0.354688</c:v>
                </c:pt>
                <c:pt idx="60">
                  <c:v>0.321631</c:v>
                </c:pt>
                <c:pt idx="61">
                  <c:v>0.314205</c:v>
                </c:pt>
                <c:pt idx="62">
                  <c:v>0.294509</c:v>
                </c:pt>
                <c:pt idx="63">
                  <c:v>0.276335</c:v>
                </c:pt>
                <c:pt idx="64">
                  <c:v>0.262171</c:v>
                </c:pt>
                <c:pt idx="65">
                  <c:v>0.217713</c:v>
                </c:pt>
                <c:pt idx="66">
                  <c:v>0.222448</c:v>
                </c:pt>
                <c:pt idx="67">
                  <c:v>0.202281</c:v>
                </c:pt>
                <c:pt idx="68">
                  <c:v>0.17833</c:v>
                </c:pt>
                <c:pt idx="69">
                  <c:v>0.154148</c:v>
                </c:pt>
                <c:pt idx="70">
                  <c:v>0.167334</c:v>
                </c:pt>
                <c:pt idx="71">
                  <c:v>0.167188</c:v>
                </c:pt>
                <c:pt idx="72">
                  <c:v>0.155922</c:v>
                </c:pt>
                <c:pt idx="73">
                  <c:v>0.141129</c:v>
                </c:pt>
                <c:pt idx="74">
                  <c:v>0.12783</c:v>
                </c:pt>
                <c:pt idx="75">
                  <c:v>0.113335</c:v>
                </c:pt>
                <c:pt idx="76">
                  <c:v>0.118593</c:v>
                </c:pt>
                <c:pt idx="77">
                  <c:v>0.13186</c:v>
                </c:pt>
                <c:pt idx="78">
                  <c:v>0.105771</c:v>
                </c:pt>
                <c:pt idx="79">
                  <c:v>0.0678338</c:v>
                </c:pt>
                <c:pt idx="80">
                  <c:v>0.0435133</c:v>
                </c:pt>
                <c:pt idx="81">
                  <c:v>0.0337649</c:v>
                </c:pt>
                <c:pt idx="82">
                  <c:v>0.0334899</c:v>
                </c:pt>
                <c:pt idx="83">
                  <c:v>0.0338813</c:v>
                </c:pt>
                <c:pt idx="84">
                  <c:v>0.031694</c:v>
                </c:pt>
                <c:pt idx="85">
                  <c:v>0.0272193</c:v>
                </c:pt>
                <c:pt idx="86">
                  <c:v>0.0223005</c:v>
                </c:pt>
                <c:pt idx="87">
                  <c:v>0.0211745</c:v>
                </c:pt>
                <c:pt idx="88">
                  <c:v>0.0174421</c:v>
                </c:pt>
                <c:pt idx="89">
                  <c:v>0.0135895</c:v>
                </c:pt>
                <c:pt idx="90">
                  <c:v>0.0105454</c:v>
                </c:pt>
                <c:pt idx="91">
                  <c:v>0.00827617</c:v>
                </c:pt>
                <c:pt idx="92">
                  <c:v>0.00665718</c:v>
                </c:pt>
              </c:numCache>
            </c:numRef>
          </c:yVal>
          <c:smooth val="1"/>
        </c:ser>
        <c:axId val="12491703"/>
        <c:axId val="45316464"/>
      </c:scatterChart>
      <c:valAx>
        <c:axId val="12491703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T, 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16464"/>
        <c:crosses val="autoZero"/>
        <c:crossBetween val="midCat"/>
        <c:dispUnits/>
        <c:majorUnit val="0.5"/>
      </c:valAx>
      <c:valAx>
        <c:axId val="4531646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025" b="1" i="0" u="none" baseline="-2500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12491703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DIAPHRAGM DESIGN FORCE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Uniform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diaphragm!$M$23:$M$29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diaphragm!$A$23:$A$29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Triangular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diaphragm!$D$38:$D$44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diaphragm!$B$38:$B$44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194993"/>
        <c:axId val="46754938"/>
      </c:scatterChart>
      <c:valAx>
        <c:axId val="5194993"/>
        <c:scaling>
          <c:orientation val="minMax"/>
          <c:max val="0.0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Normalized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46754938"/>
        <c:crosses val="autoZero"/>
        <c:crossBetween val="midCat"/>
        <c:dispUnits/>
        <c:majorUnit val="0.02"/>
      </c:valAx>
      <c:valAx>
        <c:axId val="4675493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Floor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949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32</xdr:row>
      <xdr:rowOff>9525</xdr:rowOff>
    </xdr:from>
    <xdr:to>
      <xdr:col>36</xdr:col>
      <xdr:colOff>28575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8335625" y="5457825"/>
        <a:ext cx="3667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0</xdr:colOff>
      <xdr:row>32</xdr:row>
      <xdr:rowOff>9525</xdr:rowOff>
    </xdr:from>
    <xdr:to>
      <xdr:col>42</xdr:col>
      <xdr:colOff>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21974175" y="5457825"/>
        <a:ext cx="3657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32</xdr:row>
      <xdr:rowOff>152400</xdr:rowOff>
    </xdr:from>
    <xdr:to>
      <xdr:col>12</xdr:col>
      <xdr:colOff>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4905375" y="5543550"/>
        <a:ext cx="34575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22"/>
  <sheetViews>
    <sheetView workbookViewId="0" topLeftCell="A25">
      <selection activeCell="A34" sqref="A34"/>
    </sheetView>
  </sheetViews>
  <sheetFormatPr defaultColWidth="11.421875" defaultRowHeight="12.75"/>
  <cols>
    <col min="1" max="10" width="9.140625" style="0" customWidth="1"/>
    <col min="11" max="11" width="9.57421875" style="0" bestFit="1" customWidth="1"/>
    <col min="12" max="16384" width="9.140625" style="0" customWidth="1"/>
  </cols>
  <sheetData>
    <row r="2" spans="3:17" ht="12.75">
      <c r="C2" s="16" t="s">
        <v>14</v>
      </c>
      <c r="Q2" s="16" t="s">
        <v>168</v>
      </c>
    </row>
    <row r="3" spans="18:45" ht="12.75">
      <c r="R3" s="27" t="s">
        <v>167</v>
      </c>
      <c r="AG3" s="27" t="s">
        <v>215</v>
      </c>
      <c r="AS3" s="28" t="s">
        <v>220</v>
      </c>
    </row>
    <row r="4" spans="2:4" ht="12.75">
      <c r="B4" s="1" t="s">
        <v>0</v>
      </c>
      <c r="C4" s="1"/>
      <c r="D4" s="1"/>
    </row>
    <row r="5" spans="2:45" ht="12.75">
      <c r="B5" s="1"/>
      <c r="C5" s="1"/>
      <c r="D5" s="1"/>
      <c r="O5" s="22" t="s">
        <v>0</v>
      </c>
      <c r="P5" s="22"/>
      <c r="Q5" s="22"/>
      <c r="R5" s="8"/>
      <c r="AR5" s="28" t="s">
        <v>216</v>
      </c>
      <c r="AS5" s="28" t="s">
        <v>218</v>
      </c>
    </row>
    <row r="6" spans="2:45" ht="12.75">
      <c r="B6" s="2" t="s">
        <v>114</v>
      </c>
      <c r="C6" s="3"/>
      <c r="D6" s="3"/>
      <c r="O6" s="22"/>
      <c r="P6" s="22"/>
      <c r="Q6" s="22"/>
      <c r="R6" s="8"/>
      <c r="AR6" s="28" t="s">
        <v>217</v>
      </c>
      <c r="AS6" s="28" t="s">
        <v>219</v>
      </c>
    </row>
    <row r="7" spans="2:35" ht="12.75">
      <c r="B7" s="3"/>
      <c r="C7" s="3"/>
      <c r="D7" s="3"/>
      <c r="O7" s="23" t="s">
        <v>90</v>
      </c>
      <c r="P7" s="8"/>
      <c r="Q7" s="8"/>
      <c r="R7" s="8"/>
      <c r="AH7" s="28" t="s">
        <v>211</v>
      </c>
      <c r="AI7" s="28" t="s">
        <v>210</v>
      </c>
    </row>
    <row r="8" spans="2:45" ht="14.25">
      <c r="B8" s="9" t="s">
        <v>17</v>
      </c>
      <c r="C8" s="10">
        <v>180</v>
      </c>
      <c r="D8" s="5" t="s">
        <v>18</v>
      </c>
      <c r="O8" s="8"/>
      <c r="P8" s="8"/>
      <c r="Q8" s="8"/>
      <c r="R8" s="8"/>
      <c r="AG8" s="38" t="s">
        <v>203</v>
      </c>
      <c r="AH8" s="38" t="s">
        <v>209</v>
      </c>
      <c r="AI8" s="38" t="s">
        <v>209</v>
      </c>
      <c r="AR8" s="40">
        <v>0.04</v>
      </c>
      <c r="AS8" s="30">
        <v>0.609479</v>
      </c>
    </row>
    <row r="9" spans="2:45" ht="12.75">
      <c r="B9" s="9" t="s">
        <v>19</v>
      </c>
      <c r="C9" s="10">
        <v>180</v>
      </c>
      <c r="D9" s="5" t="s">
        <v>18</v>
      </c>
      <c r="P9" t="s">
        <v>60</v>
      </c>
      <c r="V9" s="6"/>
      <c r="W9" s="20" t="s">
        <v>61</v>
      </c>
      <c r="X9" t="s">
        <v>68</v>
      </c>
      <c r="AG9" s="28" t="s">
        <v>205</v>
      </c>
      <c r="AH9" s="28" t="s">
        <v>206</v>
      </c>
      <c r="AI9" s="28" t="s">
        <v>206</v>
      </c>
      <c r="AR9" s="40">
        <v>0.042</v>
      </c>
      <c r="AS9" s="30">
        <v>0.649476</v>
      </c>
    </row>
    <row r="10" spans="2:45" ht="12.75">
      <c r="B10" s="9"/>
      <c r="C10" s="14"/>
      <c r="D10" s="5"/>
      <c r="P10" t="s">
        <v>63</v>
      </c>
      <c r="V10" s="8"/>
      <c r="W10" s="10" t="s">
        <v>64</v>
      </c>
      <c r="X10" t="s">
        <v>65</v>
      </c>
      <c r="AG10" s="11"/>
      <c r="AH10" s="11"/>
      <c r="AR10" s="40">
        <v>0.044</v>
      </c>
      <c r="AS10" s="30">
        <v>0.663057</v>
      </c>
    </row>
    <row r="11" spans="4:45" ht="12.75">
      <c r="D11" s="16" t="s">
        <v>27</v>
      </c>
      <c r="P11" t="s">
        <v>62</v>
      </c>
      <c r="V11" s="8"/>
      <c r="W11" s="10" t="s">
        <v>64</v>
      </c>
      <c r="X11" t="s">
        <v>67</v>
      </c>
      <c r="AG11" s="11">
        <v>0</v>
      </c>
      <c r="AH11" s="11">
        <f>0.4*W28</f>
        <v>0.4</v>
      </c>
      <c r="AI11" s="15">
        <f>+AH11*3/2</f>
        <v>0.6000000000000001</v>
      </c>
      <c r="AR11" s="40">
        <v>0.046</v>
      </c>
      <c r="AS11" s="30">
        <v>0.641476</v>
      </c>
    </row>
    <row r="12" spans="16:45" ht="14.25">
      <c r="P12" t="s">
        <v>58</v>
      </c>
      <c r="V12" s="6" t="s">
        <v>57</v>
      </c>
      <c r="W12" s="20">
        <v>1</v>
      </c>
      <c r="X12" t="s">
        <v>59</v>
      </c>
      <c r="AG12" s="11">
        <f>0.2*W29/W28</f>
        <v>0.12</v>
      </c>
      <c r="AH12" s="15">
        <f>+W28</f>
        <v>1</v>
      </c>
      <c r="AI12" s="15">
        <f aca="true" t="shared" si="0" ref="AI12:AI30">+AH12*3/2</f>
        <v>1.5</v>
      </c>
      <c r="AR12" s="40">
        <v>0.048</v>
      </c>
      <c r="AS12" s="30">
        <v>0.64408</v>
      </c>
    </row>
    <row r="13" spans="3:45" ht="14.25">
      <c r="C13" s="12" t="s">
        <v>2</v>
      </c>
      <c r="D13" s="12" t="s">
        <v>15</v>
      </c>
      <c r="E13" s="12" t="s">
        <v>20</v>
      </c>
      <c r="F13" s="12" t="s">
        <v>21</v>
      </c>
      <c r="G13" s="12" t="s">
        <v>22</v>
      </c>
      <c r="H13" s="12" t="s">
        <v>23</v>
      </c>
      <c r="P13" t="s">
        <v>56</v>
      </c>
      <c r="V13" s="6" t="s">
        <v>55</v>
      </c>
      <c r="W13" s="21">
        <v>8</v>
      </c>
      <c r="X13" t="s">
        <v>66</v>
      </c>
      <c r="AG13" s="11">
        <f>+W29/W28</f>
        <v>0.6</v>
      </c>
      <c r="AH13" s="15">
        <f>+AH12</f>
        <v>1</v>
      </c>
      <c r="AI13" s="15">
        <f t="shared" si="0"/>
        <v>1.5</v>
      </c>
      <c r="AJ13" s="27" t="s">
        <v>208</v>
      </c>
      <c r="AR13" s="40">
        <v>0.05</v>
      </c>
      <c r="AS13" s="30">
        <v>0.660814</v>
      </c>
    </row>
    <row r="14" spans="3:45" ht="14.25">
      <c r="C14" s="12"/>
      <c r="D14" s="12" t="s">
        <v>16</v>
      </c>
      <c r="E14" s="12" t="s">
        <v>16</v>
      </c>
      <c r="F14" s="12" t="s">
        <v>16</v>
      </c>
      <c r="G14" s="12" t="s">
        <v>31</v>
      </c>
      <c r="H14" s="12" t="s">
        <v>4</v>
      </c>
      <c r="AG14" s="11">
        <f>+AG13+0.2</f>
        <v>0.8</v>
      </c>
      <c r="AH14" s="15">
        <f>+$W$29/AG14</f>
        <v>0.7499999999999999</v>
      </c>
      <c r="AI14" s="15">
        <f t="shared" si="0"/>
        <v>1.1249999999999998</v>
      </c>
      <c r="AK14" s="39" t="s">
        <v>212</v>
      </c>
      <c r="AL14" s="39" t="s">
        <v>213</v>
      </c>
      <c r="AM14" s="39" t="s">
        <v>214</v>
      </c>
      <c r="AR14" s="40">
        <v>0.055</v>
      </c>
      <c r="AS14" s="30">
        <v>0.661123</v>
      </c>
    </row>
    <row r="15" spans="33:45" ht="14.25">
      <c r="AG15" s="11">
        <f aca="true" t="shared" si="1" ref="AG15:AG20">+AG14+0.2</f>
        <v>1</v>
      </c>
      <c r="AH15" s="15">
        <f aca="true" t="shared" si="2" ref="AH15:AH30">+$W$29/AG15</f>
        <v>0.6</v>
      </c>
      <c r="AI15" s="15">
        <f t="shared" si="0"/>
        <v>0.8999999999999999</v>
      </c>
      <c r="AJ15" s="38" t="s">
        <v>203</v>
      </c>
      <c r="AK15" s="38" t="s">
        <v>209</v>
      </c>
      <c r="AL15" s="38" t="s">
        <v>209</v>
      </c>
      <c r="AM15" s="38" t="s">
        <v>209</v>
      </c>
      <c r="AR15" s="40">
        <v>0.06</v>
      </c>
      <c r="AS15" s="30">
        <v>0.710791</v>
      </c>
    </row>
    <row r="16" spans="3:45" ht="12.75">
      <c r="C16" s="12">
        <v>6</v>
      </c>
      <c r="D16" s="11">
        <f aca="true" t="shared" si="3" ref="D16:D21">+$C$8*$C$9</f>
        <v>32400</v>
      </c>
      <c r="E16" s="10">
        <v>0</v>
      </c>
      <c r="F16" s="11">
        <f aca="true" t="shared" si="4" ref="F16:F21">+D16-E16</f>
        <v>32400</v>
      </c>
      <c r="G16" s="4">
        <v>100</v>
      </c>
      <c r="H16" s="11">
        <f aca="true" t="shared" si="5" ref="H16:H21">+F16*G16/1000</f>
        <v>3240</v>
      </c>
      <c r="O16" s="16" t="s">
        <v>69</v>
      </c>
      <c r="AG16" s="11">
        <f t="shared" si="1"/>
        <v>1.2</v>
      </c>
      <c r="AH16" s="15">
        <f t="shared" si="2"/>
        <v>0.5</v>
      </c>
      <c r="AI16" s="15">
        <f t="shared" si="0"/>
        <v>0.75</v>
      </c>
      <c r="AJ16" s="28" t="s">
        <v>205</v>
      </c>
      <c r="AK16" s="28" t="s">
        <v>206</v>
      </c>
      <c r="AL16" s="28" t="s">
        <v>206</v>
      </c>
      <c r="AM16" s="28" t="s">
        <v>206</v>
      </c>
      <c r="AR16" s="40">
        <v>0.065</v>
      </c>
      <c r="AS16" s="30">
        <v>0.719034</v>
      </c>
    </row>
    <row r="17" spans="3:45" ht="12.75">
      <c r="C17" s="12">
        <v>5</v>
      </c>
      <c r="D17" s="11">
        <f t="shared" si="3"/>
        <v>32400</v>
      </c>
      <c r="E17" s="10">
        <v>0</v>
      </c>
      <c r="F17" s="11">
        <f t="shared" si="4"/>
        <v>32400</v>
      </c>
      <c r="G17" s="4">
        <v>100</v>
      </c>
      <c r="H17" s="11">
        <f t="shared" si="5"/>
        <v>3240</v>
      </c>
      <c r="AG17" s="11">
        <f t="shared" si="1"/>
        <v>1.4</v>
      </c>
      <c r="AH17" s="15">
        <f t="shared" si="2"/>
        <v>0.4285714285714286</v>
      </c>
      <c r="AI17" s="15">
        <f t="shared" si="0"/>
        <v>0.6428571428571429</v>
      </c>
      <c r="AR17" s="40">
        <v>0.07</v>
      </c>
      <c r="AS17" s="30">
        <v>0.766228</v>
      </c>
    </row>
    <row r="18" spans="3:45" ht="14.25">
      <c r="C18" s="12">
        <v>4</v>
      </c>
      <c r="D18" s="11">
        <f t="shared" si="3"/>
        <v>32400</v>
      </c>
      <c r="E18" s="10">
        <v>0</v>
      </c>
      <c r="F18" s="11">
        <f t="shared" si="4"/>
        <v>32400</v>
      </c>
      <c r="G18" s="4">
        <f>+$G$17</f>
        <v>100</v>
      </c>
      <c r="H18" s="11">
        <f t="shared" si="5"/>
        <v>3240</v>
      </c>
      <c r="P18" t="s">
        <v>71</v>
      </c>
      <c r="V18" s="6" t="s">
        <v>70</v>
      </c>
      <c r="W18" s="10">
        <v>1.5</v>
      </c>
      <c r="X18" t="s">
        <v>77</v>
      </c>
      <c r="AG18" s="11">
        <f t="shared" si="1"/>
        <v>1.5999999999999999</v>
      </c>
      <c r="AH18" s="15">
        <f t="shared" si="2"/>
        <v>0.375</v>
      </c>
      <c r="AI18" s="15">
        <f t="shared" si="0"/>
        <v>0.5625</v>
      </c>
      <c r="AJ18" s="11">
        <v>0.3</v>
      </c>
      <c r="AK18" s="11">
        <v>1.61</v>
      </c>
      <c r="AL18" s="11">
        <v>1.07</v>
      </c>
      <c r="AM18" s="11">
        <v>0.514</v>
      </c>
      <c r="AR18" s="40">
        <v>0.075</v>
      </c>
      <c r="AS18" s="30">
        <v>0.7685</v>
      </c>
    </row>
    <row r="19" spans="3:45" ht="14.25">
      <c r="C19" s="12">
        <v>3</v>
      </c>
      <c r="D19" s="11">
        <f t="shared" si="3"/>
        <v>32400</v>
      </c>
      <c r="E19" s="10">
        <v>0</v>
      </c>
      <c r="F19" s="11">
        <f t="shared" si="4"/>
        <v>32400</v>
      </c>
      <c r="G19" s="4">
        <f>+$G$17</f>
        <v>100</v>
      </c>
      <c r="H19" s="11">
        <f t="shared" si="5"/>
        <v>3240</v>
      </c>
      <c r="P19" t="s">
        <v>72</v>
      </c>
      <c r="V19" s="6" t="s">
        <v>73</v>
      </c>
      <c r="W19" s="10">
        <v>0.6</v>
      </c>
      <c r="X19" t="s">
        <v>77</v>
      </c>
      <c r="AG19" s="11">
        <f t="shared" si="1"/>
        <v>1.7999999999999998</v>
      </c>
      <c r="AH19" s="15">
        <f t="shared" si="2"/>
        <v>0.33333333333333337</v>
      </c>
      <c r="AI19" s="15">
        <f t="shared" si="0"/>
        <v>0.5</v>
      </c>
      <c r="AJ19" s="11">
        <v>1</v>
      </c>
      <c r="AK19" s="11">
        <v>1.19</v>
      </c>
      <c r="AL19" s="11">
        <v>0.68</v>
      </c>
      <c r="AM19" s="11">
        <v>0.288</v>
      </c>
      <c r="AR19" s="40">
        <v>0.08</v>
      </c>
      <c r="AS19" s="30">
        <v>0.812488</v>
      </c>
    </row>
    <row r="20" spans="3:45" ht="14.25">
      <c r="C20" s="12">
        <v>2</v>
      </c>
      <c r="D20" s="11">
        <f t="shared" si="3"/>
        <v>32400</v>
      </c>
      <c r="E20" s="10">
        <v>0</v>
      </c>
      <c r="F20" s="11">
        <f t="shared" si="4"/>
        <v>32400</v>
      </c>
      <c r="G20" s="4">
        <f>+$G$17</f>
        <v>100</v>
      </c>
      <c r="H20" s="11">
        <f t="shared" si="5"/>
        <v>3240</v>
      </c>
      <c r="P20" t="s">
        <v>74</v>
      </c>
      <c r="V20" s="6" t="s">
        <v>75</v>
      </c>
      <c r="W20" s="10">
        <v>1</v>
      </c>
      <c r="X20" t="s">
        <v>78</v>
      </c>
      <c r="AG20" s="11">
        <f t="shared" si="1"/>
        <v>1.9999999999999998</v>
      </c>
      <c r="AH20" s="15">
        <f t="shared" si="2"/>
        <v>0.30000000000000004</v>
      </c>
      <c r="AI20" s="15">
        <f t="shared" si="0"/>
        <v>0.45000000000000007</v>
      </c>
      <c r="AJ20" s="11">
        <v>2</v>
      </c>
      <c r="AK20" s="11">
        <v>0.54</v>
      </c>
      <c r="AL20" s="11">
        <v>0.33</v>
      </c>
      <c r="AM20" s="11">
        <v>0.149</v>
      </c>
      <c r="AR20" s="40">
        <v>0.085</v>
      </c>
      <c r="AS20" s="30">
        <v>0.846823</v>
      </c>
    </row>
    <row r="21" spans="3:45" ht="14.25">
      <c r="C21" s="12">
        <v>1</v>
      </c>
      <c r="D21" s="11">
        <f t="shared" si="3"/>
        <v>32400</v>
      </c>
      <c r="E21" s="10">
        <v>0</v>
      </c>
      <c r="F21" s="11">
        <f t="shared" si="4"/>
        <v>32400</v>
      </c>
      <c r="G21" s="4">
        <f>+$G$17</f>
        <v>100</v>
      </c>
      <c r="H21" s="11">
        <f t="shared" si="5"/>
        <v>3240</v>
      </c>
      <c r="P21" t="s">
        <v>74</v>
      </c>
      <c r="V21" s="6" t="s">
        <v>76</v>
      </c>
      <c r="W21" s="10">
        <v>1.5</v>
      </c>
      <c r="X21" t="s">
        <v>79</v>
      </c>
      <c r="AG21" s="11">
        <f>+AG20+0.2</f>
        <v>2.1999999999999997</v>
      </c>
      <c r="AH21" s="15">
        <f t="shared" si="2"/>
        <v>0.27272727272727276</v>
      </c>
      <c r="AI21" s="15">
        <f t="shared" si="0"/>
        <v>0.40909090909090917</v>
      </c>
      <c r="AJ21" s="11">
        <v>4</v>
      </c>
      <c r="AK21" s="11">
        <v>0.19</v>
      </c>
      <c r="AL21" s="11">
        <v>0.123</v>
      </c>
      <c r="AM21" s="11">
        <v>0.069</v>
      </c>
      <c r="AR21" s="40">
        <v>0.09</v>
      </c>
      <c r="AS21" s="30">
        <v>0.879519</v>
      </c>
    </row>
    <row r="22" spans="4:45" ht="12.75">
      <c r="D22" s="11">
        <f>+SUM(D16:D21)</f>
        <v>194400</v>
      </c>
      <c r="AG22" s="11">
        <f>+AG21+0.2</f>
        <v>2.4</v>
      </c>
      <c r="AH22" s="15">
        <f t="shared" si="2"/>
        <v>0.25</v>
      </c>
      <c r="AI22" s="15">
        <f t="shared" si="0"/>
        <v>0.375</v>
      </c>
      <c r="AR22" s="40">
        <v>0.095</v>
      </c>
      <c r="AS22" s="30">
        <v>0.893726</v>
      </c>
    </row>
    <row r="23" spans="7:45" ht="14.25">
      <c r="G23" s="18" t="s">
        <v>25</v>
      </c>
      <c r="H23" s="11">
        <f>+SUM(H16:H21)</f>
        <v>19440</v>
      </c>
      <c r="I23" t="s">
        <v>4</v>
      </c>
      <c r="AG23" s="11">
        <f aca="true" t="shared" si="6" ref="AG23:AG28">+AG22+0.2</f>
        <v>2.6</v>
      </c>
      <c r="AH23" s="15">
        <f t="shared" si="2"/>
        <v>0.23076923076923075</v>
      </c>
      <c r="AI23" s="15">
        <f t="shared" si="0"/>
        <v>0.34615384615384615</v>
      </c>
      <c r="AR23" s="40">
        <v>0.1</v>
      </c>
      <c r="AS23" s="30">
        <v>0.909863</v>
      </c>
    </row>
    <row r="24" spans="15:45" ht="12.75">
      <c r="O24" s="16" t="s">
        <v>91</v>
      </c>
      <c r="AG24" s="11">
        <f t="shared" si="6"/>
        <v>2.8000000000000003</v>
      </c>
      <c r="AH24" s="15">
        <f t="shared" si="2"/>
        <v>0.21428571428571425</v>
      </c>
      <c r="AI24" s="15">
        <f t="shared" si="0"/>
        <v>0.3214285714285714</v>
      </c>
      <c r="AR24" s="40">
        <v>0.11</v>
      </c>
      <c r="AS24" s="30">
        <v>0.968052</v>
      </c>
    </row>
    <row r="25" spans="4:45" ht="12.75">
      <c r="D25" s="16" t="s">
        <v>38</v>
      </c>
      <c r="AG25" s="11">
        <f t="shared" si="6"/>
        <v>3.0000000000000004</v>
      </c>
      <c r="AH25" s="15">
        <f t="shared" si="2"/>
        <v>0.19999999999999996</v>
      </c>
      <c r="AI25" s="15">
        <f t="shared" si="0"/>
        <v>0.29999999999999993</v>
      </c>
      <c r="AR25" s="40">
        <v>0.12</v>
      </c>
      <c r="AS25" s="30">
        <v>0.943646</v>
      </c>
    </row>
    <row r="26" spans="15:45" ht="14.25">
      <c r="O26" t="s">
        <v>80</v>
      </c>
      <c r="V26" s="6" t="s">
        <v>81</v>
      </c>
      <c r="W26" s="11">
        <f>+W20*W18</f>
        <v>1.5</v>
      </c>
      <c r="X26" t="s">
        <v>88</v>
      </c>
      <c r="AG26" s="11">
        <f t="shared" si="6"/>
        <v>3.2000000000000006</v>
      </c>
      <c r="AH26" s="15">
        <f t="shared" si="2"/>
        <v>0.18749999999999994</v>
      </c>
      <c r="AI26" s="15">
        <f t="shared" si="0"/>
        <v>0.2812499999999999</v>
      </c>
      <c r="AR26" s="40">
        <v>0.13</v>
      </c>
      <c r="AS26" s="30">
        <v>1.06852</v>
      </c>
    </row>
    <row r="27" spans="3:45" ht="14.25">
      <c r="C27" s="16" t="s">
        <v>160</v>
      </c>
      <c r="D27" s="12"/>
      <c r="G27" s="16" t="s">
        <v>161</v>
      </c>
      <c r="H27" s="12"/>
      <c r="K27" s="12" t="s">
        <v>23</v>
      </c>
      <c r="O27" t="s">
        <v>83</v>
      </c>
      <c r="V27" s="6" t="s">
        <v>82</v>
      </c>
      <c r="W27" s="11">
        <f>+W21*W19</f>
        <v>0.8999999999999999</v>
      </c>
      <c r="X27" t="s">
        <v>88</v>
      </c>
      <c r="AG27" s="11">
        <f t="shared" si="6"/>
        <v>3.400000000000001</v>
      </c>
      <c r="AH27" s="15">
        <f t="shared" si="2"/>
        <v>0.17647058823529407</v>
      </c>
      <c r="AI27" s="15">
        <f t="shared" si="0"/>
        <v>0.2647058823529411</v>
      </c>
      <c r="AR27" s="40">
        <v>0.14</v>
      </c>
      <c r="AS27" s="30">
        <v>1.00828</v>
      </c>
    </row>
    <row r="28" spans="1:45" ht="14.25">
      <c r="A28" s="12" t="s">
        <v>37</v>
      </c>
      <c r="B28" s="12" t="s">
        <v>45</v>
      </c>
      <c r="C28" s="12" t="s">
        <v>32</v>
      </c>
      <c r="D28" s="12" t="s">
        <v>22</v>
      </c>
      <c r="E28" s="12" t="s">
        <v>33</v>
      </c>
      <c r="F28" s="12" t="s">
        <v>46</v>
      </c>
      <c r="G28" s="12" t="s">
        <v>32</v>
      </c>
      <c r="H28" s="12" t="s">
        <v>32</v>
      </c>
      <c r="I28" s="12" t="s">
        <v>22</v>
      </c>
      <c r="J28" s="12" t="s">
        <v>33</v>
      </c>
      <c r="K28" s="12" t="s">
        <v>4</v>
      </c>
      <c r="O28" t="s">
        <v>84</v>
      </c>
      <c r="V28" s="6" t="s">
        <v>86</v>
      </c>
      <c r="W28" s="11">
        <f>2*W26/3</f>
        <v>1</v>
      </c>
      <c r="X28" t="s">
        <v>89</v>
      </c>
      <c r="AD28" s="15"/>
      <c r="AG28" s="11">
        <f t="shared" si="6"/>
        <v>3.600000000000001</v>
      </c>
      <c r="AH28" s="15">
        <f t="shared" si="2"/>
        <v>0.1666666666666666</v>
      </c>
      <c r="AI28" s="15">
        <f t="shared" si="0"/>
        <v>0.2499999999999999</v>
      </c>
      <c r="AR28" s="40">
        <v>0.15</v>
      </c>
      <c r="AS28" s="30">
        <v>1.03867</v>
      </c>
    </row>
    <row r="29" spans="1:45" ht="14.25">
      <c r="A29" s="12"/>
      <c r="B29" s="12" t="s">
        <v>1</v>
      </c>
      <c r="D29" s="12" t="s">
        <v>52</v>
      </c>
      <c r="F29" s="12" t="s">
        <v>1</v>
      </c>
      <c r="G29" s="12" t="s">
        <v>154</v>
      </c>
      <c r="H29" s="12" t="s">
        <v>155</v>
      </c>
      <c r="I29" s="12" t="s">
        <v>52</v>
      </c>
      <c r="O29" t="s">
        <v>85</v>
      </c>
      <c r="V29" s="6" t="s">
        <v>87</v>
      </c>
      <c r="W29" s="11">
        <f>2*W27/3</f>
        <v>0.6</v>
      </c>
      <c r="X29" t="s">
        <v>89</v>
      </c>
      <c r="AD29" s="15"/>
      <c r="AG29" s="11">
        <f>+AG28+0.2</f>
        <v>3.800000000000001</v>
      </c>
      <c r="AH29" s="15">
        <f t="shared" si="2"/>
        <v>0.1578947368421052</v>
      </c>
      <c r="AI29" s="15">
        <f t="shared" si="0"/>
        <v>0.2368421052631578</v>
      </c>
      <c r="AR29" s="40">
        <v>0.16</v>
      </c>
      <c r="AS29" s="30">
        <v>1.01562</v>
      </c>
    </row>
    <row r="30" spans="30:45" ht="12.75">
      <c r="AD30" s="15"/>
      <c r="AG30" s="11">
        <f>+AG29+0.2</f>
        <v>4.000000000000001</v>
      </c>
      <c r="AH30" s="15">
        <f t="shared" si="2"/>
        <v>0.14999999999999997</v>
      </c>
      <c r="AI30" s="15">
        <f t="shared" si="0"/>
        <v>0.22499999999999995</v>
      </c>
      <c r="AR30" s="40">
        <v>0.17</v>
      </c>
      <c r="AS30" s="30">
        <v>0.954677</v>
      </c>
    </row>
    <row r="31" spans="1:45" ht="12.75">
      <c r="A31" s="12">
        <v>6</v>
      </c>
      <c r="B31" s="10">
        <v>28.66</v>
      </c>
      <c r="C31" s="10" t="s">
        <v>40</v>
      </c>
      <c r="D31" s="10">
        <v>62</v>
      </c>
      <c r="E31" s="10">
        <v>16</v>
      </c>
      <c r="F31" s="10">
        <v>29.5</v>
      </c>
      <c r="G31" s="10" t="s">
        <v>156</v>
      </c>
      <c r="H31" s="10" t="s">
        <v>157</v>
      </c>
      <c r="I31" s="10">
        <v>45</v>
      </c>
      <c r="J31" s="10">
        <v>108</v>
      </c>
      <c r="K31" s="17">
        <f aca="true" t="shared" si="7" ref="K31:K36">+(B31*(D31*E31)+F31*(I31*J31))/1000</f>
        <v>171.80072</v>
      </c>
      <c r="AD31" s="15"/>
      <c r="AR31" s="40">
        <v>0.18</v>
      </c>
      <c r="AS31" s="30">
        <v>1.08897</v>
      </c>
    </row>
    <row r="32" spans="1:45" ht="12.75">
      <c r="A32" s="12">
        <v>5</v>
      </c>
      <c r="B32" s="10">
        <v>28.66</v>
      </c>
      <c r="C32" s="10" t="s">
        <v>41</v>
      </c>
      <c r="D32" s="10">
        <v>99</v>
      </c>
      <c r="E32" s="10">
        <f>+$E$31</f>
        <v>16</v>
      </c>
      <c r="F32" s="10">
        <v>29.5</v>
      </c>
      <c r="G32" s="10" t="s">
        <v>158</v>
      </c>
      <c r="H32" s="10" t="s">
        <v>159</v>
      </c>
      <c r="I32" s="10">
        <v>60.5</v>
      </c>
      <c r="J32" s="10">
        <f>+$J$31</f>
        <v>108</v>
      </c>
      <c r="K32" s="17">
        <f t="shared" si="7"/>
        <v>238.15044</v>
      </c>
      <c r="O32" s="23" t="s">
        <v>99</v>
      </c>
      <c r="AD32" s="15"/>
      <c r="AR32" s="40">
        <v>0.19</v>
      </c>
      <c r="AS32" s="30">
        <v>1.00488</v>
      </c>
    </row>
    <row r="33" spans="1:45" ht="12.75">
      <c r="A33" s="12">
        <v>4</v>
      </c>
      <c r="B33" s="10">
        <v>28.48</v>
      </c>
      <c r="C33" s="10" t="s">
        <v>42</v>
      </c>
      <c r="D33" s="10">
        <v>108</v>
      </c>
      <c r="E33" s="10">
        <f>+$E$31</f>
        <v>16</v>
      </c>
      <c r="F33" s="10">
        <v>29.5</v>
      </c>
      <c r="G33" s="10" t="s">
        <v>158</v>
      </c>
      <c r="H33" s="10" t="s">
        <v>159</v>
      </c>
      <c r="I33" s="10">
        <f>+I32</f>
        <v>60.5</v>
      </c>
      <c r="J33" s="10">
        <f>+$J$31</f>
        <v>108</v>
      </c>
      <c r="K33" s="17">
        <f t="shared" si="7"/>
        <v>241.96644</v>
      </c>
      <c r="AD33" s="15"/>
      <c r="AR33" s="40">
        <v>0.2</v>
      </c>
      <c r="AS33" s="30">
        <v>1.02792</v>
      </c>
    </row>
    <row r="34" spans="1:45" ht="12.75">
      <c r="A34" s="12">
        <v>3</v>
      </c>
      <c r="B34" s="10">
        <v>28.48</v>
      </c>
      <c r="C34" s="10" t="s">
        <v>43</v>
      </c>
      <c r="D34" s="10">
        <v>150</v>
      </c>
      <c r="E34" s="10">
        <f>+$E$31</f>
        <v>16</v>
      </c>
      <c r="F34" s="10">
        <v>29.5</v>
      </c>
      <c r="G34" s="10" t="s">
        <v>158</v>
      </c>
      <c r="H34" s="10" t="s">
        <v>159</v>
      </c>
      <c r="I34" s="10">
        <f>+I33</f>
        <v>60.5</v>
      </c>
      <c r="J34" s="10">
        <f>+$J$31</f>
        <v>108</v>
      </c>
      <c r="K34" s="17">
        <f t="shared" si="7"/>
        <v>261.105</v>
      </c>
      <c r="O34" t="s">
        <v>100</v>
      </c>
      <c r="V34" s="6" t="s">
        <v>101</v>
      </c>
      <c r="W34" s="10">
        <v>6</v>
      </c>
      <c r="AD34" s="15"/>
      <c r="AR34" s="40">
        <v>0.22</v>
      </c>
      <c r="AS34" s="30">
        <v>1.03477</v>
      </c>
    </row>
    <row r="35" spans="1:45" ht="14.25">
      <c r="A35" s="12">
        <v>2</v>
      </c>
      <c r="B35" s="10">
        <v>28.44</v>
      </c>
      <c r="C35" s="10" t="s">
        <v>44</v>
      </c>
      <c r="D35" s="10">
        <v>160</v>
      </c>
      <c r="E35" s="10">
        <f>+$E$31</f>
        <v>16</v>
      </c>
      <c r="F35" s="10">
        <v>29.5</v>
      </c>
      <c r="G35" s="10" t="s">
        <v>158</v>
      </c>
      <c r="H35" s="10" t="s">
        <v>159</v>
      </c>
      <c r="I35" s="10">
        <f>+I34</f>
        <v>60.5</v>
      </c>
      <c r="J35" s="10">
        <f>+$J$31</f>
        <v>108</v>
      </c>
      <c r="K35" s="17">
        <f t="shared" si="7"/>
        <v>265.55940000000004</v>
      </c>
      <c r="O35" t="s">
        <v>105</v>
      </c>
      <c r="V35" s="6" t="s">
        <v>102</v>
      </c>
      <c r="W35" s="10">
        <v>0.035</v>
      </c>
      <c r="AD35" s="15"/>
      <c r="AR35" s="40">
        <v>0.24</v>
      </c>
      <c r="AS35" s="30">
        <v>1.02344</v>
      </c>
    </row>
    <row r="36" spans="1:45" ht="14.25">
      <c r="A36" s="12">
        <v>1</v>
      </c>
      <c r="B36" s="10">
        <v>28.44</v>
      </c>
      <c r="C36" s="10" t="s">
        <v>44</v>
      </c>
      <c r="D36" s="10">
        <v>160</v>
      </c>
      <c r="E36" s="10">
        <f>+$E$31</f>
        <v>16</v>
      </c>
      <c r="F36" s="10">
        <v>29.5</v>
      </c>
      <c r="G36" s="10" t="s">
        <v>158</v>
      </c>
      <c r="H36" s="10" t="s">
        <v>159</v>
      </c>
      <c r="I36" s="10">
        <f>+I35</f>
        <v>60.5</v>
      </c>
      <c r="J36" s="10">
        <f>+$J$31</f>
        <v>108</v>
      </c>
      <c r="K36" s="17">
        <f t="shared" si="7"/>
        <v>265.55940000000004</v>
      </c>
      <c r="O36" t="s">
        <v>104</v>
      </c>
      <c r="V36" s="6" t="s">
        <v>103</v>
      </c>
      <c r="W36" s="10">
        <v>1.2</v>
      </c>
      <c r="AD36" s="15"/>
      <c r="AR36" s="40">
        <v>0.26</v>
      </c>
      <c r="AS36" s="30">
        <v>1.06288</v>
      </c>
    </row>
    <row r="37" spans="15:45" ht="14.25">
      <c r="O37" t="s">
        <v>107</v>
      </c>
      <c r="V37" s="6" t="s">
        <v>106</v>
      </c>
      <c r="W37" s="10">
        <v>80</v>
      </c>
      <c r="X37" t="s">
        <v>1</v>
      </c>
      <c r="AD37" s="15"/>
      <c r="AR37" s="40">
        <v>0.28</v>
      </c>
      <c r="AS37" s="30">
        <v>0.92133</v>
      </c>
    </row>
    <row r="38" spans="10:45" ht="14.25">
      <c r="J38" s="18" t="s">
        <v>47</v>
      </c>
      <c r="K38" s="17">
        <f>+SUM(K31:K36)</f>
        <v>1444.1414000000002</v>
      </c>
      <c r="L38" t="s">
        <v>4</v>
      </c>
      <c r="O38" t="s">
        <v>98</v>
      </c>
      <c r="V38" s="6" t="s">
        <v>95</v>
      </c>
      <c r="W38" s="10">
        <v>1.784</v>
      </c>
      <c r="X38" t="s">
        <v>96</v>
      </c>
      <c r="AD38" s="15"/>
      <c r="AR38" s="40">
        <v>0.3</v>
      </c>
      <c r="AS38" s="30">
        <v>0.993179</v>
      </c>
    </row>
    <row r="39" spans="11:45" ht="14.25">
      <c r="K39" s="30">
        <f>+K38/SUM(D16:D21)</f>
        <v>0.007428710905349795</v>
      </c>
      <c r="L39" t="s">
        <v>289</v>
      </c>
      <c r="O39" t="s">
        <v>97</v>
      </c>
      <c r="V39" s="6" t="s">
        <v>151</v>
      </c>
      <c r="W39" s="17">
        <f>+(W37)^0.75*W35</f>
        <v>0.9362364269669906</v>
      </c>
      <c r="AD39" s="15"/>
      <c r="AR39" s="40">
        <v>0.32</v>
      </c>
      <c r="AS39" s="30">
        <v>1.06457</v>
      </c>
    </row>
    <row r="40" spans="5:45" ht="14.25">
      <c r="E40" s="16" t="s">
        <v>26</v>
      </c>
      <c r="K40" s="30">
        <f>+K39*3.28^2/2.2</f>
        <v>0.03632774700187055</v>
      </c>
      <c r="L40" t="s">
        <v>290</v>
      </c>
      <c r="V40" s="6" t="s">
        <v>108</v>
      </c>
      <c r="W40" s="17">
        <f>+W35*(W37)^0.75*W36</f>
        <v>1.1234837123603887</v>
      </c>
      <c r="X40" t="s">
        <v>96</v>
      </c>
      <c r="Y40" t="s">
        <v>112</v>
      </c>
      <c r="AD40" s="15"/>
      <c r="AR40" s="40">
        <v>0.34</v>
      </c>
      <c r="AS40" s="30">
        <v>0.98922</v>
      </c>
    </row>
    <row r="41" spans="22:45" ht="14.25">
      <c r="V41" s="6" t="s">
        <v>109</v>
      </c>
      <c r="W41" s="11">
        <f>0.1*W34</f>
        <v>0.6000000000000001</v>
      </c>
      <c r="X41" t="s">
        <v>96</v>
      </c>
      <c r="Y41" t="s">
        <v>111</v>
      </c>
      <c r="AD41" s="15"/>
      <c r="AR41" s="40">
        <v>0.36</v>
      </c>
      <c r="AS41" s="30">
        <v>1.01565</v>
      </c>
    </row>
    <row r="42" spans="4:45" ht="14.25">
      <c r="D42" s="16" t="s">
        <v>34</v>
      </c>
      <c r="E42" s="12"/>
      <c r="G42" s="16" t="s">
        <v>164</v>
      </c>
      <c r="H42" s="12"/>
      <c r="J42" s="12" t="s">
        <v>23</v>
      </c>
      <c r="U42" s="25" t="s">
        <v>110</v>
      </c>
      <c r="V42" s="6" t="s">
        <v>95</v>
      </c>
      <c r="W42" s="10">
        <v>1.12</v>
      </c>
      <c r="X42" t="s">
        <v>96</v>
      </c>
      <c r="AD42" s="15"/>
      <c r="AR42" s="40">
        <v>0.38</v>
      </c>
      <c r="AS42" s="30">
        <v>0.929799</v>
      </c>
    </row>
    <row r="43" spans="2:45" ht="14.25">
      <c r="B43" s="12" t="s">
        <v>37</v>
      </c>
      <c r="C43" s="12" t="s">
        <v>9</v>
      </c>
      <c r="D43" s="12" t="s">
        <v>32</v>
      </c>
      <c r="E43" s="12" t="s">
        <v>22</v>
      </c>
      <c r="F43" s="12" t="s">
        <v>33</v>
      </c>
      <c r="G43" s="12" t="s">
        <v>32</v>
      </c>
      <c r="H43" s="12" t="s">
        <v>22</v>
      </c>
      <c r="I43" s="12" t="s">
        <v>33</v>
      </c>
      <c r="J43" s="12" t="s">
        <v>4</v>
      </c>
      <c r="AD43" s="15"/>
      <c r="AR43" s="40">
        <v>0.4</v>
      </c>
      <c r="AS43" s="30">
        <v>1.00299</v>
      </c>
    </row>
    <row r="44" spans="2:45" ht="12.75">
      <c r="B44" s="12"/>
      <c r="C44" s="12" t="s">
        <v>1</v>
      </c>
      <c r="E44" s="12" t="s">
        <v>31</v>
      </c>
      <c r="H44" s="12" t="s">
        <v>31</v>
      </c>
      <c r="O44" s="16" t="s">
        <v>92</v>
      </c>
      <c r="AD44" s="15"/>
      <c r="AR44" s="40">
        <v>0.42</v>
      </c>
      <c r="AS44" s="30">
        <v>1.05664</v>
      </c>
    </row>
    <row r="45" spans="30:45" ht="12.75">
      <c r="AD45" s="15"/>
      <c r="AR45" s="40">
        <v>0.44</v>
      </c>
      <c r="AS45" s="30">
        <v>1.0411</v>
      </c>
    </row>
    <row r="46" spans="2:45" ht="14.25">
      <c r="B46" s="12">
        <v>6</v>
      </c>
      <c r="C46" s="10">
        <v>13</v>
      </c>
      <c r="D46" s="5" t="s">
        <v>28</v>
      </c>
      <c r="E46" s="10">
        <v>233</v>
      </c>
      <c r="F46" s="10">
        <v>20</v>
      </c>
      <c r="G46" s="10" t="s">
        <v>149</v>
      </c>
      <c r="H46" s="10">
        <v>61</v>
      </c>
      <c r="I46" s="10">
        <v>29</v>
      </c>
      <c r="J46" s="17">
        <f>0.5*(C46*(E46*F46+H46*I46))/1000</f>
        <v>41.7885</v>
      </c>
      <c r="V46" s="6" t="s">
        <v>93</v>
      </c>
      <c r="W46" s="15">
        <f>+W28/(W13/W12)</f>
        <v>0.125</v>
      </c>
      <c r="AD46" s="15"/>
      <c r="AR46" s="40">
        <v>0.46</v>
      </c>
      <c r="AS46" s="30">
        <v>0.936542</v>
      </c>
    </row>
    <row r="47" spans="2:45" ht="14.25">
      <c r="B47" s="12">
        <v>5</v>
      </c>
      <c r="C47" s="10">
        <v>13</v>
      </c>
      <c r="D47" s="5" t="s">
        <v>28</v>
      </c>
      <c r="E47" s="10">
        <v>233</v>
      </c>
      <c r="F47" s="10">
        <f>+$F$46</f>
        <v>20</v>
      </c>
      <c r="G47" s="10" t="s">
        <v>149</v>
      </c>
      <c r="H47" s="10">
        <v>61</v>
      </c>
      <c r="I47" s="10">
        <f>+$I$46</f>
        <v>29</v>
      </c>
      <c r="J47" s="17">
        <f>+(0.5*C47*(E47*F47+H47*I47)+0.5*C46*(E46*F46+H46*I46))/1000</f>
        <v>83.577</v>
      </c>
      <c r="V47" s="6" t="s">
        <v>94</v>
      </c>
      <c r="W47" s="15">
        <f>+W29/(W13*W42/W12)</f>
        <v>0.06696428571428571</v>
      </c>
      <c r="AD47" s="15"/>
      <c r="AR47" s="40">
        <v>0.48</v>
      </c>
      <c r="AS47" s="30">
        <v>0.878422</v>
      </c>
    </row>
    <row r="48" spans="2:45" ht="14.25">
      <c r="B48" s="12">
        <v>4</v>
      </c>
      <c r="C48" s="10">
        <v>13</v>
      </c>
      <c r="D48" s="5" t="s">
        <v>29</v>
      </c>
      <c r="E48" s="10">
        <v>398</v>
      </c>
      <c r="F48" s="10">
        <f>+$F$46</f>
        <v>20</v>
      </c>
      <c r="G48" s="10" t="s">
        <v>149</v>
      </c>
      <c r="H48" s="10">
        <v>61</v>
      </c>
      <c r="I48" s="10">
        <f>+$I$46</f>
        <v>29</v>
      </c>
      <c r="J48" s="17">
        <f>+(0.5*C48*(E48*F48+H48*I48)+0.5*C47*(E47*F47+H47*I47))/1000</f>
        <v>105.027</v>
      </c>
      <c r="V48" s="6" t="s">
        <v>113</v>
      </c>
      <c r="W48" s="15">
        <f>0.044*W28*W12</f>
        <v>0.044</v>
      </c>
      <c r="AR48" s="40">
        <v>0.5</v>
      </c>
      <c r="AS48" s="30">
        <v>1.00795</v>
      </c>
    </row>
    <row r="49" spans="2:45" ht="12.75">
      <c r="B49" s="12">
        <v>3</v>
      </c>
      <c r="C49" s="10">
        <v>13</v>
      </c>
      <c r="D49" s="5" t="s">
        <v>29</v>
      </c>
      <c r="E49" s="10">
        <v>398</v>
      </c>
      <c r="F49" s="10">
        <f>+$F$46</f>
        <v>20</v>
      </c>
      <c r="G49" s="5" t="s">
        <v>150</v>
      </c>
      <c r="H49" s="10">
        <v>109</v>
      </c>
      <c r="I49" s="10">
        <f>+$I$46</f>
        <v>29</v>
      </c>
      <c r="J49" s="17">
        <f>+(0.5*C49*(E49*F49+H49*I49)+0.5*C48*(E48*F48+H48*I48))/1000</f>
        <v>135.525</v>
      </c>
      <c r="AA49" s="11">
        <f>+W38</f>
        <v>1.784</v>
      </c>
      <c r="AB49" s="11">
        <v>0</v>
      </c>
      <c r="AC49" s="11">
        <v>1.98</v>
      </c>
      <c r="AR49" s="40">
        <v>0.55</v>
      </c>
      <c r="AS49" s="30">
        <v>1.03399</v>
      </c>
    </row>
    <row r="50" spans="2:45" ht="12.75">
      <c r="B50" s="12">
        <v>2</v>
      </c>
      <c r="C50" s="10">
        <v>13</v>
      </c>
      <c r="D50" s="5" t="s">
        <v>30</v>
      </c>
      <c r="E50" s="10">
        <v>426</v>
      </c>
      <c r="F50" s="10">
        <f>+$F$46</f>
        <v>20</v>
      </c>
      <c r="G50" s="5" t="s">
        <v>150</v>
      </c>
      <c r="H50" s="10">
        <v>109</v>
      </c>
      <c r="I50" s="10">
        <f>+$I$46</f>
        <v>29</v>
      </c>
      <c r="J50" s="17">
        <f>+(0.5*C50*(E50*F50+H50*I50)+0.5*C49*(E49*F49+H49*I49))/1000</f>
        <v>148.213</v>
      </c>
      <c r="AA50" s="11">
        <f>+W38</f>
        <v>1.784</v>
      </c>
      <c r="AB50" s="11">
        <v>0.5</v>
      </c>
      <c r="AC50" s="11">
        <v>1.98</v>
      </c>
      <c r="AR50" s="40">
        <v>0.6</v>
      </c>
      <c r="AS50" s="30">
        <v>0.912277</v>
      </c>
    </row>
    <row r="51" spans="2:45" ht="12.75">
      <c r="B51" s="12">
        <v>1</v>
      </c>
      <c r="C51" s="10">
        <v>15</v>
      </c>
      <c r="D51" s="5" t="s">
        <v>30</v>
      </c>
      <c r="E51" s="10">
        <v>426</v>
      </c>
      <c r="F51" s="10">
        <f>+$F$46</f>
        <v>20</v>
      </c>
      <c r="G51" s="5" t="s">
        <v>150</v>
      </c>
      <c r="H51" s="10">
        <v>109</v>
      </c>
      <c r="I51" s="10">
        <f>+$I$46</f>
        <v>29</v>
      </c>
      <c r="J51" s="17">
        <f>+(0.5*C51*(E51*F51+H51*I51)+0.5*C50*(E50*F50+H50*I50))/1000</f>
        <v>163.534</v>
      </c>
      <c r="AR51" s="40">
        <v>0.65</v>
      </c>
      <c r="AS51" s="30">
        <v>0.967926</v>
      </c>
    </row>
    <row r="52" spans="10:45" ht="12.75">
      <c r="J52" s="19"/>
      <c r="AR52" s="40">
        <v>0.7</v>
      </c>
      <c r="AS52" s="30">
        <v>0.86609</v>
      </c>
    </row>
    <row r="53" spans="9:45" ht="14.25">
      <c r="I53" s="18" t="s">
        <v>36</v>
      </c>
      <c r="J53" s="17">
        <f>+SUM(J46:J51)</f>
        <v>677.6645</v>
      </c>
      <c r="K53" t="s">
        <v>4</v>
      </c>
      <c r="AR53" s="40">
        <v>0.75</v>
      </c>
      <c r="AS53" s="30">
        <v>0.847271</v>
      </c>
    </row>
    <row r="54" spans="10:45" ht="12.75">
      <c r="J54" s="30">
        <f>+J53/D22</f>
        <v>0.0034859284979423867</v>
      </c>
      <c r="K54" t="s">
        <v>289</v>
      </c>
      <c r="AR54" s="40">
        <v>0.8</v>
      </c>
      <c r="AS54" s="30">
        <v>0.682042</v>
      </c>
    </row>
    <row r="55" spans="4:45" ht="12.75">
      <c r="D55" t="s">
        <v>292</v>
      </c>
      <c r="G55" s="11">
        <v>1.05</v>
      </c>
      <c r="J55" s="30">
        <f>+J54*3.28^2/2.2</f>
        <v>0.017046824160119708</v>
      </c>
      <c r="K55" t="s">
        <v>290</v>
      </c>
      <c r="AR55" s="40"/>
      <c r="AS55" s="30"/>
    </row>
    <row r="56" spans="9:45" ht="12.75">
      <c r="I56" s="27" t="s">
        <v>291</v>
      </c>
      <c r="J56" s="30">
        <f>+(J55+K40)</f>
        <v>0.053374571161990264</v>
      </c>
      <c r="K56" t="s">
        <v>290</v>
      </c>
      <c r="L56" t="s">
        <v>293</v>
      </c>
      <c r="AR56" s="40"/>
      <c r="AS56" s="30"/>
    </row>
    <row r="57" spans="9:45" ht="12.75">
      <c r="I57" s="27" t="s">
        <v>291</v>
      </c>
      <c r="J57" s="30">
        <f>+J56*G55</f>
        <v>0.05604329972008978</v>
      </c>
      <c r="K57" t="s">
        <v>290</v>
      </c>
      <c r="L57" t="s">
        <v>294</v>
      </c>
      <c r="AR57" s="40"/>
      <c r="AS57" s="30"/>
    </row>
    <row r="58" spans="5:45" ht="14.25">
      <c r="E58" s="27" t="s">
        <v>152</v>
      </c>
      <c r="I58" s="18" t="s">
        <v>24</v>
      </c>
      <c r="J58" s="11">
        <f>+H23+J53+K38</f>
        <v>21561.8059</v>
      </c>
      <c r="K58" t="s">
        <v>4</v>
      </c>
      <c r="AR58" s="40">
        <v>0.85</v>
      </c>
      <c r="AS58" s="30">
        <v>0.64672</v>
      </c>
    </row>
    <row r="59" spans="16:45" ht="12.75">
      <c r="P59" s="16" t="s">
        <v>166</v>
      </c>
      <c r="AR59" s="40">
        <v>0.9</v>
      </c>
      <c r="AS59" s="30">
        <v>0.713832</v>
      </c>
    </row>
    <row r="60" spans="44:45" ht="12.75">
      <c r="AR60" s="40">
        <v>0.95</v>
      </c>
      <c r="AS60" s="30">
        <v>0.61713</v>
      </c>
    </row>
    <row r="61" spans="26:45" ht="12.75">
      <c r="Z61" s="1"/>
      <c r="AA61" s="1"/>
      <c r="AB61" s="1"/>
      <c r="AR61" s="40">
        <v>1</v>
      </c>
      <c r="AS61" s="30">
        <v>0.59106</v>
      </c>
    </row>
    <row r="62" spans="26:45" ht="12.75">
      <c r="Z62" s="2" t="s">
        <v>153</v>
      </c>
      <c r="AA62" s="3"/>
      <c r="AB62" s="3"/>
      <c r="AR62" s="40">
        <v>1.1</v>
      </c>
      <c r="AS62" s="30">
        <v>0.547963</v>
      </c>
    </row>
    <row r="63" spans="18:45" ht="12.75">
      <c r="R63" s="6" t="s">
        <v>5</v>
      </c>
      <c r="S63" s="24">
        <f>+(W42-0.5)/2+1</f>
        <v>1.31</v>
      </c>
      <c r="T63" s="8"/>
      <c r="Z63" s="3"/>
      <c r="AA63" s="3"/>
      <c r="AB63" s="3"/>
      <c r="AR63" s="40">
        <v>1.2</v>
      </c>
      <c r="AS63" s="30">
        <v>0.473658</v>
      </c>
    </row>
    <row r="64" spans="4:45" ht="14.25">
      <c r="D64" s="16" t="s">
        <v>115</v>
      </c>
      <c r="R64" s="6" t="s">
        <v>54</v>
      </c>
      <c r="S64" s="29">
        <f>+W47</f>
        <v>0.06696428571428571</v>
      </c>
      <c r="T64" s="8"/>
      <c r="Z64" s="9" t="s">
        <v>146</v>
      </c>
      <c r="AA64" s="20">
        <v>5</v>
      </c>
      <c r="AB64" s="5"/>
      <c r="AR64" s="40">
        <v>1.3</v>
      </c>
      <c r="AS64" s="30">
        <v>0.490903</v>
      </c>
    </row>
    <row r="65" spans="18:45" ht="12.75">
      <c r="R65" s="6" t="s">
        <v>3</v>
      </c>
      <c r="S65" s="24">
        <f>+S64*R79</f>
        <v>721.9354654017858</v>
      </c>
      <c r="T65" s="8" t="s">
        <v>4</v>
      </c>
      <c r="AR65" s="40">
        <v>1.4</v>
      </c>
      <c r="AS65" s="30">
        <v>0.430469</v>
      </c>
    </row>
    <row r="66" spans="3:45" ht="14.25">
      <c r="C66" s="12" t="s">
        <v>37</v>
      </c>
      <c r="D66" s="12" t="s">
        <v>48</v>
      </c>
      <c r="E66" s="12" t="s">
        <v>49</v>
      </c>
      <c r="F66" s="12" t="s">
        <v>50</v>
      </c>
      <c r="G66" s="18" t="s">
        <v>51</v>
      </c>
      <c r="H66" s="18" t="s">
        <v>53</v>
      </c>
      <c r="AR66" s="40">
        <v>1.5</v>
      </c>
      <c r="AS66" s="30">
        <v>0.422044</v>
      </c>
    </row>
    <row r="67" spans="3:45" ht="14.25">
      <c r="C67" s="12"/>
      <c r="D67" s="12" t="s">
        <v>7</v>
      </c>
      <c r="E67" s="12" t="s">
        <v>7</v>
      </c>
      <c r="F67" s="12" t="s">
        <v>7</v>
      </c>
      <c r="G67" s="12" t="s">
        <v>7</v>
      </c>
      <c r="H67" s="12" t="s">
        <v>7</v>
      </c>
      <c r="P67" s="6"/>
      <c r="Q67" s="7"/>
      <c r="R67" s="8"/>
      <c r="S67" s="8"/>
      <c r="AR67" s="40">
        <v>1.6</v>
      </c>
      <c r="AS67" s="30">
        <v>0.397505</v>
      </c>
    </row>
    <row r="68" spans="15:45" ht="12.75">
      <c r="O68" s="6"/>
      <c r="P68" s="7"/>
      <c r="Q68" s="8"/>
      <c r="AR68" s="40">
        <v>1.7</v>
      </c>
      <c r="AS68" s="30">
        <v>0.354688</v>
      </c>
    </row>
    <row r="69" spans="3:45" ht="15">
      <c r="C69" s="12">
        <v>6</v>
      </c>
      <c r="D69" s="17">
        <f aca="true" t="shared" si="8" ref="D69:D74">+H16/386.4</f>
        <v>8.385093167701864</v>
      </c>
      <c r="E69" s="17">
        <f aca="true" t="shared" si="9" ref="E69:E74">+K31/386.4</f>
        <v>0.4446188405797102</v>
      </c>
      <c r="F69" s="17">
        <f aca="true" t="shared" si="10" ref="F69:F74">+(J46/386.4)</f>
        <v>0.10814829192546584</v>
      </c>
      <c r="G69" s="15">
        <f aca="true" t="shared" si="11" ref="G69:G74">+D69+E69+F69</f>
        <v>8.93786030020704</v>
      </c>
      <c r="H69" s="15">
        <f aca="true" t="shared" si="12" ref="H69:H74">+G69/2</f>
        <v>4.46893015010352</v>
      </c>
      <c r="O69" s="12" t="s">
        <v>2</v>
      </c>
      <c r="P69" s="12" t="s">
        <v>9</v>
      </c>
      <c r="Q69" s="18" t="s">
        <v>53</v>
      </c>
      <c r="R69" s="12" t="s">
        <v>10</v>
      </c>
      <c r="S69" s="12" t="s">
        <v>11</v>
      </c>
      <c r="T69" s="12" t="s">
        <v>12</v>
      </c>
      <c r="U69" s="12" t="s">
        <v>13</v>
      </c>
      <c r="V69" s="12" t="s">
        <v>118</v>
      </c>
      <c r="W69" s="12" t="s">
        <v>147</v>
      </c>
      <c r="AR69" s="40">
        <v>1.8</v>
      </c>
      <c r="AS69" s="30">
        <v>0.321631</v>
      </c>
    </row>
    <row r="70" spans="3:45" ht="14.25">
      <c r="C70" s="12">
        <v>5</v>
      </c>
      <c r="D70" s="17">
        <f t="shared" si="8"/>
        <v>8.385093167701864</v>
      </c>
      <c r="E70" s="17">
        <f t="shared" si="9"/>
        <v>0.6163313664596274</v>
      </c>
      <c r="F70" s="17">
        <f t="shared" si="10"/>
        <v>0.21629658385093167</v>
      </c>
      <c r="G70" s="15">
        <f t="shared" si="11"/>
        <v>9.217721118012424</v>
      </c>
      <c r="H70" s="15">
        <f t="shared" si="12"/>
        <v>4.608860559006212</v>
      </c>
      <c r="O70" s="12"/>
      <c r="P70" s="12" t="s">
        <v>1</v>
      </c>
      <c r="Q70" s="12" t="s">
        <v>7</v>
      </c>
      <c r="R70" s="12" t="s">
        <v>4</v>
      </c>
      <c r="S70" s="12" t="s">
        <v>6</v>
      </c>
      <c r="T70" s="12"/>
      <c r="U70" s="12" t="s">
        <v>4</v>
      </c>
      <c r="V70" s="12" t="s">
        <v>4</v>
      </c>
      <c r="W70" s="12" t="s">
        <v>4</v>
      </c>
      <c r="AR70" s="40">
        <v>1.9</v>
      </c>
      <c r="AS70" s="30">
        <v>0.314205</v>
      </c>
    </row>
    <row r="71" spans="3:45" ht="12.75">
      <c r="C71" s="12">
        <v>4</v>
      </c>
      <c r="D71" s="17">
        <f t="shared" si="8"/>
        <v>8.385093167701864</v>
      </c>
      <c r="E71" s="17">
        <f t="shared" si="9"/>
        <v>0.626207142857143</v>
      </c>
      <c r="F71" s="17">
        <f t="shared" si="10"/>
        <v>0.27180900621118015</v>
      </c>
      <c r="G71" s="15">
        <f t="shared" si="11"/>
        <v>9.283109316770188</v>
      </c>
      <c r="H71" s="15">
        <f t="shared" si="12"/>
        <v>4.641554658385094</v>
      </c>
      <c r="AR71" s="40">
        <v>2</v>
      </c>
      <c r="AS71" s="30">
        <v>0.294509</v>
      </c>
    </row>
    <row r="72" spans="3:45" ht="12.75">
      <c r="C72" s="12">
        <v>3</v>
      </c>
      <c r="D72" s="17">
        <f t="shared" si="8"/>
        <v>8.385093167701864</v>
      </c>
      <c r="E72" s="17">
        <f t="shared" si="9"/>
        <v>0.6757375776397516</v>
      </c>
      <c r="F72" s="17">
        <f t="shared" si="10"/>
        <v>0.3507375776397516</v>
      </c>
      <c r="G72" s="15">
        <f t="shared" si="11"/>
        <v>9.411568322981367</v>
      </c>
      <c r="H72" s="15">
        <f t="shared" si="12"/>
        <v>4.7057841614906835</v>
      </c>
      <c r="O72" s="12">
        <v>6</v>
      </c>
      <c r="P72" s="10">
        <v>80</v>
      </c>
      <c r="Q72" s="15">
        <f aca="true" t="shared" si="13" ref="Q72:Q77">H69</f>
        <v>4.46893015010352</v>
      </c>
      <c r="R72" s="17">
        <f aca="true" t="shared" si="14" ref="R72:R77">+Q72*386.4</f>
        <v>1726.7946100000001</v>
      </c>
      <c r="S72" s="11">
        <f aca="true" t="shared" si="15" ref="S72:S77">+R72*P72^$S$63</f>
        <v>537388.7461853569</v>
      </c>
      <c r="T72" s="15">
        <f aca="true" t="shared" si="16" ref="T72:T77">+R72*(P72)^$S$63/$S$79</f>
        <v>0.3064840190693173</v>
      </c>
      <c r="U72" s="17">
        <f aca="true" t="shared" si="17" ref="U72:U77">+T72*$S$65</f>
        <v>221.26168294501738</v>
      </c>
      <c r="V72" s="15">
        <f aca="true" t="shared" si="18" ref="V72:V77">+U72/$U$72</f>
        <v>1</v>
      </c>
      <c r="W72" s="15">
        <f aca="true" t="shared" si="19" ref="W72:W77">+V72/$AA$64</f>
        <v>0.2</v>
      </c>
      <c r="AR72" s="40">
        <v>2.2</v>
      </c>
      <c r="AS72" s="30">
        <v>0.276335</v>
      </c>
    </row>
    <row r="73" spans="3:45" ht="12.75">
      <c r="C73" s="12">
        <v>2</v>
      </c>
      <c r="D73" s="17">
        <f t="shared" si="8"/>
        <v>8.385093167701864</v>
      </c>
      <c r="E73" s="17">
        <f t="shared" si="9"/>
        <v>0.6872655279503107</v>
      </c>
      <c r="F73" s="17">
        <f t="shared" si="10"/>
        <v>0.383574016563147</v>
      </c>
      <c r="G73" s="15">
        <f t="shared" si="11"/>
        <v>9.455932712215322</v>
      </c>
      <c r="H73" s="15">
        <f t="shared" si="12"/>
        <v>4.727966356107661</v>
      </c>
      <c r="O73" s="12">
        <v>5</v>
      </c>
      <c r="P73" s="10">
        <v>67</v>
      </c>
      <c r="Q73" s="15">
        <f t="shared" si="13"/>
        <v>4.608860559006212</v>
      </c>
      <c r="R73" s="17">
        <f t="shared" si="14"/>
        <v>1780.8637200000003</v>
      </c>
      <c r="S73" s="11">
        <f t="shared" si="15"/>
        <v>439327.7923108672</v>
      </c>
      <c r="T73" s="15">
        <f t="shared" si="16"/>
        <v>0.25055781021108753</v>
      </c>
      <c r="U73" s="17">
        <f t="shared" si="17"/>
        <v>180.88656932479378</v>
      </c>
      <c r="V73" s="15">
        <f t="shared" si="18"/>
        <v>0.8175232463080531</v>
      </c>
      <c r="W73" s="15">
        <f t="shared" si="19"/>
        <v>0.16350464926161062</v>
      </c>
      <c r="AR73" s="40">
        <v>2.4</v>
      </c>
      <c r="AS73" s="30">
        <v>0.262171</v>
      </c>
    </row>
    <row r="74" spans="3:45" ht="12.75">
      <c r="C74" s="12">
        <v>1</v>
      </c>
      <c r="D74" s="17">
        <f t="shared" si="8"/>
        <v>8.385093167701864</v>
      </c>
      <c r="E74" s="17">
        <f t="shared" si="9"/>
        <v>0.6872655279503107</v>
      </c>
      <c r="F74" s="17">
        <f t="shared" si="10"/>
        <v>0.4232246376811594</v>
      </c>
      <c r="G74" s="15">
        <f t="shared" si="11"/>
        <v>9.495583333333334</v>
      </c>
      <c r="H74" s="15">
        <f t="shared" si="12"/>
        <v>4.747791666666667</v>
      </c>
      <c r="O74" s="12">
        <v>4</v>
      </c>
      <c r="P74" s="10">
        <v>54</v>
      </c>
      <c r="Q74" s="15">
        <f t="shared" si="13"/>
        <v>4.641554658385094</v>
      </c>
      <c r="R74" s="17">
        <f t="shared" si="14"/>
        <v>1793.4967200000003</v>
      </c>
      <c r="S74" s="11">
        <f t="shared" si="15"/>
        <v>333531.1586281836</v>
      </c>
      <c r="T74" s="15">
        <f t="shared" si="16"/>
        <v>0.1902197816884561</v>
      </c>
      <c r="U74" s="17">
        <f t="shared" si="17"/>
        <v>137.32640662188166</v>
      </c>
      <c r="V74" s="15">
        <f t="shared" si="18"/>
        <v>0.6206515506618772</v>
      </c>
      <c r="W74" s="15">
        <f t="shared" si="19"/>
        <v>0.12413031013237544</v>
      </c>
      <c r="AR74" s="40">
        <v>2.6</v>
      </c>
      <c r="AS74" s="30">
        <v>0.217713</v>
      </c>
    </row>
    <row r="75" spans="15:45" ht="12.75">
      <c r="O75" s="12">
        <v>3</v>
      </c>
      <c r="P75" s="10">
        <v>41</v>
      </c>
      <c r="Q75" s="15">
        <f t="shared" si="13"/>
        <v>4.7057841614906835</v>
      </c>
      <c r="R75" s="17">
        <f t="shared" si="14"/>
        <v>1818.315</v>
      </c>
      <c r="S75" s="11">
        <f t="shared" si="15"/>
        <v>235730.60657455886</v>
      </c>
      <c r="T75" s="15">
        <f t="shared" si="16"/>
        <v>0.13444208542413183</v>
      </c>
      <c r="U75" s="17">
        <f t="shared" si="17"/>
        <v>97.05850951025725</v>
      </c>
      <c r="V75" s="15">
        <f t="shared" si="18"/>
        <v>0.4386593657717766</v>
      </c>
      <c r="W75" s="15">
        <f t="shared" si="19"/>
        <v>0.08773187315435532</v>
      </c>
      <c r="AR75" s="40">
        <v>2.8</v>
      </c>
      <c r="AS75" s="30">
        <v>0.222448</v>
      </c>
    </row>
    <row r="76" spans="15:45" ht="12.75">
      <c r="O76" s="12">
        <v>2</v>
      </c>
      <c r="P76" s="10">
        <v>28</v>
      </c>
      <c r="Q76" s="15">
        <f t="shared" si="13"/>
        <v>4.727966356107661</v>
      </c>
      <c r="R76" s="17">
        <f t="shared" si="14"/>
        <v>1826.8862000000001</v>
      </c>
      <c r="S76" s="11">
        <f t="shared" si="15"/>
        <v>143710.5052558727</v>
      </c>
      <c r="T76" s="15">
        <f t="shared" si="16"/>
        <v>0.08196110087149103</v>
      </c>
      <c r="U76" s="17">
        <f t="shared" si="17"/>
        <v>59.17062550250259</v>
      </c>
      <c r="V76" s="15">
        <f t="shared" si="18"/>
        <v>0.26742373426313604</v>
      </c>
      <c r="W76" s="15">
        <f t="shared" si="19"/>
        <v>0.053484746852627205</v>
      </c>
      <c r="AR76" s="40">
        <v>3</v>
      </c>
      <c r="AS76" s="30">
        <v>0.202281</v>
      </c>
    </row>
    <row r="77" spans="3:45" ht="12.75">
      <c r="C77" s="16" t="s">
        <v>165</v>
      </c>
      <c r="O77" s="12">
        <v>1</v>
      </c>
      <c r="P77" s="10">
        <v>15</v>
      </c>
      <c r="Q77" s="15">
        <f t="shared" si="13"/>
        <v>4.747791666666667</v>
      </c>
      <c r="R77" s="17">
        <f t="shared" si="14"/>
        <v>1834.5467</v>
      </c>
      <c r="S77" s="11">
        <f t="shared" si="15"/>
        <v>63710.10501534059</v>
      </c>
      <c r="T77" s="15">
        <f t="shared" si="16"/>
        <v>0.036335202735516305</v>
      </c>
      <c r="U77" s="17">
        <f t="shared" si="17"/>
        <v>26.231671497333203</v>
      </c>
      <c r="V77" s="15">
        <f t="shared" si="18"/>
        <v>0.11855496689795886</v>
      </c>
      <c r="W77" s="15">
        <f t="shared" si="19"/>
        <v>0.02371099337959177</v>
      </c>
      <c r="AR77" s="40">
        <v>3.2</v>
      </c>
      <c r="AS77" s="30">
        <v>0.17833</v>
      </c>
    </row>
    <row r="78" spans="15:45" ht="12.75">
      <c r="O78" s="11"/>
      <c r="P78" s="11"/>
      <c r="Q78" s="11"/>
      <c r="R78" s="13" t="s">
        <v>8</v>
      </c>
      <c r="S78" s="13" t="s">
        <v>8</v>
      </c>
      <c r="T78" s="11"/>
      <c r="U78" s="13" t="s">
        <v>8</v>
      </c>
      <c r="V78" s="26" t="s">
        <v>8</v>
      </c>
      <c r="AR78" s="40">
        <v>3.4</v>
      </c>
      <c r="AS78" s="30">
        <v>0.154148</v>
      </c>
    </row>
    <row r="79" spans="3:45" ht="14.25">
      <c r="C79" s="12" t="s">
        <v>37</v>
      </c>
      <c r="D79" s="18" t="s">
        <v>162</v>
      </c>
      <c r="E79" s="18" t="s">
        <v>163</v>
      </c>
      <c r="F79" s="12" t="s">
        <v>116</v>
      </c>
      <c r="G79" s="12" t="s">
        <v>117</v>
      </c>
      <c r="H79" s="18" t="s">
        <v>53</v>
      </c>
      <c r="O79" s="11"/>
      <c r="P79" s="11"/>
      <c r="Q79" s="11"/>
      <c r="R79" s="11">
        <f>+SUM(R72:R77)</f>
        <v>10780.902950000002</v>
      </c>
      <c r="S79" s="11">
        <f>+SUM(S72:S77)</f>
        <v>1753398.9139701796</v>
      </c>
      <c r="T79" s="11"/>
      <c r="U79" s="17">
        <f>+SUM(U72:U77)</f>
        <v>721.9354654017859</v>
      </c>
      <c r="V79" s="15">
        <f>+SUM(V72:V77)</f>
        <v>3.262812863902802</v>
      </c>
      <c r="AR79" s="40">
        <v>3.6</v>
      </c>
      <c r="AS79" s="30">
        <v>0.167334</v>
      </c>
    </row>
    <row r="80" spans="3:45" ht="14.25">
      <c r="C80" s="12"/>
      <c r="F80" s="12" t="s">
        <v>7</v>
      </c>
      <c r="G80" s="12" t="s">
        <v>7</v>
      </c>
      <c r="H80" s="12" t="s">
        <v>7</v>
      </c>
      <c r="V80">
        <v>1.89</v>
      </c>
      <c r="W80">
        <f>+(V80-2.5)/2+2</f>
        <v>1.6949999999999998</v>
      </c>
      <c r="AR80" s="40">
        <v>3.8</v>
      </c>
      <c r="AS80" s="30">
        <v>0.167188</v>
      </c>
    </row>
    <row r="81" spans="18:45" ht="12.75">
      <c r="R81" t="s">
        <v>288</v>
      </c>
      <c r="AR81" s="40">
        <v>4</v>
      </c>
      <c r="AS81" s="30">
        <v>0.155922</v>
      </c>
    </row>
    <row r="82" spans="3:45" ht="12.75">
      <c r="C82" s="12">
        <v>6</v>
      </c>
      <c r="D82" s="11">
        <v>0.2</v>
      </c>
      <c r="E82" s="47">
        <v>0.2</v>
      </c>
      <c r="F82" s="15">
        <f aca="true" t="shared" si="20" ref="F82:F87">D82*H69</f>
        <v>0.8937860300207041</v>
      </c>
      <c r="G82" s="15">
        <f aca="true" t="shared" si="21" ref="G82:G87">E82*H69</f>
        <v>0.8937860300207041</v>
      </c>
      <c r="H82" s="15">
        <f aca="true" t="shared" si="22" ref="H82:H87">2*F82+3*G82</f>
        <v>4.468930150103521</v>
      </c>
      <c r="R82">
        <f>21400</f>
        <v>21400</v>
      </c>
      <c r="S82">
        <v>1.6</v>
      </c>
      <c r="V82">
        <v>1.83</v>
      </c>
      <c r="W82">
        <f>+(V82-2.5)/2+2</f>
        <v>1.665</v>
      </c>
      <c r="AR82" s="40">
        <v>4.2</v>
      </c>
      <c r="AS82" s="30">
        <v>0.141129</v>
      </c>
    </row>
    <row r="83" spans="3:45" ht="12.75">
      <c r="C83" s="12">
        <v>5</v>
      </c>
      <c r="D83" s="11">
        <v>0.2</v>
      </c>
      <c r="E83" s="47">
        <v>0.2</v>
      </c>
      <c r="F83" s="15">
        <f t="shared" si="20"/>
        <v>0.9217721118012424</v>
      </c>
      <c r="G83" s="15">
        <f t="shared" si="21"/>
        <v>0.9217721118012424</v>
      </c>
      <c r="H83" s="15">
        <f t="shared" si="22"/>
        <v>4.608860559006212</v>
      </c>
      <c r="R83" s="11">
        <f>+R82/(386.4*6)</f>
        <v>9.230503795721189</v>
      </c>
      <c r="S83">
        <v>1.31</v>
      </c>
      <c r="V83">
        <v>1.12</v>
      </c>
      <c r="W83">
        <f>+(V83-2.5)/2+2</f>
        <v>1.31</v>
      </c>
      <c r="AR83" s="40">
        <v>4.4</v>
      </c>
      <c r="AS83" s="30">
        <v>0.12783</v>
      </c>
    </row>
    <row r="84" spans="3:45" ht="12.75">
      <c r="C84" s="12">
        <v>4</v>
      </c>
      <c r="D84" s="11">
        <v>0.2</v>
      </c>
      <c r="E84" s="47">
        <v>0.2</v>
      </c>
      <c r="F84" s="15">
        <f t="shared" si="20"/>
        <v>0.9283109316770188</v>
      </c>
      <c r="G84" s="15">
        <f t="shared" si="21"/>
        <v>0.9283109316770188</v>
      </c>
      <c r="H84" s="15">
        <f t="shared" si="22"/>
        <v>4.641554658385094</v>
      </c>
      <c r="AR84" s="40">
        <v>4.6</v>
      </c>
      <c r="AS84" s="30">
        <v>0.113335</v>
      </c>
    </row>
    <row r="85" spans="3:45" ht="12.75">
      <c r="C85" s="12">
        <v>3</v>
      </c>
      <c r="D85" s="11">
        <v>0.2</v>
      </c>
      <c r="E85" s="47">
        <v>0.2</v>
      </c>
      <c r="F85" s="15">
        <f t="shared" si="20"/>
        <v>0.9411568322981367</v>
      </c>
      <c r="G85" s="15">
        <f t="shared" si="21"/>
        <v>0.9411568322981367</v>
      </c>
      <c r="H85" s="15">
        <f t="shared" si="22"/>
        <v>4.7057841614906835</v>
      </c>
      <c r="P85" s="10">
        <v>80</v>
      </c>
      <c r="Q85">
        <f aca="true" t="shared" si="23" ref="Q85:Q90">+R$83</f>
        <v>9.230503795721189</v>
      </c>
      <c r="R85">
        <f aca="true" t="shared" si="24" ref="R85:R90">+Q85*386.4</f>
        <v>3566.6666666666674</v>
      </c>
      <c r="S85">
        <f aca="true" t="shared" si="25" ref="S85:S90">+R85*P85^$S$83</f>
        <v>1109967.8658720776</v>
      </c>
      <c r="T85" s="15">
        <f aca="true" t="shared" si="26" ref="T85:T90">+R85*(P85)^$S$63/$S$79</f>
        <v>0.6330378426885207</v>
      </c>
      <c r="U85" s="17">
        <f aca="true" t="shared" si="27" ref="U85:U90">+T85*$S$65</f>
        <v>457.01246957827965</v>
      </c>
      <c r="V85" s="17">
        <f aca="true" t="shared" si="28" ref="V85:V90">+U85/2</f>
        <v>228.50623478913982</v>
      </c>
      <c r="AR85" s="40">
        <v>4.8</v>
      </c>
      <c r="AS85" s="30">
        <v>0.118593</v>
      </c>
    </row>
    <row r="86" spans="3:45" ht="12.75">
      <c r="C86" s="12">
        <v>2</v>
      </c>
      <c r="D86" s="11">
        <v>0.2</v>
      </c>
      <c r="E86" s="47">
        <v>0.2</v>
      </c>
      <c r="F86" s="15">
        <f t="shared" si="20"/>
        <v>0.9455932712215322</v>
      </c>
      <c r="G86" s="15">
        <f t="shared" si="21"/>
        <v>0.9455932712215322</v>
      </c>
      <c r="H86" s="15">
        <f t="shared" si="22"/>
        <v>4.727966356107661</v>
      </c>
      <c r="P86" s="10">
        <v>67</v>
      </c>
      <c r="Q86">
        <f t="shared" si="23"/>
        <v>9.230503795721189</v>
      </c>
      <c r="R86">
        <f t="shared" si="24"/>
        <v>3566.6666666666674</v>
      </c>
      <c r="S86">
        <f t="shared" si="25"/>
        <v>879874.0605347536</v>
      </c>
      <c r="T86" s="15">
        <f t="shared" si="26"/>
        <v>0.5018105426690813</v>
      </c>
      <c r="U86" s="17">
        <f t="shared" si="27"/>
        <v>362.2748276653259</v>
      </c>
      <c r="V86" s="17">
        <f t="shared" si="28"/>
        <v>181.13741383266296</v>
      </c>
      <c r="AR86" s="40">
        <v>5</v>
      </c>
      <c r="AS86" s="30">
        <v>0.13186</v>
      </c>
    </row>
    <row r="87" spans="3:45" ht="12.75">
      <c r="C87" s="12">
        <v>1</v>
      </c>
      <c r="D87" s="11">
        <v>0.2</v>
      </c>
      <c r="E87" s="47">
        <v>0.2</v>
      </c>
      <c r="F87" s="15">
        <f t="shared" si="20"/>
        <v>0.9495583333333335</v>
      </c>
      <c r="G87" s="15">
        <f t="shared" si="21"/>
        <v>0.9495583333333335</v>
      </c>
      <c r="H87" s="15">
        <f t="shared" si="22"/>
        <v>4.747791666666668</v>
      </c>
      <c r="P87" s="10">
        <v>54</v>
      </c>
      <c r="Q87">
        <f t="shared" si="23"/>
        <v>9.230503795721189</v>
      </c>
      <c r="R87">
        <f t="shared" si="24"/>
        <v>3566.6666666666674</v>
      </c>
      <c r="S87">
        <f t="shared" si="25"/>
        <v>663282.2087201</v>
      </c>
      <c r="T87" s="15">
        <f t="shared" si="26"/>
        <v>0.37828368857503497</v>
      </c>
      <c r="U87" s="17">
        <f t="shared" si="27"/>
        <v>273.09641076532205</v>
      </c>
      <c r="V87" s="17">
        <f t="shared" si="28"/>
        <v>136.54820538266102</v>
      </c>
      <c r="AR87" s="40">
        <v>5.5</v>
      </c>
      <c r="AS87" s="30">
        <v>0.105771</v>
      </c>
    </row>
    <row r="88" spans="3:45" ht="12.75">
      <c r="C88" s="11"/>
      <c r="P88" s="10">
        <v>41</v>
      </c>
      <c r="Q88">
        <f t="shared" si="23"/>
        <v>9.230503795721189</v>
      </c>
      <c r="R88">
        <f t="shared" si="24"/>
        <v>3566.6666666666674</v>
      </c>
      <c r="S88">
        <f t="shared" si="25"/>
        <v>462391.00308945007</v>
      </c>
      <c r="T88" s="15">
        <f t="shared" si="26"/>
        <v>0.26371124072528884</v>
      </c>
      <c r="U88" s="17">
        <f t="shared" si="27"/>
        <v>190.38249730469377</v>
      </c>
      <c r="V88" s="17">
        <f t="shared" si="28"/>
        <v>95.19124865234689</v>
      </c>
      <c r="AR88" s="40">
        <v>6</v>
      </c>
      <c r="AS88" s="30">
        <v>0.0678338</v>
      </c>
    </row>
    <row r="89" spans="7:45" ht="12.75">
      <c r="G89" s="18" t="s">
        <v>196</v>
      </c>
      <c r="H89" s="15">
        <f>+SUM(H82:H87)</f>
        <v>27.90088755175984</v>
      </c>
      <c r="P89" s="10">
        <v>28</v>
      </c>
      <c r="Q89">
        <f t="shared" si="23"/>
        <v>9.230503795721189</v>
      </c>
      <c r="R89">
        <f t="shared" si="24"/>
        <v>3566.6666666666674</v>
      </c>
      <c r="S89">
        <f t="shared" si="25"/>
        <v>280568.9094076829</v>
      </c>
      <c r="T89" s="15">
        <f t="shared" si="26"/>
        <v>0.16001430545682122</v>
      </c>
      <c r="U89" s="17">
        <f t="shared" si="27"/>
        <v>115.52000208091374</v>
      </c>
      <c r="V89" s="17">
        <f t="shared" si="28"/>
        <v>57.76000104045687</v>
      </c>
      <c r="AR89" s="40">
        <v>6.5</v>
      </c>
      <c r="AS89" s="30">
        <v>0.0435133</v>
      </c>
    </row>
    <row r="90" spans="2:45" ht="12.75">
      <c r="B90" s="11"/>
      <c r="P90" s="10">
        <v>15</v>
      </c>
      <c r="Q90">
        <f t="shared" si="23"/>
        <v>9.230503795721189</v>
      </c>
      <c r="R90">
        <f t="shared" si="24"/>
        <v>3566.6666666666674</v>
      </c>
      <c r="S90">
        <f t="shared" si="25"/>
        <v>123863.13626578606</v>
      </c>
      <c r="T90" s="15">
        <f t="shared" si="26"/>
        <v>0.07064173205475854</v>
      </c>
      <c r="U90" s="17">
        <f t="shared" si="27"/>
        <v>50.99877170774036</v>
      </c>
      <c r="V90" s="17">
        <f t="shared" si="28"/>
        <v>25.49938585387018</v>
      </c>
      <c r="AR90" s="40">
        <v>7</v>
      </c>
      <c r="AS90" s="30">
        <v>0.0337649</v>
      </c>
    </row>
    <row r="91" spans="3:45" ht="12.75">
      <c r="C91" s="16" t="s">
        <v>179</v>
      </c>
      <c r="AR91" s="40">
        <v>7.5</v>
      </c>
      <c r="AS91" s="30">
        <v>0.0334899</v>
      </c>
    </row>
    <row r="92" spans="19:45" ht="12.75">
      <c r="S92" s="11">
        <f>+SUM(S85:S90)</f>
        <v>3519947.1838898496</v>
      </c>
      <c r="AR92" s="40">
        <v>8</v>
      </c>
      <c r="AS92" s="30">
        <v>0.0338813</v>
      </c>
    </row>
    <row r="93" spans="2:45" ht="12.75">
      <c r="B93" s="1" t="s">
        <v>0</v>
      </c>
      <c r="C93" s="1"/>
      <c r="D93" s="1"/>
      <c r="E93" s="1"/>
      <c r="F93" s="1"/>
      <c r="G93" s="1"/>
      <c r="AR93" s="40">
        <v>8.5</v>
      </c>
      <c r="AS93" s="30">
        <v>0.031694</v>
      </c>
    </row>
    <row r="94" spans="2:45" ht="12.75">
      <c r="B94" s="1"/>
      <c r="C94" s="1"/>
      <c r="D94" s="1"/>
      <c r="E94" s="1"/>
      <c r="F94" s="1"/>
      <c r="G94" s="1"/>
      <c r="AR94" s="40">
        <v>9</v>
      </c>
      <c r="AS94" s="30">
        <v>0.0272193</v>
      </c>
    </row>
    <row r="95" spans="2:45" ht="12.75">
      <c r="B95" s="2" t="s">
        <v>114</v>
      </c>
      <c r="C95" s="3"/>
      <c r="D95" s="3"/>
      <c r="E95" s="2" t="s">
        <v>123</v>
      </c>
      <c r="F95" s="3"/>
      <c r="G95" s="3"/>
      <c r="R95">
        <v>1.92</v>
      </c>
      <c r="S95">
        <v>15</v>
      </c>
      <c r="T95">
        <v>3564</v>
      </c>
      <c r="U95">
        <f>+T95*S95^R95</f>
        <v>645703.1614145924</v>
      </c>
      <c r="AR95" s="40">
        <v>9.5</v>
      </c>
      <c r="AS95" s="30">
        <v>0.0223005</v>
      </c>
    </row>
    <row r="96" spans="2:45" ht="12.75">
      <c r="B96" s="3"/>
      <c r="C96" s="3"/>
      <c r="D96" s="3"/>
      <c r="E96" s="2" t="s">
        <v>189</v>
      </c>
      <c r="F96" s="3"/>
      <c r="G96" s="3"/>
      <c r="AR96" s="40">
        <v>10</v>
      </c>
      <c r="AS96" s="30">
        <v>0.0211745</v>
      </c>
    </row>
    <row r="97" spans="2:45" ht="14.25">
      <c r="B97" s="9" t="s">
        <v>17</v>
      </c>
      <c r="C97" s="10">
        <v>155</v>
      </c>
      <c r="D97" s="5" t="s">
        <v>18</v>
      </c>
      <c r="E97" s="9" t="s">
        <v>124</v>
      </c>
      <c r="F97" s="10">
        <v>1</v>
      </c>
      <c r="G97" s="5"/>
      <c r="AR97" s="40">
        <v>11</v>
      </c>
      <c r="AS97" s="30">
        <v>0.0174421</v>
      </c>
    </row>
    <row r="98" spans="2:45" ht="14.25">
      <c r="B98" s="9" t="s">
        <v>19</v>
      </c>
      <c r="C98" s="10">
        <v>180</v>
      </c>
      <c r="D98" s="5" t="s">
        <v>18</v>
      </c>
      <c r="E98" s="9" t="s">
        <v>125</v>
      </c>
      <c r="F98" s="10">
        <v>1</v>
      </c>
      <c r="G98" s="5"/>
      <c r="AR98" s="40">
        <v>12</v>
      </c>
      <c r="AS98" s="30">
        <v>0.0135895</v>
      </c>
    </row>
    <row r="99" spans="2:45" ht="12.75">
      <c r="B99" s="9"/>
      <c r="C99" s="14"/>
      <c r="D99" s="5"/>
      <c r="E99" s="9"/>
      <c r="F99" s="14"/>
      <c r="G99" s="5"/>
      <c r="AR99" s="40">
        <v>13</v>
      </c>
      <c r="AS99" s="30">
        <v>0.0105454</v>
      </c>
    </row>
    <row r="100" spans="4:45" ht="12.75">
      <c r="D100" s="16" t="s">
        <v>119</v>
      </c>
      <c r="AR100" s="40">
        <v>14</v>
      </c>
      <c r="AS100" s="30">
        <v>0.00827617</v>
      </c>
    </row>
    <row r="101" spans="44:45" ht="12.75">
      <c r="AR101" s="40">
        <v>15</v>
      </c>
      <c r="AS101" s="30">
        <v>0.00665718</v>
      </c>
    </row>
    <row r="102" spans="1:11" ht="14.25">
      <c r="A102" s="12" t="s">
        <v>2</v>
      </c>
      <c r="B102" s="12" t="s">
        <v>15</v>
      </c>
      <c r="C102" s="12" t="s">
        <v>20</v>
      </c>
      <c r="D102" s="12" t="s">
        <v>21</v>
      </c>
      <c r="E102" s="12" t="s">
        <v>22</v>
      </c>
      <c r="F102" s="12" t="s">
        <v>120</v>
      </c>
      <c r="G102" s="12" t="s">
        <v>121</v>
      </c>
      <c r="H102" s="12" t="s">
        <v>122</v>
      </c>
      <c r="I102" s="12" t="s">
        <v>23</v>
      </c>
      <c r="J102" s="12" t="s">
        <v>126</v>
      </c>
      <c r="K102" s="12" t="s">
        <v>127</v>
      </c>
    </row>
    <row r="103" spans="1:11" ht="14.25">
      <c r="A103" s="12"/>
      <c r="B103" s="12" t="s">
        <v>16</v>
      </c>
      <c r="C103" s="12" t="s">
        <v>16</v>
      </c>
      <c r="D103" s="12" t="s">
        <v>16</v>
      </c>
      <c r="E103" s="12" t="s">
        <v>31</v>
      </c>
      <c r="F103" s="12" t="s">
        <v>31</v>
      </c>
      <c r="G103" s="12" t="s">
        <v>31</v>
      </c>
      <c r="H103" s="12" t="s">
        <v>31</v>
      </c>
      <c r="I103" s="12" t="s">
        <v>4</v>
      </c>
      <c r="J103" s="12" t="s">
        <v>4</v>
      </c>
      <c r="K103" s="12" t="s">
        <v>4</v>
      </c>
    </row>
    <row r="105" spans="1:11" ht="12.75">
      <c r="A105" s="12">
        <v>6</v>
      </c>
      <c r="B105" s="11">
        <f aca="true" t="shared" si="29" ref="B105:B110">+$C$97*$C$98</f>
        <v>27900</v>
      </c>
      <c r="C105" s="10">
        <v>0</v>
      </c>
      <c r="D105" s="11">
        <f aca="true" t="shared" si="30" ref="D105:D110">+B105-C105</f>
        <v>27900</v>
      </c>
      <c r="E105" s="10">
        <v>70</v>
      </c>
      <c r="F105" s="4">
        <v>25</v>
      </c>
      <c r="G105" s="17">
        <f aca="true" t="shared" si="31" ref="G105:G110">+F105*(0.25)</f>
        <v>6.25</v>
      </c>
      <c r="H105" s="11">
        <f aca="true" t="shared" si="32" ref="H105:H110">+G105</f>
        <v>6.25</v>
      </c>
      <c r="I105" s="11">
        <f aca="true" t="shared" si="33" ref="I105:I110">+D105*E105/1000</f>
        <v>1953</v>
      </c>
      <c r="J105" s="11">
        <f aca="true" t="shared" si="34" ref="J105:J110">+IF(G105&gt;H105,G105*D105/1000,H105*D105/1000)</f>
        <v>174.375</v>
      </c>
      <c r="K105" s="11">
        <f aca="true" t="shared" si="35" ref="K105:K110">+I105+J105</f>
        <v>2127.375</v>
      </c>
    </row>
    <row r="106" spans="1:11" ht="12.75">
      <c r="A106" s="12">
        <v>5</v>
      </c>
      <c r="B106" s="11">
        <f t="shared" si="29"/>
        <v>27900</v>
      </c>
      <c r="C106" s="10">
        <v>0</v>
      </c>
      <c r="D106" s="11">
        <f t="shared" si="30"/>
        <v>27900</v>
      </c>
      <c r="E106" s="10">
        <v>90</v>
      </c>
      <c r="F106" s="4">
        <v>50</v>
      </c>
      <c r="G106" s="17">
        <f t="shared" si="31"/>
        <v>12.5</v>
      </c>
      <c r="H106" s="11">
        <f t="shared" si="32"/>
        <v>12.5</v>
      </c>
      <c r="I106" s="11">
        <f t="shared" si="33"/>
        <v>2511</v>
      </c>
      <c r="J106" s="11">
        <f t="shared" si="34"/>
        <v>348.75</v>
      </c>
      <c r="K106" s="11">
        <f t="shared" si="35"/>
        <v>2859.75</v>
      </c>
    </row>
    <row r="107" spans="1:11" ht="12.75">
      <c r="A107" s="12">
        <v>4</v>
      </c>
      <c r="B107" s="11">
        <f t="shared" si="29"/>
        <v>27900</v>
      </c>
      <c r="C107" s="10">
        <v>0</v>
      </c>
      <c r="D107" s="11">
        <f t="shared" si="30"/>
        <v>27900</v>
      </c>
      <c r="E107" s="10">
        <f>+E106</f>
        <v>90</v>
      </c>
      <c r="F107" s="10">
        <f>+F106</f>
        <v>50</v>
      </c>
      <c r="G107" s="17">
        <f t="shared" si="31"/>
        <v>12.5</v>
      </c>
      <c r="H107" s="11">
        <f t="shared" si="32"/>
        <v>12.5</v>
      </c>
      <c r="I107" s="11">
        <f t="shared" si="33"/>
        <v>2511</v>
      </c>
      <c r="J107" s="11">
        <f t="shared" si="34"/>
        <v>348.75</v>
      </c>
      <c r="K107" s="11">
        <f t="shared" si="35"/>
        <v>2859.75</v>
      </c>
    </row>
    <row r="108" spans="1:11" ht="12.75">
      <c r="A108" s="12">
        <v>3</v>
      </c>
      <c r="B108" s="11">
        <f t="shared" si="29"/>
        <v>27900</v>
      </c>
      <c r="C108" s="10">
        <v>0</v>
      </c>
      <c r="D108" s="11">
        <f t="shared" si="30"/>
        <v>27900</v>
      </c>
      <c r="E108" s="10">
        <f aca="true" t="shared" si="36" ref="E108:F110">+E107</f>
        <v>90</v>
      </c>
      <c r="F108" s="10">
        <f t="shared" si="36"/>
        <v>50</v>
      </c>
      <c r="G108" s="17">
        <f t="shared" si="31"/>
        <v>12.5</v>
      </c>
      <c r="H108" s="11">
        <f t="shared" si="32"/>
        <v>12.5</v>
      </c>
      <c r="I108" s="11">
        <f t="shared" si="33"/>
        <v>2511</v>
      </c>
      <c r="J108" s="11">
        <f t="shared" si="34"/>
        <v>348.75</v>
      </c>
      <c r="K108" s="11">
        <f t="shared" si="35"/>
        <v>2859.75</v>
      </c>
    </row>
    <row r="109" spans="1:11" ht="12.75">
      <c r="A109" s="12">
        <v>2</v>
      </c>
      <c r="B109" s="11">
        <f t="shared" si="29"/>
        <v>27900</v>
      </c>
      <c r="C109" s="10">
        <v>0</v>
      </c>
      <c r="D109" s="11">
        <f t="shared" si="30"/>
        <v>27900</v>
      </c>
      <c r="E109" s="10">
        <f t="shared" si="36"/>
        <v>90</v>
      </c>
      <c r="F109" s="10">
        <f t="shared" si="36"/>
        <v>50</v>
      </c>
      <c r="G109" s="17">
        <f t="shared" si="31"/>
        <v>12.5</v>
      </c>
      <c r="H109" s="11">
        <f t="shared" si="32"/>
        <v>12.5</v>
      </c>
      <c r="I109" s="11">
        <f t="shared" si="33"/>
        <v>2511</v>
      </c>
      <c r="J109" s="11">
        <f t="shared" si="34"/>
        <v>348.75</v>
      </c>
      <c r="K109" s="11">
        <f t="shared" si="35"/>
        <v>2859.75</v>
      </c>
    </row>
    <row r="110" spans="1:11" ht="12.75">
      <c r="A110" s="12">
        <v>1</v>
      </c>
      <c r="B110" s="11">
        <f t="shared" si="29"/>
        <v>27900</v>
      </c>
      <c r="C110" s="10">
        <v>0</v>
      </c>
      <c r="D110" s="11">
        <f t="shared" si="30"/>
        <v>27900</v>
      </c>
      <c r="E110" s="10">
        <f t="shared" si="36"/>
        <v>90</v>
      </c>
      <c r="F110" s="10">
        <f t="shared" si="36"/>
        <v>50</v>
      </c>
      <c r="G110" s="17">
        <f t="shared" si="31"/>
        <v>12.5</v>
      </c>
      <c r="H110" s="11">
        <f t="shared" si="32"/>
        <v>12.5</v>
      </c>
      <c r="I110" s="11">
        <f t="shared" si="33"/>
        <v>2511</v>
      </c>
      <c r="J110" s="11">
        <f t="shared" si="34"/>
        <v>348.75</v>
      </c>
      <c r="K110" s="11">
        <f t="shared" si="35"/>
        <v>2859.75</v>
      </c>
    </row>
    <row r="112" spans="8:11" ht="14.25">
      <c r="H112" s="18" t="s">
        <v>128</v>
      </c>
      <c r="I112" s="11">
        <f>+SUM(I105:I110)</f>
        <v>14508</v>
      </c>
      <c r="J112" s="11">
        <f>+SUM(J105:J110)</f>
        <v>1918.125</v>
      </c>
      <c r="K112" s="11">
        <f>+SUM(K105:K110)</f>
        <v>16426.125</v>
      </c>
    </row>
    <row r="114" ht="12.75">
      <c r="D114" s="16" t="s">
        <v>38</v>
      </c>
    </row>
    <row r="116" spans="3:11" ht="14.25">
      <c r="C116" s="16" t="s">
        <v>39</v>
      </c>
      <c r="D116" s="12"/>
      <c r="G116" s="16" t="s">
        <v>161</v>
      </c>
      <c r="H116" s="12"/>
      <c r="K116" s="12" t="s">
        <v>23</v>
      </c>
    </row>
    <row r="117" spans="1:11" ht="14.25">
      <c r="A117" s="12" t="s">
        <v>37</v>
      </c>
      <c r="B117" s="12" t="s">
        <v>45</v>
      </c>
      <c r="C117" s="12" t="s">
        <v>32</v>
      </c>
      <c r="D117" s="12" t="s">
        <v>22</v>
      </c>
      <c r="E117" s="12" t="s">
        <v>33</v>
      </c>
      <c r="F117" s="12" t="s">
        <v>46</v>
      </c>
      <c r="G117" s="12" t="s">
        <v>32</v>
      </c>
      <c r="H117" s="12" t="s">
        <v>32</v>
      </c>
      <c r="I117" s="12" t="s">
        <v>22</v>
      </c>
      <c r="J117" s="12" t="s">
        <v>33</v>
      </c>
      <c r="K117" s="12" t="s">
        <v>4</v>
      </c>
    </row>
    <row r="118" spans="1:9" ht="12.75">
      <c r="A118" s="12"/>
      <c r="B118" s="12" t="s">
        <v>1</v>
      </c>
      <c r="D118" s="12" t="s">
        <v>52</v>
      </c>
      <c r="F118" s="12" t="s">
        <v>1</v>
      </c>
      <c r="G118" s="12" t="s">
        <v>154</v>
      </c>
      <c r="H118" s="12" t="s">
        <v>155</v>
      </c>
      <c r="I118" s="12" t="s">
        <v>52</v>
      </c>
    </row>
    <row r="120" spans="1:11" ht="12.75">
      <c r="A120" s="12">
        <v>6</v>
      </c>
      <c r="B120" s="7">
        <f aca="true" t="shared" si="37" ref="B120:D125">+B31</f>
        <v>28.66</v>
      </c>
      <c r="C120" s="7" t="str">
        <f t="shared" si="37"/>
        <v>W24x62</v>
      </c>
      <c r="D120" s="7">
        <f t="shared" si="37"/>
        <v>62</v>
      </c>
      <c r="E120" s="10">
        <v>8</v>
      </c>
      <c r="F120" s="7">
        <f aca="true" t="shared" si="38" ref="F120:I125">+F31</f>
        <v>29.5</v>
      </c>
      <c r="G120" s="7" t="str">
        <f t="shared" si="38"/>
        <v>W18x60</v>
      </c>
      <c r="H120" s="7" t="str">
        <f t="shared" si="38"/>
        <v>W12x26</v>
      </c>
      <c r="I120" s="7">
        <f t="shared" si="38"/>
        <v>45</v>
      </c>
      <c r="J120" s="10">
        <v>61</v>
      </c>
      <c r="K120" s="17">
        <f aca="true" t="shared" si="39" ref="K120:K125">+(B120*(D120*E120)+F120*(I120*J120))/1000</f>
        <v>95.19286</v>
      </c>
    </row>
    <row r="121" spans="1:11" ht="12.75">
      <c r="A121" s="12">
        <v>5</v>
      </c>
      <c r="B121" s="7">
        <f t="shared" si="37"/>
        <v>28.66</v>
      </c>
      <c r="C121" s="7" t="str">
        <f t="shared" si="37"/>
        <v>W30x99</v>
      </c>
      <c r="D121" s="7">
        <f t="shared" si="37"/>
        <v>99</v>
      </c>
      <c r="E121" s="10">
        <f>+E120</f>
        <v>8</v>
      </c>
      <c r="F121" s="7">
        <f t="shared" si="38"/>
        <v>29.5</v>
      </c>
      <c r="G121" s="7" t="str">
        <f t="shared" si="38"/>
        <v>W18x86</v>
      </c>
      <c r="H121" s="7" t="str">
        <f t="shared" si="38"/>
        <v>W12x35</v>
      </c>
      <c r="I121" s="7">
        <f t="shared" si="38"/>
        <v>60.5</v>
      </c>
      <c r="J121" s="10">
        <f>+J120</f>
        <v>61</v>
      </c>
      <c r="K121" s="17">
        <f t="shared" si="39"/>
        <v>131.56847</v>
      </c>
    </row>
    <row r="122" spans="1:11" ht="12.75">
      <c r="A122" s="12">
        <v>4</v>
      </c>
      <c r="B122" s="7">
        <f t="shared" si="37"/>
        <v>28.48</v>
      </c>
      <c r="C122" s="7" t="str">
        <f t="shared" si="37"/>
        <v>W30x108</v>
      </c>
      <c r="D122" s="7">
        <f t="shared" si="37"/>
        <v>108</v>
      </c>
      <c r="E122" s="10">
        <f>+E121</f>
        <v>8</v>
      </c>
      <c r="F122" s="7">
        <f t="shared" si="38"/>
        <v>29.5</v>
      </c>
      <c r="G122" s="7" t="str">
        <f t="shared" si="38"/>
        <v>W18x86</v>
      </c>
      <c r="H122" s="7" t="str">
        <f t="shared" si="38"/>
        <v>W12x35</v>
      </c>
      <c r="I122" s="7">
        <f t="shared" si="38"/>
        <v>60.5</v>
      </c>
      <c r="J122" s="10">
        <f>+J121</f>
        <v>61</v>
      </c>
      <c r="K122" s="17">
        <f t="shared" si="39"/>
        <v>133.47647</v>
      </c>
    </row>
    <row r="123" spans="1:11" ht="12.75">
      <c r="A123" s="12">
        <v>3</v>
      </c>
      <c r="B123" s="7">
        <f t="shared" si="37"/>
        <v>28.48</v>
      </c>
      <c r="C123" s="7" t="str">
        <f t="shared" si="37"/>
        <v>W36x150</v>
      </c>
      <c r="D123" s="7">
        <f t="shared" si="37"/>
        <v>150</v>
      </c>
      <c r="E123" s="10">
        <f>+E122</f>
        <v>8</v>
      </c>
      <c r="F123" s="7">
        <f t="shared" si="38"/>
        <v>29.5</v>
      </c>
      <c r="G123" s="7" t="str">
        <f t="shared" si="38"/>
        <v>W18x86</v>
      </c>
      <c r="H123" s="7" t="str">
        <f t="shared" si="38"/>
        <v>W12x35</v>
      </c>
      <c r="I123" s="7">
        <f t="shared" si="38"/>
        <v>60.5</v>
      </c>
      <c r="J123" s="10">
        <f>+J122</f>
        <v>61</v>
      </c>
      <c r="K123" s="17">
        <f t="shared" si="39"/>
        <v>143.04575</v>
      </c>
    </row>
    <row r="124" spans="1:11" ht="12.75">
      <c r="A124" s="12">
        <v>2</v>
      </c>
      <c r="B124" s="7">
        <f t="shared" si="37"/>
        <v>28.44</v>
      </c>
      <c r="C124" s="7" t="str">
        <f t="shared" si="37"/>
        <v>W36x160</v>
      </c>
      <c r="D124" s="7">
        <f t="shared" si="37"/>
        <v>160</v>
      </c>
      <c r="E124" s="10">
        <f>+E123</f>
        <v>8</v>
      </c>
      <c r="F124" s="7">
        <f t="shared" si="38"/>
        <v>29.5</v>
      </c>
      <c r="G124" s="7" t="str">
        <f t="shared" si="38"/>
        <v>W18x86</v>
      </c>
      <c r="H124" s="7" t="str">
        <f t="shared" si="38"/>
        <v>W12x35</v>
      </c>
      <c r="I124" s="7">
        <f t="shared" si="38"/>
        <v>60.5</v>
      </c>
      <c r="J124" s="10">
        <f>+J123</f>
        <v>61</v>
      </c>
      <c r="K124" s="17">
        <f t="shared" si="39"/>
        <v>145.27295</v>
      </c>
    </row>
    <row r="125" spans="1:11" ht="12.75">
      <c r="A125" s="12">
        <v>1</v>
      </c>
      <c r="B125" s="7">
        <f t="shared" si="37"/>
        <v>28.44</v>
      </c>
      <c r="C125" s="7" t="str">
        <f t="shared" si="37"/>
        <v>W36x160</v>
      </c>
      <c r="D125" s="7">
        <f t="shared" si="37"/>
        <v>160</v>
      </c>
      <c r="E125" s="10">
        <f>+E124</f>
        <v>8</v>
      </c>
      <c r="F125" s="7">
        <f t="shared" si="38"/>
        <v>29.5</v>
      </c>
      <c r="G125" s="7" t="str">
        <f t="shared" si="38"/>
        <v>W18x86</v>
      </c>
      <c r="H125" s="7" t="str">
        <f t="shared" si="38"/>
        <v>W12x35</v>
      </c>
      <c r="I125" s="7">
        <f t="shared" si="38"/>
        <v>60.5</v>
      </c>
      <c r="J125" s="10">
        <f>+J124</f>
        <v>61</v>
      </c>
      <c r="K125" s="17">
        <f t="shared" si="39"/>
        <v>145.27295</v>
      </c>
    </row>
    <row r="127" spans="10:12" ht="14.25">
      <c r="J127" s="18" t="s">
        <v>47</v>
      </c>
      <c r="K127" s="17">
        <f>+SUM(K120:K125)</f>
        <v>793.8294500000001</v>
      </c>
      <c r="L127" t="s">
        <v>4</v>
      </c>
    </row>
    <row r="129" ht="12.75">
      <c r="E129" s="16" t="s">
        <v>26</v>
      </c>
    </row>
    <row r="131" spans="4:10" ht="14.25">
      <c r="D131" s="16" t="s">
        <v>34</v>
      </c>
      <c r="E131" s="12"/>
      <c r="G131" s="16" t="s">
        <v>35</v>
      </c>
      <c r="H131" s="12"/>
      <c r="J131" s="12" t="s">
        <v>23</v>
      </c>
    </row>
    <row r="132" spans="2:10" ht="14.25">
      <c r="B132" s="12" t="s">
        <v>37</v>
      </c>
      <c r="C132" s="12" t="s">
        <v>9</v>
      </c>
      <c r="D132" s="12" t="s">
        <v>32</v>
      </c>
      <c r="E132" s="12" t="s">
        <v>22</v>
      </c>
      <c r="F132" s="12" t="s">
        <v>33</v>
      </c>
      <c r="G132" s="12" t="s">
        <v>32</v>
      </c>
      <c r="H132" s="12" t="s">
        <v>22</v>
      </c>
      <c r="I132" s="12" t="s">
        <v>33</v>
      </c>
      <c r="J132" s="12" t="s">
        <v>4</v>
      </c>
    </row>
    <row r="133" spans="2:8" ht="12.75">
      <c r="B133" s="12"/>
      <c r="C133" s="12" t="s">
        <v>1</v>
      </c>
      <c r="E133" s="12" t="s">
        <v>52</v>
      </c>
      <c r="H133" s="12" t="s">
        <v>52</v>
      </c>
    </row>
    <row r="135" spans="2:10" ht="12.75">
      <c r="B135" s="12">
        <v>6</v>
      </c>
      <c r="C135" s="7">
        <f aca="true" t="shared" si="40" ref="C135:E140">+C46</f>
        <v>13</v>
      </c>
      <c r="D135" s="7" t="str">
        <f t="shared" si="40"/>
        <v>W14x233</v>
      </c>
      <c r="E135" s="7">
        <f t="shared" si="40"/>
        <v>233</v>
      </c>
      <c r="F135" s="10">
        <v>10</v>
      </c>
      <c r="G135" s="7" t="str">
        <f aca="true" t="shared" si="41" ref="G135:I140">+G46</f>
        <v>W14x61</v>
      </c>
      <c r="H135" s="7">
        <f t="shared" si="41"/>
        <v>61</v>
      </c>
      <c r="I135" s="10">
        <f t="shared" si="41"/>
        <v>29</v>
      </c>
      <c r="J135" s="17">
        <f>0.5*(C135*(E135*F135+H135*I135))/1000</f>
        <v>26.6435</v>
      </c>
    </row>
    <row r="136" spans="2:10" ht="12.75">
      <c r="B136" s="12">
        <v>5</v>
      </c>
      <c r="C136" s="7">
        <f t="shared" si="40"/>
        <v>13</v>
      </c>
      <c r="D136" s="7" t="str">
        <f t="shared" si="40"/>
        <v>W14x233</v>
      </c>
      <c r="E136" s="7">
        <f t="shared" si="40"/>
        <v>233</v>
      </c>
      <c r="F136" s="10">
        <f>+F135</f>
        <v>10</v>
      </c>
      <c r="G136" s="7" t="str">
        <f t="shared" si="41"/>
        <v>W14x61</v>
      </c>
      <c r="H136" s="7">
        <f t="shared" si="41"/>
        <v>61</v>
      </c>
      <c r="I136" s="10">
        <f t="shared" si="41"/>
        <v>29</v>
      </c>
      <c r="J136" s="17">
        <f>+(0.5*C136*(E136*F136+H136*I136)+0.5*C135*(E135*F135+H135*I135))/1000</f>
        <v>53.287</v>
      </c>
    </row>
    <row r="137" spans="2:10" ht="12.75">
      <c r="B137" s="12">
        <v>4</v>
      </c>
      <c r="C137" s="7">
        <f t="shared" si="40"/>
        <v>13</v>
      </c>
      <c r="D137" s="7" t="str">
        <f t="shared" si="40"/>
        <v>W14x398</v>
      </c>
      <c r="E137" s="7">
        <f t="shared" si="40"/>
        <v>398</v>
      </c>
      <c r="F137" s="10">
        <f>+F136</f>
        <v>10</v>
      </c>
      <c r="G137" s="7" t="str">
        <f t="shared" si="41"/>
        <v>W14x61</v>
      </c>
      <c r="H137" s="7">
        <f t="shared" si="41"/>
        <v>61</v>
      </c>
      <c r="I137" s="10">
        <f t="shared" si="41"/>
        <v>29</v>
      </c>
      <c r="J137" s="17">
        <f>+(0.5*C137*(E137*F137+H137*I137)+0.5*C136*(E136*F136+H136*I136))/1000</f>
        <v>64.012</v>
      </c>
    </row>
    <row r="138" spans="2:10" ht="12.75">
      <c r="B138" s="12">
        <v>3</v>
      </c>
      <c r="C138" s="7">
        <f t="shared" si="40"/>
        <v>13</v>
      </c>
      <c r="D138" s="7" t="str">
        <f t="shared" si="40"/>
        <v>W14x398</v>
      </c>
      <c r="E138" s="7">
        <f t="shared" si="40"/>
        <v>398</v>
      </c>
      <c r="F138" s="10">
        <f>+F137</f>
        <v>10</v>
      </c>
      <c r="G138" s="7" t="str">
        <f t="shared" si="41"/>
        <v>W14x109</v>
      </c>
      <c r="H138" s="7">
        <f t="shared" si="41"/>
        <v>109</v>
      </c>
      <c r="I138" s="10">
        <f t="shared" si="41"/>
        <v>29</v>
      </c>
      <c r="J138" s="17">
        <f>+(0.5*C138*(E138*F138+H138*I138)+0.5*C137*(E137*F137+H137*I137))/1000</f>
        <v>83.785</v>
      </c>
    </row>
    <row r="139" spans="2:10" ht="12.75">
      <c r="B139" s="12">
        <v>2</v>
      </c>
      <c r="C139" s="7">
        <f t="shared" si="40"/>
        <v>13</v>
      </c>
      <c r="D139" s="7" t="str">
        <f t="shared" si="40"/>
        <v>W14x426</v>
      </c>
      <c r="E139" s="7">
        <f t="shared" si="40"/>
        <v>426</v>
      </c>
      <c r="F139" s="10">
        <f>+F138</f>
        <v>10</v>
      </c>
      <c r="G139" s="7" t="str">
        <f t="shared" si="41"/>
        <v>W14x109</v>
      </c>
      <c r="H139" s="7">
        <f t="shared" si="41"/>
        <v>109</v>
      </c>
      <c r="I139" s="10">
        <f t="shared" si="41"/>
        <v>29</v>
      </c>
      <c r="J139" s="17">
        <f>+(0.5*C139*(E139*F139+H139*I139)+0.5*C138*(E138*F138+H138*I138))/1000</f>
        <v>94.653</v>
      </c>
    </row>
    <row r="140" spans="2:10" ht="12.75">
      <c r="B140" s="12">
        <v>1</v>
      </c>
      <c r="C140" s="7">
        <f t="shared" si="40"/>
        <v>15</v>
      </c>
      <c r="D140" s="7" t="str">
        <f t="shared" si="40"/>
        <v>W14x426</v>
      </c>
      <c r="E140" s="7">
        <f t="shared" si="40"/>
        <v>426</v>
      </c>
      <c r="F140" s="10">
        <f>+F139</f>
        <v>10</v>
      </c>
      <c r="G140" s="7" t="str">
        <f t="shared" si="41"/>
        <v>W14x109</v>
      </c>
      <c r="H140" s="7">
        <f t="shared" si="41"/>
        <v>109</v>
      </c>
      <c r="I140" s="10">
        <f t="shared" si="41"/>
        <v>29</v>
      </c>
      <c r="J140" s="17">
        <f>+(0.5*C140*(E140*F140+H140*I140)+0.5*C139*(E139*F139+H139*I139))/1000</f>
        <v>103.894</v>
      </c>
    </row>
    <row r="141" ht="12.75">
      <c r="J141" s="19"/>
    </row>
    <row r="142" spans="9:11" ht="14.25">
      <c r="I142" s="18" t="s">
        <v>36</v>
      </c>
      <c r="J142" s="17">
        <f>+SUM(J135:J140)</f>
        <v>426.2745</v>
      </c>
      <c r="K142" t="s">
        <v>4</v>
      </c>
    </row>
    <row r="143" spans="9:11" ht="14.25">
      <c r="I143" s="18" t="s">
        <v>129</v>
      </c>
      <c r="J143" s="17">
        <f>+K112+J142+K127</f>
        <v>17646.22895</v>
      </c>
      <c r="K143" t="s">
        <v>4</v>
      </c>
    </row>
    <row r="144" ht="12.75">
      <c r="D144" s="16" t="s">
        <v>180</v>
      </c>
    </row>
    <row r="146" spans="3:10" ht="14.25">
      <c r="C146" s="12" t="s">
        <v>37</v>
      </c>
      <c r="D146" s="12" t="s">
        <v>127</v>
      </c>
      <c r="E146" s="12" t="s">
        <v>130</v>
      </c>
      <c r="F146" s="12" t="s">
        <v>131</v>
      </c>
      <c r="G146" s="12" t="s">
        <v>181</v>
      </c>
      <c r="H146" s="12" t="s">
        <v>182</v>
      </c>
      <c r="I146" s="18" t="s">
        <v>148</v>
      </c>
      <c r="J146" s="18" t="s">
        <v>132</v>
      </c>
    </row>
    <row r="147" spans="3:10" ht="12.75">
      <c r="C147" s="12"/>
      <c r="D147" s="12" t="s">
        <v>4</v>
      </c>
      <c r="E147" s="12" t="s">
        <v>4</v>
      </c>
      <c r="F147" s="12" t="s">
        <v>4</v>
      </c>
      <c r="G147" s="12" t="s">
        <v>4</v>
      </c>
      <c r="H147" s="12" t="s">
        <v>4</v>
      </c>
      <c r="I147" s="12" t="s">
        <v>4</v>
      </c>
      <c r="J147" s="12" t="s">
        <v>4</v>
      </c>
    </row>
    <row r="149" spans="3:10" ht="12.75">
      <c r="C149" s="12">
        <v>6</v>
      </c>
      <c r="D149" s="17">
        <f aca="true" t="shared" si="42" ref="D149:D154">+K105</f>
        <v>2127.375</v>
      </c>
      <c r="E149" s="17">
        <f aca="true" t="shared" si="43" ref="E149:E154">+K120</f>
        <v>95.19286</v>
      </c>
      <c r="F149" s="17">
        <f aca="true" t="shared" si="44" ref="F149:F154">+J135</f>
        <v>26.6435</v>
      </c>
      <c r="G149" s="11">
        <f>+$O$154*2*($C$8+30)*C135/2000</f>
        <v>68.25</v>
      </c>
      <c r="H149" s="11">
        <f>+$O$157*$N$158*($C$8+30)*2/1000</f>
        <v>60.375</v>
      </c>
      <c r="I149" s="17">
        <f aca="true" t="shared" si="45" ref="I149:I154">+D149+E149+F149+G149+G150</f>
        <v>2453.9613600000002</v>
      </c>
      <c r="J149" s="17">
        <f aca="true" t="shared" si="46" ref="J149:J154">+I149/2</f>
        <v>1226.9806800000001</v>
      </c>
    </row>
    <row r="150" spans="3:10" ht="12.75">
      <c r="C150" s="12">
        <v>5</v>
      </c>
      <c r="D150" s="17">
        <f t="shared" si="42"/>
        <v>2859.75</v>
      </c>
      <c r="E150" s="17">
        <f t="shared" si="43"/>
        <v>131.56847</v>
      </c>
      <c r="F150" s="17">
        <f t="shared" si="44"/>
        <v>53.287</v>
      </c>
      <c r="G150" s="11">
        <f>+$O$154*2*($C$8+30)*(C135+C136)/2000</f>
        <v>136.5</v>
      </c>
      <c r="H150" s="11">
        <v>0</v>
      </c>
      <c r="I150" s="17">
        <f t="shared" si="45"/>
        <v>3317.60547</v>
      </c>
      <c r="J150" s="17">
        <f t="shared" si="46"/>
        <v>1658.802735</v>
      </c>
    </row>
    <row r="151" spans="3:10" ht="12.75">
      <c r="C151" s="12">
        <v>4</v>
      </c>
      <c r="D151" s="17">
        <f t="shared" si="42"/>
        <v>2859.75</v>
      </c>
      <c r="E151" s="17">
        <f t="shared" si="43"/>
        <v>133.47647</v>
      </c>
      <c r="F151" s="17">
        <f t="shared" si="44"/>
        <v>64.012</v>
      </c>
      <c r="G151" s="11">
        <f>+$O$154*2*($C$8+30)*(C136+C137)/2000</f>
        <v>136.5</v>
      </c>
      <c r="H151" s="11">
        <v>0</v>
      </c>
      <c r="I151" s="17">
        <f t="shared" si="45"/>
        <v>3330.2384700000002</v>
      </c>
      <c r="J151" s="17">
        <f t="shared" si="46"/>
        <v>1665.1192350000001</v>
      </c>
    </row>
    <row r="152" spans="3:14" ht="12.75">
      <c r="C152" s="12">
        <v>3</v>
      </c>
      <c r="D152" s="17">
        <f t="shared" si="42"/>
        <v>2859.75</v>
      </c>
      <c r="E152" s="17">
        <f t="shared" si="43"/>
        <v>143.04575</v>
      </c>
      <c r="F152" s="17">
        <f t="shared" si="44"/>
        <v>83.785</v>
      </c>
      <c r="G152" s="11">
        <f>+$O$154*2*($C$8+30)*(C137+C138)/2000</f>
        <v>136.5</v>
      </c>
      <c r="H152" s="11">
        <v>0</v>
      </c>
      <c r="I152" s="17">
        <f t="shared" si="45"/>
        <v>3359.58075</v>
      </c>
      <c r="J152" s="17">
        <f t="shared" si="46"/>
        <v>1679.790375</v>
      </c>
      <c r="N152" s="34" t="s">
        <v>183</v>
      </c>
    </row>
    <row r="153" spans="3:10" ht="12.75">
      <c r="C153" s="12">
        <v>2</v>
      </c>
      <c r="D153" s="17">
        <f t="shared" si="42"/>
        <v>2859.75</v>
      </c>
      <c r="E153" s="17">
        <f t="shared" si="43"/>
        <v>145.27295</v>
      </c>
      <c r="F153" s="17">
        <f t="shared" si="44"/>
        <v>94.653</v>
      </c>
      <c r="G153" s="11">
        <f>+$O$154*2*($C$8+30)*(C138+C139)/2000</f>
        <v>136.5</v>
      </c>
      <c r="H153" s="11">
        <v>0</v>
      </c>
      <c r="I153" s="17">
        <f t="shared" si="45"/>
        <v>3304.42595</v>
      </c>
      <c r="J153" s="17">
        <f t="shared" si="46"/>
        <v>1652.212975</v>
      </c>
    </row>
    <row r="154" spans="3:16" ht="12.75">
      <c r="C154" s="12">
        <v>1</v>
      </c>
      <c r="D154" s="17">
        <f t="shared" si="42"/>
        <v>2859.75</v>
      </c>
      <c r="E154" s="17">
        <f t="shared" si="43"/>
        <v>145.27295</v>
      </c>
      <c r="F154" s="17">
        <f t="shared" si="44"/>
        <v>103.894</v>
      </c>
      <c r="G154" s="11">
        <f>+$O$154*2*($C$8+30)*(C139)/2000</f>
        <v>68.25</v>
      </c>
      <c r="H154" s="11">
        <v>0</v>
      </c>
      <c r="I154" s="17">
        <f t="shared" si="45"/>
        <v>3177.16695</v>
      </c>
      <c r="J154" s="17">
        <f t="shared" si="46"/>
        <v>1588.583475</v>
      </c>
      <c r="N154" s="27" t="s">
        <v>184</v>
      </c>
      <c r="O154" s="11">
        <v>25</v>
      </c>
      <c r="P154" s="35" t="s">
        <v>31</v>
      </c>
    </row>
    <row r="156" spans="8:16" ht="14.25">
      <c r="H156" s="18" t="s">
        <v>129</v>
      </c>
      <c r="I156" s="17">
        <f>+SUM(I149:I154)</f>
        <v>18942.97895</v>
      </c>
      <c r="J156" s="17">
        <f>+I156/2</f>
        <v>9471.489475</v>
      </c>
      <c r="N156" s="27" t="s">
        <v>185</v>
      </c>
      <c r="O156" s="10">
        <v>115</v>
      </c>
      <c r="P156" s="35" t="s">
        <v>186</v>
      </c>
    </row>
    <row r="157" spans="13:16" ht="12.75">
      <c r="M157" s="25" t="s">
        <v>187</v>
      </c>
      <c r="N157" s="5">
        <v>5</v>
      </c>
      <c r="O157" s="17">
        <f>+O156*N157/12</f>
        <v>47.916666666666664</v>
      </c>
      <c r="P157" s="35" t="s">
        <v>31</v>
      </c>
    </row>
    <row r="158" spans="13:14" ht="12.75">
      <c r="M158" s="25" t="s">
        <v>188</v>
      </c>
      <c r="N158" s="5">
        <v>3</v>
      </c>
    </row>
    <row r="165" ht="12.75">
      <c r="C165" s="16" t="s">
        <v>191</v>
      </c>
    </row>
    <row r="167" spans="2:10" ht="12.75">
      <c r="B167" s="1" t="s">
        <v>0</v>
      </c>
      <c r="C167" s="1"/>
      <c r="D167" s="1"/>
      <c r="E167" s="5"/>
      <c r="F167" s="5"/>
      <c r="G167" s="5"/>
      <c r="H167" s="5"/>
      <c r="I167" s="5"/>
      <c r="J167" s="5"/>
    </row>
    <row r="168" spans="2:10" ht="12.75">
      <c r="B168" s="1"/>
      <c r="C168" s="1"/>
      <c r="D168" s="1"/>
      <c r="E168" s="5"/>
      <c r="F168" s="5"/>
      <c r="G168" s="5"/>
      <c r="H168" s="5"/>
      <c r="I168" s="5"/>
      <c r="J168" s="5"/>
    </row>
    <row r="169" spans="2:10" ht="12.75">
      <c r="B169" s="2" t="s">
        <v>114</v>
      </c>
      <c r="C169" s="3"/>
      <c r="D169" s="3"/>
      <c r="E169" s="5"/>
      <c r="F169" s="5"/>
      <c r="G169" s="32" t="s">
        <v>171</v>
      </c>
      <c r="H169" s="5"/>
      <c r="I169" s="5"/>
      <c r="J169" s="5"/>
    </row>
    <row r="170" spans="2:10" ht="12.75">
      <c r="B170" s="3"/>
      <c r="C170" s="3"/>
      <c r="D170" s="3"/>
      <c r="E170" s="5"/>
      <c r="F170" s="32" t="s">
        <v>173</v>
      </c>
      <c r="G170" s="5"/>
      <c r="H170" s="33" t="s">
        <v>174</v>
      </c>
      <c r="I170" s="5"/>
      <c r="J170" s="5"/>
    </row>
    <row r="171" spans="2:10" ht="14.25">
      <c r="B171" s="9" t="s">
        <v>133</v>
      </c>
      <c r="C171" s="10">
        <v>7.5</v>
      </c>
      <c r="D171" s="5" t="s">
        <v>18</v>
      </c>
      <c r="E171" s="9" t="s">
        <v>169</v>
      </c>
      <c r="F171" s="10">
        <v>90</v>
      </c>
      <c r="G171" s="31" t="s">
        <v>31</v>
      </c>
      <c r="H171" s="9" t="s">
        <v>169</v>
      </c>
      <c r="I171" s="10">
        <v>115</v>
      </c>
      <c r="J171" s="31" t="s">
        <v>31</v>
      </c>
    </row>
    <row r="172" spans="2:10" ht="14.25">
      <c r="B172" s="9" t="s">
        <v>17</v>
      </c>
      <c r="C172" s="10">
        <v>30</v>
      </c>
      <c r="D172" s="5" t="s">
        <v>18</v>
      </c>
      <c r="E172" s="9" t="s">
        <v>170</v>
      </c>
      <c r="F172" s="10">
        <v>6.25</v>
      </c>
      <c r="G172" s="31" t="s">
        <v>31</v>
      </c>
      <c r="H172" s="9" t="s">
        <v>170</v>
      </c>
      <c r="I172" s="10">
        <v>12.5</v>
      </c>
      <c r="J172" s="31" t="s">
        <v>31</v>
      </c>
    </row>
    <row r="173" spans="2:10" ht="14.25">
      <c r="B173" s="9"/>
      <c r="C173" s="14"/>
      <c r="D173" s="5"/>
      <c r="E173" s="9" t="s">
        <v>172</v>
      </c>
      <c r="F173" s="10">
        <f>+F171+F172</f>
        <v>96.25</v>
      </c>
      <c r="G173" s="31" t="s">
        <v>31</v>
      </c>
      <c r="H173" s="9" t="s">
        <v>172</v>
      </c>
      <c r="I173" s="10">
        <f>+I171+I172</f>
        <v>127.5</v>
      </c>
      <c r="J173" s="31" t="s">
        <v>31</v>
      </c>
    </row>
    <row r="175" ht="12.75">
      <c r="B175" s="27" t="s">
        <v>251</v>
      </c>
    </row>
    <row r="176" spans="6:9" ht="12.75">
      <c r="F176" s="38" t="s">
        <v>249</v>
      </c>
      <c r="I176" s="27" t="s">
        <v>250</v>
      </c>
    </row>
    <row r="177" spans="2:22" ht="14.25">
      <c r="B177" s="12" t="s">
        <v>37</v>
      </c>
      <c r="C177" s="12" t="s">
        <v>175</v>
      </c>
      <c r="D177" s="12" t="s">
        <v>177</v>
      </c>
      <c r="E177" s="28" t="s">
        <v>143</v>
      </c>
      <c r="F177" s="28" t="s">
        <v>144</v>
      </c>
      <c r="G177" s="28" t="s">
        <v>145</v>
      </c>
      <c r="H177" s="28" t="s">
        <v>190</v>
      </c>
      <c r="I177" s="28" t="s">
        <v>192</v>
      </c>
      <c r="J177" s="28" t="s">
        <v>193</v>
      </c>
      <c r="O177" s="12" t="s">
        <v>134</v>
      </c>
      <c r="P177" s="12" t="s">
        <v>136</v>
      </c>
      <c r="Q177" s="12" t="s">
        <v>137</v>
      </c>
      <c r="R177" s="12" t="s">
        <v>138</v>
      </c>
      <c r="S177" s="12" t="s">
        <v>140</v>
      </c>
      <c r="T177" s="12" t="s">
        <v>139</v>
      </c>
      <c r="U177" s="12" t="s">
        <v>142</v>
      </c>
      <c r="V177" s="12" t="s">
        <v>141</v>
      </c>
    </row>
    <row r="178" spans="2:22" ht="12.75">
      <c r="B178" s="12"/>
      <c r="C178" s="12" t="s">
        <v>176</v>
      </c>
      <c r="D178" s="12" t="s">
        <v>178</v>
      </c>
      <c r="E178" s="12" t="s">
        <v>4</v>
      </c>
      <c r="F178" s="12" t="s">
        <v>4</v>
      </c>
      <c r="G178" s="12" t="s">
        <v>4</v>
      </c>
      <c r="H178" s="12" t="s">
        <v>4</v>
      </c>
      <c r="I178" s="12" t="s">
        <v>4</v>
      </c>
      <c r="J178" s="12" t="s">
        <v>4</v>
      </c>
      <c r="O178" s="12" t="s">
        <v>135</v>
      </c>
      <c r="P178" s="12" t="s">
        <v>135</v>
      </c>
      <c r="Q178" s="12" t="s">
        <v>135</v>
      </c>
      <c r="R178" s="12" t="s">
        <v>135</v>
      </c>
      <c r="S178" s="12" t="s">
        <v>135</v>
      </c>
      <c r="T178" s="12" t="s">
        <v>135</v>
      </c>
      <c r="U178" s="12" t="s">
        <v>135</v>
      </c>
      <c r="V178" s="12" t="s">
        <v>135</v>
      </c>
    </row>
    <row r="180" spans="2:22" ht="12.75">
      <c r="B180" s="12">
        <v>6</v>
      </c>
      <c r="C180" s="11">
        <f>+(F173)*$C$171*$C$172/2</f>
        <v>10828.125</v>
      </c>
      <c r="D180" s="15">
        <f aca="true" t="shared" si="47" ref="D180:D185">+C180/1000</f>
        <v>10.828125</v>
      </c>
      <c r="E180" s="46">
        <f aca="true" t="shared" si="48" ref="E180:E185">+D180+D31*$C$171/1000</f>
        <v>11.293125</v>
      </c>
      <c r="F180" s="46">
        <f aca="true" t="shared" si="49" ref="F180:F185">+D180+D31*$C$171/1000</f>
        <v>11.293125</v>
      </c>
      <c r="G180" s="46">
        <f aca="true" t="shared" si="50" ref="G180:G185">+D180+D31*$C$171/1000</f>
        <v>11.293125</v>
      </c>
      <c r="H180" s="11">
        <v>0</v>
      </c>
      <c r="I180" s="46">
        <f aca="true" t="shared" si="51" ref="I180:I185">E180+H180</f>
        <v>11.293125</v>
      </c>
      <c r="J180" s="46">
        <f aca="true" t="shared" si="52" ref="J180:J185">+I180+E180+F180/2</f>
        <v>28.2328125</v>
      </c>
      <c r="O180" s="10">
        <v>16.04</v>
      </c>
      <c r="P180" s="10">
        <v>23.74</v>
      </c>
      <c r="Q180" s="10">
        <v>90</v>
      </c>
      <c r="R180" s="17">
        <f aca="true" t="shared" si="53" ref="R180:R185">+((O180+P180)/2)*0.5</f>
        <v>9.945</v>
      </c>
      <c r="S180" s="17">
        <f aca="true" t="shared" si="54" ref="S180:S185">+Q180-2*R180</f>
        <v>70.11</v>
      </c>
      <c r="T180" s="17">
        <f aca="true" t="shared" si="55" ref="T180:T185">+S180/2+R180</f>
        <v>45</v>
      </c>
      <c r="U180" s="17">
        <f aca="true" t="shared" si="56" ref="U180:U185">($C$172/2*12-Q180)</f>
        <v>90</v>
      </c>
      <c r="V180" s="17">
        <f aca="true" t="shared" si="57" ref="V180:V185">+(S180+U180)/2</f>
        <v>80.055</v>
      </c>
    </row>
    <row r="181" spans="2:22" ht="12.75">
      <c r="B181" s="12">
        <v>5</v>
      </c>
      <c r="C181" s="11">
        <f>+($I$173)*$C$171*$C$172/2</f>
        <v>14343.75</v>
      </c>
      <c r="D181" s="15">
        <f t="shared" si="47"/>
        <v>14.34375</v>
      </c>
      <c r="E181" s="46">
        <f t="shared" si="48"/>
        <v>15.08625</v>
      </c>
      <c r="F181" s="46">
        <f t="shared" si="49"/>
        <v>15.08625</v>
      </c>
      <c r="G181" s="46">
        <f t="shared" si="50"/>
        <v>15.08625</v>
      </c>
      <c r="H181" s="11">
        <f>+E135*C135/1000</f>
        <v>3.029</v>
      </c>
      <c r="I181" s="46">
        <f t="shared" si="51"/>
        <v>18.11525</v>
      </c>
      <c r="J181" s="46">
        <f t="shared" si="52"/>
        <v>40.744625</v>
      </c>
      <c r="O181" s="10">
        <v>16.04</v>
      </c>
      <c r="P181" s="10">
        <v>29.65</v>
      </c>
      <c r="Q181" s="10">
        <f>+Q180</f>
        <v>90</v>
      </c>
      <c r="R181" s="17">
        <f t="shared" si="53"/>
        <v>11.4225</v>
      </c>
      <c r="S181" s="17">
        <f t="shared" si="54"/>
        <v>67.155</v>
      </c>
      <c r="T181" s="17">
        <f t="shared" si="55"/>
        <v>45</v>
      </c>
      <c r="U181" s="17">
        <f t="shared" si="56"/>
        <v>90</v>
      </c>
      <c r="V181" s="17">
        <f t="shared" si="57"/>
        <v>78.5775</v>
      </c>
    </row>
    <row r="182" spans="2:22" ht="12.75">
      <c r="B182" s="12">
        <v>4</v>
      </c>
      <c r="C182" s="11">
        <f>+($I$173)*$C$171*$C$172/2</f>
        <v>14343.75</v>
      </c>
      <c r="D182" s="15">
        <f t="shared" si="47"/>
        <v>14.34375</v>
      </c>
      <c r="E182" s="46">
        <f t="shared" si="48"/>
        <v>15.15375</v>
      </c>
      <c r="F182" s="46">
        <f t="shared" si="49"/>
        <v>15.15375</v>
      </c>
      <c r="G182" s="46">
        <f t="shared" si="50"/>
        <v>15.15375</v>
      </c>
      <c r="H182" s="11">
        <f>+E136*C136/1000</f>
        <v>3.029</v>
      </c>
      <c r="I182" s="46">
        <f t="shared" si="51"/>
        <v>18.18275</v>
      </c>
      <c r="J182" s="46">
        <f t="shared" si="52"/>
        <v>40.913375</v>
      </c>
      <c r="O182" s="10">
        <v>18.29</v>
      </c>
      <c r="P182" s="10">
        <v>29.83</v>
      </c>
      <c r="Q182" s="10">
        <f>+Q181</f>
        <v>90</v>
      </c>
      <c r="R182" s="17">
        <f t="shared" si="53"/>
        <v>12.03</v>
      </c>
      <c r="S182" s="17">
        <f t="shared" si="54"/>
        <v>65.94</v>
      </c>
      <c r="T182" s="17">
        <f t="shared" si="55"/>
        <v>45</v>
      </c>
      <c r="U182" s="17">
        <f t="shared" si="56"/>
        <v>90</v>
      </c>
      <c r="V182" s="17">
        <f t="shared" si="57"/>
        <v>77.97</v>
      </c>
    </row>
    <row r="183" spans="2:22" ht="12.75">
      <c r="B183" s="12">
        <v>3</v>
      </c>
      <c r="C183" s="11">
        <f>+($I$173)*$C$171*$C$172/2</f>
        <v>14343.75</v>
      </c>
      <c r="D183" s="15">
        <f t="shared" si="47"/>
        <v>14.34375</v>
      </c>
      <c r="E183" s="46">
        <f t="shared" si="48"/>
        <v>15.46875</v>
      </c>
      <c r="F183" s="46">
        <f t="shared" si="49"/>
        <v>15.46875</v>
      </c>
      <c r="G183" s="46">
        <f t="shared" si="50"/>
        <v>15.46875</v>
      </c>
      <c r="H183" s="11">
        <f>+E137*C137/1000</f>
        <v>5.174</v>
      </c>
      <c r="I183" s="46">
        <f t="shared" si="51"/>
        <v>20.64275</v>
      </c>
      <c r="J183" s="46">
        <f t="shared" si="52"/>
        <v>43.845875</v>
      </c>
      <c r="O183" s="10">
        <v>18.29</v>
      </c>
      <c r="P183" s="10">
        <v>35.85</v>
      </c>
      <c r="Q183" s="10">
        <f>+Q182</f>
        <v>90</v>
      </c>
      <c r="R183" s="17">
        <f t="shared" si="53"/>
        <v>13.535</v>
      </c>
      <c r="S183" s="17">
        <f t="shared" si="54"/>
        <v>62.93</v>
      </c>
      <c r="T183" s="17">
        <f t="shared" si="55"/>
        <v>45</v>
      </c>
      <c r="U183" s="17">
        <f t="shared" si="56"/>
        <v>90</v>
      </c>
      <c r="V183" s="17">
        <f t="shared" si="57"/>
        <v>76.465</v>
      </c>
    </row>
    <row r="184" spans="2:22" ht="12.75">
      <c r="B184" s="12">
        <v>2</v>
      </c>
      <c r="C184" s="11">
        <f>+($I$173)*$C$171*$C$172/2</f>
        <v>14343.75</v>
      </c>
      <c r="D184" s="15">
        <f t="shared" si="47"/>
        <v>14.34375</v>
      </c>
      <c r="E184" s="46">
        <f t="shared" si="48"/>
        <v>15.54375</v>
      </c>
      <c r="F184" s="46">
        <f t="shared" si="49"/>
        <v>15.54375</v>
      </c>
      <c r="G184" s="46">
        <f t="shared" si="50"/>
        <v>15.54375</v>
      </c>
      <c r="H184" s="11">
        <f>+E138*C138/1000</f>
        <v>5.174</v>
      </c>
      <c r="I184" s="46">
        <f t="shared" si="51"/>
        <v>20.71775</v>
      </c>
      <c r="J184" s="46">
        <f t="shared" si="52"/>
        <v>44.033375</v>
      </c>
      <c r="O184" s="10">
        <v>18.67</v>
      </c>
      <c r="P184" s="10">
        <v>36</v>
      </c>
      <c r="Q184" s="10">
        <f>+Q183</f>
        <v>90</v>
      </c>
      <c r="R184" s="17">
        <f t="shared" si="53"/>
        <v>13.6675</v>
      </c>
      <c r="S184" s="17">
        <f t="shared" si="54"/>
        <v>62.665</v>
      </c>
      <c r="T184" s="17">
        <f t="shared" si="55"/>
        <v>45</v>
      </c>
      <c r="U184" s="17">
        <f t="shared" si="56"/>
        <v>90</v>
      </c>
      <c r="V184" s="17">
        <f t="shared" si="57"/>
        <v>76.3325</v>
      </c>
    </row>
    <row r="185" spans="2:22" ht="12.75">
      <c r="B185" s="12">
        <v>1</v>
      </c>
      <c r="C185" s="11">
        <f>+($I$173)*$C$171*$C$172/2</f>
        <v>14343.75</v>
      </c>
      <c r="D185" s="15">
        <f t="shared" si="47"/>
        <v>14.34375</v>
      </c>
      <c r="E185" s="46">
        <f t="shared" si="48"/>
        <v>15.54375</v>
      </c>
      <c r="F185" s="46">
        <f t="shared" si="49"/>
        <v>15.54375</v>
      </c>
      <c r="G185" s="46">
        <f t="shared" si="50"/>
        <v>15.54375</v>
      </c>
      <c r="H185" s="11">
        <f>+E139*C139/1000</f>
        <v>5.538</v>
      </c>
      <c r="I185" s="46">
        <f t="shared" si="51"/>
        <v>21.08175</v>
      </c>
      <c r="J185" s="46">
        <f t="shared" si="52"/>
        <v>44.397375000000004</v>
      </c>
      <c r="O185" s="10">
        <v>18.67</v>
      </c>
      <c r="P185" s="10">
        <v>36</v>
      </c>
      <c r="Q185" s="10">
        <f>+Q184</f>
        <v>90</v>
      </c>
      <c r="R185" s="17">
        <f t="shared" si="53"/>
        <v>13.6675</v>
      </c>
      <c r="S185" s="17">
        <f t="shared" si="54"/>
        <v>62.665</v>
      </c>
      <c r="T185" s="17">
        <f t="shared" si="55"/>
        <v>45</v>
      </c>
      <c r="U185" s="17">
        <f t="shared" si="56"/>
        <v>90</v>
      </c>
      <c r="V185" s="17">
        <f t="shared" si="57"/>
        <v>76.3325</v>
      </c>
    </row>
    <row r="187" spans="2:3" ht="12.75">
      <c r="B187" s="36" t="s">
        <v>194</v>
      </c>
      <c r="C187" t="s">
        <v>195</v>
      </c>
    </row>
    <row r="190" ht="12.75">
      <c r="I190" s="45">
        <v>37333</v>
      </c>
    </row>
    <row r="191" ht="12.75">
      <c r="C191" s="27"/>
    </row>
    <row r="192" ht="12.75">
      <c r="B192" s="27" t="s">
        <v>252</v>
      </c>
    </row>
    <row r="193" spans="6:9" ht="12.75">
      <c r="F193" s="38" t="s">
        <v>249</v>
      </c>
      <c r="I193" s="27" t="s">
        <v>250</v>
      </c>
    </row>
    <row r="194" spans="2:11" ht="14.25">
      <c r="B194" s="12" t="s">
        <v>37</v>
      </c>
      <c r="C194" s="12" t="s">
        <v>175</v>
      </c>
      <c r="D194" s="12" t="s">
        <v>177</v>
      </c>
      <c r="E194" s="28" t="s">
        <v>143</v>
      </c>
      <c r="F194" s="28" t="s">
        <v>144</v>
      </c>
      <c r="G194" s="28" t="s">
        <v>145</v>
      </c>
      <c r="H194" s="28" t="s">
        <v>190</v>
      </c>
      <c r="I194" s="28" t="s">
        <v>193</v>
      </c>
      <c r="J194" s="28" t="s">
        <v>257</v>
      </c>
      <c r="K194" s="28" t="s">
        <v>145</v>
      </c>
    </row>
    <row r="195" spans="2:11" ht="12.75">
      <c r="B195" s="12"/>
      <c r="C195" s="12" t="s">
        <v>176</v>
      </c>
      <c r="D195" s="12" t="s">
        <v>178</v>
      </c>
      <c r="E195" s="12" t="s">
        <v>4</v>
      </c>
      <c r="F195" s="12" t="s">
        <v>4</v>
      </c>
      <c r="G195" s="12" t="s">
        <v>4</v>
      </c>
      <c r="H195" s="12" t="s">
        <v>4</v>
      </c>
      <c r="I195" s="12" t="s">
        <v>4</v>
      </c>
      <c r="J195" s="12" t="s">
        <v>4</v>
      </c>
      <c r="K195" s="12" t="s">
        <v>4</v>
      </c>
    </row>
    <row r="196" spans="4:7" ht="12.75">
      <c r="D196" s="28"/>
      <c r="E196" s="11"/>
      <c r="F196" s="11"/>
      <c r="G196" s="11"/>
    </row>
    <row r="197" spans="2:11" ht="12.75">
      <c r="B197" s="12">
        <v>6</v>
      </c>
      <c r="C197" s="11">
        <f aca="true" t="shared" si="58" ref="C197:D202">+C180</f>
        <v>10828.125</v>
      </c>
      <c r="D197" s="17">
        <f t="shared" si="58"/>
        <v>10.828125</v>
      </c>
      <c r="E197" s="46">
        <f aca="true" t="shared" si="59" ref="E197:G202">+$D31*$C$171/1000</f>
        <v>0.465</v>
      </c>
      <c r="F197" s="46">
        <f t="shared" si="59"/>
        <v>0.465</v>
      </c>
      <c r="G197" s="46">
        <f t="shared" si="59"/>
        <v>0.465</v>
      </c>
      <c r="H197" s="11">
        <f aca="true" t="shared" si="60" ref="H197:H202">+H180</f>
        <v>0</v>
      </c>
      <c r="I197" s="46">
        <f aca="true" t="shared" si="61" ref="I197:I202">+J180</f>
        <v>28.2328125</v>
      </c>
      <c r="J197" s="46">
        <f>1.5*D197+D180+E197</f>
        <v>27.5353125</v>
      </c>
      <c r="K197" s="46">
        <f>3*D197+D180+E197</f>
        <v>43.7775</v>
      </c>
    </row>
    <row r="198" spans="2:11" ht="12.75">
      <c r="B198" s="12">
        <v>5</v>
      </c>
      <c r="C198" s="11">
        <f t="shared" si="58"/>
        <v>14343.75</v>
      </c>
      <c r="D198" s="17">
        <f t="shared" si="58"/>
        <v>14.34375</v>
      </c>
      <c r="E198" s="46">
        <f t="shared" si="59"/>
        <v>0.7425</v>
      </c>
      <c r="F198" s="46">
        <f t="shared" si="59"/>
        <v>0.7425</v>
      </c>
      <c r="G198" s="46">
        <f t="shared" si="59"/>
        <v>0.7425</v>
      </c>
      <c r="H198" s="11">
        <f t="shared" si="60"/>
        <v>3.029</v>
      </c>
      <c r="I198" s="46">
        <f t="shared" si="61"/>
        <v>40.744625</v>
      </c>
      <c r="J198" s="46">
        <f>1.5*D198+H198+D181+E198</f>
        <v>39.630874999999996</v>
      </c>
      <c r="K198" s="46">
        <f>3*D198+H198+D181+E198</f>
        <v>61.146499999999996</v>
      </c>
    </row>
    <row r="199" spans="2:11" ht="12.75">
      <c r="B199" s="12">
        <v>4</v>
      </c>
      <c r="C199" s="11">
        <f t="shared" si="58"/>
        <v>14343.75</v>
      </c>
      <c r="D199" s="17">
        <f t="shared" si="58"/>
        <v>14.34375</v>
      </c>
      <c r="E199" s="46">
        <f t="shared" si="59"/>
        <v>0.81</v>
      </c>
      <c r="F199" s="46">
        <f t="shared" si="59"/>
        <v>0.81</v>
      </c>
      <c r="G199" s="46">
        <f t="shared" si="59"/>
        <v>0.81</v>
      </c>
      <c r="H199" s="11">
        <f t="shared" si="60"/>
        <v>3.029</v>
      </c>
      <c r="I199" s="46">
        <f t="shared" si="61"/>
        <v>40.913375</v>
      </c>
      <c r="J199" s="46">
        <f>1.5*D199+H199+D182+E199</f>
        <v>39.698375</v>
      </c>
      <c r="K199" s="46">
        <f>3*D199+H199+D182+E199</f>
        <v>61.214</v>
      </c>
    </row>
    <row r="200" spans="2:11" ht="12.75">
      <c r="B200" s="12">
        <v>3</v>
      </c>
      <c r="C200" s="11">
        <f t="shared" si="58"/>
        <v>14343.75</v>
      </c>
      <c r="D200" s="17">
        <f t="shared" si="58"/>
        <v>14.34375</v>
      </c>
      <c r="E200" s="46">
        <f t="shared" si="59"/>
        <v>1.125</v>
      </c>
      <c r="F200" s="46">
        <f t="shared" si="59"/>
        <v>1.125</v>
      </c>
      <c r="G200" s="46">
        <f t="shared" si="59"/>
        <v>1.125</v>
      </c>
      <c r="H200" s="11">
        <f t="shared" si="60"/>
        <v>5.174</v>
      </c>
      <c r="I200" s="46">
        <f t="shared" si="61"/>
        <v>43.845875</v>
      </c>
      <c r="J200" s="46">
        <f>1.5*D200+H200+D183+E200</f>
        <v>42.158375</v>
      </c>
      <c r="K200" s="46">
        <f>3*D200+H200+D183+E200</f>
        <v>63.674</v>
      </c>
    </row>
    <row r="201" spans="2:11" ht="12.75">
      <c r="B201" s="12">
        <v>2</v>
      </c>
      <c r="C201" s="11">
        <f t="shared" si="58"/>
        <v>14343.75</v>
      </c>
      <c r="D201" s="17">
        <f t="shared" si="58"/>
        <v>14.34375</v>
      </c>
      <c r="E201" s="46">
        <f t="shared" si="59"/>
        <v>1.2</v>
      </c>
      <c r="F201" s="46">
        <f t="shared" si="59"/>
        <v>1.2</v>
      </c>
      <c r="G201" s="46">
        <f t="shared" si="59"/>
        <v>1.2</v>
      </c>
      <c r="H201" s="11">
        <f t="shared" si="60"/>
        <v>5.174</v>
      </c>
      <c r="I201" s="46">
        <f t="shared" si="61"/>
        <v>44.033375</v>
      </c>
      <c r="J201" s="46">
        <f>1.5*D201+H201+D184+E201</f>
        <v>42.233375</v>
      </c>
      <c r="K201" s="46">
        <f>3*D201+H201+D184+E201</f>
        <v>63.749</v>
      </c>
    </row>
    <row r="202" spans="2:11" ht="12.75">
      <c r="B202" s="12">
        <v>1</v>
      </c>
      <c r="C202" s="11">
        <f t="shared" si="58"/>
        <v>14343.75</v>
      </c>
      <c r="D202" s="17">
        <f t="shared" si="58"/>
        <v>14.34375</v>
      </c>
      <c r="E202" s="46">
        <f t="shared" si="59"/>
        <v>1.2</v>
      </c>
      <c r="F202" s="46">
        <f t="shared" si="59"/>
        <v>1.2</v>
      </c>
      <c r="G202" s="46">
        <f t="shared" si="59"/>
        <v>1.2</v>
      </c>
      <c r="H202" s="11">
        <f t="shared" si="60"/>
        <v>5.538</v>
      </c>
      <c r="I202" s="46">
        <f t="shared" si="61"/>
        <v>44.397375000000004</v>
      </c>
      <c r="J202" s="46">
        <f>1.5*D202+H202+D185+E202</f>
        <v>42.597375</v>
      </c>
      <c r="K202" s="46">
        <f>3*D202+H202+D185+E202</f>
        <v>64.113</v>
      </c>
    </row>
    <row r="205" ht="12.75">
      <c r="D205" s="27" t="s">
        <v>198</v>
      </c>
    </row>
    <row r="207" spans="3:8" ht="12.75">
      <c r="C207" s="27" t="s">
        <v>255</v>
      </c>
      <c r="H207" s="27" t="s">
        <v>256</v>
      </c>
    </row>
    <row r="208" ht="12.75">
      <c r="D208" s="12"/>
    </row>
    <row r="209" spans="2:10" ht="14.25">
      <c r="B209" s="12" t="s">
        <v>37</v>
      </c>
      <c r="C209" s="18" t="s">
        <v>197</v>
      </c>
      <c r="D209" s="18" t="s">
        <v>199</v>
      </c>
      <c r="G209" s="12" t="s">
        <v>37</v>
      </c>
      <c r="H209" s="18" t="s">
        <v>197</v>
      </c>
      <c r="I209" s="18" t="s">
        <v>253</v>
      </c>
      <c r="J209" s="18" t="s">
        <v>254</v>
      </c>
    </row>
    <row r="210" spans="2:10" ht="12.75">
      <c r="B210" s="12"/>
      <c r="C210" s="12" t="s">
        <v>4</v>
      </c>
      <c r="D210" s="12" t="s">
        <v>4</v>
      </c>
      <c r="G210" s="12"/>
      <c r="H210" s="12" t="s">
        <v>4</v>
      </c>
      <c r="I210" s="12" t="s">
        <v>4</v>
      </c>
      <c r="J210" s="12" t="s">
        <v>4</v>
      </c>
    </row>
    <row r="211" ht="12.75">
      <c r="D211" s="12"/>
    </row>
    <row r="212" spans="2:10" ht="12.75">
      <c r="B212" s="12">
        <v>6</v>
      </c>
      <c r="C212" s="11">
        <f aca="true" t="shared" si="62" ref="C212:C217">+J180+E180+F180*0.5</f>
        <v>45.1725</v>
      </c>
      <c r="D212" s="37">
        <f aca="true" t="shared" si="63" ref="D212:D217">+I180+E180*2+F180</f>
        <v>45.1725</v>
      </c>
      <c r="G212" s="12">
        <v>6</v>
      </c>
      <c r="H212" s="15">
        <f aca="true" t="shared" si="64" ref="H212:H217">+C212</f>
        <v>45.1725</v>
      </c>
      <c r="I212" s="15">
        <f aca="true" t="shared" si="65" ref="I212:I217">+J197+1.5*(E180+E197)</f>
        <v>45.1725</v>
      </c>
      <c r="J212" s="15">
        <f aca="true" t="shared" si="66" ref="J212:J217">+K197+2*E197+F197</f>
        <v>45.17250000000001</v>
      </c>
    </row>
    <row r="213" spans="2:10" ht="12.75">
      <c r="B213" s="12">
        <v>5</v>
      </c>
      <c r="C213" s="11">
        <f t="shared" si="62"/>
        <v>63.373999999999995</v>
      </c>
      <c r="D213" s="37">
        <f t="shared" si="63"/>
        <v>63.374</v>
      </c>
      <c r="G213" s="12">
        <v>5</v>
      </c>
      <c r="H213" s="15">
        <f t="shared" si="64"/>
        <v>63.373999999999995</v>
      </c>
      <c r="I213" s="15">
        <f t="shared" si="65"/>
        <v>63.373999999999995</v>
      </c>
      <c r="J213" s="15">
        <f t="shared" si="66"/>
        <v>63.373999999999995</v>
      </c>
    </row>
    <row r="214" spans="2:10" ht="12.75">
      <c r="B214" s="12">
        <v>4</v>
      </c>
      <c r="C214" s="11">
        <f t="shared" si="62"/>
        <v>63.644000000000005</v>
      </c>
      <c r="D214" s="37">
        <f t="shared" si="63"/>
        <v>63.644000000000005</v>
      </c>
      <c r="G214" s="12">
        <v>4</v>
      </c>
      <c r="H214" s="15">
        <f t="shared" si="64"/>
        <v>63.644000000000005</v>
      </c>
      <c r="I214" s="15">
        <f t="shared" si="65"/>
        <v>63.644</v>
      </c>
      <c r="J214" s="15">
        <f t="shared" si="66"/>
        <v>63.644</v>
      </c>
    </row>
    <row r="215" spans="2:10" ht="12.75">
      <c r="B215" s="12">
        <v>3</v>
      </c>
      <c r="C215" s="11">
        <f t="shared" si="62"/>
        <v>67.049</v>
      </c>
      <c r="D215" s="37">
        <f t="shared" si="63"/>
        <v>67.049</v>
      </c>
      <c r="G215" s="12">
        <v>3</v>
      </c>
      <c r="H215" s="15">
        <f t="shared" si="64"/>
        <v>67.049</v>
      </c>
      <c r="I215" s="15">
        <f t="shared" si="65"/>
        <v>67.049</v>
      </c>
      <c r="J215" s="15">
        <f t="shared" si="66"/>
        <v>67.049</v>
      </c>
    </row>
    <row r="216" spans="2:10" ht="12.75">
      <c r="B216" s="12">
        <v>2</v>
      </c>
      <c r="C216" s="11">
        <f t="shared" si="62"/>
        <v>67.34899999999999</v>
      </c>
      <c r="D216" s="37">
        <f t="shared" si="63"/>
        <v>67.349</v>
      </c>
      <c r="G216" s="12">
        <v>2</v>
      </c>
      <c r="H216" s="15">
        <f t="shared" si="64"/>
        <v>67.34899999999999</v>
      </c>
      <c r="I216" s="15">
        <f t="shared" si="65"/>
        <v>67.349</v>
      </c>
      <c r="J216" s="15">
        <f t="shared" si="66"/>
        <v>67.349</v>
      </c>
    </row>
    <row r="217" spans="2:10" ht="12.75">
      <c r="B217" s="12">
        <v>1</v>
      </c>
      <c r="C217" s="11">
        <f t="shared" si="62"/>
        <v>67.713</v>
      </c>
      <c r="D217" s="37">
        <f t="shared" si="63"/>
        <v>67.713</v>
      </c>
      <c r="G217" s="12">
        <v>1</v>
      </c>
      <c r="H217" s="15">
        <f t="shared" si="64"/>
        <v>67.713</v>
      </c>
      <c r="I217" s="15">
        <f t="shared" si="65"/>
        <v>67.713</v>
      </c>
      <c r="J217" s="15">
        <f t="shared" si="66"/>
        <v>67.71300000000001</v>
      </c>
    </row>
    <row r="219" spans="2:10" ht="12.75">
      <c r="B219" s="18" t="s">
        <v>200</v>
      </c>
      <c r="C219" s="17">
        <f>+SUM(C212:C217)</f>
        <v>374.3014999999999</v>
      </c>
      <c r="D219" s="17">
        <f>+SUM(D212:D217)</f>
        <v>374.30150000000003</v>
      </c>
      <c r="G219" s="18" t="s">
        <v>200</v>
      </c>
      <c r="H219" s="17">
        <f>+SUM(H212:H217)</f>
        <v>374.3014999999999</v>
      </c>
      <c r="I219" s="17">
        <f>+SUM(I212:I217)</f>
        <v>374.30150000000003</v>
      </c>
      <c r="J219" s="17">
        <f>+SUM(J212:J217)</f>
        <v>374.30150000000003</v>
      </c>
    </row>
    <row r="221" spans="2:9" ht="14.25">
      <c r="B221" s="18" t="s">
        <v>201</v>
      </c>
      <c r="C221" s="11">
        <f>2*C219+3*D219</f>
        <v>1871.5075</v>
      </c>
      <c r="D221" t="s">
        <v>4</v>
      </c>
      <c r="G221" s="18" t="s">
        <v>201</v>
      </c>
      <c r="H221" s="17">
        <f>2*(H219+I219)+J219</f>
        <v>1871.5075</v>
      </c>
      <c r="I221" t="s">
        <v>4</v>
      </c>
    </row>
    <row r="222" spans="2:4" ht="14.25">
      <c r="B222" s="18" t="s">
        <v>202</v>
      </c>
      <c r="C222" s="19">
        <f>+C221+J156</f>
        <v>11342.996975</v>
      </c>
      <c r="D222" t="s">
        <v>4</v>
      </c>
    </row>
  </sheetData>
  <printOptions/>
  <pageMargins left="0.75" right="0.75" top="1" bottom="1" header="0.5" footer="0.5"/>
  <pageSetup fitToHeight="1" fitToWidth="1"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6"/>
  <sheetViews>
    <sheetView workbookViewId="0" topLeftCell="A52">
      <selection activeCell="I18" sqref="I18"/>
    </sheetView>
  </sheetViews>
  <sheetFormatPr defaultColWidth="11.421875" defaultRowHeight="12.75"/>
  <cols>
    <col min="1" max="16384" width="9.140625" style="0" customWidth="1"/>
  </cols>
  <sheetData>
    <row r="2" ht="12.75">
      <c r="C2" s="16" t="s">
        <v>168</v>
      </c>
    </row>
    <row r="3" ht="12.75">
      <c r="D3" s="27" t="s">
        <v>167</v>
      </c>
    </row>
    <row r="5" spans="1:4" ht="12.75">
      <c r="A5" s="22" t="s">
        <v>0</v>
      </c>
      <c r="B5" s="22"/>
      <c r="C5" s="22"/>
      <c r="D5" s="8"/>
    </row>
    <row r="6" spans="1:4" ht="12.75">
      <c r="A6" s="22"/>
      <c r="B6" s="22"/>
      <c r="C6" s="22"/>
      <c r="D6" s="8"/>
    </row>
    <row r="7" spans="1:4" ht="12.75">
      <c r="A7" s="23" t="s">
        <v>90</v>
      </c>
      <c r="B7" s="8"/>
      <c r="C7" s="8"/>
      <c r="D7" s="8"/>
    </row>
    <row r="8" spans="1:4" ht="12.75">
      <c r="A8" s="8"/>
      <c r="B8" s="8"/>
      <c r="C8" s="8"/>
      <c r="D8" s="8"/>
    </row>
    <row r="9" spans="2:10" ht="12.75">
      <c r="B9" t="s">
        <v>60</v>
      </c>
      <c r="H9" s="6"/>
      <c r="I9" s="20" t="s">
        <v>61</v>
      </c>
      <c r="J9" t="s">
        <v>68</v>
      </c>
    </row>
    <row r="10" spans="2:10" ht="12.75">
      <c r="B10" t="s">
        <v>63</v>
      </c>
      <c r="H10" s="8"/>
      <c r="I10" s="10" t="s">
        <v>64</v>
      </c>
      <c r="J10" t="s">
        <v>65</v>
      </c>
    </row>
    <row r="11" spans="2:10" ht="12.75">
      <c r="B11" t="s">
        <v>62</v>
      </c>
      <c r="H11" s="8"/>
      <c r="I11" s="10" t="s">
        <v>207</v>
      </c>
      <c r="J11" t="s">
        <v>67</v>
      </c>
    </row>
    <row r="12" spans="2:10" ht="14.25">
      <c r="B12" t="s">
        <v>58</v>
      </c>
      <c r="H12" s="6" t="s">
        <v>57</v>
      </c>
      <c r="I12" s="20">
        <v>1</v>
      </c>
      <c r="J12" t="s">
        <v>59</v>
      </c>
    </row>
    <row r="13" spans="2:10" ht="12.75">
      <c r="B13" t="s">
        <v>56</v>
      </c>
      <c r="H13" s="6" t="s">
        <v>55</v>
      </c>
      <c r="I13" s="21">
        <v>8</v>
      </c>
      <c r="J13" t="s">
        <v>66</v>
      </c>
    </row>
    <row r="16" ht="12.75">
      <c r="A16" s="16" t="s">
        <v>69</v>
      </c>
    </row>
    <row r="18" spans="2:10" ht="14.25">
      <c r="B18" t="s">
        <v>71</v>
      </c>
      <c r="H18" s="6" t="s">
        <v>70</v>
      </c>
      <c r="I18" s="10">
        <v>1.5</v>
      </c>
      <c r="J18" t="s">
        <v>77</v>
      </c>
    </row>
    <row r="19" spans="2:10" ht="14.25">
      <c r="B19" t="s">
        <v>72</v>
      </c>
      <c r="H19" s="6" t="s">
        <v>73</v>
      </c>
      <c r="I19" s="10">
        <v>0.6</v>
      </c>
      <c r="J19" t="s">
        <v>77</v>
      </c>
    </row>
    <row r="20" spans="2:10" ht="14.25">
      <c r="B20" t="s">
        <v>74</v>
      </c>
      <c r="H20" s="6" t="s">
        <v>75</v>
      </c>
      <c r="I20" s="10">
        <v>1</v>
      </c>
      <c r="J20" t="s">
        <v>78</v>
      </c>
    </row>
    <row r="21" spans="2:10" ht="14.25">
      <c r="B21" t="s">
        <v>74</v>
      </c>
      <c r="H21" s="6" t="s">
        <v>76</v>
      </c>
      <c r="I21" s="10">
        <v>1.5</v>
      </c>
      <c r="J21" t="s">
        <v>79</v>
      </c>
    </row>
    <row r="24" ht="12.75">
      <c r="A24" s="16" t="s">
        <v>91</v>
      </c>
    </row>
    <row r="25" spans="13:14" ht="12.75">
      <c r="M25" s="38" t="s">
        <v>203</v>
      </c>
      <c r="N25" s="38" t="s">
        <v>204</v>
      </c>
    </row>
    <row r="26" spans="1:14" ht="14.25">
      <c r="A26" t="s">
        <v>80</v>
      </c>
      <c r="H26" s="6" t="s">
        <v>81</v>
      </c>
      <c r="I26" s="11">
        <f>+I20*I18</f>
        <v>1.5</v>
      </c>
      <c r="J26" t="s">
        <v>88</v>
      </c>
      <c r="M26" s="28" t="s">
        <v>205</v>
      </c>
      <c r="N26" s="28" t="s">
        <v>206</v>
      </c>
    </row>
    <row r="27" spans="1:14" ht="14.25">
      <c r="A27" t="s">
        <v>83</v>
      </c>
      <c r="H27" s="6" t="s">
        <v>82</v>
      </c>
      <c r="I27" s="11">
        <f>+I21*I19</f>
        <v>0.8999999999999999</v>
      </c>
      <c r="J27" t="s">
        <v>88</v>
      </c>
      <c r="M27" s="11"/>
      <c r="N27" s="11"/>
    </row>
    <row r="28" spans="1:14" ht="14.25">
      <c r="A28" t="s">
        <v>84</v>
      </c>
      <c r="H28" s="6" t="s">
        <v>86</v>
      </c>
      <c r="I28" s="11">
        <f>2*I26/3</f>
        <v>1</v>
      </c>
      <c r="J28" t="s">
        <v>89</v>
      </c>
      <c r="M28" s="11">
        <v>0</v>
      </c>
      <c r="N28" s="11">
        <f>0.4*I28</f>
        <v>0.4</v>
      </c>
    </row>
    <row r="29" spans="1:14" ht="14.25">
      <c r="A29" t="s">
        <v>85</v>
      </c>
      <c r="H29" s="6" t="s">
        <v>87</v>
      </c>
      <c r="I29" s="11">
        <f>2*I27/3</f>
        <v>0.6</v>
      </c>
      <c r="J29" t="s">
        <v>89</v>
      </c>
      <c r="M29" s="11">
        <f>0.2*I29/I28</f>
        <v>0.12</v>
      </c>
      <c r="N29" s="15">
        <f>+I28</f>
        <v>1</v>
      </c>
    </row>
    <row r="30" spans="13:14" ht="12.75">
      <c r="M30" s="11">
        <f>+I29/I28</f>
        <v>0.6</v>
      </c>
      <c r="N30" s="15">
        <f>+N29</f>
        <v>1</v>
      </c>
    </row>
    <row r="31" spans="13:14" ht="12.75">
      <c r="M31" s="11">
        <f>+M30+0.2</f>
        <v>0.8</v>
      </c>
      <c r="N31" s="15">
        <f>+$W$29/M31</f>
        <v>0</v>
      </c>
    </row>
    <row r="32" spans="1:14" ht="12.75">
      <c r="A32" s="23" t="s">
        <v>99</v>
      </c>
      <c r="M32" s="11">
        <f aca="true" t="shared" si="0" ref="M32:M39">+M31+0.2</f>
        <v>1</v>
      </c>
      <c r="N32" s="15">
        <f aca="true" t="shared" si="1" ref="N32:N39">+$W$29/M32</f>
        <v>0</v>
      </c>
    </row>
    <row r="33" spans="13:14" ht="12.75">
      <c r="M33" s="11">
        <f t="shared" si="0"/>
        <v>1.2</v>
      </c>
      <c r="N33" s="15">
        <f t="shared" si="1"/>
        <v>0</v>
      </c>
    </row>
    <row r="34" spans="1:14" ht="12.75">
      <c r="A34" t="s">
        <v>100</v>
      </c>
      <c r="H34" s="6" t="s">
        <v>101</v>
      </c>
      <c r="I34" s="10">
        <v>6</v>
      </c>
      <c r="M34" s="11">
        <f t="shared" si="0"/>
        <v>1.4</v>
      </c>
      <c r="N34" s="15">
        <f t="shared" si="1"/>
        <v>0</v>
      </c>
    </row>
    <row r="35" spans="1:14" ht="14.25">
      <c r="A35" t="s">
        <v>105</v>
      </c>
      <c r="H35" s="6" t="s">
        <v>102</v>
      </c>
      <c r="I35" s="10">
        <v>0.035</v>
      </c>
      <c r="M35" s="11">
        <f t="shared" si="0"/>
        <v>1.5999999999999999</v>
      </c>
      <c r="N35" s="15">
        <f t="shared" si="1"/>
        <v>0</v>
      </c>
    </row>
    <row r="36" spans="1:14" ht="14.25">
      <c r="A36" t="s">
        <v>104</v>
      </c>
      <c r="H36" s="6" t="s">
        <v>103</v>
      </c>
      <c r="I36" s="10">
        <v>1.2</v>
      </c>
      <c r="M36" s="11">
        <f t="shared" si="0"/>
        <v>1.7999999999999998</v>
      </c>
      <c r="N36" s="15">
        <f t="shared" si="1"/>
        <v>0</v>
      </c>
    </row>
    <row r="37" spans="1:14" ht="14.25">
      <c r="A37" t="s">
        <v>107</v>
      </c>
      <c r="H37" s="6" t="s">
        <v>106</v>
      </c>
      <c r="I37" s="10">
        <v>80</v>
      </c>
      <c r="J37" t="s">
        <v>1</v>
      </c>
      <c r="M37" s="11">
        <f t="shared" si="0"/>
        <v>1.9999999999999998</v>
      </c>
      <c r="N37" s="15">
        <f t="shared" si="1"/>
        <v>0</v>
      </c>
    </row>
    <row r="38" spans="1:14" ht="12.75">
      <c r="A38" t="s">
        <v>98</v>
      </c>
      <c r="H38" s="6" t="s">
        <v>95</v>
      </c>
      <c r="I38" s="10">
        <v>1.784</v>
      </c>
      <c r="J38" t="s">
        <v>96</v>
      </c>
      <c r="M38" s="11">
        <f t="shared" si="0"/>
        <v>2.1999999999999997</v>
      </c>
      <c r="N38" s="15">
        <f t="shared" si="1"/>
        <v>0</v>
      </c>
    </row>
    <row r="39" spans="1:14" ht="14.25">
      <c r="A39" t="s">
        <v>97</v>
      </c>
      <c r="H39" s="6" t="s">
        <v>151</v>
      </c>
      <c r="I39" s="17">
        <f>+(I37)^0.75*I35</f>
        <v>0.9362364269669906</v>
      </c>
      <c r="M39" s="11">
        <f t="shared" si="0"/>
        <v>2.4</v>
      </c>
      <c r="N39" s="15">
        <f t="shared" si="1"/>
        <v>0</v>
      </c>
    </row>
    <row r="40" spans="8:11" ht="14.25">
      <c r="H40" s="6" t="s">
        <v>108</v>
      </c>
      <c r="I40" s="17">
        <f>+I35*(I37)^0.75*I36</f>
        <v>1.1234837123603887</v>
      </c>
      <c r="J40" t="s">
        <v>96</v>
      </c>
      <c r="K40" t="s">
        <v>112</v>
      </c>
    </row>
    <row r="41" spans="8:11" ht="14.25">
      <c r="H41" s="6" t="s">
        <v>109</v>
      </c>
      <c r="I41" s="11">
        <f>0.1*I34</f>
        <v>0.6000000000000001</v>
      </c>
      <c r="J41" t="s">
        <v>96</v>
      </c>
      <c r="K41" t="s">
        <v>111</v>
      </c>
    </row>
    <row r="42" spans="7:10" ht="12.75">
      <c r="G42" s="25" t="s">
        <v>110</v>
      </c>
      <c r="H42" s="6" t="s">
        <v>95</v>
      </c>
      <c r="I42" s="10">
        <v>1.12</v>
      </c>
      <c r="J42" t="s">
        <v>96</v>
      </c>
    </row>
    <row r="44" ht="12.75">
      <c r="A44" s="16" t="s">
        <v>92</v>
      </c>
    </row>
    <row r="46" spans="8:9" ht="14.25">
      <c r="H46" s="6" t="s">
        <v>93</v>
      </c>
      <c r="I46" s="15">
        <f>+I28/(I13/I12)</f>
        <v>0.125</v>
      </c>
    </row>
    <row r="47" spans="8:9" ht="14.25">
      <c r="H47" s="6" t="s">
        <v>94</v>
      </c>
      <c r="I47" s="15">
        <f>+I29/(I13*I42/I12)</f>
        <v>0.06696428571428571</v>
      </c>
    </row>
    <row r="48" spans="8:9" ht="14.25">
      <c r="H48" s="6" t="s">
        <v>113</v>
      </c>
      <c r="I48" s="15">
        <f>0.044*I28*I12</f>
        <v>0.044</v>
      </c>
    </row>
    <row r="56" ht="12.75">
      <c r="B56" s="16" t="s">
        <v>166</v>
      </c>
    </row>
    <row r="58" spans="12:14" ht="12.75">
      <c r="L58" s="1"/>
      <c r="M58" s="1"/>
      <c r="N58" s="1"/>
    </row>
    <row r="59" spans="12:14" ht="12.75">
      <c r="L59" s="2" t="s">
        <v>153</v>
      </c>
      <c r="M59" s="3"/>
      <c r="N59" s="3"/>
    </row>
    <row r="60" spans="4:14" ht="12.75">
      <c r="D60" s="6" t="s">
        <v>5</v>
      </c>
      <c r="E60" s="24">
        <f>+(I42-0.5)/2+1</f>
        <v>1.31</v>
      </c>
      <c r="F60" s="8"/>
      <c r="L60" s="3"/>
      <c r="M60" s="3"/>
      <c r="N60" s="3"/>
    </row>
    <row r="61" spans="4:14" ht="14.25">
      <c r="D61" s="6" t="s">
        <v>54</v>
      </c>
      <c r="E61" s="29">
        <f>+I47</f>
        <v>0.06696428571428571</v>
      </c>
      <c r="F61" s="8"/>
      <c r="L61" s="9" t="s">
        <v>146</v>
      </c>
      <c r="M61" s="20">
        <v>5</v>
      </c>
      <c r="N61" s="5"/>
    </row>
    <row r="62" spans="4:6" ht="12.75">
      <c r="D62" s="6" t="s">
        <v>3</v>
      </c>
      <c r="E62" s="24" t="e">
        <f>+E61*D76</f>
        <v>#REF!</v>
      </c>
      <c r="F62" s="8" t="s">
        <v>4</v>
      </c>
    </row>
    <row r="64" spans="2:5" ht="12.75">
      <c r="B64" s="6"/>
      <c r="C64" s="7"/>
      <c r="D64" s="8"/>
      <c r="E64" s="8"/>
    </row>
    <row r="65" spans="1:3" ht="12.75">
      <c r="A65" s="6"/>
      <c r="B65" s="7"/>
      <c r="C65" s="8"/>
    </row>
    <row r="66" spans="1:9" ht="15">
      <c r="A66" s="12" t="s">
        <v>2</v>
      </c>
      <c r="B66" s="12" t="s">
        <v>9</v>
      </c>
      <c r="C66" s="18" t="s">
        <v>53</v>
      </c>
      <c r="D66" s="12" t="s">
        <v>10</v>
      </c>
      <c r="E66" s="12" t="s">
        <v>11</v>
      </c>
      <c r="F66" s="12" t="s">
        <v>12</v>
      </c>
      <c r="G66" s="12" t="s">
        <v>13</v>
      </c>
      <c r="H66" s="12" t="s">
        <v>118</v>
      </c>
      <c r="I66" s="12" t="s">
        <v>147</v>
      </c>
    </row>
    <row r="67" spans="1:9" ht="14.25">
      <c r="A67" s="12"/>
      <c r="B67" s="12" t="s">
        <v>1</v>
      </c>
      <c r="C67" s="12" t="s">
        <v>7</v>
      </c>
      <c r="D67" s="12" t="s">
        <v>4</v>
      </c>
      <c r="E67" s="12" t="s">
        <v>6</v>
      </c>
      <c r="F67" s="12"/>
      <c r="G67" s="12" t="s">
        <v>4</v>
      </c>
      <c r="H67" s="12" t="s">
        <v>4</v>
      </c>
      <c r="I67" s="12" t="s">
        <v>4</v>
      </c>
    </row>
    <row r="69" spans="1:9" ht="12.75">
      <c r="A69" s="12">
        <v>6</v>
      </c>
      <c r="B69" s="10">
        <v>80</v>
      </c>
      <c r="C69" s="15" t="e">
        <f>#REF!</f>
        <v>#REF!</v>
      </c>
      <c r="D69" s="17" t="e">
        <f aca="true" t="shared" si="2" ref="D69:D74">+C69*386.4</f>
        <v>#REF!</v>
      </c>
      <c r="E69" s="11" t="e">
        <f aca="true" t="shared" si="3" ref="E69:E74">+D69*B69^$S$60</f>
        <v>#REF!</v>
      </c>
      <c r="F69" s="15" t="e">
        <f aca="true" t="shared" si="4" ref="F69:F74">+D69*(B69)^$S$60/$S$76</f>
        <v>#REF!</v>
      </c>
      <c r="G69" s="17" t="e">
        <f aca="true" t="shared" si="5" ref="G69:G74">+F69*$S$62</f>
        <v>#REF!</v>
      </c>
      <c r="H69" s="15" t="e">
        <f aca="true" t="shared" si="6" ref="H69:H74">+G69/$U$69</f>
        <v>#REF!</v>
      </c>
      <c r="I69" s="15" t="e">
        <f aca="true" t="shared" si="7" ref="I69:I74">+H69/$AA$61</f>
        <v>#REF!</v>
      </c>
    </row>
    <row r="70" spans="1:9" ht="12.75">
      <c r="A70" s="12">
        <v>5</v>
      </c>
      <c r="B70" s="10">
        <v>67</v>
      </c>
      <c r="C70" s="15" t="e">
        <f>#REF!</f>
        <v>#REF!</v>
      </c>
      <c r="D70" s="17" t="e">
        <f t="shared" si="2"/>
        <v>#REF!</v>
      </c>
      <c r="E70" s="11" t="e">
        <f t="shared" si="3"/>
        <v>#REF!</v>
      </c>
      <c r="F70" s="15" t="e">
        <f t="shared" si="4"/>
        <v>#REF!</v>
      </c>
      <c r="G70" s="17" t="e">
        <f t="shared" si="5"/>
        <v>#REF!</v>
      </c>
      <c r="H70" s="15" t="e">
        <f t="shared" si="6"/>
        <v>#REF!</v>
      </c>
      <c r="I70" s="15" t="e">
        <f t="shared" si="7"/>
        <v>#REF!</v>
      </c>
    </row>
    <row r="71" spans="1:9" ht="12.75">
      <c r="A71" s="12">
        <v>4</v>
      </c>
      <c r="B71" s="10">
        <v>54</v>
      </c>
      <c r="C71" s="15" t="e">
        <f>#REF!</f>
        <v>#REF!</v>
      </c>
      <c r="D71" s="17" t="e">
        <f t="shared" si="2"/>
        <v>#REF!</v>
      </c>
      <c r="E71" s="11" t="e">
        <f t="shared" si="3"/>
        <v>#REF!</v>
      </c>
      <c r="F71" s="15" t="e">
        <f t="shared" si="4"/>
        <v>#REF!</v>
      </c>
      <c r="G71" s="17" t="e">
        <f t="shared" si="5"/>
        <v>#REF!</v>
      </c>
      <c r="H71" s="15" t="e">
        <f t="shared" si="6"/>
        <v>#REF!</v>
      </c>
      <c r="I71" s="15" t="e">
        <f t="shared" si="7"/>
        <v>#REF!</v>
      </c>
    </row>
    <row r="72" spans="1:9" ht="12.75">
      <c r="A72" s="12">
        <v>3</v>
      </c>
      <c r="B72" s="10">
        <v>41</v>
      </c>
      <c r="C72" s="15" t="e">
        <f>#REF!</f>
        <v>#REF!</v>
      </c>
      <c r="D72" s="17" t="e">
        <f t="shared" si="2"/>
        <v>#REF!</v>
      </c>
      <c r="E72" s="11" t="e">
        <f t="shared" si="3"/>
        <v>#REF!</v>
      </c>
      <c r="F72" s="15" t="e">
        <f t="shared" si="4"/>
        <v>#REF!</v>
      </c>
      <c r="G72" s="17" t="e">
        <f t="shared" si="5"/>
        <v>#REF!</v>
      </c>
      <c r="H72" s="15" t="e">
        <f t="shared" si="6"/>
        <v>#REF!</v>
      </c>
      <c r="I72" s="15" t="e">
        <f t="shared" si="7"/>
        <v>#REF!</v>
      </c>
    </row>
    <row r="73" spans="1:9" ht="12.75">
      <c r="A73" s="12">
        <v>2</v>
      </c>
      <c r="B73" s="10">
        <v>28</v>
      </c>
      <c r="C73" s="15" t="e">
        <f>#REF!</f>
        <v>#REF!</v>
      </c>
      <c r="D73" s="17" t="e">
        <f t="shared" si="2"/>
        <v>#REF!</v>
      </c>
      <c r="E73" s="11" t="e">
        <f t="shared" si="3"/>
        <v>#REF!</v>
      </c>
      <c r="F73" s="15" t="e">
        <f t="shared" si="4"/>
        <v>#REF!</v>
      </c>
      <c r="G73" s="17" t="e">
        <f t="shared" si="5"/>
        <v>#REF!</v>
      </c>
      <c r="H73" s="15" t="e">
        <f t="shared" si="6"/>
        <v>#REF!</v>
      </c>
      <c r="I73" s="15" t="e">
        <f t="shared" si="7"/>
        <v>#REF!</v>
      </c>
    </row>
    <row r="74" spans="1:9" ht="12.75">
      <c r="A74" s="12">
        <v>1</v>
      </c>
      <c r="B74" s="10">
        <v>15</v>
      </c>
      <c r="C74" s="15" t="e">
        <f>#REF!</f>
        <v>#REF!</v>
      </c>
      <c r="D74" s="17" t="e">
        <f t="shared" si="2"/>
        <v>#REF!</v>
      </c>
      <c r="E74" s="11" t="e">
        <f t="shared" si="3"/>
        <v>#REF!</v>
      </c>
      <c r="F74" s="15" t="e">
        <f t="shared" si="4"/>
        <v>#REF!</v>
      </c>
      <c r="G74" s="17" t="e">
        <f t="shared" si="5"/>
        <v>#REF!</v>
      </c>
      <c r="H74" s="15" t="e">
        <f t="shared" si="6"/>
        <v>#REF!</v>
      </c>
      <c r="I74" s="15" t="e">
        <f t="shared" si="7"/>
        <v>#REF!</v>
      </c>
    </row>
    <row r="75" spans="1:8" ht="12.75">
      <c r="A75" s="11"/>
      <c r="B75" s="11"/>
      <c r="C75" s="11"/>
      <c r="D75" s="13" t="s">
        <v>8</v>
      </c>
      <c r="E75" s="13" t="s">
        <v>8</v>
      </c>
      <c r="F75" s="11"/>
      <c r="G75" s="13" t="s">
        <v>8</v>
      </c>
      <c r="H75" s="26" t="s">
        <v>8</v>
      </c>
    </row>
    <row r="76" spans="1:8" ht="12.75">
      <c r="A76" s="11"/>
      <c r="B76" s="11"/>
      <c r="C76" s="11"/>
      <c r="D76" s="11" t="e">
        <f>+SUM(D69:D74)</f>
        <v>#REF!</v>
      </c>
      <c r="E76" s="11" t="e">
        <f>+SUM(E69:E74)</f>
        <v>#REF!</v>
      </c>
      <c r="F76" s="11"/>
      <c r="G76" s="17" t="e">
        <f>+SUM(G69:G74)</f>
        <v>#REF!</v>
      </c>
      <c r="H76" s="15" t="e">
        <f>+SUM(H69:H74)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94"/>
  <sheetViews>
    <sheetView workbookViewId="0" topLeftCell="C25">
      <selection activeCell="J28" sqref="J28"/>
    </sheetView>
  </sheetViews>
  <sheetFormatPr defaultColWidth="11.421875" defaultRowHeight="12.75"/>
  <cols>
    <col min="1" max="1" width="9.140625" style="0" customWidth="1"/>
    <col min="2" max="11" width="10.7109375" style="0" customWidth="1"/>
    <col min="12" max="12" width="9.140625" style="0" customWidth="1"/>
    <col min="13" max="13" width="9.57421875" style="0" bestFit="1" customWidth="1"/>
    <col min="14" max="16384" width="9.140625" style="0" customWidth="1"/>
  </cols>
  <sheetData>
    <row r="6" ht="12.75">
      <c r="D6" s="27" t="s">
        <v>234</v>
      </c>
    </row>
    <row r="9" spans="2:10" ht="15.75">
      <c r="B9" s="36" t="s">
        <v>229</v>
      </c>
      <c r="C9" t="s">
        <v>221</v>
      </c>
      <c r="D9" s="27" t="s">
        <v>233</v>
      </c>
      <c r="H9" s="36" t="s">
        <v>240</v>
      </c>
      <c r="I9" s="20">
        <v>0.2</v>
      </c>
      <c r="J9" t="s">
        <v>241</v>
      </c>
    </row>
    <row r="10" spans="2:9" ht="15.75">
      <c r="B10" s="36" t="s">
        <v>229</v>
      </c>
      <c r="C10" t="s">
        <v>225</v>
      </c>
      <c r="D10" s="27" t="s">
        <v>226</v>
      </c>
      <c r="H10" s="36" t="s">
        <v>240</v>
      </c>
      <c r="I10" s="17">
        <f>+I9*B30</f>
        <v>2156.1805900000004</v>
      </c>
    </row>
    <row r="11" spans="2:4" ht="15.75">
      <c r="B11" s="36" t="s">
        <v>229</v>
      </c>
      <c r="C11" t="s">
        <v>227</v>
      </c>
      <c r="D11" s="27" t="s">
        <v>228</v>
      </c>
    </row>
    <row r="12" spans="2:3" ht="14.25">
      <c r="B12" s="44" t="s">
        <v>246</v>
      </c>
      <c r="C12" s="18" t="s">
        <v>244</v>
      </c>
    </row>
    <row r="13" spans="2:4" ht="12.75">
      <c r="B13" s="42" t="s">
        <v>230</v>
      </c>
      <c r="C13" s="17">
        <f>+Sheet1!U79</f>
        <v>721.9354654017859</v>
      </c>
      <c r="D13" t="s">
        <v>4</v>
      </c>
    </row>
    <row r="14" spans="2:3" ht="14.25">
      <c r="B14" s="6" t="s">
        <v>86</v>
      </c>
      <c r="C14" s="11">
        <f>+Sheet1!W28</f>
        <v>1</v>
      </c>
    </row>
    <row r="15" spans="2:3" ht="14.25">
      <c r="B15" s="6" t="s">
        <v>57</v>
      </c>
      <c r="C15" s="20">
        <v>1</v>
      </c>
    </row>
    <row r="16" spans="2:3" ht="14.25">
      <c r="B16" s="42" t="s">
        <v>245</v>
      </c>
      <c r="C16" s="20">
        <v>3</v>
      </c>
    </row>
    <row r="19" spans="8:10" ht="12.75">
      <c r="H19" s="28" t="s">
        <v>233</v>
      </c>
      <c r="I19" s="28" t="s">
        <v>231</v>
      </c>
      <c r="J19" s="28" t="s">
        <v>232</v>
      </c>
    </row>
    <row r="20" spans="1:13" ht="14.25">
      <c r="A20" s="12" t="s">
        <v>2</v>
      </c>
      <c r="B20" s="12" t="s">
        <v>223</v>
      </c>
      <c r="C20" s="12" t="s">
        <v>13</v>
      </c>
      <c r="D20" s="28" t="s">
        <v>243</v>
      </c>
      <c r="E20" s="12" t="s">
        <v>222</v>
      </c>
      <c r="F20" s="18" t="s">
        <v>286</v>
      </c>
      <c r="G20" s="18" t="s">
        <v>287</v>
      </c>
      <c r="H20" s="28" t="s">
        <v>224</v>
      </c>
      <c r="I20" s="28" t="s">
        <v>224</v>
      </c>
      <c r="J20" s="28" t="s">
        <v>224</v>
      </c>
      <c r="K20" s="28" t="s">
        <v>224</v>
      </c>
      <c r="L20" s="28" t="s">
        <v>242</v>
      </c>
      <c r="M20" s="12" t="s">
        <v>247</v>
      </c>
    </row>
    <row r="21" spans="1:11" ht="12.75">
      <c r="A21" s="12"/>
      <c r="B21" s="12" t="s">
        <v>4</v>
      </c>
      <c r="C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4</v>
      </c>
      <c r="J21" s="12" t="s">
        <v>4</v>
      </c>
      <c r="K21" s="12" t="s">
        <v>4</v>
      </c>
    </row>
    <row r="23" spans="1:13" ht="12.75">
      <c r="A23" s="12">
        <v>6</v>
      </c>
      <c r="B23" s="17">
        <f>+Sheet1!R72</f>
        <v>1726.7946100000001</v>
      </c>
      <c r="C23" s="17">
        <f>+Sheet1!U72</f>
        <v>221.26168294501738</v>
      </c>
      <c r="D23" s="30">
        <f aca="true" t="shared" si="0" ref="D23:D28">+C23/$B$30</f>
        <v>0.020523483419820354</v>
      </c>
      <c r="E23" s="17">
        <f aca="true" t="shared" si="1" ref="E23:E28">+B23</f>
        <v>1726.7946100000001</v>
      </c>
      <c r="F23" s="17">
        <f>+C23</f>
        <v>221.26168294501738</v>
      </c>
      <c r="G23" s="17">
        <f>+E23</f>
        <v>1726.7946100000001</v>
      </c>
      <c r="H23" s="17">
        <f aca="true" t="shared" si="2" ref="H23:H28">+(F23/G23)*E23</f>
        <v>221.26168294501738</v>
      </c>
      <c r="I23" s="17">
        <f aca="true" t="shared" si="3" ref="I23:I28">0.3*$C$14*$C$15*$E23</f>
        <v>518.0383830000001</v>
      </c>
      <c r="J23" s="17">
        <f aca="true" t="shared" si="4" ref="J23:J28">0.15*$C$14*$C$15*$E23</f>
        <v>259.01919150000003</v>
      </c>
      <c r="K23" s="17">
        <f aca="true" t="shared" si="5" ref="K23:K28">+J23</f>
        <v>259.01919150000003</v>
      </c>
      <c r="L23" s="30">
        <f aca="true" t="shared" si="6" ref="L23:L28">+K23/$B$30</f>
        <v>0.0240257418790696</v>
      </c>
      <c r="M23" s="15">
        <f aca="true" t="shared" si="7" ref="M23:M28">+$C$16*L23</f>
        <v>0.07207722563720881</v>
      </c>
    </row>
    <row r="24" spans="1:13" ht="12.75">
      <c r="A24" s="12">
        <v>5</v>
      </c>
      <c r="B24" s="17">
        <f>+Sheet1!R73</f>
        <v>1780.8637200000003</v>
      </c>
      <c r="C24" s="17">
        <f>+Sheet1!U73</f>
        <v>180.88656932479378</v>
      </c>
      <c r="D24" s="30">
        <f t="shared" si="0"/>
        <v>0.016778424790921037</v>
      </c>
      <c r="E24" s="17">
        <f t="shared" si="1"/>
        <v>1780.8637200000003</v>
      </c>
      <c r="F24" s="17">
        <f>+F23+C24</f>
        <v>402.14825226981117</v>
      </c>
      <c r="G24" s="17">
        <f>+G23+E24</f>
        <v>3507.65833</v>
      </c>
      <c r="H24" s="17">
        <f t="shared" si="2"/>
        <v>204.17360106128535</v>
      </c>
      <c r="I24" s="17">
        <f t="shared" si="3"/>
        <v>534.2591160000001</v>
      </c>
      <c r="J24" s="17">
        <f t="shared" si="4"/>
        <v>267.12955800000003</v>
      </c>
      <c r="K24" s="17">
        <f t="shared" si="5"/>
        <v>267.12955800000003</v>
      </c>
      <c r="L24" s="30">
        <f t="shared" si="6"/>
        <v>0.024778031973657643</v>
      </c>
      <c r="M24" s="15">
        <f t="shared" si="7"/>
        <v>0.07433409592097293</v>
      </c>
    </row>
    <row r="25" spans="1:13" ht="12.75">
      <c r="A25" s="12">
        <v>4</v>
      </c>
      <c r="B25" s="17">
        <f>+Sheet1!R74</f>
        <v>1793.4967200000003</v>
      </c>
      <c r="C25" s="17">
        <f>+Sheet1!U74</f>
        <v>137.32640662188166</v>
      </c>
      <c r="D25" s="30">
        <f t="shared" si="0"/>
        <v>0.01273793180949483</v>
      </c>
      <c r="E25" s="17">
        <f t="shared" si="1"/>
        <v>1793.4967200000003</v>
      </c>
      <c r="F25" s="17">
        <f>+F24+C25</f>
        <v>539.4746588916928</v>
      </c>
      <c r="G25" s="17">
        <f>+G24+E25</f>
        <v>5301.15505</v>
      </c>
      <c r="H25" s="17">
        <f t="shared" si="2"/>
        <v>182.5160784997922</v>
      </c>
      <c r="I25" s="17">
        <f t="shared" si="3"/>
        <v>538.049016</v>
      </c>
      <c r="J25" s="17">
        <f t="shared" si="4"/>
        <v>269.024508</v>
      </c>
      <c r="K25" s="17">
        <f t="shared" si="5"/>
        <v>269.024508</v>
      </c>
      <c r="L25" s="30">
        <f t="shared" si="6"/>
        <v>0.024953801109952482</v>
      </c>
      <c r="M25" s="15">
        <f t="shared" si="7"/>
        <v>0.07486140332985744</v>
      </c>
    </row>
    <row r="26" spans="1:13" ht="12.75">
      <c r="A26" s="12">
        <v>3</v>
      </c>
      <c r="B26" s="17">
        <f>+Sheet1!R75</f>
        <v>1818.315</v>
      </c>
      <c r="C26" s="17">
        <f>+Sheet1!U75</f>
        <v>97.05850951025725</v>
      </c>
      <c r="D26" s="30">
        <f t="shared" si="0"/>
        <v>0.00900281822036597</v>
      </c>
      <c r="E26" s="17">
        <f t="shared" si="1"/>
        <v>1818.315</v>
      </c>
      <c r="F26" s="17">
        <f>+F25+C26</f>
        <v>636.5331684019501</v>
      </c>
      <c r="G26" s="17">
        <f>+G25+E26</f>
        <v>7119.47005</v>
      </c>
      <c r="H26" s="17">
        <f t="shared" si="2"/>
        <v>162.57078124835877</v>
      </c>
      <c r="I26" s="17">
        <f t="shared" si="3"/>
        <v>545.4945</v>
      </c>
      <c r="J26" s="17">
        <f t="shared" si="4"/>
        <v>272.74725</v>
      </c>
      <c r="K26" s="17">
        <f t="shared" si="5"/>
        <v>272.74725</v>
      </c>
      <c r="L26" s="30">
        <f t="shared" si="6"/>
        <v>0.025299110034192447</v>
      </c>
      <c r="M26" s="15">
        <f t="shared" si="7"/>
        <v>0.07589733010257735</v>
      </c>
    </row>
    <row r="27" spans="1:13" ht="12.75">
      <c r="A27" s="12">
        <v>2</v>
      </c>
      <c r="B27" s="17">
        <f>+Sheet1!R76</f>
        <v>1826.8862000000001</v>
      </c>
      <c r="C27" s="17">
        <f>+Sheet1!U76</f>
        <v>59.17062550250259</v>
      </c>
      <c r="D27" s="30">
        <f t="shared" si="0"/>
        <v>0.005488466576215917</v>
      </c>
      <c r="E27" s="17">
        <f t="shared" si="1"/>
        <v>1826.8862000000001</v>
      </c>
      <c r="F27" s="17">
        <f>+F26+C27</f>
        <v>695.7037939044527</v>
      </c>
      <c r="G27" s="17">
        <f>+G26+E27</f>
        <v>8946.35625</v>
      </c>
      <c r="H27" s="17">
        <f t="shared" si="2"/>
        <v>142.06584500496376</v>
      </c>
      <c r="I27" s="17">
        <f t="shared" si="3"/>
        <v>548.06586</v>
      </c>
      <c r="J27" s="17">
        <f t="shared" si="4"/>
        <v>274.03293</v>
      </c>
      <c r="K27" s="17">
        <f t="shared" si="5"/>
        <v>274.03293</v>
      </c>
      <c r="L27" s="30">
        <f t="shared" si="6"/>
        <v>0.02541836535129926</v>
      </c>
      <c r="M27" s="15">
        <f t="shared" si="7"/>
        <v>0.07625509605389777</v>
      </c>
    </row>
    <row r="28" spans="1:13" ht="12.75">
      <c r="A28" s="12">
        <v>1</v>
      </c>
      <c r="B28" s="17">
        <f>+Sheet1!R77</f>
        <v>1834.5467</v>
      </c>
      <c r="C28" s="17">
        <f>+Sheet1!U77</f>
        <v>26.231671497333203</v>
      </c>
      <c r="D28" s="30">
        <f t="shared" si="0"/>
        <v>0.0024331608974676095</v>
      </c>
      <c r="E28" s="17">
        <f t="shared" si="1"/>
        <v>1834.5467</v>
      </c>
      <c r="F28" s="17">
        <f>+F27+C28</f>
        <v>721.9354654017859</v>
      </c>
      <c r="G28" s="17">
        <f>+G27+E28</f>
        <v>10780.902950000002</v>
      </c>
      <c r="H28" s="17">
        <f t="shared" si="2"/>
        <v>122.84910937500003</v>
      </c>
      <c r="I28" s="17">
        <f t="shared" si="3"/>
        <v>550.36401</v>
      </c>
      <c r="J28" s="17">
        <f t="shared" si="4"/>
        <v>275.182005</v>
      </c>
      <c r="K28" s="17">
        <f t="shared" si="5"/>
        <v>275.182005</v>
      </c>
      <c r="L28" s="30">
        <f t="shared" si="6"/>
        <v>0.025524949651828558</v>
      </c>
      <c r="M28" s="15">
        <f t="shared" si="7"/>
        <v>0.07657484895548568</v>
      </c>
    </row>
    <row r="29" spans="2:13" ht="12.75">
      <c r="B29" s="11" t="str">
        <f>+Sheet1!R78</f>
        <v> -------------</v>
      </c>
      <c r="C29" s="17" t="str">
        <f>+Sheet1!U78</f>
        <v> -------------</v>
      </c>
      <c r="D29" s="17" t="str">
        <f>+Sheet1!V78</f>
        <v> -------------</v>
      </c>
      <c r="K29" s="17"/>
      <c r="L29" s="19"/>
      <c r="M29" s="19"/>
    </row>
    <row r="30" spans="2:13" ht="12.75">
      <c r="B30" s="28">
        <f>+Sheet1!R79</f>
        <v>10780.902950000002</v>
      </c>
      <c r="C30" s="41">
        <f>+Sheet1!U79</f>
        <v>721.9354654017859</v>
      </c>
      <c r="D30" s="43">
        <f>+SUM(D23:D28)</f>
        <v>0.06696428571428571</v>
      </c>
      <c r="K30" s="41"/>
      <c r="L30" s="43"/>
      <c r="M30" s="43"/>
    </row>
    <row r="33" ht="12.75">
      <c r="A33" s="27" t="s">
        <v>248</v>
      </c>
    </row>
    <row r="35" spans="2:4" ht="14.25">
      <c r="B35" s="12" t="s">
        <v>2</v>
      </c>
      <c r="C35" s="28" t="s">
        <v>243</v>
      </c>
      <c r="D35" s="12" t="s">
        <v>247</v>
      </c>
    </row>
    <row r="36" ht="12.75">
      <c r="B36" s="12"/>
    </row>
    <row r="38" spans="2:4" ht="12.75">
      <c r="B38" s="12">
        <v>6</v>
      </c>
      <c r="C38" s="30">
        <f aca="true" t="shared" si="8" ref="C38:C43">+D23</f>
        <v>0.020523483419820354</v>
      </c>
      <c r="D38" s="30">
        <f aca="true" t="shared" si="9" ref="D38:D43">+C38*$C$16</f>
        <v>0.06157045025946106</v>
      </c>
    </row>
    <row r="39" spans="2:4" ht="12.75">
      <c r="B39" s="12">
        <v>5</v>
      </c>
      <c r="C39" s="30">
        <f t="shared" si="8"/>
        <v>0.016778424790921037</v>
      </c>
      <c r="D39" s="30">
        <f t="shared" si="9"/>
        <v>0.05033527437276311</v>
      </c>
    </row>
    <row r="40" spans="2:4" ht="12.75">
      <c r="B40" s="12">
        <v>4</v>
      </c>
      <c r="C40" s="30">
        <f t="shared" si="8"/>
        <v>0.01273793180949483</v>
      </c>
      <c r="D40" s="30">
        <f t="shared" si="9"/>
        <v>0.03821379542848449</v>
      </c>
    </row>
    <row r="41" spans="2:4" ht="12.75">
      <c r="B41" s="12">
        <v>3</v>
      </c>
      <c r="C41" s="30">
        <f t="shared" si="8"/>
        <v>0.00900281822036597</v>
      </c>
      <c r="D41" s="30">
        <f t="shared" si="9"/>
        <v>0.027008454661097907</v>
      </c>
    </row>
    <row r="42" spans="2:4" ht="12.75">
      <c r="B42" s="12">
        <v>2</v>
      </c>
      <c r="C42" s="30">
        <f t="shared" si="8"/>
        <v>0.005488466576215917</v>
      </c>
      <c r="D42" s="30">
        <f t="shared" si="9"/>
        <v>0.016465399728647752</v>
      </c>
    </row>
    <row r="43" spans="2:4" ht="12.75">
      <c r="B43" s="12">
        <v>1</v>
      </c>
      <c r="C43" s="30">
        <f t="shared" si="8"/>
        <v>0.0024331608974676095</v>
      </c>
      <c r="D43" s="30">
        <f t="shared" si="9"/>
        <v>0.007299482692402829</v>
      </c>
    </row>
    <row r="70" ht="12.75">
      <c r="C70" s="27" t="s">
        <v>235</v>
      </c>
    </row>
    <row r="73" spans="2:4" ht="15.75">
      <c r="B73" s="36" t="s">
        <v>229</v>
      </c>
      <c r="C73" t="s">
        <v>236</v>
      </c>
      <c r="D73" s="27" t="s">
        <v>237</v>
      </c>
    </row>
    <row r="74" spans="2:4" ht="15.75">
      <c r="B74" s="36" t="s">
        <v>229</v>
      </c>
      <c r="C74" s="11" t="s">
        <v>238</v>
      </c>
      <c r="D74" s="27" t="s">
        <v>226</v>
      </c>
    </row>
    <row r="75" spans="2:4" ht="15.75">
      <c r="B75" s="36" t="s">
        <v>229</v>
      </c>
      <c r="C75" s="11" t="s">
        <v>239</v>
      </c>
      <c r="D75" s="27" t="s">
        <v>228</v>
      </c>
    </row>
    <row r="76" spans="2:4" ht="12.75">
      <c r="B76" s="42" t="s">
        <v>230</v>
      </c>
      <c r="C76" s="17">
        <f>+Sheet1!U108</f>
        <v>0</v>
      </c>
      <c r="D76" t="s">
        <v>4</v>
      </c>
    </row>
    <row r="77" spans="2:3" ht="14.25">
      <c r="B77" s="6" t="s">
        <v>86</v>
      </c>
      <c r="C77" s="11">
        <f>+Sheet1!W60</f>
        <v>0</v>
      </c>
    </row>
    <row r="78" spans="2:3" ht="14.25">
      <c r="B78" s="6" t="s">
        <v>57</v>
      </c>
      <c r="C78" s="20">
        <v>1</v>
      </c>
    </row>
    <row r="83" spans="8:10" ht="12.75">
      <c r="H83" s="28" t="s">
        <v>233</v>
      </c>
      <c r="I83" s="28" t="s">
        <v>231</v>
      </c>
      <c r="J83" s="28" t="s">
        <v>232</v>
      </c>
    </row>
    <row r="84" spans="2:11" ht="14.25">
      <c r="B84" s="12" t="s">
        <v>2</v>
      </c>
      <c r="C84" s="12" t="s">
        <v>223</v>
      </c>
      <c r="D84" s="12" t="s">
        <v>13</v>
      </c>
      <c r="E84" s="12" t="s">
        <v>222</v>
      </c>
      <c r="F84" s="12"/>
      <c r="G84" s="12"/>
      <c r="H84" s="28" t="s">
        <v>224</v>
      </c>
      <c r="I84" s="28" t="s">
        <v>224</v>
      </c>
      <c r="J84" s="28" t="s">
        <v>224</v>
      </c>
      <c r="K84" s="28" t="s">
        <v>224</v>
      </c>
    </row>
    <row r="85" spans="2:11" ht="12.75">
      <c r="B85" s="12"/>
      <c r="C85" s="12" t="s">
        <v>4</v>
      </c>
      <c r="D85" s="12" t="s">
        <v>4</v>
      </c>
      <c r="E85" s="12" t="s">
        <v>4</v>
      </c>
      <c r="F85" s="12"/>
      <c r="G85" s="12"/>
      <c r="H85" s="12" t="s">
        <v>4</v>
      </c>
      <c r="I85" s="12" t="s">
        <v>4</v>
      </c>
      <c r="J85" s="12" t="s">
        <v>4</v>
      </c>
      <c r="K85" s="12" t="s">
        <v>4</v>
      </c>
    </row>
    <row r="87" spans="2:11" ht="12.75">
      <c r="B87" s="12">
        <v>6</v>
      </c>
      <c r="C87" s="17">
        <f aca="true" t="shared" si="10" ref="C87:C94">+B23</f>
        <v>1726.7946100000001</v>
      </c>
      <c r="D87" s="17">
        <f>+Sheet1!U101</f>
        <v>0</v>
      </c>
      <c r="E87" s="17">
        <f aca="true" t="shared" si="11" ref="E87:E92">+C87</f>
        <v>1726.7946100000001</v>
      </c>
      <c r="F87" s="17"/>
      <c r="G87" s="17"/>
      <c r="H87" s="17">
        <f aca="true" t="shared" si="12" ref="H87:H92">+($C$30/$B$30)*E87</f>
        <v>115.6335676339286</v>
      </c>
      <c r="I87" s="17">
        <f aca="true" t="shared" si="13" ref="I87:I92">0.3*$C$14*$C$15*$E87</f>
        <v>518.0383830000001</v>
      </c>
      <c r="J87" s="17">
        <f aca="true" t="shared" si="14" ref="J87:J92">0.15*$C$14*$C$15*$E87</f>
        <v>259.01919150000003</v>
      </c>
      <c r="K87" s="17">
        <f aca="true" t="shared" si="15" ref="K87:K92">+J87</f>
        <v>259.01919150000003</v>
      </c>
    </row>
    <row r="88" spans="2:11" ht="12.75">
      <c r="B88" s="12">
        <v>5</v>
      </c>
      <c r="C88" s="17">
        <f t="shared" si="10"/>
        <v>1780.8637200000003</v>
      </c>
      <c r="D88" s="17">
        <f>+Sheet1!U102</f>
        <v>0</v>
      </c>
      <c r="E88" s="17">
        <f t="shared" si="11"/>
        <v>1780.8637200000003</v>
      </c>
      <c r="F88" s="17"/>
      <c r="G88" s="17"/>
      <c r="H88" s="17">
        <f t="shared" si="12"/>
        <v>119.25426696428575</v>
      </c>
      <c r="I88" s="17">
        <f t="shared" si="13"/>
        <v>534.2591160000001</v>
      </c>
      <c r="J88" s="17">
        <f t="shared" si="14"/>
        <v>267.12955800000003</v>
      </c>
      <c r="K88" s="17">
        <f t="shared" si="15"/>
        <v>267.12955800000003</v>
      </c>
    </row>
    <row r="89" spans="2:11" ht="12.75">
      <c r="B89" s="12">
        <v>4</v>
      </c>
      <c r="C89" s="17">
        <f t="shared" si="10"/>
        <v>1793.4967200000003</v>
      </c>
      <c r="D89" s="17">
        <f>+Sheet1!U103</f>
        <v>0</v>
      </c>
      <c r="E89" s="17">
        <f t="shared" si="11"/>
        <v>1793.4967200000003</v>
      </c>
      <c r="F89" s="17"/>
      <c r="G89" s="17"/>
      <c r="H89" s="17">
        <f t="shared" si="12"/>
        <v>120.10022678571433</v>
      </c>
      <c r="I89" s="17">
        <f t="shared" si="13"/>
        <v>538.049016</v>
      </c>
      <c r="J89" s="17">
        <f t="shared" si="14"/>
        <v>269.024508</v>
      </c>
      <c r="K89" s="17">
        <f t="shared" si="15"/>
        <v>269.024508</v>
      </c>
    </row>
    <row r="90" spans="2:11" ht="12.75">
      <c r="B90" s="12">
        <v>3</v>
      </c>
      <c r="C90" s="17">
        <f t="shared" si="10"/>
        <v>1818.315</v>
      </c>
      <c r="D90" s="17">
        <f>+Sheet1!U104</f>
        <v>0</v>
      </c>
      <c r="E90" s="17">
        <f t="shared" si="11"/>
        <v>1818.315</v>
      </c>
      <c r="F90" s="17"/>
      <c r="G90" s="17"/>
      <c r="H90" s="17">
        <f t="shared" si="12"/>
        <v>121.76216517857145</v>
      </c>
      <c r="I90" s="17">
        <f t="shared" si="13"/>
        <v>545.4945</v>
      </c>
      <c r="J90" s="17">
        <f t="shared" si="14"/>
        <v>272.74725</v>
      </c>
      <c r="K90" s="17">
        <f t="shared" si="15"/>
        <v>272.74725</v>
      </c>
    </row>
    <row r="91" spans="2:11" ht="12.75">
      <c r="B91" s="12">
        <v>2</v>
      </c>
      <c r="C91" s="17">
        <f t="shared" si="10"/>
        <v>1826.8862000000001</v>
      </c>
      <c r="D91" s="17">
        <f>+Sheet1!U105</f>
        <v>0</v>
      </c>
      <c r="E91" s="17">
        <f t="shared" si="11"/>
        <v>1826.8862000000001</v>
      </c>
      <c r="F91" s="17"/>
      <c r="G91" s="17"/>
      <c r="H91" s="17">
        <f t="shared" si="12"/>
        <v>122.33612946428575</v>
      </c>
      <c r="I91" s="17">
        <f t="shared" si="13"/>
        <v>548.06586</v>
      </c>
      <c r="J91" s="17">
        <f t="shared" si="14"/>
        <v>274.03293</v>
      </c>
      <c r="K91" s="17">
        <f t="shared" si="15"/>
        <v>274.03293</v>
      </c>
    </row>
    <row r="92" spans="2:11" ht="12.75">
      <c r="B92" s="12">
        <v>1</v>
      </c>
      <c r="C92" s="17">
        <f t="shared" si="10"/>
        <v>1834.5467</v>
      </c>
      <c r="D92" s="17">
        <f>+Sheet1!U106</f>
        <v>0</v>
      </c>
      <c r="E92" s="17">
        <f t="shared" si="11"/>
        <v>1834.5467</v>
      </c>
      <c r="F92" s="17"/>
      <c r="G92" s="17"/>
      <c r="H92" s="17">
        <f t="shared" si="12"/>
        <v>122.84910937500003</v>
      </c>
      <c r="I92" s="17">
        <f t="shared" si="13"/>
        <v>550.36401</v>
      </c>
      <c r="J92" s="17">
        <f t="shared" si="14"/>
        <v>275.182005</v>
      </c>
      <c r="K92" s="17">
        <f t="shared" si="15"/>
        <v>275.182005</v>
      </c>
    </row>
    <row r="93" spans="3:4" ht="12.75">
      <c r="C93" s="17" t="str">
        <f t="shared" si="10"/>
        <v> -------------</v>
      </c>
      <c r="D93" s="17">
        <f>+Sheet1!U107</f>
        <v>0</v>
      </c>
    </row>
    <row r="94" spans="3:4" ht="12.75">
      <c r="C94" s="17">
        <f t="shared" si="10"/>
        <v>10780.902950000002</v>
      </c>
      <c r="D94" s="41">
        <f>+Sheet1!U108</f>
        <v>0</v>
      </c>
    </row>
  </sheetData>
  <printOptions/>
  <pageMargins left="1.39" right="0.75" top="1" bottom="1" header="0.5" footer="0.5"/>
  <pageSetup fitToHeight="1" fitToWidth="1" horizontalDpi="600" verticalDpi="600" orientation="landscape" scale="76" r:id="rId2"/>
  <headerFooter alignWithMargins="0">
    <oddFooter>&amp;L&amp;D&amp;C&amp;N&amp;R&amp;T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7:J57"/>
  <sheetViews>
    <sheetView workbookViewId="0" topLeftCell="A34">
      <selection activeCell="J56" sqref="J56"/>
    </sheetView>
  </sheetViews>
  <sheetFormatPr defaultColWidth="11.421875" defaultRowHeight="12.75"/>
  <cols>
    <col min="1" max="16384" width="9.140625" style="0" customWidth="1"/>
  </cols>
  <sheetData>
    <row r="7" spans="2:3" ht="12.75">
      <c r="B7" s="16" t="s">
        <v>266</v>
      </c>
      <c r="C7" s="12"/>
    </row>
    <row r="8" spans="2:10" ht="14.25">
      <c r="B8" s="12" t="s">
        <v>32</v>
      </c>
      <c r="C8" s="12" t="s">
        <v>259</v>
      </c>
      <c r="D8" s="12" t="s">
        <v>260</v>
      </c>
      <c r="E8" s="12" t="s">
        <v>15</v>
      </c>
      <c r="F8" s="12" t="s">
        <v>276</v>
      </c>
      <c r="G8" s="18" t="s">
        <v>263</v>
      </c>
      <c r="H8" s="18" t="s">
        <v>264</v>
      </c>
      <c r="I8" s="18" t="s">
        <v>273</v>
      </c>
      <c r="J8" s="18" t="s">
        <v>274</v>
      </c>
    </row>
    <row r="9" spans="3:10" ht="14.25">
      <c r="C9" s="12"/>
      <c r="D9" s="28" t="s">
        <v>261</v>
      </c>
      <c r="E9" s="28" t="s">
        <v>262</v>
      </c>
      <c r="F9" s="28" t="s">
        <v>272</v>
      </c>
      <c r="G9" s="28" t="s">
        <v>261</v>
      </c>
      <c r="H9" s="28" t="s">
        <v>262</v>
      </c>
      <c r="I9" s="28" t="s">
        <v>262</v>
      </c>
      <c r="J9" s="28" t="s">
        <v>275</v>
      </c>
    </row>
    <row r="11" spans="2:10" ht="12.75">
      <c r="B11" s="10" t="s">
        <v>149</v>
      </c>
      <c r="C11" s="10">
        <v>25</v>
      </c>
      <c r="D11" s="10">
        <v>640</v>
      </c>
      <c r="E11" s="10">
        <v>17.9</v>
      </c>
      <c r="F11" s="10">
        <v>102</v>
      </c>
      <c r="G11" s="11">
        <f aca="true" t="shared" si="0" ref="G11:H16">+$C11*D11</f>
        <v>16000</v>
      </c>
      <c r="H11" s="11">
        <f t="shared" si="0"/>
        <v>447.49999999999994</v>
      </c>
      <c r="I11" s="17">
        <f>5.209*$C11</f>
        <v>130.225</v>
      </c>
      <c r="J11" s="11">
        <f aca="true" t="shared" si="1" ref="J11:J16">+F11*55.8*C11</f>
        <v>142290</v>
      </c>
    </row>
    <row r="12" spans="2:10" ht="12.75">
      <c r="B12" s="10" t="s">
        <v>149</v>
      </c>
      <c r="C12" s="10">
        <v>25</v>
      </c>
      <c r="D12" s="10">
        <v>640</v>
      </c>
      <c r="E12" s="10">
        <v>17.9</v>
      </c>
      <c r="F12" s="10">
        <v>102</v>
      </c>
      <c r="G12" s="11">
        <f t="shared" si="0"/>
        <v>16000</v>
      </c>
      <c r="H12" s="11">
        <f t="shared" si="0"/>
        <v>447.49999999999994</v>
      </c>
      <c r="I12" s="17">
        <f>5.209*$C12</f>
        <v>130.225</v>
      </c>
      <c r="J12" s="11">
        <f t="shared" si="1"/>
        <v>142290</v>
      </c>
    </row>
    <row r="13" spans="2:10" ht="12.75">
      <c r="B13" s="10" t="s">
        <v>149</v>
      </c>
      <c r="C13" s="10">
        <v>25</v>
      </c>
      <c r="D13" s="10">
        <v>640</v>
      </c>
      <c r="E13" s="10">
        <v>17.9</v>
      </c>
      <c r="F13" s="10">
        <v>102</v>
      </c>
      <c r="G13" s="11">
        <f t="shared" si="0"/>
        <v>16000</v>
      </c>
      <c r="H13" s="11">
        <f t="shared" si="0"/>
        <v>447.49999999999994</v>
      </c>
      <c r="I13" s="17">
        <f>5.209*$C13</f>
        <v>130.225</v>
      </c>
      <c r="J13" s="11">
        <f t="shared" si="1"/>
        <v>142290</v>
      </c>
    </row>
    <row r="14" spans="2:10" ht="12.75">
      <c r="B14" s="5" t="s">
        <v>150</v>
      </c>
      <c r="C14" s="10">
        <v>25</v>
      </c>
      <c r="D14" s="48">
        <v>1240</v>
      </c>
      <c r="E14" s="10">
        <v>32</v>
      </c>
      <c r="F14" s="48">
        <v>192</v>
      </c>
      <c r="G14" s="11">
        <f t="shared" si="0"/>
        <v>31000</v>
      </c>
      <c r="H14" s="11">
        <f t="shared" si="0"/>
        <v>800</v>
      </c>
      <c r="I14" s="17">
        <f>7.518*$C14</f>
        <v>187.95</v>
      </c>
      <c r="J14" s="11">
        <f t="shared" si="1"/>
        <v>267839.99999999994</v>
      </c>
    </row>
    <row r="15" spans="2:10" ht="12.75">
      <c r="B15" s="5" t="s">
        <v>150</v>
      </c>
      <c r="C15" s="10">
        <v>25</v>
      </c>
      <c r="D15" s="48">
        <v>1240</v>
      </c>
      <c r="E15" s="10">
        <v>32</v>
      </c>
      <c r="F15" s="48">
        <v>192</v>
      </c>
      <c r="G15" s="11">
        <f t="shared" si="0"/>
        <v>31000</v>
      </c>
      <c r="H15" s="11">
        <f t="shared" si="0"/>
        <v>800</v>
      </c>
      <c r="I15" s="17">
        <f>7.518*$C15</f>
        <v>187.95</v>
      </c>
      <c r="J15" s="11">
        <f t="shared" si="1"/>
        <v>267839.99999999994</v>
      </c>
    </row>
    <row r="16" spans="2:10" ht="12.75">
      <c r="B16" s="5" t="s">
        <v>150</v>
      </c>
      <c r="C16" s="10">
        <v>25</v>
      </c>
      <c r="D16" s="48">
        <v>1240</v>
      </c>
      <c r="E16" s="10">
        <v>32</v>
      </c>
      <c r="F16" s="48">
        <v>192</v>
      </c>
      <c r="G16" s="11">
        <f t="shared" si="0"/>
        <v>31000</v>
      </c>
      <c r="H16" s="11">
        <f t="shared" si="0"/>
        <v>800</v>
      </c>
      <c r="I16" s="17">
        <f>7.518*$C16</f>
        <v>187.95</v>
      </c>
      <c r="J16" s="11">
        <f t="shared" si="1"/>
        <v>267839.99999999994</v>
      </c>
    </row>
    <row r="18" spans="7:8" ht="12.75">
      <c r="G18" s="11"/>
      <c r="H18" s="11"/>
    </row>
    <row r="21" ht="12.75">
      <c r="B21" s="16" t="s">
        <v>267</v>
      </c>
    </row>
    <row r="22" spans="2:10" ht="14.25">
      <c r="B22" s="12" t="s">
        <v>32</v>
      </c>
      <c r="C22" s="12" t="s">
        <v>258</v>
      </c>
      <c r="D22" s="12" t="s">
        <v>265</v>
      </c>
      <c r="E22" s="12" t="s">
        <v>15</v>
      </c>
      <c r="F22" s="12" t="s">
        <v>277</v>
      </c>
      <c r="G22" s="18" t="s">
        <v>270</v>
      </c>
      <c r="H22" s="18" t="s">
        <v>264</v>
      </c>
      <c r="I22" s="18" t="s">
        <v>273</v>
      </c>
      <c r="J22" s="18" t="s">
        <v>279</v>
      </c>
    </row>
    <row r="23" spans="4:10" ht="14.25">
      <c r="D23" s="28" t="s">
        <v>261</v>
      </c>
      <c r="E23" s="28" t="s">
        <v>262</v>
      </c>
      <c r="F23" s="28" t="s">
        <v>272</v>
      </c>
      <c r="G23" s="28" t="s">
        <v>261</v>
      </c>
      <c r="H23" s="28" t="s">
        <v>262</v>
      </c>
      <c r="I23" s="28" t="s">
        <v>262</v>
      </c>
      <c r="J23" s="28" t="s">
        <v>275</v>
      </c>
    </row>
    <row r="25" spans="2:10" ht="12.75">
      <c r="B25" s="10" t="s">
        <v>149</v>
      </c>
      <c r="C25" s="10">
        <v>4</v>
      </c>
      <c r="D25" s="10">
        <v>107</v>
      </c>
      <c r="E25" s="10">
        <v>17.9</v>
      </c>
      <c r="F25" s="10">
        <v>32.8</v>
      </c>
      <c r="G25" s="11">
        <f aca="true" t="shared" si="2" ref="G25:H30">+$C25*D25</f>
        <v>428</v>
      </c>
      <c r="H25" s="11">
        <f t="shared" si="2"/>
        <v>71.6</v>
      </c>
      <c r="I25" s="17">
        <f>12.89*C25</f>
        <v>51.56</v>
      </c>
      <c r="J25" s="11">
        <f aca="true" t="shared" si="3" ref="J25:J30">+F25*55.8*C25</f>
        <v>7320.959999999999</v>
      </c>
    </row>
    <row r="26" spans="2:10" ht="12.75">
      <c r="B26" s="10" t="s">
        <v>149</v>
      </c>
      <c r="C26" s="10">
        <v>4</v>
      </c>
      <c r="D26" s="10">
        <v>107</v>
      </c>
      <c r="E26" s="10">
        <v>17.9</v>
      </c>
      <c r="F26" s="10">
        <v>32.8</v>
      </c>
      <c r="G26" s="11">
        <f t="shared" si="2"/>
        <v>428</v>
      </c>
      <c r="H26" s="11">
        <f t="shared" si="2"/>
        <v>71.6</v>
      </c>
      <c r="I26" s="17">
        <f>12.89*C26</f>
        <v>51.56</v>
      </c>
      <c r="J26" s="11">
        <f t="shared" si="3"/>
        <v>7320.959999999999</v>
      </c>
    </row>
    <row r="27" spans="2:10" ht="12.75">
      <c r="B27" s="10" t="s">
        <v>149</v>
      </c>
      <c r="C27" s="10">
        <v>4</v>
      </c>
      <c r="D27" s="10">
        <v>107</v>
      </c>
      <c r="E27" s="10">
        <v>17.9</v>
      </c>
      <c r="F27" s="10">
        <v>32.8</v>
      </c>
      <c r="G27" s="11">
        <f t="shared" si="2"/>
        <v>428</v>
      </c>
      <c r="H27" s="11">
        <f t="shared" si="2"/>
        <v>71.6</v>
      </c>
      <c r="I27" s="17">
        <f>12.89*C27</f>
        <v>51.56</v>
      </c>
      <c r="J27" s="11">
        <f t="shared" si="3"/>
        <v>7320.959999999999</v>
      </c>
    </row>
    <row r="28" spans="2:10" ht="12.75">
      <c r="B28" s="5" t="s">
        <v>150</v>
      </c>
      <c r="C28" s="10">
        <v>4</v>
      </c>
      <c r="D28" s="48">
        <v>447</v>
      </c>
      <c r="E28" s="10">
        <v>32</v>
      </c>
      <c r="F28" s="48">
        <v>92.7</v>
      </c>
      <c r="G28" s="11">
        <f t="shared" si="2"/>
        <v>1788</v>
      </c>
      <c r="H28" s="11">
        <f t="shared" si="2"/>
        <v>128</v>
      </c>
      <c r="I28" s="17">
        <f>25.12*C28</f>
        <v>100.48</v>
      </c>
      <c r="J28" s="11">
        <f t="shared" si="3"/>
        <v>20690.64</v>
      </c>
    </row>
    <row r="29" spans="2:10" ht="12.75">
      <c r="B29" s="5" t="s">
        <v>150</v>
      </c>
      <c r="C29" s="10">
        <v>4</v>
      </c>
      <c r="D29" s="48">
        <v>447</v>
      </c>
      <c r="E29" s="10">
        <v>32</v>
      </c>
      <c r="F29" s="48">
        <v>92.7</v>
      </c>
      <c r="G29" s="11">
        <f t="shared" si="2"/>
        <v>1788</v>
      </c>
      <c r="H29" s="11">
        <f t="shared" si="2"/>
        <v>128</v>
      </c>
      <c r="I29" s="17">
        <f>25.12*C29</f>
        <v>100.48</v>
      </c>
      <c r="J29" s="11">
        <f t="shared" si="3"/>
        <v>20690.64</v>
      </c>
    </row>
    <row r="30" spans="2:10" ht="12.75">
      <c r="B30" s="5" t="s">
        <v>150</v>
      </c>
      <c r="C30" s="10">
        <v>4</v>
      </c>
      <c r="D30" s="48">
        <v>447</v>
      </c>
      <c r="E30" s="10">
        <v>32</v>
      </c>
      <c r="F30" s="48">
        <v>92.7</v>
      </c>
      <c r="G30" s="11">
        <f t="shared" si="2"/>
        <v>1788</v>
      </c>
      <c r="H30" s="11">
        <f t="shared" si="2"/>
        <v>128</v>
      </c>
      <c r="I30" s="17">
        <f>25.12*C30</f>
        <v>100.48</v>
      </c>
      <c r="J30" s="11">
        <f t="shared" si="3"/>
        <v>20690.64</v>
      </c>
    </row>
    <row r="35" ht="12.75">
      <c r="B35" s="16" t="s">
        <v>268</v>
      </c>
    </row>
    <row r="36" spans="2:10" ht="14.25">
      <c r="B36" s="12" t="s">
        <v>32</v>
      </c>
      <c r="C36" s="12" t="s">
        <v>258</v>
      </c>
      <c r="D36" s="12" t="s">
        <v>265</v>
      </c>
      <c r="E36" s="12" t="s">
        <v>15</v>
      </c>
      <c r="F36" s="12" t="s">
        <v>277</v>
      </c>
      <c r="G36" s="18" t="s">
        <v>270</v>
      </c>
      <c r="H36" s="18" t="s">
        <v>264</v>
      </c>
      <c r="I36" s="18" t="s">
        <v>273</v>
      </c>
      <c r="J36" s="18" t="s">
        <v>279</v>
      </c>
    </row>
    <row r="37" spans="4:10" ht="14.25">
      <c r="D37" s="28" t="s">
        <v>261</v>
      </c>
      <c r="E37" s="28" t="s">
        <v>262</v>
      </c>
      <c r="F37" s="28" t="s">
        <v>272</v>
      </c>
      <c r="G37" s="28" t="s">
        <v>261</v>
      </c>
      <c r="H37" s="28" t="s">
        <v>262</v>
      </c>
      <c r="I37" s="28" t="s">
        <v>262</v>
      </c>
      <c r="J37" s="28" t="s">
        <v>275</v>
      </c>
    </row>
    <row r="39" spans="2:10" ht="12.75">
      <c r="B39" s="5" t="s">
        <v>28</v>
      </c>
      <c r="C39" s="10">
        <v>10</v>
      </c>
      <c r="D39" s="10">
        <v>1150</v>
      </c>
      <c r="E39" s="10">
        <v>68.5</v>
      </c>
      <c r="F39" s="10">
        <v>221</v>
      </c>
      <c r="G39" s="11">
        <f aca="true" t="shared" si="4" ref="G39:H44">+$C39*D39</f>
        <v>11500</v>
      </c>
      <c r="H39" s="11">
        <f t="shared" si="4"/>
        <v>685</v>
      </c>
      <c r="I39" s="17">
        <f>54.66*C39</f>
        <v>546.5999999999999</v>
      </c>
      <c r="J39" s="11">
        <f aca="true" t="shared" si="5" ref="J39:J44">+F39*55.8*C39</f>
        <v>123318</v>
      </c>
    </row>
    <row r="40" spans="2:10" ht="12.75">
      <c r="B40" s="5" t="s">
        <v>28</v>
      </c>
      <c r="C40" s="10">
        <v>10</v>
      </c>
      <c r="D40" s="10">
        <v>1150</v>
      </c>
      <c r="E40" s="10">
        <v>68.5</v>
      </c>
      <c r="F40" s="10">
        <v>221</v>
      </c>
      <c r="G40" s="11">
        <f t="shared" si="4"/>
        <v>11500</v>
      </c>
      <c r="H40" s="11">
        <f t="shared" si="4"/>
        <v>685</v>
      </c>
      <c r="I40" s="17">
        <f>54.66*C40</f>
        <v>546.5999999999999</v>
      </c>
      <c r="J40" s="11">
        <f t="shared" si="5"/>
        <v>123318</v>
      </c>
    </row>
    <row r="41" spans="2:10" ht="12.75">
      <c r="B41" s="5" t="s">
        <v>29</v>
      </c>
      <c r="C41" s="10">
        <v>10</v>
      </c>
      <c r="D41" s="10">
        <v>2170</v>
      </c>
      <c r="E41" s="10">
        <v>117</v>
      </c>
      <c r="F41" s="10">
        <v>402</v>
      </c>
      <c r="G41" s="11">
        <f t="shared" si="4"/>
        <v>21700</v>
      </c>
      <c r="H41" s="11">
        <f t="shared" si="4"/>
        <v>1170</v>
      </c>
      <c r="I41" s="17">
        <f>94.397*C41</f>
        <v>943.97</v>
      </c>
      <c r="J41" s="11">
        <f t="shared" si="5"/>
        <v>224316</v>
      </c>
    </row>
    <row r="42" spans="2:10" ht="12.75">
      <c r="B42" s="5" t="s">
        <v>29</v>
      </c>
      <c r="C42" s="10">
        <v>10</v>
      </c>
      <c r="D42" s="48">
        <v>2170</v>
      </c>
      <c r="E42" s="10">
        <v>117</v>
      </c>
      <c r="F42" s="48">
        <v>402</v>
      </c>
      <c r="G42" s="11">
        <f t="shared" si="4"/>
        <v>21700</v>
      </c>
      <c r="H42" s="11">
        <f t="shared" si="4"/>
        <v>1170</v>
      </c>
      <c r="I42" s="17">
        <f>94.397*C42</f>
        <v>943.97</v>
      </c>
      <c r="J42" s="11">
        <f t="shared" si="5"/>
        <v>224316</v>
      </c>
    </row>
    <row r="43" spans="2:10" ht="12.75">
      <c r="B43" s="5" t="s">
        <v>30</v>
      </c>
      <c r="C43" s="10">
        <v>10</v>
      </c>
      <c r="D43" s="48">
        <v>2360</v>
      </c>
      <c r="E43" s="10">
        <v>125</v>
      </c>
      <c r="F43" s="48">
        <v>434</v>
      </c>
      <c r="G43" s="11">
        <f t="shared" si="4"/>
        <v>23600</v>
      </c>
      <c r="H43" s="11">
        <f t="shared" si="4"/>
        <v>1250</v>
      </c>
      <c r="I43" s="17">
        <f>101.339*C43</f>
        <v>1013.39</v>
      </c>
      <c r="J43" s="11">
        <f t="shared" si="5"/>
        <v>242171.99999999997</v>
      </c>
    </row>
    <row r="44" spans="2:10" ht="12.75">
      <c r="B44" s="5" t="s">
        <v>30</v>
      </c>
      <c r="C44" s="10">
        <v>10</v>
      </c>
      <c r="D44" s="48">
        <v>2360</v>
      </c>
      <c r="E44" s="10">
        <v>125</v>
      </c>
      <c r="F44" s="48">
        <v>434</v>
      </c>
      <c r="G44" s="11">
        <f t="shared" si="4"/>
        <v>23600</v>
      </c>
      <c r="H44" s="11">
        <f t="shared" si="4"/>
        <v>1250</v>
      </c>
      <c r="I44" s="17">
        <f>101.339*C44</f>
        <v>1013.39</v>
      </c>
      <c r="J44" s="11">
        <f t="shared" si="5"/>
        <v>242171.99999999997</v>
      </c>
    </row>
    <row r="47" ht="12.75">
      <c r="B47" s="27" t="s">
        <v>269</v>
      </c>
    </row>
    <row r="49" spans="3:7" ht="14.25">
      <c r="C49" s="12" t="s">
        <v>37</v>
      </c>
      <c r="D49" s="18" t="s">
        <v>271</v>
      </c>
      <c r="E49" s="18" t="s">
        <v>264</v>
      </c>
      <c r="F49" s="18" t="s">
        <v>273</v>
      </c>
      <c r="G49" s="18" t="s">
        <v>278</v>
      </c>
    </row>
    <row r="50" spans="3:7" ht="14.25">
      <c r="C50" s="12"/>
      <c r="D50" s="28" t="s">
        <v>261</v>
      </c>
      <c r="E50" s="28" t="s">
        <v>262</v>
      </c>
      <c r="F50" s="28" t="s">
        <v>262</v>
      </c>
      <c r="G50" s="28" t="s">
        <v>275</v>
      </c>
    </row>
    <row r="52" spans="3:7" ht="12.75">
      <c r="C52" s="12">
        <v>6</v>
      </c>
      <c r="D52" s="11">
        <f aca="true" t="shared" si="6" ref="D52:G57">+(G11+G25+G39)/2</f>
        <v>13964</v>
      </c>
      <c r="E52" s="17">
        <f t="shared" si="6"/>
        <v>602.05</v>
      </c>
      <c r="F52" s="17">
        <f t="shared" si="6"/>
        <v>364.19249999999994</v>
      </c>
      <c r="G52" s="40">
        <f t="shared" si="6"/>
        <v>136464.47999999998</v>
      </c>
    </row>
    <row r="53" spans="3:7" ht="12.75">
      <c r="C53" s="12">
        <v>5</v>
      </c>
      <c r="D53" s="11">
        <f t="shared" si="6"/>
        <v>13964</v>
      </c>
      <c r="E53" s="17">
        <f t="shared" si="6"/>
        <v>602.05</v>
      </c>
      <c r="F53" s="17">
        <f t="shared" si="6"/>
        <v>364.19249999999994</v>
      </c>
      <c r="G53" s="40">
        <f t="shared" si="6"/>
        <v>136464.47999999998</v>
      </c>
    </row>
    <row r="54" spans="3:7" ht="12.75">
      <c r="C54" s="12">
        <v>4</v>
      </c>
      <c r="D54" s="11">
        <f t="shared" si="6"/>
        <v>19064</v>
      </c>
      <c r="E54" s="17">
        <f t="shared" si="6"/>
        <v>844.55</v>
      </c>
      <c r="F54" s="17">
        <f t="shared" si="6"/>
        <v>562.8775</v>
      </c>
      <c r="G54" s="40">
        <f t="shared" si="6"/>
        <v>186963.47999999998</v>
      </c>
    </row>
    <row r="55" spans="3:7" ht="12.75">
      <c r="C55" s="12">
        <v>3</v>
      </c>
      <c r="D55" s="11">
        <f t="shared" si="6"/>
        <v>27244</v>
      </c>
      <c r="E55" s="17">
        <f t="shared" si="6"/>
        <v>1049</v>
      </c>
      <c r="F55" s="17">
        <f t="shared" si="6"/>
        <v>616.2</v>
      </c>
      <c r="G55" s="40">
        <f t="shared" si="6"/>
        <v>256423.31999999998</v>
      </c>
    </row>
    <row r="56" spans="3:7" ht="12.75">
      <c r="C56" s="12">
        <v>2</v>
      </c>
      <c r="D56" s="11">
        <f t="shared" si="6"/>
        <v>28194</v>
      </c>
      <c r="E56" s="17">
        <f t="shared" si="6"/>
        <v>1089</v>
      </c>
      <c r="F56" s="17">
        <f t="shared" si="6"/>
        <v>650.91</v>
      </c>
      <c r="G56" s="40">
        <f t="shared" si="6"/>
        <v>265351.31999999995</v>
      </c>
    </row>
    <row r="57" spans="3:7" ht="12.75">
      <c r="C57" s="12">
        <v>1</v>
      </c>
      <c r="D57" s="11">
        <f t="shared" si="6"/>
        <v>28194</v>
      </c>
      <c r="E57" s="17">
        <f t="shared" si="6"/>
        <v>1089</v>
      </c>
      <c r="F57" s="17">
        <f t="shared" si="6"/>
        <v>650.91</v>
      </c>
      <c r="G57" s="40">
        <f t="shared" si="6"/>
        <v>265351.31999999995</v>
      </c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H11" sqref="H11"/>
    </sheetView>
  </sheetViews>
  <sheetFormatPr defaultColWidth="11.421875" defaultRowHeight="12.75"/>
  <cols>
    <col min="1" max="16384" width="9.140625" style="0" customWidth="1"/>
  </cols>
  <sheetData>
    <row r="1" ht="12.75">
      <c r="A1" s="27" t="s">
        <v>280</v>
      </c>
    </row>
    <row r="4" spans="1:6" ht="12.75">
      <c r="A4" s="28" t="s">
        <v>285</v>
      </c>
      <c r="E4" s="27" t="s">
        <v>284</v>
      </c>
      <c r="F4" s="11">
        <v>0.02</v>
      </c>
    </row>
    <row r="6" spans="1:6" ht="14.25">
      <c r="A6" s="12" t="s">
        <v>281</v>
      </c>
      <c r="B6" s="12" t="s">
        <v>216</v>
      </c>
      <c r="C6" s="18" t="s">
        <v>283</v>
      </c>
      <c r="D6" s="27" t="s">
        <v>284</v>
      </c>
      <c r="E6" s="18" t="s">
        <v>138</v>
      </c>
      <c r="F6" s="18" t="s">
        <v>139</v>
      </c>
    </row>
    <row r="7" spans="1:3" ht="12.75">
      <c r="A7" s="12"/>
      <c r="B7" s="12" t="s">
        <v>96</v>
      </c>
      <c r="C7" s="12" t="s">
        <v>282</v>
      </c>
    </row>
    <row r="9" spans="1:6" ht="12.75">
      <c r="A9" s="28">
        <v>1</v>
      </c>
      <c r="B9" s="17">
        <v>1.55</v>
      </c>
      <c r="C9" s="17">
        <f aca="true" t="shared" si="0" ref="C9:C14">2*PI()/B9</f>
        <v>4.053667940115862</v>
      </c>
      <c r="D9" s="11"/>
      <c r="E9" s="15">
        <f>2*$F4*C9*C11/(C9+C11)</f>
        <v>0.09206132318211849</v>
      </c>
      <c r="F9" s="49">
        <f>2*F4/(C9+C11)</f>
        <v>0.004265119280806982</v>
      </c>
    </row>
    <row r="10" spans="1:4" ht="12.75">
      <c r="A10" s="11">
        <v>2</v>
      </c>
      <c r="B10" s="11">
        <v>1.25</v>
      </c>
      <c r="C10" s="17">
        <f t="shared" si="0"/>
        <v>5.026548245743669</v>
      </c>
      <c r="D10" s="30">
        <f>+E$9/2*(1/C10)+F$9/2*C10</f>
        <v>0.019876923076923077</v>
      </c>
    </row>
    <row r="11" spans="1:4" ht="12.75">
      <c r="A11" s="28">
        <v>3</v>
      </c>
      <c r="B11" s="11">
        <v>1.18</v>
      </c>
      <c r="C11" s="17">
        <f t="shared" si="0"/>
        <v>5.324733311169141</v>
      </c>
      <c r="D11" s="30">
        <f>+E$9/2*(1/C11)+F$9/2*C11</f>
        <v>0.02</v>
      </c>
    </row>
    <row r="12" spans="1:4" ht="12.75">
      <c r="A12" s="11">
        <v>4</v>
      </c>
      <c r="B12" s="11">
        <v>0.5</v>
      </c>
      <c r="C12" s="17">
        <f t="shared" si="0"/>
        <v>12.566370614359172</v>
      </c>
      <c r="D12" s="30">
        <f>+E$9/2*(1/C12)+F$9/2*C12</f>
        <v>0.030461538461538457</v>
      </c>
    </row>
    <row r="13" spans="1:4" ht="12.75">
      <c r="A13" s="28">
        <v>5</v>
      </c>
      <c r="B13" s="11">
        <v>0.42</v>
      </c>
      <c r="C13" s="17">
        <f t="shared" si="0"/>
        <v>14.959965017094254</v>
      </c>
      <c r="D13" s="30">
        <f>+E$9/2*(1/C13)+F$9/2*C13</f>
        <v>0.0349799406942264</v>
      </c>
    </row>
    <row r="14" spans="1:4" ht="12.75">
      <c r="A14" s="11">
        <v>6</v>
      </c>
      <c r="B14" s="11">
        <v>0.39</v>
      </c>
      <c r="C14" s="17">
        <f t="shared" si="0"/>
        <v>16.110731556870732</v>
      </c>
      <c r="D14" s="30">
        <f>+E$9/2*(1/C14)+F$9/2*C14</f>
        <v>0.03721423875270028</v>
      </c>
    </row>
    <row r="18" ht="12.75">
      <c r="I18" s="11"/>
    </row>
    <row r="20" spans="1:6" ht="12.75">
      <c r="A20" s="28"/>
      <c r="E20" s="27"/>
      <c r="F20" s="11"/>
    </row>
    <row r="22" spans="1:6" ht="12.75">
      <c r="A22" s="12"/>
      <c r="B22" s="12"/>
      <c r="C22" s="18"/>
      <c r="D22" s="27"/>
      <c r="E22" s="18"/>
      <c r="F22" s="18"/>
    </row>
    <row r="23" spans="1:3" ht="12.75">
      <c r="A23" s="12"/>
      <c r="B23" s="12"/>
      <c r="C23" s="12"/>
    </row>
    <row r="25" spans="1:6" ht="12.75">
      <c r="A25" s="28"/>
      <c r="B25" s="11"/>
      <c r="C25" s="17"/>
      <c r="E25" s="15"/>
      <c r="F25" s="49"/>
    </row>
    <row r="26" spans="3:4" ht="12.75">
      <c r="C26" s="17"/>
      <c r="D26" s="30"/>
    </row>
    <row r="27" spans="1:4" ht="12.75">
      <c r="A27" s="28"/>
      <c r="B27" s="11"/>
      <c r="C27" s="17"/>
      <c r="D27" s="30"/>
    </row>
    <row r="28" spans="3:4" ht="12.75">
      <c r="C28" s="17"/>
      <c r="D28" s="30"/>
    </row>
    <row r="29" spans="1:6" ht="12.75">
      <c r="A29" s="28"/>
      <c r="B29" s="11"/>
      <c r="C29" s="17"/>
      <c r="D29" s="30"/>
      <c r="E29" s="15"/>
      <c r="F29" s="49"/>
    </row>
    <row r="30" spans="1:4" ht="12.75">
      <c r="A30" s="28"/>
      <c r="B30" s="11"/>
      <c r="C30" s="17"/>
      <c r="D30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e4200 600</dc:creator>
  <cp:keywords/>
  <dc:description/>
  <cp:lastModifiedBy>Familia Emen</cp:lastModifiedBy>
  <cp:lastPrinted>2002-04-17T22:30:00Z</cp:lastPrinted>
  <dcterms:created xsi:type="dcterms:W3CDTF">2001-01-31T04:45:02Z</dcterms:created>
  <dcterms:modified xsi:type="dcterms:W3CDTF">2007-06-09T20:25:24Z</dcterms:modified>
  <cp:category/>
  <cp:version/>
  <cp:contentType/>
  <cp:contentStatus/>
</cp:coreProperties>
</file>