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Predimensionamiento" sheetId="1" r:id="rId1"/>
  </sheets>
  <definedNames/>
  <calcPr fullCalcOnLoad="1"/>
</workbook>
</file>

<file path=xl/sharedStrings.xml><?xml version="1.0" encoding="utf-8"?>
<sst xmlns="http://schemas.openxmlformats.org/spreadsheetml/2006/main" count="761" uniqueCount="232">
  <si>
    <t>Predimensionamiento de Edificio Tipo</t>
  </si>
  <si>
    <t>1. Cargas</t>
  </si>
  <si>
    <t>1.1 Losas de 1ro al 5to piso.</t>
  </si>
  <si>
    <r>
      <t>w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</si>
  <si>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</si>
  <si>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</si>
  <si>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T/m2</t>
  </si>
  <si>
    <t>1.2. Cubierta</t>
  </si>
  <si>
    <t>2. Vigas secundarias</t>
  </si>
  <si>
    <t>Se efectuó el análisis de una viga continua de 6 tramos de 30 ft cada uno en SAP2000, arrojando los siguientes resultados:</t>
  </si>
  <si>
    <t>Mu,max =</t>
  </si>
  <si>
    <t>Vu,max =</t>
  </si>
  <si>
    <t>Ton.m</t>
  </si>
  <si>
    <t>Ton</t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</si>
  <si>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=</t>
    </r>
  </si>
  <si>
    <r>
      <t>w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* s * f  =</t>
    </r>
  </si>
  <si>
    <t>1.024 * 2.29 * 1.05 =</t>
  </si>
  <si>
    <t>s (ancho tributario de vigas sec.) =</t>
  </si>
  <si>
    <t>m</t>
  </si>
  <si>
    <t>ton/m</t>
  </si>
  <si>
    <t>Zx (req) =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</si>
  <si>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</si>
  <si>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</si>
  <si>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flect</t>
    </r>
    <r>
      <rPr>
        <sz val="10"/>
        <rFont val="Arial"/>
        <family val="2"/>
      </rPr>
      <t xml:space="preserve"> =</t>
    </r>
  </si>
  <si>
    <t>=</t>
  </si>
  <si>
    <t>; Use W12X40</t>
  </si>
  <si>
    <t>Zx = 57 pulg3</t>
  </si>
  <si>
    <t>Revisión del cortante</t>
  </si>
  <si>
    <t>2.45(29000/36)^0.5 =</t>
  </si>
  <si>
    <r>
      <t>ØVn = Ø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(0.6)F</t>
    </r>
    <r>
      <rPr>
        <vertAlign val="subscript"/>
        <sz val="10"/>
        <rFont val="Arial"/>
        <family val="2"/>
      </rPr>
      <t>yw</t>
    </r>
    <r>
      <rPr>
        <sz val="10"/>
        <rFont val="Arial"/>
        <family val="0"/>
      </rPr>
      <t>Aw = Øc(0.6)F</t>
    </r>
    <r>
      <rPr>
        <vertAlign val="subscript"/>
        <sz val="10"/>
        <rFont val="Arial"/>
        <family val="2"/>
      </rPr>
      <t>yw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d =</t>
    </r>
  </si>
  <si>
    <r>
      <t>Ø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</si>
  <si>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d =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</si>
  <si>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</si>
  <si>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 xml:space="preserve">Ton </t>
  </si>
  <si>
    <r>
      <t>h/t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</si>
  <si>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En una W12X40, Entonces:</t>
  </si>
  <si>
    <t>2.1 Vigas secundarias del 1ro al 5to piso.</t>
  </si>
  <si>
    <t>Revisión de serviciabilidad</t>
  </si>
  <si>
    <t>De SAP2000 =</t>
  </si>
  <si>
    <r>
      <t>D</t>
    </r>
    <r>
      <rPr>
        <vertAlign val="subscript"/>
        <sz val="10"/>
        <rFont val="Arial"/>
        <family val="2"/>
      </rPr>
      <t>D+L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</si>
  <si>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=</t>
    </r>
  </si>
  <si>
    <t>2.1 Vigas secundarias de cubierta.</t>
  </si>
  <si>
    <t>; Use W12X30</t>
  </si>
  <si>
    <t>Zx = 43.1 pulg3</t>
  </si>
  <si>
    <t>3. Vigas Principales Cargadoras (eje X)</t>
  </si>
  <si>
    <t>Pu</t>
  </si>
  <si>
    <t>Pu =</t>
  </si>
  <si>
    <t>(Es la reacción mayor de la viga secundaria)</t>
  </si>
  <si>
    <t>3.1 Vigas interiores del 1ro al 5to piso.</t>
  </si>
  <si>
    <t>5to piso.</t>
  </si>
  <si>
    <t>1.1Zx =</t>
  </si>
  <si>
    <t xml:space="preserve">Zx = </t>
  </si>
  <si>
    <t xml:space="preserve"> Use W24X84</t>
  </si>
  <si>
    <t>4to, 3er piso.</t>
  </si>
  <si>
    <t>1.2Zx =</t>
  </si>
  <si>
    <t xml:space="preserve"> Use W27X84</t>
  </si>
  <si>
    <t>1ro, 2do piso.</t>
  </si>
  <si>
    <t>1.4Zx =</t>
  </si>
  <si>
    <t xml:space="preserve"> Use W30X90</t>
  </si>
  <si>
    <r>
      <t>b/2t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</si>
  <si>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t>Revisión de sección compacta.</t>
  </si>
  <si>
    <t>W24X84</t>
  </si>
  <si>
    <r>
      <t>l</t>
    </r>
    <r>
      <rPr>
        <vertAlign val="subscript"/>
        <sz val="10"/>
        <rFont val="Arial"/>
        <family val="2"/>
      </rPr>
      <t xml:space="preserve">PS </t>
    </r>
    <r>
      <rPr>
        <sz val="10"/>
        <rFont val="Arial"/>
        <family val="2"/>
      </rPr>
      <t>=</t>
    </r>
  </si>
  <si>
    <t>pulg</t>
  </si>
  <si>
    <t>(NA)</t>
  </si>
  <si>
    <t>(A)</t>
  </si>
  <si>
    <t>W30X90</t>
  </si>
  <si>
    <r>
      <t>l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</si>
  <si>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=</t>
    </r>
  </si>
  <si>
    <t>(se lo hará pasar)</t>
  </si>
  <si>
    <t>W27X84</t>
  </si>
  <si>
    <t>Revisión de cortante.</t>
  </si>
  <si>
    <t>Sección mas crítica: W24X84</t>
  </si>
  <si>
    <t>3.2 Vigas exteriores del 1ro al 5to piso.</t>
  </si>
  <si>
    <t xml:space="preserve"> Use W18X40</t>
  </si>
  <si>
    <t xml:space="preserve"> Use W18X46</t>
  </si>
  <si>
    <t xml:space="preserve"> Use W21X44</t>
  </si>
  <si>
    <t>3.3 Vigas interiores de cubierta.</t>
  </si>
  <si>
    <t>ton</t>
  </si>
  <si>
    <t>(Es la reacción extrema de la viga secundaria)</t>
  </si>
  <si>
    <t xml:space="preserve"> Use W24x62</t>
  </si>
  <si>
    <t>3.4 Vigas exteriores de cubierta.</t>
  </si>
  <si>
    <t xml:space="preserve"> Use W18X35</t>
  </si>
  <si>
    <t>4. Vigas Principales NO Cargadoras (eje Y)</t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</si>
  <si>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</si>
  <si>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W18X35</t>
  </si>
  <si>
    <t>4.1 Vigas interiores del 1ro al 5to piso.</t>
  </si>
  <si>
    <t>4.2 Vigas exteriores del 1ro al 5to piso.</t>
  </si>
  <si>
    <t xml:space="preserve"> Use W16X26</t>
  </si>
  <si>
    <t>W16X26</t>
  </si>
  <si>
    <t>4.3 Vigas interiores de cubierta.</t>
  </si>
  <si>
    <t>4.4 Vigas exteriores de cubierta.</t>
  </si>
  <si>
    <t>5. Columnas</t>
  </si>
  <si>
    <t>Columna. Tipo 1</t>
  </si>
  <si>
    <t>Vigas</t>
  </si>
  <si>
    <r>
      <t>S</t>
    </r>
    <r>
      <rPr>
        <sz val="10"/>
        <rFont val="Arial"/>
        <family val="0"/>
      </rPr>
      <t>Mpb =</t>
    </r>
  </si>
  <si>
    <r>
      <t>1.1R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yb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Muv =</t>
    </r>
  </si>
  <si>
    <t>Ry =</t>
  </si>
  <si>
    <t>(planchas soldadas)</t>
  </si>
  <si>
    <r>
      <t>M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C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 =</t>
    </r>
  </si>
  <si>
    <t>Cpr =</t>
  </si>
  <si>
    <t>K - "</t>
  </si>
  <si>
    <r>
      <t>Vp = (2Mpr + 466.23P+wL´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/2)/L´ =</t>
    </r>
  </si>
  <si>
    <t>L´ =</t>
  </si>
  <si>
    <t>w =</t>
  </si>
  <si>
    <t>Lb/pulg</t>
  </si>
  <si>
    <t>Kip</t>
  </si>
  <si>
    <t>Muv =</t>
  </si>
  <si>
    <t>x+dc/2=</t>
  </si>
  <si>
    <r>
      <t>S</t>
    </r>
    <r>
      <rPr>
        <sz val="10"/>
        <rFont val="Arial"/>
        <family val="0"/>
      </rPr>
      <t>Mpc =</t>
    </r>
  </si>
  <si>
    <t>Zc (Fyc - 0.2Fyc) =</t>
  </si>
  <si>
    <t>Zc</t>
  </si>
  <si>
    <t>Zc =</t>
  </si>
  <si>
    <t>cm3</t>
  </si>
  <si>
    <t>b = h =</t>
  </si>
  <si>
    <t>t =</t>
  </si>
  <si>
    <r>
      <t>l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</si>
  <si>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Columna. Tipo 2</t>
  </si>
  <si>
    <t>Columna. Tipo 3</t>
  </si>
  <si>
    <r>
      <t>Vp = (2Mpr + 486.09P+wL´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/2)/L´ =</t>
    </r>
  </si>
  <si>
    <r>
      <t>Vp = (2Mpr + 476.33P+wL´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/2)/L´ =</t>
    </r>
  </si>
  <si>
    <t>6. Cálculo del Cortante Basal</t>
  </si>
  <si>
    <t>(SAP2000)</t>
  </si>
  <si>
    <r>
      <t>W</t>
    </r>
    <r>
      <rPr>
        <vertAlign val="subscript"/>
        <sz val="10"/>
        <rFont val="Arial"/>
        <family val="2"/>
      </rPr>
      <t>elementos</t>
    </r>
    <r>
      <rPr>
        <sz val="10"/>
        <rFont val="Arial"/>
        <family val="0"/>
      </rPr>
      <t xml:space="preserve"> =</t>
    </r>
  </si>
  <si>
    <t>I:</t>
  </si>
  <si>
    <t>Ca:</t>
  </si>
  <si>
    <t>S:</t>
  </si>
  <si>
    <t>Øb:</t>
  </si>
  <si>
    <t>Øe:</t>
  </si>
  <si>
    <t>h =</t>
  </si>
  <si>
    <t>T =</t>
  </si>
  <si>
    <t>seg</t>
  </si>
  <si>
    <t>C =</t>
  </si>
  <si>
    <t>R =</t>
  </si>
  <si>
    <t>V =</t>
  </si>
  <si>
    <r>
      <t>W</t>
    </r>
    <r>
      <rPr>
        <vertAlign val="subscript"/>
        <sz val="10"/>
        <rFont val="Arial"/>
        <family val="2"/>
      </rPr>
      <t>piso</t>
    </r>
    <r>
      <rPr>
        <sz val="10"/>
        <rFont val="Arial"/>
        <family val="0"/>
      </rPr>
      <t xml:space="preserve">  =</t>
    </r>
  </si>
  <si>
    <t>Piso</t>
  </si>
  <si>
    <t>w (piso) =</t>
  </si>
  <si>
    <t>w (elementos x piso) =</t>
  </si>
  <si>
    <t>(prom)</t>
  </si>
  <si>
    <t>w (cubierta) =</t>
  </si>
  <si>
    <t>Derivas</t>
  </si>
  <si>
    <t>6to piso</t>
  </si>
  <si>
    <t>5to piso</t>
  </si>
  <si>
    <t>4to piso</t>
  </si>
  <si>
    <t>3ro piso</t>
  </si>
  <si>
    <t>2do piso</t>
  </si>
  <si>
    <t>1ro piso</t>
  </si>
  <si>
    <t>Eje x</t>
  </si>
  <si>
    <t>Eje y</t>
  </si>
  <si>
    <t>Desplaz.</t>
  </si>
  <si>
    <t>(S1 - suelo firme)</t>
  </si>
  <si>
    <t>6.1. CEC - 2000</t>
  </si>
  <si>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</si>
  <si>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</si>
  <si>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</si>
  <si>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</si>
  <si>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</si>
  <si>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</si>
  <si>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</si>
  <si>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</si>
  <si>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t>Fa.Ss =</t>
  </si>
  <si>
    <t>Fv.S1 =</t>
  </si>
  <si>
    <r>
      <t>2/3*S</t>
    </r>
    <r>
      <rPr>
        <vertAlign val="subscript"/>
        <sz val="10"/>
        <rFont val="Arial"/>
        <family val="2"/>
      </rPr>
      <t>MS:</t>
    </r>
  </si>
  <si>
    <r>
      <t>2/3*S</t>
    </r>
    <r>
      <rPr>
        <vertAlign val="subscript"/>
        <sz val="10"/>
        <rFont val="Arial"/>
        <family val="2"/>
      </rPr>
      <t>M1:</t>
    </r>
  </si>
  <si>
    <t>Cs =</t>
  </si>
  <si>
    <t>I =</t>
  </si>
  <si>
    <r>
      <t>; S</t>
    </r>
    <r>
      <rPr>
        <vertAlign val="subscript"/>
        <sz val="11"/>
        <rFont val="Arial"/>
        <family val="2"/>
      </rPr>
      <t xml:space="preserve">D1 </t>
    </r>
    <r>
      <rPr>
        <sz val="11"/>
        <rFont val="Symbol"/>
        <family val="1"/>
      </rPr>
      <t xml:space="preserve">³ 0.4 </t>
    </r>
    <r>
      <rPr>
        <sz val="11"/>
        <rFont val="Arial"/>
        <family val="2"/>
      </rPr>
      <t xml:space="preserve"> </t>
    </r>
  </si>
  <si>
    <t>Cu =</t>
  </si>
  <si>
    <t>x =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</si>
  <si>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</si>
  <si>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h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</si>
  <si>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Ta =</t>
  </si>
  <si>
    <r>
      <t>C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*Ta =</t>
    </r>
  </si>
  <si>
    <t>N =</t>
  </si>
  <si>
    <t>s</t>
  </si>
  <si>
    <t>T = Ta =</t>
  </si>
  <si>
    <t>Condiciones</t>
  </si>
  <si>
    <t xml:space="preserve"> Cs &gt;</t>
  </si>
  <si>
    <t>Por lo tanto,</t>
  </si>
  <si>
    <r>
      <t>Si S</t>
    </r>
    <r>
      <rPr>
        <vertAlign val="subscript"/>
        <sz val="10"/>
        <rFont val="Arial"/>
        <family val="2"/>
      </rPr>
      <t>D1</t>
    </r>
    <r>
      <rPr>
        <sz val="10"/>
        <rFont val="Symbol"/>
        <family val="1"/>
      </rPr>
      <t>³</t>
    </r>
  </si>
  <si>
    <r>
      <t xml:space="preserve"> S</t>
    </r>
    <r>
      <rPr>
        <vertAlign val="subscript"/>
        <sz val="11"/>
        <rFont val="Arial"/>
        <family val="2"/>
      </rPr>
      <t xml:space="preserve">D1 </t>
    </r>
    <r>
      <rPr>
        <sz val="11"/>
        <rFont val="Symbol"/>
        <family val="1"/>
      </rPr>
      <t xml:space="preserve">³ 0.4 </t>
    </r>
    <r>
      <rPr>
        <sz val="11"/>
        <rFont val="Arial"/>
        <family val="2"/>
      </rPr>
      <t xml:space="preserve"> </t>
    </r>
  </si>
  <si>
    <t>a. Suelo tipo D.</t>
  </si>
  <si>
    <t>b. Suelo tipo D.</t>
  </si>
  <si>
    <t>6.2. IBC (ASCE 7-05)</t>
  </si>
  <si>
    <r>
      <t xml:space="preserve">CASO B:      </t>
    </r>
    <r>
      <rPr>
        <sz val="10"/>
        <rFont val="Arial"/>
        <family val="0"/>
      </rPr>
      <t>Z:</t>
    </r>
  </si>
  <si>
    <r>
      <t>CASO A:</t>
    </r>
    <r>
      <rPr>
        <sz val="10"/>
        <rFont val="Arial"/>
        <family val="0"/>
      </rPr>
      <t xml:space="preserve">     Z:</t>
    </r>
  </si>
  <si>
    <t xml:space="preserve">1.2 D + 1.6 L </t>
  </si>
  <si>
    <t>K =</t>
  </si>
  <si>
    <t>Interporlación</t>
  </si>
  <si>
    <r>
      <t>D</t>
    </r>
    <r>
      <rPr>
        <sz val="10"/>
        <rFont val="Arial"/>
        <family val="0"/>
      </rPr>
      <t>k1 =</t>
    </r>
  </si>
  <si>
    <r>
      <t>D</t>
    </r>
    <r>
      <rPr>
        <sz val="10"/>
        <rFont val="Arial"/>
        <family val="0"/>
      </rPr>
      <t>T1 =</t>
    </r>
  </si>
  <si>
    <r>
      <t>D</t>
    </r>
    <r>
      <rPr>
        <sz val="10"/>
        <rFont val="Arial"/>
        <family val="0"/>
      </rPr>
      <t>T2 =</t>
    </r>
  </si>
  <si>
    <t>(a usarse)</t>
  </si>
  <si>
    <t>hi (hx)</t>
  </si>
  <si>
    <r>
      <t>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 xml:space="preserve">k </t>
    </r>
    <r>
      <rPr>
        <b/>
        <sz val="10"/>
        <rFont val="Arial"/>
        <family val="2"/>
      </rPr>
      <t>(1)</t>
    </r>
  </si>
  <si>
    <t>wi (2)</t>
  </si>
  <si>
    <t>(1) x (2)</t>
  </si>
  <si>
    <r>
      <t>C</t>
    </r>
    <r>
      <rPr>
        <b/>
        <vertAlign val="subscript"/>
        <sz val="10"/>
        <rFont val="Arial"/>
        <family val="2"/>
      </rPr>
      <t>vx</t>
    </r>
  </si>
  <si>
    <t>Fx</t>
  </si>
  <si>
    <r>
      <t xml:space="preserve">1.2 D + 0.5 L </t>
    </r>
    <r>
      <rPr>
        <sz val="10"/>
        <rFont val="Symbol"/>
        <family val="1"/>
      </rPr>
      <t>±</t>
    </r>
    <r>
      <rPr>
        <sz val="10"/>
        <rFont val="Arial"/>
        <family val="0"/>
      </rPr>
      <t xml:space="preserve"> 1.0 E</t>
    </r>
  </si>
  <si>
    <t>Ft =</t>
  </si>
  <si>
    <t>(CEC)</t>
  </si>
  <si>
    <t>V-Ft</t>
  </si>
  <si>
    <r>
      <t>W</t>
    </r>
    <r>
      <rPr>
        <b/>
        <sz val="10"/>
        <rFont val="Arial"/>
        <family val="2"/>
      </rPr>
      <t xml:space="preserve"> =</t>
    </r>
  </si>
  <si>
    <t>¿Cumple?</t>
  </si>
  <si>
    <t>Derivas (Asce 7 - 05)</t>
  </si>
  <si>
    <t>Derivas (CEC - 2001)</t>
  </si>
  <si>
    <t>1.4 D + 1.7L</t>
  </si>
  <si>
    <t>0.75(1.4D+1.7L+1.87E)</t>
  </si>
  <si>
    <t>0.9D+1.43E</t>
  </si>
  <si>
    <t>Las combinaciones de carga a usarse según IBC (ASCE 7-05) son:</t>
  </si>
  <si>
    <t>Las combinaciones de carga a usarse según CEC 2001 son:</t>
  </si>
  <si>
    <t>1.05D+1.28L+1.40E</t>
  </si>
  <si>
    <t>CEC</t>
  </si>
  <si>
    <t xml:space="preserve"> R =10</t>
  </si>
  <si>
    <t xml:space="preserve">IBC </t>
  </si>
  <si>
    <t>R = 8</t>
  </si>
  <si>
    <t>V</t>
  </si>
  <si>
    <r>
      <t>w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0"/>
      </rPr>
      <t xml:space="preserve"> = </t>
    </r>
  </si>
  <si>
    <t xml:space="preserve">Derivas: No es necesario realizar este cálculo puesto que con los resultados obtenidos con R = 10, se infiere que con R = 6.25, las derivas serán peores. </t>
  </si>
  <si>
    <t>1.4D</t>
  </si>
  <si>
    <t>Tx =</t>
  </si>
  <si>
    <t>Ty =</t>
  </si>
  <si>
    <t>R = 6</t>
  </si>
  <si>
    <t xml:space="preserve"> ¿ Cs &lt;</t>
  </si>
  <si>
    <t>(MODAL)</t>
  </si>
  <si>
    <t>(Modal)</t>
  </si>
  <si>
    <t>(1)</t>
  </si>
  <si>
    <t>(2)</t>
  </si>
  <si>
    <r>
      <t xml:space="preserve">0.9D </t>
    </r>
    <r>
      <rPr>
        <sz val="10"/>
        <rFont val="Symbol"/>
        <family val="1"/>
      </rPr>
      <t>±</t>
    </r>
    <r>
      <rPr>
        <sz val="10"/>
        <rFont val="Arial"/>
        <family val="0"/>
      </rPr>
      <t xml:space="preserve"> 1.4 E</t>
    </r>
  </si>
  <si>
    <t>R = ?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</si>
</sst>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\ &quot;pulg3&quot;"/>
    <numFmt numFmtId="173" formatCode="0.00\ &quot;cm3&quot;"/>
    <numFmt numFmtId="174" formatCode="0.00\ &quot;cm3 =&quot;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\ &quot; &gt; &quot;"/>
    <numFmt numFmtId="181" formatCode="0.00\ &quot;pulg&quot;"/>
    <numFmt numFmtId="182" formatCode="0.00\ &quot;ton&quot;"/>
    <numFmt numFmtId="183" formatCode="0.00000000"/>
    <numFmt numFmtId="184" formatCode="0.0000000"/>
    <numFmt numFmtId="185" formatCode="0.00\ &quot;ton/m&quot;"/>
    <numFmt numFmtId="186" formatCode="0.00\ &quot;cm&quot;"/>
    <numFmt numFmtId="187" formatCode="0.00\ &quot;pie&quot;"/>
    <numFmt numFmtId="188" formatCode="0.0\ &quot;pie&quot;"/>
    <numFmt numFmtId="189" formatCode="0\ &quot;pie&quot;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8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i/>
      <sz val="14"/>
      <name val="Arial"/>
      <family val="2"/>
    </font>
    <font>
      <vertAlign val="superscript"/>
      <sz val="10"/>
      <name val="Arial"/>
      <family val="2"/>
    </font>
    <font>
      <b/>
      <i/>
      <sz val="11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b/>
      <vertAlign val="superscript"/>
      <sz val="10"/>
      <name val="Arial"/>
      <family val="2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18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17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left"/>
    </xf>
    <xf numFmtId="172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right"/>
    </xf>
    <xf numFmtId="172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172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186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179" fontId="0" fillId="0" borderId="0" xfId="0" applyNumberFormat="1" applyAlignment="1">
      <alignment horizontal="center"/>
    </xf>
    <xf numFmtId="178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79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178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89" fontId="0" fillId="0" borderId="0" xfId="0" applyNumberFormat="1" applyAlignment="1">
      <alignment horizontal="center"/>
    </xf>
    <xf numFmtId="178" fontId="0" fillId="0" borderId="9" xfId="0" applyNumberFormat="1" applyBorder="1" applyAlignment="1">
      <alignment/>
    </xf>
    <xf numFmtId="0" fontId="7" fillId="0" borderId="0" xfId="0" applyFont="1" applyAlignment="1">
      <alignment horizontal="left" vertical="center" wrapText="1"/>
    </xf>
    <xf numFmtId="17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17" fillId="0" borderId="7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0" xfId="0" applyAlignment="1">
      <alignment/>
    </xf>
    <xf numFmtId="179" fontId="0" fillId="0" borderId="9" xfId="0" applyNumberFormat="1" applyBorder="1" applyAlignment="1">
      <alignment horizontal="center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0" fillId="0" borderId="0" xfId="0" applyNumberFormat="1" applyAlignment="1">
      <alignment horizontal="left"/>
    </xf>
    <xf numFmtId="178" fontId="0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  <xf numFmtId="17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1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5.emf" /><Relationship Id="rId14" Type="http://schemas.openxmlformats.org/officeDocument/2006/relationships/image" Target="../media/image10.emf" /><Relationship Id="rId15" Type="http://schemas.openxmlformats.org/officeDocument/2006/relationships/image" Target="../media/image5.emf" /><Relationship Id="rId16" Type="http://schemas.openxmlformats.org/officeDocument/2006/relationships/image" Target="../media/image10.emf" /><Relationship Id="rId17" Type="http://schemas.openxmlformats.org/officeDocument/2006/relationships/image" Target="../media/image9.emf" /><Relationship Id="rId18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526</xdr:row>
      <xdr:rowOff>19050</xdr:rowOff>
    </xdr:from>
    <xdr:to>
      <xdr:col>3</xdr:col>
      <xdr:colOff>95250</xdr:colOff>
      <xdr:row>529</xdr:row>
      <xdr:rowOff>142875</xdr:rowOff>
    </xdr:to>
    <xdr:sp>
      <xdr:nvSpPr>
        <xdr:cNvPr id="1" name="AutoShape 82"/>
        <xdr:cNvSpPr>
          <a:spLocks/>
        </xdr:cNvSpPr>
      </xdr:nvSpPr>
      <xdr:spPr>
        <a:xfrm>
          <a:off x="876300" y="91468575"/>
          <a:ext cx="914400" cy="609600"/>
        </a:xfrm>
        <a:prstGeom prst="borderCallout1">
          <a:avLst>
            <a:gd name="adj1" fmla="val 161458"/>
            <a:gd name="adj2" fmla="val -37500"/>
            <a:gd name="adj3" fmla="val 58333"/>
            <a:gd name="adj4" fmla="val -88541"/>
            <a:gd name="adj5" fmla="val -312500"/>
            <a:gd name="adj6" fmla="val -79166"/>
            <a:gd name="adj7" fmla="val -30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0</xdr:rowOff>
    </xdr:from>
    <xdr:to>
      <xdr:col>6</xdr:col>
      <xdr:colOff>9525</xdr:colOff>
      <xdr:row>83</xdr:row>
      <xdr:rowOff>133350</xdr:rowOff>
    </xdr:to>
    <xdr:grpSp>
      <xdr:nvGrpSpPr>
        <xdr:cNvPr id="2" name="Group 8"/>
        <xdr:cNvGrpSpPr>
          <a:grpSpLocks/>
        </xdr:cNvGrpSpPr>
      </xdr:nvGrpSpPr>
      <xdr:grpSpPr>
        <a:xfrm>
          <a:off x="809625" y="14316075"/>
          <a:ext cx="2362200" cy="333375"/>
          <a:chOff x="81" y="1479"/>
          <a:chExt cx="235" cy="31"/>
        </a:xfrm>
        <a:solidFill>
          <a:srgbClr val="FFFFFF"/>
        </a:solidFill>
      </xdr:grpSpPr>
      <xdr:sp>
        <xdr:nvSpPr>
          <xdr:cNvPr id="3" name="Line 1"/>
          <xdr:cNvSpPr>
            <a:spLocks/>
          </xdr:cNvSpPr>
        </xdr:nvSpPr>
        <xdr:spPr>
          <a:xfrm>
            <a:off x="81" y="1500"/>
            <a:ext cx="2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"/>
          <xdr:cNvSpPr>
            <a:spLocks/>
          </xdr:cNvSpPr>
        </xdr:nvSpPr>
        <xdr:spPr>
          <a:xfrm>
            <a:off x="139" y="147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"/>
          <xdr:cNvSpPr>
            <a:spLocks/>
          </xdr:cNvSpPr>
        </xdr:nvSpPr>
        <xdr:spPr>
          <a:xfrm>
            <a:off x="198" y="148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H="1">
            <a:off x="257" y="1484"/>
            <a:ext cx="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"/>
          <xdr:cNvSpPr>
            <a:spLocks/>
          </xdr:cNvSpPr>
        </xdr:nvSpPr>
        <xdr:spPr>
          <a:xfrm>
            <a:off x="81" y="1488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316" y="1492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211</xdr:row>
      <xdr:rowOff>9525</xdr:rowOff>
    </xdr:from>
    <xdr:to>
      <xdr:col>6</xdr:col>
      <xdr:colOff>0</xdr:colOff>
      <xdr:row>211</xdr:row>
      <xdr:rowOff>9525</xdr:rowOff>
    </xdr:to>
    <xdr:sp>
      <xdr:nvSpPr>
        <xdr:cNvPr id="9" name="Line 10"/>
        <xdr:cNvSpPr>
          <a:spLocks/>
        </xdr:cNvSpPr>
      </xdr:nvSpPr>
      <xdr:spPr>
        <a:xfrm>
          <a:off x="809625" y="370427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209</xdr:row>
      <xdr:rowOff>180975</xdr:rowOff>
    </xdr:from>
    <xdr:to>
      <xdr:col>2</xdr:col>
      <xdr:colOff>9525</xdr:colOff>
      <xdr:row>211</xdr:row>
      <xdr:rowOff>0</xdr:rowOff>
    </xdr:to>
    <xdr:sp>
      <xdr:nvSpPr>
        <xdr:cNvPr id="10" name="Line 11"/>
        <xdr:cNvSpPr>
          <a:spLocks/>
        </xdr:cNvSpPr>
      </xdr:nvSpPr>
      <xdr:spPr>
        <a:xfrm>
          <a:off x="1323975" y="36814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210</xdr:row>
      <xdr:rowOff>0</xdr:rowOff>
    </xdr:from>
    <xdr:to>
      <xdr:col>4</xdr:col>
      <xdr:colOff>114300</xdr:colOff>
      <xdr:row>211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36833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210</xdr:row>
      <xdr:rowOff>19050</xdr:rowOff>
    </xdr:from>
    <xdr:to>
      <xdr:col>5</xdr:col>
      <xdr:colOff>171450</xdr:colOff>
      <xdr:row>211</xdr:row>
      <xdr:rowOff>9525</xdr:rowOff>
    </xdr:to>
    <xdr:sp>
      <xdr:nvSpPr>
        <xdr:cNvPr id="12" name="Line 13"/>
        <xdr:cNvSpPr>
          <a:spLocks/>
        </xdr:cNvSpPr>
      </xdr:nvSpPr>
      <xdr:spPr>
        <a:xfrm flipH="1">
          <a:off x="2562225" y="368522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210</xdr:row>
      <xdr:rowOff>76200</xdr:rowOff>
    </xdr:from>
    <xdr:to>
      <xdr:col>1</xdr:col>
      <xdr:colOff>9525</xdr:colOff>
      <xdr:row>211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809625" y="36909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210</xdr:row>
      <xdr:rowOff>123825</xdr:rowOff>
    </xdr:from>
    <xdr:to>
      <xdr:col>6</xdr:col>
      <xdr:colOff>9525</xdr:colOff>
      <xdr:row>211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3171825" y="36957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209</xdr:row>
      <xdr:rowOff>190500</xdr:rowOff>
    </xdr:from>
    <xdr:to>
      <xdr:col>6</xdr:col>
      <xdr:colOff>0</xdr:colOff>
      <xdr:row>210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771525" y="36823650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210</xdr:row>
      <xdr:rowOff>9525</xdr:rowOff>
    </xdr:from>
    <xdr:to>
      <xdr:col>6</xdr:col>
      <xdr:colOff>0</xdr:colOff>
      <xdr:row>211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3152775" y="368427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210</xdr:row>
      <xdr:rowOff>9525</xdr:rowOff>
    </xdr:from>
    <xdr:to>
      <xdr:col>4</xdr:col>
      <xdr:colOff>438150</xdr:colOff>
      <xdr:row>211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2238375" y="368427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210</xdr:row>
      <xdr:rowOff>0</xdr:rowOff>
    </xdr:from>
    <xdr:to>
      <xdr:col>2</xdr:col>
      <xdr:colOff>333375</xdr:colOff>
      <xdr:row>210</xdr:row>
      <xdr:rowOff>190500</xdr:rowOff>
    </xdr:to>
    <xdr:sp>
      <xdr:nvSpPr>
        <xdr:cNvPr id="18" name="Line 19"/>
        <xdr:cNvSpPr>
          <a:spLocks/>
        </xdr:cNvSpPr>
      </xdr:nvSpPr>
      <xdr:spPr>
        <a:xfrm flipH="1">
          <a:off x="1638300" y="368331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210</xdr:row>
      <xdr:rowOff>9525</xdr:rowOff>
    </xdr:from>
    <xdr:to>
      <xdr:col>1</xdr:col>
      <xdr:colOff>228600</xdr:colOff>
      <xdr:row>211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1019175" y="368427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</xdr:colOff>
      <xdr:row>211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800100" y="368427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210</xdr:row>
      <xdr:rowOff>9525</xdr:rowOff>
    </xdr:from>
    <xdr:to>
      <xdr:col>5</xdr:col>
      <xdr:colOff>447675</xdr:colOff>
      <xdr:row>211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2838450" y="368427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519</xdr:row>
      <xdr:rowOff>133350</xdr:rowOff>
    </xdr:from>
    <xdr:to>
      <xdr:col>8</xdr:col>
      <xdr:colOff>428625</xdr:colOff>
      <xdr:row>519</xdr:row>
      <xdr:rowOff>133350</xdr:rowOff>
    </xdr:to>
    <xdr:sp>
      <xdr:nvSpPr>
        <xdr:cNvPr id="22" name="Line 36"/>
        <xdr:cNvSpPr>
          <a:spLocks/>
        </xdr:cNvSpPr>
      </xdr:nvSpPr>
      <xdr:spPr>
        <a:xfrm>
          <a:off x="4695825" y="90220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812</xdr:row>
      <xdr:rowOff>0</xdr:rowOff>
    </xdr:from>
    <xdr:to>
      <xdr:col>12</xdr:col>
      <xdr:colOff>685800</xdr:colOff>
      <xdr:row>812</xdr:row>
      <xdr:rowOff>0</xdr:rowOff>
    </xdr:to>
    <xdr:sp>
      <xdr:nvSpPr>
        <xdr:cNvPr id="23" name="Line 40"/>
        <xdr:cNvSpPr>
          <a:spLocks/>
        </xdr:cNvSpPr>
      </xdr:nvSpPr>
      <xdr:spPr>
        <a:xfrm>
          <a:off x="7096125" y="138217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534</xdr:row>
      <xdr:rowOff>95250</xdr:rowOff>
    </xdr:from>
    <xdr:to>
      <xdr:col>5</xdr:col>
      <xdr:colOff>200025</xdr:colOff>
      <xdr:row>534</xdr:row>
      <xdr:rowOff>95250</xdr:rowOff>
    </xdr:to>
    <xdr:sp>
      <xdr:nvSpPr>
        <xdr:cNvPr id="24" name="Line 42"/>
        <xdr:cNvSpPr>
          <a:spLocks/>
        </xdr:cNvSpPr>
      </xdr:nvSpPr>
      <xdr:spPr>
        <a:xfrm>
          <a:off x="2362200" y="92840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588</xdr:row>
      <xdr:rowOff>133350</xdr:rowOff>
    </xdr:from>
    <xdr:to>
      <xdr:col>9</xdr:col>
      <xdr:colOff>104775</xdr:colOff>
      <xdr:row>588</xdr:row>
      <xdr:rowOff>133350</xdr:rowOff>
    </xdr:to>
    <xdr:sp>
      <xdr:nvSpPr>
        <xdr:cNvPr id="25" name="Line 45"/>
        <xdr:cNvSpPr>
          <a:spLocks/>
        </xdr:cNvSpPr>
      </xdr:nvSpPr>
      <xdr:spPr>
        <a:xfrm>
          <a:off x="4695825" y="101765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603</xdr:row>
      <xdr:rowOff>104775</xdr:rowOff>
    </xdr:from>
    <xdr:to>
      <xdr:col>5</xdr:col>
      <xdr:colOff>400050</xdr:colOff>
      <xdr:row>603</xdr:row>
      <xdr:rowOff>104775</xdr:rowOff>
    </xdr:to>
    <xdr:sp>
      <xdr:nvSpPr>
        <xdr:cNvPr id="26" name="Line 49"/>
        <xdr:cNvSpPr>
          <a:spLocks/>
        </xdr:cNvSpPr>
      </xdr:nvSpPr>
      <xdr:spPr>
        <a:xfrm>
          <a:off x="2295525" y="1043940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594</xdr:row>
      <xdr:rowOff>28575</xdr:rowOff>
    </xdr:from>
    <xdr:to>
      <xdr:col>3</xdr:col>
      <xdr:colOff>104775</xdr:colOff>
      <xdr:row>599</xdr:row>
      <xdr:rowOff>0</xdr:rowOff>
    </xdr:to>
    <xdr:sp>
      <xdr:nvSpPr>
        <xdr:cNvPr id="27" name="AutoShape 50"/>
        <xdr:cNvSpPr>
          <a:spLocks/>
        </xdr:cNvSpPr>
      </xdr:nvSpPr>
      <xdr:spPr>
        <a:xfrm rot="10800000">
          <a:off x="809625" y="102822375"/>
          <a:ext cx="990600" cy="819150"/>
        </a:xfrm>
        <a:prstGeom prst="borderCallout2">
          <a:avLst>
            <a:gd name="adj1" fmla="val -127888"/>
            <a:gd name="adj2" fmla="val 17439"/>
            <a:gd name="adj3" fmla="val -69231"/>
            <a:gd name="adj4" fmla="val 36046"/>
            <a:gd name="adj5" fmla="val -57694"/>
            <a:gd name="adj6" fmla="val 36046"/>
            <a:gd name="adj7" fmla="val -225962"/>
            <a:gd name="adj8" fmla="val -81398"/>
          </a:avLst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507</xdr:row>
      <xdr:rowOff>85725</xdr:rowOff>
    </xdr:from>
    <xdr:to>
      <xdr:col>5</xdr:col>
      <xdr:colOff>47625</xdr:colOff>
      <xdr:row>507</xdr:row>
      <xdr:rowOff>85725</xdr:rowOff>
    </xdr:to>
    <xdr:sp>
      <xdr:nvSpPr>
        <xdr:cNvPr id="28" name="Line 74"/>
        <xdr:cNvSpPr>
          <a:spLocks/>
        </xdr:cNvSpPr>
      </xdr:nvSpPr>
      <xdr:spPr>
        <a:xfrm>
          <a:off x="2143125" y="88134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5"/>
  <sheetViews>
    <sheetView tabSelected="1" workbookViewId="0" topLeftCell="A19">
      <selection activeCell="N36" sqref="N36"/>
    </sheetView>
  </sheetViews>
  <sheetFormatPr defaultColWidth="11.421875" defaultRowHeight="12.75"/>
  <cols>
    <col min="1" max="1" width="12.00390625" style="0" customWidth="1"/>
    <col min="2" max="2" width="7.7109375" style="0" customWidth="1"/>
    <col min="3" max="3" width="5.7109375" style="0" customWidth="1"/>
    <col min="4" max="4" width="1.7109375" style="0" customWidth="1"/>
    <col min="5" max="5" width="8.8515625" style="0" customWidth="1"/>
    <col min="7" max="7" width="12.7109375" style="0" bestFit="1" customWidth="1"/>
    <col min="8" max="8" width="6.140625" style="0" customWidth="1"/>
    <col min="9" max="9" width="6.421875" style="0" customWidth="1"/>
    <col min="10" max="10" width="7.421875" style="0" customWidth="1"/>
    <col min="11" max="11" width="6.8515625" style="0" customWidth="1"/>
  </cols>
  <sheetData>
    <row r="1" spans="1:1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9" ht="15">
      <c r="A2" s="12"/>
      <c r="B2" s="12"/>
      <c r="C2" s="12"/>
      <c r="D2" s="12"/>
      <c r="E2" s="12"/>
      <c r="F2" s="12"/>
      <c r="G2" s="12"/>
      <c r="H2" s="12"/>
      <c r="I2" s="12"/>
    </row>
    <row r="3" spans="1:9" ht="16.5">
      <c r="A3" s="12"/>
      <c r="B3" s="8" t="s">
        <v>21</v>
      </c>
      <c r="C3" s="9">
        <v>36</v>
      </c>
      <c r="D3" s="11" t="s">
        <v>24</v>
      </c>
      <c r="E3" s="9">
        <v>2531.05</v>
      </c>
      <c r="G3" s="8" t="s">
        <v>23</v>
      </c>
      <c r="H3" s="11">
        <v>0.9</v>
      </c>
      <c r="I3" s="12"/>
    </row>
    <row r="4" spans="1:9" ht="16.5">
      <c r="A4" s="12"/>
      <c r="B4" s="8" t="s">
        <v>22</v>
      </c>
      <c r="C4" s="9">
        <v>58</v>
      </c>
      <c r="D4" s="11" t="s">
        <v>24</v>
      </c>
      <c r="E4" s="9">
        <v>4077.88</v>
      </c>
      <c r="F4" s="9"/>
      <c r="G4" s="8" t="s">
        <v>30</v>
      </c>
      <c r="H4" s="11">
        <v>0.9</v>
      </c>
      <c r="I4" s="12"/>
    </row>
    <row r="6" ht="15.75">
      <c r="A6" s="39" t="s">
        <v>1</v>
      </c>
    </row>
    <row r="8" spans="2:6" ht="12.75">
      <c r="B8" s="104" t="s">
        <v>2</v>
      </c>
      <c r="C8" s="104"/>
      <c r="D8" s="104"/>
      <c r="E8" s="104"/>
      <c r="F8" s="104"/>
    </row>
    <row r="10" spans="2:5" ht="15.75">
      <c r="B10" s="1" t="s">
        <v>3</v>
      </c>
      <c r="C10">
        <v>0.52</v>
      </c>
      <c r="E10" t="s">
        <v>6</v>
      </c>
    </row>
    <row r="11" spans="2:5" ht="15.75">
      <c r="B11" s="1" t="s">
        <v>4</v>
      </c>
      <c r="C11">
        <v>0.25</v>
      </c>
      <c r="E11" t="s">
        <v>6</v>
      </c>
    </row>
    <row r="12" spans="2:5" ht="15.75">
      <c r="B12" s="1" t="s">
        <v>5</v>
      </c>
      <c r="C12">
        <f>1.2*C10+1.6*C11</f>
        <v>1.024</v>
      </c>
      <c r="E12" t="s">
        <v>6</v>
      </c>
    </row>
    <row r="14" spans="2:4" ht="12.75">
      <c r="B14" s="104" t="s">
        <v>7</v>
      </c>
      <c r="C14" s="104"/>
      <c r="D14" s="104"/>
    </row>
    <row r="16" spans="2:5" ht="15.75">
      <c r="B16" s="1" t="s">
        <v>3</v>
      </c>
      <c r="C16">
        <v>0.45</v>
      </c>
      <c r="E16" t="s">
        <v>6</v>
      </c>
    </row>
    <row r="17" spans="2:5" ht="15.75">
      <c r="B17" s="1" t="s">
        <v>4</v>
      </c>
      <c r="C17">
        <v>0.125</v>
      </c>
      <c r="E17" t="s">
        <v>6</v>
      </c>
    </row>
    <row r="18" spans="2:5" ht="15.75">
      <c r="B18" s="1" t="s">
        <v>5</v>
      </c>
      <c r="C18">
        <f>1.2*C16+1.6*C17</f>
        <v>0.74</v>
      </c>
      <c r="E18" t="s">
        <v>6</v>
      </c>
    </row>
    <row r="20" spans="1:3" ht="15.75">
      <c r="A20" s="110" t="s">
        <v>8</v>
      </c>
      <c r="B20" s="110"/>
      <c r="C20" s="110"/>
    </row>
    <row r="22" spans="1:9" ht="12.75">
      <c r="A22" s="107" t="s">
        <v>9</v>
      </c>
      <c r="B22" s="107"/>
      <c r="C22" s="107"/>
      <c r="D22" s="107"/>
      <c r="E22" s="107"/>
      <c r="F22" s="107"/>
      <c r="G22" s="107"/>
      <c r="H22" s="107"/>
      <c r="I22" s="107"/>
    </row>
    <row r="23" spans="1:9" ht="12.75">
      <c r="A23" s="107"/>
      <c r="B23" s="107"/>
      <c r="C23" s="107"/>
      <c r="D23" s="107"/>
      <c r="E23" s="107"/>
      <c r="F23" s="107"/>
      <c r="G23" s="107"/>
      <c r="H23" s="107"/>
      <c r="I23" s="107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6" spans="2:7" ht="12.75">
      <c r="B26" s="104" t="s">
        <v>36</v>
      </c>
      <c r="C26" s="104"/>
      <c r="D26" s="104"/>
      <c r="E26" s="104"/>
      <c r="F26" s="104"/>
      <c r="G26" s="104"/>
    </row>
    <row r="27" spans="2:6" ht="12.75">
      <c r="B27" s="4"/>
      <c r="C27" s="4"/>
      <c r="D27" s="4"/>
      <c r="E27" s="4"/>
      <c r="F27" s="4"/>
    </row>
    <row r="28" spans="2:8" ht="12.75">
      <c r="B28" s="99" t="s">
        <v>17</v>
      </c>
      <c r="C28" s="99"/>
      <c r="D28" s="99"/>
      <c r="E28" s="99"/>
      <c r="F28" s="99"/>
      <c r="G28" s="10">
        <v>2.29</v>
      </c>
      <c r="H28" s="10" t="s">
        <v>18</v>
      </c>
    </row>
    <row r="29" spans="2:9" ht="15.75">
      <c r="B29" s="8" t="s">
        <v>14</v>
      </c>
      <c r="C29" s="98" t="s">
        <v>15</v>
      </c>
      <c r="D29" s="98"/>
      <c r="E29" s="98"/>
      <c r="F29" s="106" t="s">
        <v>16</v>
      </c>
      <c r="G29" s="106"/>
      <c r="H29">
        <f>C12*G28*1.05</f>
        <v>2.462208</v>
      </c>
      <c r="I29" t="s">
        <v>19</v>
      </c>
    </row>
    <row r="30" spans="2:6" ht="12.75">
      <c r="B30" s="4"/>
      <c r="C30" s="4"/>
      <c r="D30" s="4"/>
      <c r="E30" s="4"/>
      <c r="F30" s="4"/>
    </row>
    <row r="31" spans="2:6" ht="12.75">
      <c r="B31" s="4"/>
      <c r="C31" s="4"/>
      <c r="D31" s="4"/>
      <c r="E31" s="4"/>
      <c r="F31" s="4"/>
    </row>
    <row r="32" spans="1:5" ht="12.75">
      <c r="A32" s="100" t="s">
        <v>10</v>
      </c>
      <c r="B32" s="100"/>
      <c r="C32">
        <v>21.5742</v>
      </c>
      <c r="E32" t="s">
        <v>12</v>
      </c>
    </row>
    <row r="33" spans="1:5" ht="12.75">
      <c r="A33" s="100" t="s">
        <v>11</v>
      </c>
      <c r="B33" s="100"/>
      <c r="C33">
        <v>13.57</v>
      </c>
      <c r="E33" t="s">
        <v>13</v>
      </c>
    </row>
    <row r="35" spans="1:10" ht="12.75">
      <c r="A35" s="100" t="s">
        <v>20</v>
      </c>
      <c r="B35" s="100"/>
      <c r="C35" s="109">
        <f>C32*10^5/$H$3/$E$3</f>
        <v>947.0904696996635</v>
      </c>
      <c r="D35" s="109"/>
      <c r="E35" s="109"/>
      <c r="F35" s="13">
        <f>C35/16.387</f>
        <v>57.79523217792539</v>
      </c>
      <c r="G35" t="s">
        <v>25</v>
      </c>
      <c r="I35" s="1" t="s">
        <v>31</v>
      </c>
      <c r="J35" s="2">
        <v>11.9</v>
      </c>
    </row>
    <row r="36" spans="7:10" ht="15.75">
      <c r="G36" t="s">
        <v>26</v>
      </c>
      <c r="I36" s="1" t="s">
        <v>32</v>
      </c>
      <c r="J36" s="2">
        <v>0.295</v>
      </c>
    </row>
    <row r="37" spans="9:10" ht="15.75">
      <c r="I37" s="1" t="s">
        <v>34</v>
      </c>
      <c r="J37" s="2">
        <v>33.6</v>
      </c>
    </row>
    <row r="38" spans="2:5" ht="12.75">
      <c r="B38" s="108" t="s">
        <v>27</v>
      </c>
      <c r="C38" s="108"/>
      <c r="D38" s="108"/>
      <c r="E38" s="108"/>
    </row>
    <row r="40" ht="12.75">
      <c r="B40" t="s">
        <v>35</v>
      </c>
    </row>
    <row r="42" spans="2:7" ht="12.75">
      <c r="B42" s="98" t="s">
        <v>28</v>
      </c>
      <c r="C42" s="98"/>
      <c r="D42" s="98"/>
      <c r="E42" s="98"/>
      <c r="F42" s="19">
        <f>2.45*((29000/36)^0.5)</f>
        <v>69.53666099419948</v>
      </c>
      <c r="G42" s="2">
        <f>J37</f>
        <v>33.6</v>
      </c>
    </row>
    <row r="44" spans="2:9" ht="15.75">
      <c r="B44" s="93" t="s">
        <v>29</v>
      </c>
      <c r="C44" s="93"/>
      <c r="D44" s="93"/>
      <c r="E44" s="93"/>
      <c r="F44" s="93"/>
      <c r="G44" s="23">
        <f>$H$4*0.6*$C$3*J35*J36/2.2</f>
        <v>31.020054545454542</v>
      </c>
      <c r="H44" t="s">
        <v>33</v>
      </c>
      <c r="I44" t="str">
        <f>IF(G44&gt;=C33,"OK","MAL")</f>
        <v>OK</v>
      </c>
    </row>
    <row r="47" spans="2:6" ht="12.75">
      <c r="B47" s="108" t="s">
        <v>37</v>
      </c>
      <c r="C47" s="108"/>
      <c r="D47" s="108"/>
      <c r="E47" s="108"/>
      <c r="F47" s="108"/>
    </row>
    <row r="49" spans="2:7" ht="15.75">
      <c r="B49" t="s">
        <v>38</v>
      </c>
      <c r="E49" s="21" t="s">
        <v>39</v>
      </c>
      <c r="F49" s="22">
        <v>1.3</v>
      </c>
      <c r="G49" t="str">
        <f>IF(F50&gt;=F49,"OK","MAL")</f>
        <v>OK</v>
      </c>
    </row>
    <row r="50" spans="5:6" ht="15.75">
      <c r="E50" s="21" t="s">
        <v>40</v>
      </c>
      <c r="F50" s="22">
        <f>30*12/240</f>
        <v>1.5</v>
      </c>
    </row>
    <row r="53" spans="2:7" ht="12.75">
      <c r="B53" s="104" t="s">
        <v>41</v>
      </c>
      <c r="C53" s="104"/>
      <c r="D53" s="104"/>
      <c r="E53" s="104"/>
      <c r="F53" s="104"/>
      <c r="G53" s="104"/>
    </row>
    <row r="54" spans="2:6" ht="12.75">
      <c r="B54" s="4"/>
      <c r="C54" s="4"/>
      <c r="D54" s="4"/>
      <c r="E54" s="4"/>
      <c r="F54" s="4"/>
    </row>
    <row r="55" spans="2:8" ht="12.75">
      <c r="B55" s="99" t="s">
        <v>17</v>
      </c>
      <c r="C55" s="99"/>
      <c r="D55" s="99"/>
      <c r="E55" s="99"/>
      <c r="F55" s="99"/>
      <c r="G55" s="10">
        <v>2.29</v>
      </c>
      <c r="H55" s="10" t="s">
        <v>18</v>
      </c>
    </row>
    <row r="56" spans="2:9" ht="15.75">
      <c r="B56" s="8" t="s">
        <v>14</v>
      </c>
      <c r="C56" s="98" t="s">
        <v>15</v>
      </c>
      <c r="D56" s="98"/>
      <c r="E56" s="98"/>
      <c r="F56" s="106" t="s">
        <v>16</v>
      </c>
      <c r="G56" s="106"/>
      <c r="H56">
        <f>C18*G55*1.05</f>
        <v>1.77933</v>
      </c>
      <c r="I56" t="s">
        <v>19</v>
      </c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1:5" ht="12.75">
      <c r="A59" s="100" t="s">
        <v>10</v>
      </c>
      <c r="B59" s="100"/>
      <c r="C59">
        <v>15.88</v>
      </c>
      <c r="E59" t="s">
        <v>12</v>
      </c>
    </row>
    <row r="60" spans="1:5" ht="12.75">
      <c r="A60" s="100" t="s">
        <v>11</v>
      </c>
      <c r="B60" s="100"/>
      <c r="C60">
        <v>9.98</v>
      </c>
      <c r="E60" t="s">
        <v>13</v>
      </c>
    </row>
    <row r="62" spans="1:10" ht="12.75">
      <c r="A62" s="100" t="s">
        <v>20</v>
      </c>
      <c r="B62" s="100"/>
      <c r="C62" s="109">
        <f>C59*10^5/$H$3/$E$3</f>
        <v>697.1195529303824</v>
      </c>
      <c r="D62" s="109"/>
      <c r="E62" s="109"/>
      <c r="F62" s="13">
        <f>C62/16.387</f>
        <v>42.541011346212386</v>
      </c>
      <c r="G62" t="s">
        <v>42</v>
      </c>
      <c r="I62" s="1" t="s">
        <v>31</v>
      </c>
      <c r="J62" s="2">
        <v>12.3</v>
      </c>
    </row>
    <row r="63" spans="7:10" ht="15.75">
      <c r="G63" t="s">
        <v>43</v>
      </c>
      <c r="I63" s="1" t="s">
        <v>32</v>
      </c>
      <c r="J63" s="2">
        <v>0.26</v>
      </c>
    </row>
    <row r="64" spans="9:10" ht="15.75">
      <c r="I64" s="1" t="s">
        <v>34</v>
      </c>
      <c r="J64" s="2">
        <v>41.8</v>
      </c>
    </row>
    <row r="65" spans="2:5" ht="12.75">
      <c r="B65" s="108" t="s">
        <v>27</v>
      </c>
      <c r="C65" s="108"/>
      <c r="D65" s="108"/>
      <c r="E65" s="108"/>
    </row>
    <row r="67" ht="12.75">
      <c r="B67" t="s">
        <v>35</v>
      </c>
    </row>
    <row r="69" spans="2:7" ht="12.75">
      <c r="B69" s="98" t="s">
        <v>28</v>
      </c>
      <c r="C69" s="98"/>
      <c r="D69" s="98"/>
      <c r="E69" s="98"/>
      <c r="F69" s="19">
        <f>2.45*((29000/36)^0.5)</f>
        <v>69.53666099419948</v>
      </c>
      <c r="G69" s="2">
        <f>J64</f>
        <v>41.8</v>
      </c>
    </row>
    <row r="71" spans="2:9" ht="15.75">
      <c r="B71" s="93" t="s">
        <v>29</v>
      </c>
      <c r="C71" s="93"/>
      <c r="D71" s="93"/>
      <c r="E71" s="93"/>
      <c r="F71" s="93"/>
      <c r="G71" s="14">
        <f>$H$4*0.6*$C$3*J62*J63/2.2</f>
        <v>28.25869090909091</v>
      </c>
      <c r="H71" t="s">
        <v>33</v>
      </c>
      <c r="I71" t="str">
        <f>IF(G71&gt;=C60,"OK","MAL")</f>
        <v>OK</v>
      </c>
    </row>
    <row r="74" spans="2:6" ht="12.75">
      <c r="B74" s="108" t="s">
        <v>37</v>
      </c>
      <c r="C74" s="108"/>
      <c r="D74" s="108"/>
      <c r="E74" s="108"/>
      <c r="F74" s="108"/>
    </row>
    <row r="76" spans="2:7" ht="15.75">
      <c r="B76" t="s">
        <v>38</v>
      </c>
      <c r="E76" s="21" t="s">
        <v>39</v>
      </c>
      <c r="F76" s="22">
        <v>1.2</v>
      </c>
      <c r="G76" t="str">
        <f>IF(F77&gt;=F76,"OK","MAL")</f>
        <v>OK</v>
      </c>
    </row>
    <row r="77" spans="5:6" ht="15.75">
      <c r="E77" s="21" t="s">
        <v>40</v>
      </c>
      <c r="F77" s="22">
        <f>30*12/240</f>
        <v>1.5</v>
      </c>
    </row>
    <row r="80" spans="1:6" ht="15.75">
      <c r="A80" s="110" t="s">
        <v>44</v>
      </c>
      <c r="B80" s="110"/>
      <c r="C80" s="110"/>
      <c r="D80" s="110"/>
      <c r="E80" s="110"/>
      <c r="F80" s="110"/>
    </row>
    <row r="82" spans="3:11" ht="15.75">
      <c r="C82" t="s">
        <v>45</v>
      </c>
      <c r="E82" t="s">
        <v>45</v>
      </c>
      <c r="F82" t="s">
        <v>45</v>
      </c>
      <c r="H82" s="20" t="s">
        <v>62</v>
      </c>
      <c r="I82" s="15">
        <f>0.3*(29000/$C$3)^0.5</f>
        <v>8.514693182963201</v>
      </c>
      <c r="J82" t="s">
        <v>63</v>
      </c>
      <c r="K82" t="s">
        <v>64</v>
      </c>
    </row>
    <row r="83" spans="8:11" ht="15.75">
      <c r="H83" s="20" t="s">
        <v>62</v>
      </c>
      <c r="I83">
        <f>2.45*(29000/$C$3)^0.5</f>
        <v>69.53666099419948</v>
      </c>
      <c r="J83" t="s">
        <v>63</v>
      </c>
      <c r="K83" t="s">
        <v>65</v>
      </c>
    </row>
    <row r="87" spans="2:7" ht="12.75">
      <c r="B87" s="104" t="s">
        <v>48</v>
      </c>
      <c r="C87" s="104"/>
      <c r="D87" s="104"/>
      <c r="E87" s="104"/>
      <c r="F87" s="104"/>
      <c r="G87" s="104"/>
    </row>
    <row r="88" spans="2:10" ht="12.75">
      <c r="B88" s="5"/>
      <c r="C88" s="5"/>
      <c r="D88" s="5"/>
      <c r="E88" s="5"/>
      <c r="F88" s="5"/>
      <c r="G88" s="5"/>
      <c r="H88" t="s">
        <v>46</v>
      </c>
      <c r="I88" s="113">
        <v>25.4</v>
      </c>
      <c r="J88" s="113"/>
    </row>
    <row r="89" spans="1:10" ht="12.75">
      <c r="A89" s="100" t="s">
        <v>10</v>
      </c>
      <c r="B89" s="100"/>
      <c r="C89">
        <v>72.7</v>
      </c>
      <c r="E89" t="s">
        <v>12</v>
      </c>
      <c r="H89" s="107" t="s">
        <v>47</v>
      </c>
      <c r="I89" s="107"/>
      <c r="J89" s="107"/>
    </row>
    <row r="90" spans="1:10" ht="12.75">
      <c r="A90" s="100" t="s">
        <v>11</v>
      </c>
      <c r="B90" s="100"/>
      <c r="C90">
        <v>33.61</v>
      </c>
      <c r="E90" t="s">
        <v>13</v>
      </c>
      <c r="H90" s="107"/>
      <c r="I90" s="107"/>
      <c r="J90" s="107"/>
    </row>
    <row r="92" spans="1:6" ht="12.75">
      <c r="A92" s="100" t="s">
        <v>20</v>
      </c>
      <c r="B92" s="100"/>
      <c r="C92" s="109">
        <f>C89*10^5/$H$3/$E$3</f>
        <v>3191.4730162492947</v>
      </c>
      <c r="D92" s="109"/>
      <c r="E92" s="109"/>
      <c r="F92" s="13">
        <f>C92/16.387</f>
        <v>194.7563932537557</v>
      </c>
    </row>
    <row r="94" spans="1:11" ht="15.75">
      <c r="A94" t="s">
        <v>49</v>
      </c>
      <c r="B94" s="2" t="s">
        <v>50</v>
      </c>
      <c r="C94" s="111">
        <f>1.1*F92</f>
        <v>214.2320325791313</v>
      </c>
      <c r="D94" s="111"/>
      <c r="E94" s="111"/>
      <c r="F94" s="98" t="s">
        <v>52</v>
      </c>
      <c r="G94" s="98"/>
      <c r="H94" s="27" t="s">
        <v>31</v>
      </c>
      <c r="I94" s="28">
        <v>24.1</v>
      </c>
      <c r="J94" s="32" t="s">
        <v>59</v>
      </c>
      <c r="K94" s="33">
        <v>5.86</v>
      </c>
    </row>
    <row r="95" spans="2:9" ht="15.75">
      <c r="B95" s="2"/>
      <c r="C95" s="2"/>
      <c r="D95" s="2"/>
      <c r="E95" s="2"/>
      <c r="F95" s="1" t="s">
        <v>51</v>
      </c>
      <c r="G95" s="24">
        <v>224</v>
      </c>
      <c r="H95" s="25" t="s">
        <v>32</v>
      </c>
      <c r="I95" s="29">
        <v>0.47</v>
      </c>
    </row>
    <row r="96" spans="2:9" ht="15.75">
      <c r="B96" s="2"/>
      <c r="C96" s="2"/>
      <c r="D96" s="2"/>
      <c r="E96" s="2"/>
      <c r="H96" s="30" t="s">
        <v>34</v>
      </c>
      <c r="I96" s="31">
        <v>45.9</v>
      </c>
    </row>
    <row r="97" spans="2:9" ht="12.75">
      <c r="B97" s="2"/>
      <c r="C97" s="2"/>
      <c r="D97" s="2"/>
      <c r="E97" s="2"/>
      <c r="H97" s="1"/>
      <c r="I97" s="2"/>
    </row>
    <row r="98" spans="1:11" ht="15.75">
      <c r="A98" t="s">
        <v>53</v>
      </c>
      <c r="B98" s="2" t="s">
        <v>54</v>
      </c>
      <c r="C98" s="111">
        <f>1.2*F92</f>
        <v>233.70767190450684</v>
      </c>
      <c r="D98" s="111"/>
      <c r="E98" s="111"/>
      <c r="F98" s="98" t="s">
        <v>55</v>
      </c>
      <c r="G98" s="98"/>
      <c r="H98" s="27" t="s">
        <v>31</v>
      </c>
      <c r="I98" s="28">
        <v>26.7</v>
      </c>
      <c r="J98" s="32" t="s">
        <v>59</v>
      </c>
      <c r="K98" s="33">
        <v>7.78</v>
      </c>
    </row>
    <row r="99" spans="6:9" ht="15.75">
      <c r="F99" s="1" t="s">
        <v>51</v>
      </c>
      <c r="G99" s="24">
        <v>244</v>
      </c>
      <c r="H99" s="25" t="s">
        <v>32</v>
      </c>
      <c r="I99" s="29">
        <v>0.46</v>
      </c>
    </row>
    <row r="100" spans="8:9" ht="15.75">
      <c r="H100" s="30" t="s">
        <v>34</v>
      </c>
      <c r="I100" s="31">
        <v>52.7</v>
      </c>
    </row>
    <row r="102" spans="1:11" ht="15.75">
      <c r="A102" t="s">
        <v>56</v>
      </c>
      <c r="B102" s="2" t="s">
        <v>57</v>
      </c>
      <c r="C102" s="111">
        <f>1.4*F92</f>
        <v>272.65895055525795</v>
      </c>
      <c r="D102" s="111"/>
      <c r="E102" s="111"/>
      <c r="F102" s="98" t="s">
        <v>58</v>
      </c>
      <c r="G102" s="98"/>
      <c r="H102" s="27" t="s">
        <v>31</v>
      </c>
      <c r="I102" s="28">
        <v>29.5</v>
      </c>
      <c r="J102" s="32" t="s">
        <v>59</v>
      </c>
      <c r="K102" s="33">
        <v>8.52</v>
      </c>
    </row>
    <row r="103" spans="6:9" ht="15.75">
      <c r="F103" s="1" t="s">
        <v>51</v>
      </c>
      <c r="G103" s="24">
        <v>283</v>
      </c>
      <c r="H103" s="25" t="s">
        <v>32</v>
      </c>
      <c r="I103" s="29">
        <v>0.47</v>
      </c>
    </row>
    <row r="104" spans="8:9" ht="15.75">
      <c r="H104" s="30" t="s">
        <v>34</v>
      </c>
      <c r="I104" s="31">
        <v>57.5</v>
      </c>
    </row>
    <row r="105" spans="2:6" ht="12.75">
      <c r="B105" s="108" t="s">
        <v>60</v>
      </c>
      <c r="C105" s="108"/>
      <c r="D105" s="108"/>
      <c r="E105" s="108"/>
      <c r="F105" s="108"/>
    </row>
    <row r="107" spans="2:6" ht="15.75">
      <c r="B107" s="35" t="s">
        <v>61</v>
      </c>
      <c r="C107" s="36" t="s">
        <v>67</v>
      </c>
      <c r="D107" s="98">
        <f>K94</f>
        <v>5.86</v>
      </c>
      <c r="E107" s="98"/>
      <c r="F107" t="str">
        <f>IF(D107&lt;=$I$82,"OK","MAL")</f>
        <v>OK</v>
      </c>
    </row>
    <row r="108" spans="2:6" ht="15.75">
      <c r="B108" s="34"/>
      <c r="C108" s="36" t="s">
        <v>68</v>
      </c>
      <c r="D108" s="98">
        <f>I96</f>
        <v>45.9</v>
      </c>
      <c r="E108" s="98"/>
      <c r="F108" t="str">
        <f>IF(D108&lt;=$I$83,"OK","MAL")</f>
        <v>OK</v>
      </c>
    </row>
    <row r="109" ht="12.75">
      <c r="B109" s="34"/>
    </row>
    <row r="110" spans="2:6" ht="15.75">
      <c r="B110" t="s">
        <v>70</v>
      </c>
      <c r="C110" s="36" t="s">
        <v>67</v>
      </c>
      <c r="D110" s="98">
        <f>K98</f>
        <v>7.78</v>
      </c>
      <c r="E110" s="98"/>
      <c r="F110" t="str">
        <f>IF(D110&lt;=$I$82,"OK","MAL")</f>
        <v>OK</v>
      </c>
    </row>
    <row r="111" spans="3:6" ht="15.75">
      <c r="C111" s="36" t="s">
        <v>68</v>
      </c>
      <c r="D111" s="98">
        <f>I100</f>
        <v>52.7</v>
      </c>
      <c r="E111" s="98"/>
      <c r="F111" t="str">
        <f>IF(D111&lt;=$I$83,"OK","MAL")</f>
        <v>OK</v>
      </c>
    </row>
    <row r="113" spans="2:7" ht="15.75">
      <c r="B113" t="s">
        <v>66</v>
      </c>
      <c r="C113" s="36" t="s">
        <v>67</v>
      </c>
      <c r="D113" s="112">
        <f>K102</f>
        <v>8.52</v>
      </c>
      <c r="E113" s="112"/>
      <c r="F113" t="str">
        <f>IF(D113&lt;=$I$82,"OK","MAL")</f>
        <v>MAL</v>
      </c>
      <c r="G113" t="s">
        <v>69</v>
      </c>
    </row>
    <row r="114" spans="3:6" ht="15.75">
      <c r="C114" s="36" t="s">
        <v>68</v>
      </c>
      <c r="D114" s="98">
        <f>I104</f>
        <v>57.5</v>
      </c>
      <c r="E114" s="98"/>
      <c r="F114" t="str">
        <f>IF(D114&lt;=$I$83,"OK","MAL")</f>
        <v>OK</v>
      </c>
    </row>
    <row r="116" spans="2:6" ht="12.75">
      <c r="B116" s="108" t="s">
        <v>71</v>
      </c>
      <c r="C116" s="108"/>
      <c r="D116" s="108"/>
      <c r="E116" s="108"/>
      <c r="F116" s="108"/>
    </row>
    <row r="118" ht="12.75">
      <c r="B118" t="s">
        <v>72</v>
      </c>
    </row>
    <row r="120" spans="2:7" ht="12.75">
      <c r="B120" s="98" t="s">
        <v>28</v>
      </c>
      <c r="C120" s="98"/>
      <c r="D120" s="98"/>
      <c r="E120" s="98"/>
      <c r="F120" s="19">
        <f>2.45*((29000/36)^0.5)</f>
        <v>69.53666099419948</v>
      </c>
      <c r="G120" s="3">
        <f>D108</f>
        <v>45.9</v>
      </c>
    </row>
    <row r="122" spans="2:9" ht="15.75">
      <c r="B122" s="93" t="s">
        <v>29</v>
      </c>
      <c r="C122" s="93"/>
      <c r="D122" s="93"/>
      <c r="E122" s="93"/>
      <c r="F122" s="93"/>
      <c r="G122" s="14">
        <f>$H$4*0.6*$C$3*I94*I95/2.2</f>
        <v>100.08949090909091</v>
      </c>
      <c r="H122" t="s">
        <v>33</v>
      </c>
      <c r="I122" t="str">
        <f>IF(G122&gt;=C90,"OK","MAL")</f>
        <v>OK</v>
      </c>
    </row>
    <row r="124" spans="2:9" ht="12.75">
      <c r="B124" s="104" t="s">
        <v>73</v>
      </c>
      <c r="C124" s="104"/>
      <c r="D124" s="104"/>
      <c r="E124" s="104"/>
      <c r="F124" s="104"/>
      <c r="G124" s="104"/>
      <c r="H124" s="20"/>
      <c r="I124" s="15"/>
    </row>
    <row r="125" spans="2:10" ht="12.75" customHeight="1">
      <c r="B125" s="5"/>
      <c r="C125" s="5"/>
      <c r="D125" s="5"/>
      <c r="E125" s="5"/>
      <c r="F125" s="5"/>
      <c r="G125" s="5"/>
      <c r="H125" t="s">
        <v>46</v>
      </c>
      <c r="I125" s="113">
        <v>8.84</v>
      </c>
      <c r="J125" s="113"/>
    </row>
    <row r="126" spans="1:11" ht="12.75" customHeight="1">
      <c r="A126" s="100" t="s">
        <v>10</v>
      </c>
      <c r="B126" s="100"/>
      <c r="C126">
        <v>25.35</v>
      </c>
      <c r="E126" t="s">
        <v>12</v>
      </c>
      <c r="H126" s="107" t="s">
        <v>79</v>
      </c>
      <c r="I126" s="107"/>
      <c r="J126" s="107"/>
      <c r="K126" s="107"/>
    </row>
    <row r="127" spans="1:11" ht="12.75">
      <c r="A127" s="100" t="s">
        <v>11</v>
      </c>
      <c r="B127" s="100"/>
      <c r="C127">
        <v>13.26</v>
      </c>
      <c r="E127" t="s">
        <v>13</v>
      </c>
      <c r="H127" s="107"/>
      <c r="I127" s="107"/>
      <c r="J127" s="107"/>
      <c r="K127" s="107"/>
    </row>
    <row r="129" spans="1:6" ht="12.75">
      <c r="A129" s="100" t="s">
        <v>20</v>
      </c>
      <c r="B129" s="100"/>
      <c r="C129" s="109">
        <f>C126*10^5/$H$3/$E$3</f>
        <v>1112.845130150201</v>
      </c>
      <c r="D129" s="109"/>
      <c r="E129" s="109"/>
      <c r="F129" s="13">
        <f>C129/16.387</f>
        <v>67.91024166413627</v>
      </c>
    </row>
    <row r="131" spans="1:11" ht="15.75">
      <c r="A131" t="s">
        <v>49</v>
      </c>
      <c r="B131" s="2" t="s">
        <v>50</v>
      </c>
      <c r="C131" s="111">
        <f>1.1*F129</f>
        <v>74.7012658305499</v>
      </c>
      <c r="D131" s="111"/>
      <c r="E131" s="111"/>
      <c r="F131" s="98" t="s">
        <v>74</v>
      </c>
      <c r="G131" s="98"/>
      <c r="H131" s="27" t="s">
        <v>31</v>
      </c>
      <c r="I131" s="28">
        <v>17.9</v>
      </c>
      <c r="J131" s="32" t="s">
        <v>59</v>
      </c>
      <c r="K131" s="33">
        <v>5.73</v>
      </c>
    </row>
    <row r="132" spans="2:9" ht="15.75">
      <c r="B132" s="2"/>
      <c r="C132" s="2"/>
      <c r="D132" s="2"/>
      <c r="E132" s="2"/>
      <c r="F132" s="1" t="s">
        <v>51</v>
      </c>
      <c r="G132" s="24">
        <v>78.4</v>
      </c>
      <c r="H132" s="25" t="s">
        <v>32</v>
      </c>
      <c r="I132" s="29">
        <v>0.315</v>
      </c>
    </row>
    <row r="133" spans="2:9" ht="15.75">
      <c r="B133" s="2"/>
      <c r="C133" s="2"/>
      <c r="D133" s="2"/>
      <c r="E133" s="2"/>
      <c r="H133" s="30" t="s">
        <v>34</v>
      </c>
      <c r="I133" s="31">
        <v>50.9</v>
      </c>
    </row>
    <row r="134" spans="2:9" ht="12.75">
      <c r="B134" s="2"/>
      <c r="C134" s="2"/>
      <c r="D134" s="2"/>
      <c r="E134" s="2"/>
      <c r="H134" s="1"/>
      <c r="I134" s="2"/>
    </row>
    <row r="135" spans="1:11" ht="15.75">
      <c r="A135" t="s">
        <v>53</v>
      </c>
      <c r="B135" s="2" t="s">
        <v>54</v>
      </c>
      <c r="C135" s="111">
        <f>1.2*F129</f>
        <v>81.49228999696352</v>
      </c>
      <c r="D135" s="111"/>
      <c r="E135" s="111"/>
      <c r="F135" s="98" t="s">
        <v>75</v>
      </c>
      <c r="G135" s="98"/>
      <c r="H135" s="27" t="s">
        <v>31</v>
      </c>
      <c r="I135" s="28">
        <v>18.1</v>
      </c>
      <c r="J135" s="32" t="s">
        <v>59</v>
      </c>
      <c r="K135" s="33">
        <v>5.01</v>
      </c>
    </row>
    <row r="136" spans="6:9" ht="15.75">
      <c r="F136" s="1" t="s">
        <v>51</v>
      </c>
      <c r="G136" s="24">
        <v>90.7</v>
      </c>
      <c r="H136" s="25" t="s">
        <v>32</v>
      </c>
      <c r="I136" s="29">
        <v>0.36</v>
      </c>
    </row>
    <row r="137" spans="8:9" ht="15.75">
      <c r="H137" s="30" t="s">
        <v>34</v>
      </c>
      <c r="I137" s="31">
        <v>44.6</v>
      </c>
    </row>
    <row r="139" spans="1:11" ht="15.75">
      <c r="A139" t="s">
        <v>56</v>
      </c>
      <c r="B139" s="2" t="s">
        <v>57</v>
      </c>
      <c r="C139" s="111">
        <f>1.4*F129</f>
        <v>95.07433832979076</v>
      </c>
      <c r="D139" s="111"/>
      <c r="E139" s="111"/>
      <c r="F139" s="98" t="s">
        <v>76</v>
      </c>
      <c r="G139" s="98"/>
      <c r="H139" s="27" t="s">
        <v>31</v>
      </c>
      <c r="I139" s="28">
        <v>20.7</v>
      </c>
      <c r="J139" s="32" t="s">
        <v>59</v>
      </c>
      <c r="K139" s="33">
        <v>7.22</v>
      </c>
    </row>
    <row r="140" spans="6:9" ht="15.75">
      <c r="F140" s="1" t="s">
        <v>51</v>
      </c>
      <c r="G140" s="24">
        <v>95.4</v>
      </c>
      <c r="H140" s="25" t="s">
        <v>32</v>
      </c>
      <c r="I140" s="29">
        <v>0.35</v>
      </c>
    </row>
    <row r="141" spans="8:9" ht="15.75">
      <c r="H141" s="30" t="s">
        <v>34</v>
      </c>
      <c r="I141" s="31">
        <v>53.6</v>
      </c>
    </row>
    <row r="142" spans="2:6" ht="12.75">
      <c r="B142" s="108" t="s">
        <v>60</v>
      </c>
      <c r="C142" s="108"/>
      <c r="D142" s="108"/>
      <c r="E142" s="108"/>
      <c r="F142" s="108"/>
    </row>
    <row r="144" spans="2:6" ht="15.75">
      <c r="B144" s="35" t="s">
        <v>61</v>
      </c>
      <c r="C144" s="36" t="s">
        <v>67</v>
      </c>
      <c r="D144" s="98">
        <f>K131</f>
        <v>5.73</v>
      </c>
      <c r="E144" s="98"/>
      <c r="F144" t="str">
        <f>IF(D144&lt;=$I$82,"OK","MAL")</f>
        <v>OK</v>
      </c>
    </row>
    <row r="145" spans="2:6" ht="15.75">
      <c r="B145" s="34"/>
      <c r="C145" s="36" t="s">
        <v>68</v>
      </c>
      <c r="D145" s="98">
        <f>I133</f>
        <v>50.9</v>
      </c>
      <c r="E145" s="98"/>
      <c r="F145" t="str">
        <f>IF(D145&lt;=$I$83,"OK","MAL")</f>
        <v>OK</v>
      </c>
    </row>
    <row r="146" ht="12.75">
      <c r="B146" s="34"/>
    </row>
    <row r="147" spans="2:6" ht="15.75">
      <c r="B147" t="s">
        <v>70</v>
      </c>
      <c r="C147" s="36" t="s">
        <v>67</v>
      </c>
      <c r="D147" s="98">
        <f>K135</f>
        <v>5.01</v>
      </c>
      <c r="E147" s="98"/>
      <c r="F147" t="str">
        <f>IF(D147&lt;=$I$82,"OK","MAL")</f>
        <v>OK</v>
      </c>
    </row>
    <row r="148" spans="3:6" ht="15.75">
      <c r="C148" s="36" t="s">
        <v>68</v>
      </c>
      <c r="D148" s="98">
        <f>I137</f>
        <v>44.6</v>
      </c>
      <c r="E148" s="98"/>
      <c r="F148" t="str">
        <f>IF(D148&lt;=$I$83,"OK","MAL")</f>
        <v>OK</v>
      </c>
    </row>
    <row r="150" spans="2:6" ht="15.75">
      <c r="B150" t="s">
        <v>66</v>
      </c>
      <c r="C150" s="36" t="s">
        <v>67</v>
      </c>
      <c r="D150" s="98">
        <f>K139</f>
        <v>7.22</v>
      </c>
      <c r="E150" s="98"/>
      <c r="F150" t="str">
        <f>IF(D150&lt;=$I$82,"OK","MAL")</f>
        <v>OK</v>
      </c>
    </row>
    <row r="151" spans="3:6" ht="15.75">
      <c r="C151" s="36" t="s">
        <v>68</v>
      </c>
      <c r="D151" s="98">
        <f>I141</f>
        <v>53.6</v>
      </c>
      <c r="E151" s="98"/>
      <c r="F151" t="str">
        <f>IF(D151&lt;=$I$83,"OK","MAL")</f>
        <v>OK</v>
      </c>
    </row>
    <row r="153" spans="2:6" ht="12.75">
      <c r="B153" s="108" t="s">
        <v>71</v>
      </c>
      <c r="C153" s="108"/>
      <c r="D153" s="108"/>
      <c r="E153" s="108"/>
      <c r="F153" s="108"/>
    </row>
    <row r="155" ht="12.75">
      <c r="B155" t="s">
        <v>72</v>
      </c>
    </row>
    <row r="157" spans="2:7" ht="12.75">
      <c r="B157" s="98" t="s">
        <v>28</v>
      </c>
      <c r="C157" s="98"/>
      <c r="D157" s="98"/>
      <c r="E157" s="98"/>
      <c r="F157" s="19">
        <f>2.45*((29000/36)^0.5)</f>
        <v>69.53666099419948</v>
      </c>
      <c r="G157" s="3">
        <f>D145</f>
        <v>50.9</v>
      </c>
    </row>
    <row r="159" spans="2:9" ht="15.75">
      <c r="B159" s="93" t="s">
        <v>29</v>
      </c>
      <c r="C159" s="93"/>
      <c r="D159" s="93"/>
      <c r="E159" s="93"/>
      <c r="F159" s="93"/>
      <c r="G159" s="14">
        <f>$H$4*0.6*$C$3*I131*I132/2.2</f>
        <v>49.82383636363636</v>
      </c>
      <c r="H159" t="s">
        <v>33</v>
      </c>
      <c r="I159" t="str">
        <f>IF(G159&gt;=C127,"OK","MAL")</f>
        <v>OK</v>
      </c>
    </row>
    <row r="160" spans="2:7" ht="12.75">
      <c r="B160" s="3"/>
      <c r="C160" s="3"/>
      <c r="D160" s="3"/>
      <c r="E160" s="3"/>
      <c r="F160" s="3"/>
      <c r="G160" s="14"/>
    </row>
    <row r="162" spans="2:9" ht="12.75">
      <c r="B162" s="104" t="s">
        <v>77</v>
      </c>
      <c r="C162" s="104"/>
      <c r="D162" s="104"/>
      <c r="E162" s="104"/>
      <c r="F162" s="104"/>
      <c r="G162" s="104"/>
      <c r="H162" s="20"/>
      <c r="I162" s="15"/>
    </row>
    <row r="163" spans="2:10" ht="12.75">
      <c r="B163" s="5"/>
      <c r="C163" s="5"/>
      <c r="D163" s="5"/>
      <c r="E163" s="5"/>
      <c r="F163" s="5"/>
      <c r="G163" s="5"/>
      <c r="H163" t="s">
        <v>46</v>
      </c>
      <c r="I163" s="113">
        <v>18.7</v>
      </c>
      <c r="J163" s="113"/>
    </row>
    <row r="164" spans="1:11" ht="12.75" customHeight="1">
      <c r="A164" s="100" t="s">
        <v>10</v>
      </c>
      <c r="B164" s="100"/>
      <c r="C164">
        <v>53.53</v>
      </c>
      <c r="E164" t="s">
        <v>12</v>
      </c>
      <c r="H164" s="107" t="s">
        <v>79</v>
      </c>
      <c r="I164" s="107"/>
      <c r="J164" s="107"/>
      <c r="K164" s="107"/>
    </row>
    <row r="165" spans="1:11" ht="12.75">
      <c r="A165" s="100" t="s">
        <v>11</v>
      </c>
      <c r="B165" s="100"/>
      <c r="C165">
        <v>28.05</v>
      </c>
      <c r="E165" t="s">
        <v>13</v>
      </c>
      <c r="H165" s="107"/>
      <c r="I165" s="107"/>
      <c r="J165" s="107"/>
      <c r="K165" s="107"/>
    </row>
    <row r="167" spans="1:6" ht="12.75">
      <c r="A167" s="100" t="s">
        <v>20</v>
      </c>
      <c r="B167" s="100"/>
      <c r="C167" s="109">
        <f>C164*10^5/$H$3/$E$3</f>
        <v>2349.9250420883736</v>
      </c>
      <c r="D167" s="109"/>
      <c r="E167" s="109"/>
      <c r="F167" s="13">
        <f>C167/16.387</f>
        <v>143.40178446868697</v>
      </c>
    </row>
    <row r="169" spans="2:9" ht="12.75">
      <c r="B169" s="2" t="s">
        <v>50</v>
      </c>
      <c r="C169" s="111">
        <f>1.1*F167</f>
        <v>157.7419629155557</v>
      </c>
      <c r="D169" s="111"/>
      <c r="E169" s="111"/>
      <c r="F169" s="98" t="s">
        <v>80</v>
      </c>
      <c r="G169" s="98"/>
      <c r="H169" s="27" t="s">
        <v>31</v>
      </c>
      <c r="I169" s="28">
        <v>23.7</v>
      </c>
    </row>
    <row r="170" spans="2:9" ht="15.75">
      <c r="B170" s="2"/>
      <c r="C170" s="2"/>
      <c r="D170" s="2"/>
      <c r="E170" s="2"/>
      <c r="F170" s="1" t="s">
        <v>51</v>
      </c>
      <c r="G170" s="24">
        <v>154</v>
      </c>
      <c r="H170" s="25" t="s">
        <v>32</v>
      </c>
      <c r="I170" s="29">
        <v>0.43</v>
      </c>
    </row>
    <row r="171" spans="2:9" ht="15.75">
      <c r="B171" s="2"/>
      <c r="C171" s="2"/>
      <c r="D171" s="2"/>
      <c r="E171" s="2"/>
      <c r="H171" s="25" t="s">
        <v>34</v>
      </c>
      <c r="I171" s="29">
        <v>50.9</v>
      </c>
    </row>
    <row r="172" spans="8:9" ht="15.75">
      <c r="H172" s="37" t="s">
        <v>59</v>
      </c>
      <c r="I172" s="31">
        <v>5.73</v>
      </c>
    </row>
    <row r="174" spans="2:6" ht="12.75">
      <c r="B174" s="108" t="s">
        <v>60</v>
      </c>
      <c r="C174" s="108"/>
      <c r="D174" s="108"/>
      <c r="E174" s="108"/>
      <c r="F174" s="108"/>
    </row>
    <row r="176" spans="2:6" ht="15.75">
      <c r="B176" s="35" t="s">
        <v>61</v>
      </c>
      <c r="C176" s="36" t="s">
        <v>67</v>
      </c>
      <c r="D176" s="98">
        <f>I172</f>
        <v>5.73</v>
      </c>
      <c r="E176" s="98"/>
      <c r="F176" t="str">
        <f>IF(D176&lt;=$I$82,"OK","MAL")</f>
        <v>OK</v>
      </c>
    </row>
    <row r="177" spans="2:6" ht="15.75">
      <c r="B177" s="34"/>
      <c r="C177" s="36" t="s">
        <v>68</v>
      </c>
      <c r="D177" s="98">
        <f>I171</f>
        <v>50.9</v>
      </c>
      <c r="E177" s="98"/>
      <c r="F177" t="str">
        <f>IF(D177&lt;=$I$83,"OK","MAL")</f>
        <v>OK</v>
      </c>
    </row>
    <row r="178" ht="12.75">
      <c r="B178" s="34"/>
    </row>
    <row r="179" spans="2:6" ht="12.75">
      <c r="B179" s="108" t="s">
        <v>71</v>
      </c>
      <c r="C179" s="108"/>
      <c r="D179" s="108"/>
      <c r="E179" s="108"/>
      <c r="F179" s="108"/>
    </row>
    <row r="181" spans="2:7" ht="12.75">
      <c r="B181" s="98" t="s">
        <v>28</v>
      </c>
      <c r="C181" s="98"/>
      <c r="D181" s="98"/>
      <c r="E181" s="98"/>
      <c r="F181" s="19">
        <f>2.45*((29000/36)^0.5)</f>
        <v>69.53666099419948</v>
      </c>
      <c r="G181" s="3">
        <f>D177</f>
        <v>50.9</v>
      </c>
    </row>
    <row r="182" spans="8:9" ht="12.75">
      <c r="H182" t="s">
        <v>33</v>
      </c>
      <c r="I182" t="str">
        <f>IF(G183&gt;=C165,"OK","MAL")</f>
        <v>OK</v>
      </c>
    </row>
    <row r="183" spans="2:7" ht="15.75">
      <c r="B183" s="93" t="s">
        <v>29</v>
      </c>
      <c r="C183" s="93"/>
      <c r="D183" s="93"/>
      <c r="E183" s="93"/>
      <c r="F183" s="93"/>
      <c r="G183" s="14">
        <f>$H$4*0.6*$C$3*I169*I170/2.2</f>
        <v>90.05138181818181</v>
      </c>
    </row>
    <row r="185" spans="2:9" ht="12.75">
      <c r="B185" s="104" t="s">
        <v>81</v>
      </c>
      <c r="C185" s="104"/>
      <c r="D185" s="104"/>
      <c r="E185" s="104"/>
      <c r="F185" s="104"/>
      <c r="G185" s="104"/>
      <c r="H185" s="20"/>
      <c r="I185" s="15"/>
    </row>
    <row r="186" spans="2:10" ht="12.75">
      <c r="B186" s="5"/>
      <c r="C186" s="5"/>
      <c r="D186" s="5"/>
      <c r="E186" s="5"/>
      <c r="F186" s="5"/>
      <c r="G186" s="5"/>
      <c r="H186" t="s">
        <v>46</v>
      </c>
      <c r="I186" s="113">
        <v>6.51</v>
      </c>
      <c r="J186" s="113"/>
    </row>
    <row r="187" spans="1:11" ht="12.75">
      <c r="A187" s="100" t="s">
        <v>10</v>
      </c>
      <c r="B187" s="100"/>
      <c r="C187">
        <v>18.64</v>
      </c>
      <c r="E187" t="s">
        <v>12</v>
      </c>
      <c r="H187" s="107" t="s">
        <v>47</v>
      </c>
      <c r="I187" s="107"/>
      <c r="J187" s="107"/>
      <c r="K187" s="107"/>
    </row>
    <row r="188" spans="1:11" ht="12.75">
      <c r="A188" s="100" t="s">
        <v>11</v>
      </c>
      <c r="B188" s="100"/>
      <c r="C188">
        <v>9.77</v>
      </c>
      <c r="E188" t="s">
        <v>13</v>
      </c>
      <c r="H188" s="107"/>
      <c r="I188" s="107"/>
      <c r="J188" s="107"/>
      <c r="K188" s="107"/>
    </row>
    <row r="190" spans="1:6" ht="12.75">
      <c r="A190" s="100" t="s">
        <v>20</v>
      </c>
      <c r="B190" s="100"/>
      <c r="C190" s="109">
        <f>C187*10^5/$H$3/$E$3</f>
        <v>818.2813895857888</v>
      </c>
      <c r="D190" s="109"/>
      <c r="E190" s="109"/>
      <c r="F190" s="13">
        <f>C190/16.387</f>
        <v>49.934789136863905</v>
      </c>
    </row>
    <row r="192" spans="2:9" ht="12.75">
      <c r="B192" s="2" t="s">
        <v>50</v>
      </c>
      <c r="C192" s="111">
        <f>1.1*F190</f>
        <v>54.9282680505503</v>
      </c>
      <c r="D192" s="111"/>
      <c r="E192" s="111"/>
      <c r="F192" s="98" t="s">
        <v>82</v>
      </c>
      <c r="G192" s="98"/>
      <c r="H192" s="27" t="s">
        <v>31</v>
      </c>
      <c r="I192" s="28">
        <v>17.7</v>
      </c>
    </row>
    <row r="193" spans="2:9" ht="15.75">
      <c r="B193" s="2"/>
      <c r="C193" s="2"/>
      <c r="D193" s="2"/>
      <c r="E193" s="2"/>
      <c r="F193" s="1" t="s">
        <v>51</v>
      </c>
      <c r="G193" s="24">
        <v>66.5</v>
      </c>
      <c r="H193" s="25" t="s">
        <v>32</v>
      </c>
      <c r="I193" s="29">
        <v>0.3</v>
      </c>
    </row>
    <row r="194" spans="2:9" ht="15.75">
      <c r="B194" s="2"/>
      <c r="C194" s="2"/>
      <c r="D194" s="2"/>
      <c r="E194" s="2"/>
      <c r="H194" s="25" t="s">
        <v>34</v>
      </c>
      <c r="I194" s="29">
        <v>53.5</v>
      </c>
    </row>
    <row r="195" spans="8:9" ht="15.75">
      <c r="H195" s="37" t="s">
        <v>59</v>
      </c>
      <c r="I195" s="31">
        <v>7.06</v>
      </c>
    </row>
    <row r="197" spans="2:6" ht="12.75">
      <c r="B197" s="108" t="s">
        <v>60</v>
      </c>
      <c r="C197" s="108"/>
      <c r="D197" s="108"/>
      <c r="E197" s="108"/>
      <c r="F197" s="108"/>
    </row>
    <row r="199" spans="2:6" ht="15.75">
      <c r="B199" s="35" t="s">
        <v>61</v>
      </c>
      <c r="C199" s="36" t="s">
        <v>67</v>
      </c>
      <c r="D199" s="98">
        <f>I195</f>
        <v>7.06</v>
      </c>
      <c r="E199" s="98"/>
      <c r="F199" t="str">
        <f>IF(D199&lt;=$I$82,"OK","MAL")</f>
        <v>OK</v>
      </c>
    </row>
    <row r="200" spans="2:6" ht="15.75">
      <c r="B200" s="34"/>
      <c r="C200" s="36" t="s">
        <v>68</v>
      </c>
      <c r="D200" s="98">
        <f>I194</f>
        <v>53.5</v>
      </c>
      <c r="E200" s="98"/>
      <c r="F200" t="str">
        <f>IF(D200&lt;=$I$83,"OK","MAL")</f>
        <v>OK</v>
      </c>
    </row>
    <row r="201" ht="12.75">
      <c r="B201" s="34"/>
    </row>
    <row r="202" spans="2:6" ht="12.75">
      <c r="B202" s="108" t="s">
        <v>71</v>
      </c>
      <c r="C202" s="108"/>
      <c r="D202" s="108"/>
      <c r="E202" s="108"/>
      <c r="F202" s="108"/>
    </row>
    <row r="204" spans="2:7" ht="12.75">
      <c r="B204" s="98" t="s">
        <v>28</v>
      </c>
      <c r="C204" s="98"/>
      <c r="D204" s="98"/>
      <c r="E204" s="98"/>
      <c r="F204" s="19">
        <f>2.45*((29000/36)^0.5)</f>
        <v>69.53666099419948</v>
      </c>
      <c r="G204" s="3">
        <f>D200</f>
        <v>53.5</v>
      </c>
    </row>
    <row r="206" spans="2:9" ht="15.75">
      <c r="B206" s="93" t="s">
        <v>29</v>
      </c>
      <c r="C206" s="93"/>
      <c r="D206" s="93"/>
      <c r="E206" s="93"/>
      <c r="F206" s="93"/>
      <c r="G206" s="14">
        <f>$H$4*0.6*$C$3*I192*I193/2.2</f>
        <v>46.92109090909091</v>
      </c>
      <c r="H206" t="s">
        <v>33</v>
      </c>
      <c r="I206" t="str">
        <f>IF(G206&gt;=C188,"OK","MAL")</f>
        <v>OK</v>
      </c>
    </row>
    <row r="207" spans="2:7" ht="12.75">
      <c r="B207" s="3"/>
      <c r="C207" s="3"/>
      <c r="D207" s="3"/>
      <c r="E207" s="3"/>
      <c r="F207" s="3"/>
      <c r="G207" s="14"/>
    </row>
    <row r="208" spans="1:6" ht="15.75">
      <c r="A208" s="110" t="s">
        <v>83</v>
      </c>
      <c r="B208" s="110"/>
      <c r="C208" s="110"/>
      <c r="D208" s="110"/>
      <c r="E208" s="110"/>
      <c r="F208" s="110"/>
    </row>
    <row r="210" spans="8:11" ht="15.75">
      <c r="H210" s="20" t="s">
        <v>62</v>
      </c>
      <c r="I210" s="15">
        <f>0.3*(29000/$C$3)^0.5</f>
        <v>8.514693182963201</v>
      </c>
      <c r="J210" t="s">
        <v>63</v>
      </c>
      <c r="K210" t="s">
        <v>64</v>
      </c>
    </row>
    <row r="211" spans="8:11" ht="15.75">
      <c r="H211" s="20" t="s">
        <v>62</v>
      </c>
      <c r="I211">
        <f>2.45*(29000/$C$3)^0.5</f>
        <v>69.53666099419948</v>
      </c>
      <c r="J211" t="s">
        <v>63</v>
      </c>
      <c r="K211" t="s">
        <v>65</v>
      </c>
    </row>
    <row r="215" spans="2:7" ht="12.75">
      <c r="B215" s="104" t="s">
        <v>86</v>
      </c>
      <c r="C215" s="104"/>
      <c r="D215" s="104"/>
      <c r="E215" s="104"/>
      <c r="F215" s="104"/>
      <c r="G215" s="104"/>
    </row>
    <row r="216" spans="2:10" ht="15.75">
      <c r="B216" s="5"/>
      <c r="C216" s="5"/>
      <c r="D216" s="5"/>
      <c r="E216" s="5"/>
      <c r="F216" s="5"/>
      <c r="G216" s="5"/>
      <c r="H216" t="s">
        <v>84</v>
      </c>
      <c r="I216" s="114">
        <v>2.46</v>
      </c>
      <c r="J216" s="114"/>
    </row>
    <row r="217" spans="1:10" ht="12.75">
      <c r="A217" s="100" t="s">
        <v>10</v>
      </c>
      <c r="B217" s="100"/>
      <c r="C217">
        <v>17.18</v>
      </c>
      <c r="E217" t="s">
        <v>12</v>
      </c>
      <c r="H217" s="107"/>
      <c r="I217" s="107"/>
      <c r="J217" s="107"/>
    </row>
    <row r="218" spans="1:10" ht="12.75">
      <c r="A218" s="100" t="s">
        <v>11</v>
      </c>
      <c r="B218" s="100"/>
      <c r="C218">
        <v>11.27</v>
      </c>
      <c r="E218" t="s">
        <v>13</v>
      </c>
      <c r="H218" s="107"/>
      <c r="I218" s="107"/>
      <c r="J218" s="107"/>
    </row>
    <row r="220" spans="1:6" ht="12.75">
      <c r="A220" s="100" t="s">
        <v>20</v>
      </c>
      <c r="B220" s="100"/>
      <c r="C220" s="109">
        <f>C217*10^5/$H$3/$E$3</f>
        <v>754.188533963726</v>
      </c>
      <c r="D220" s="109"/>
      <c r="E220" s="109"/>
      <c r="F220" s="13">
        <f>C220/16.387</f>
        <v>46.02358784180911</v>
      </c>
    </row>
    <row r="222" spans="1:11" ht="15.75">
      <c r="A222" t="s">
        <v>49</v>
      </c>
      <c r="B222" s="2" t="s">
        <v>50</v>
      </c>
      <c r="C222" s="111">
        <f>1.1*F220</f>
        <v>50.625946625990025</v>
      </c>
      <c r="D222" s="111"/>
      <c r="E222" s="111"/>
      <c r="F222" s="98" t="s">
        <v>82</v>
      </c>
      <c r="G222" s="98"/>
      <c r="H222" s="27" t="s">
        <v>31</v>
      </c>
      <c r="I222" s="28">
        <v>17.7</v>
      </c>
      <c r="J222" s="32" t="s">
        <v>59</v>
      </c>
      <c r="K222" s="33">
        <v>7.06</v>
      </c>
    </row>
    <row r="223" spans="2:9" ht="15.75">
      <c r="B223" s="2"/>
      <c r="C223" s="2"/>
      <c r="D223" s="2"/>
      <c r="E223" s="2"/>
      <c r="F223" s="1" t="s">
        <v>51</v>
      </c>
      <c r="G223" s="24">
        <v>66.5</v>
      </c>
      <c r="H223" s="25" t="s">
        <v>32</v>
      </c>
      <c r="I223" s="29">
        <v>0.3</v>
      </c>
    </row>
    <row r="224" spans="2:9" ht="15.75">
      <c r="B224" s="2"/>
      <c r="C224" s="2"/>
      <c r="D224" s="2"/>
      <c r="E224" s="2"/>
      <c r="H224" s="30" t="s">
        <v>34</v>
      </c>
      <c r="I224" s="31">
        <v>53.5</v>
      </c>
    </row>
    <row r="225" spans="2:9" ht="12.75">
      <c r="B225" s="2"/>
      <c r="C225" s="2"/>
      <c r="D225" s="2"/>
      <c r="E225" s="2"/>
      <c r="H225" s="1"/>
      <c r="I225" s="2"/>
    </row>
    <row r="226" spans="1:11" ht="15.75">
      <c r="A226" t="s">
        <v>53</v>
      </c>
      <c r="B226" s="2" t="s">
        <v>54</v>
      </c>
      <c r="C226" s="111">
        <f>1.2*F220</f>
        <v>55.22830541017093</v>
      </c>
      <c r="D226" s="111"/>
      <c r="E226" s="111"/>
      <c r="F226" s="98" t="s">
        <v>82</v>
      </c>
      <c r="G226" s="98"/>
      <c r="H226" s="27" t="s">
        <v>31</v>
      </c>
      <c r="I226" s="28">
        <v>17.7</v>
      </c>
      <c r="J226" s="32" t="s">
        <v>59</v>
      </c>
      <c r="K226" s="33">
        <v>7.06</v>
      </c>
    </row>
    <row r="227" spans="6:9" ht="15.75">
      <c r="F227" s="1" t="s">
        <v>51</v>
      </c>
      <c r="G227" s="24">
        <v>66.5</v>
      </c>
      <c r="H227" s="25" t="s">
        <v>32</v>
      </c>
      <c r="I227" s="29">
        <v>0.3</v>
      </c>
    </row>
    <row r="228" spans="8:9" ht="15.75">
      <c r="H228" s="30" t="s">
        <v>34</v>
      </c>
      <c r="I228" s="31">
        <v>53.5</v>
      </c>
    </row>
    <row r="230" spans="1:11" ht="15.75">
      <c r="A230" t="s">
        <v>56</v>
      </c>
      <c r="B230" s="2" t="s">
        <v>57</v>
      </c>
      <c r="C230" s="111">
        <f>1.4*F220</f>
        <v>64.43302297853275</v>
      </c>
      <c r="D230" s="111"/>
      <c r="E230" s="111"/>
      <c r="F230" s="98" t="s">
        <v>82</v>
      </c>
      <c r="G230" s="98"/>
      <c r="H230" s="27" t="s">
        <v>31</v>
      </c>
      <c r="I230" s="28">
        <v>17.7</v>
      </c>
      <c r="J230" s="32" t="s">
        <v>59</v>
      </c>
      <c r="K230" s="33">
        <v>7.06</v>
      </c>
    </row>
    <row r="231" spans="6:9" ht="15.75">
      <c r="F231" s="1" t="s">
        <v>51</v>
      </c>
      <c r="G231" s="24">
        <v>66.5</v>
      </c>
      <c r="H231" s="25" t="s">
        <v>32</v>
      </c>
      <c r="I231" s="29">
        <v>0.3</v>
      </c>
    </row>
    <row r="232" spans="8:9" ht="15.75">
      <c r="H232" s="30" t="s">
        <v>34</v>
      </c>
      <c r="I232" s="31">
        <v>53.5</v>
      </c>
    </row>
    <row r="233" spans="8:9" ht="12.75">
      <c r="H233" s="38"/>
      <c r="I233" s="26"/>
    </row>
    <row r="234" spans="2:6" ht="12.75">
      <c r="B234" s="108" t="s">
        <v>60</v>
      </c>
      <c r="C234" s="108"/>
      <c r="D234" s="108"/>
      <c r="E234" s="108"/>
      <c r="F234" s="108"/>
    </row>
    <row r="236" spans="2:6" ht="15.75">
      <c r="B236" s="35" t="s">
        <v>85</v>
      </c>
      <c r="C236" s="36" t="s">
        <v>67</v>
      </c>
      <c r="D236" s="98">
        <f>K222</f>
        <v>7.06</v>
      </c>
      <c r="E236" s="98"/>
      <c r="F236" t="str">
        <f>IF(D236&lt;=$I$82,"OK","MAL")</f>
        <v>OK</v>
      </c>
    </row>
    <row r="237" spans="2:6" ht="15.75">
      <c r="B237" s="34"/>
      <c r="C237" s="36" t="s">
        <v>68</v>
      </c>
      <c r="D237" s="98">
        <f>I224</f>
        <v>53.5</v>
      </c>
      <c r="E237" s="98"/>
      <c r="F237" t="str">
        <f>IF(D237&lt;=$I$83,"OK","MAL")</f>
        <v>OK</v>
      </c>
    </row>
    <row r="238" ht="12.75">
      <c r="B238" s="34"/>
    </row>
    <row r="239" spans="2:6" ht="15.75">
      <c r="B239" t="s">
        <v>85</v>
      </c>
      <c r="C239" s="36" t="s">
        <v>67</v>
      </c>
      <c r="D239" s="98">
        <f>K226</f>
        <v>7.06</v>
      </c>
      <c r="E239" s="98"/>
      <c r="F239" t="str">
        <f>IF(D239&lt;=$I$82,"OK","MAL")</f>
        <v>OK</v>
      </c>
    </row>
    <row r="240" spans="3:6" ht="15.75">
      <c r="C240" s="36" t="s">
        <v>68</v>
      </c>
      <c r="D240" s="98">
        <f>I228</f>
        <v>53.5</v>
      </c>
      <c r="E240" s="98"/>
      <c r="F240" t="str">
        <f>IF(D240&lt;=$I$83,"OK","MAL")</f>
        <v>OK</v>
      </c>
    </row>
    <row r="242" spans="2:6" ht="15.75">
      <c r="B242" t="s">
        <v>85</v>
      </c>
      <c r="C242" s="36" t="s">
        <v>67</v>
      </c>
      <c r="D242" s="98">
        <f>K230</f>
        <v>7.06</v>
      </c>
      <c r="E242" s="98"/>
      <c r="F242" t="str">
        <f>IF(D242&lt;=$I$82,"OK","MAL")</f>
        <v>OK</v>
      </c>
    </row>
    <row r="243" spans="3:6" ht="15.75">
      <c r="C243" s="36" t="s">
        <v>68</v>
      </c>
      <c r="D243" s="98">
        <f>I232</f>
        <v>53.5</v>
      </c>
      <c r="E243" s="98"/>
      <c r="F243" t="str">
        <f>IF(D243&lt;=$I$83,"OK","MAL")</f>
        <v>OK</v>
      </c>
    </row>
    <row r="245" spans="2:6" ht="12.75">
      <c r="B245" s="108" t="s">
        <v>71</v>
      </c>
      <c r="C245" s="108"/>
      <c r="D245" s="108"/>
      <c r="E245" s="108"/>
      <c r="F245" s="108"/>
    </row>
    <row r="247" ht="12.75">
      <c r="B247" t="s">
        <v>72</v>
      </c>
    </row>
    <row r="249" spans="2:7" ht="12.75">
      <c r="B249" s="98" t="s">
        <v>28</v>
      </c>
      <c r="C249" s="98"/>
      <c r="D249" s="98"/>
      <c r="E249" s="98"/>
      <c r="F249" s="19">
        <f>2.45*((29000/36)^0.5)</f>
        <v>69.53666099419948</v>
      </c>
      <c r="G249" s="3">
        <f>D237</f>
        <v>53.5</v>
      </c>
    </row>
    <row r="251" spans="2:9" ht="15.75">
      <c r="B251" s="93" t="s">
        <v>29</v>
      </c>
      <c r="C251" s="93"/>
      <c r="D251" s="93"/>
      <c r="E251" s="93"/>
      <c r="F251" s="93"/>
      <c r="G251" s="14">
        <f>$H$4*0.6*$C$3*I222*I223/2.2</f>
        <v>46.92109090909091</v>
      </c>
      <c r="H251" t="s">
        <v>33</v>
      </c>
      <c r="I251" t="str">
        <f>IF(G251&gt;=C218,"OK","MAL")</f>
        <v>OK</v>
      </c>
    </row>
    <row r="253" spans="2:9" ht="12.75">
      <c r="B253" s="104" t="s">
        <v>87</v>
      </c>
      <c r="C253" s="104"/>
      <c r="D253" s="104"/>
      <c r="E253" s="104"/>
      <c r="F253" s="104"/>
      <c r="G253" s="104"/>
      <c r="H253" s="20"/>
      <c r="I253" s="15"/>
    </row>
    <row r="254" spans="2:10" ht="15.75">
      <c r="B254" s="5"/>
      <c r="C254" s="5"/>
      <c r="D254" s="5"/>
      <c r="E254" s="5"/>
      <c r="F254" s="5"/>
      <c r="G254" s="5"/>
      <c r="H254" t="s">
        <v>84</v>
      </c>
      <c r="I254" s="114">
        <v>1.17</v>
      </c>
      <c r="J254" s="114"/>
    </row>
    <row r="255" spans="1:11" ht="12.75">
      <c r="A255" s="100" t="s">
        <v>10</v>
      </c>
      <c r="B255" s="100"/>
      <c r="C255">
        <v>8.6</v>
      </c>
      <c r="E255" t="s">
        <v>12</v>
      </c>
      <c r="H255" s="107"/>
      <c r="I255" s="107"/>
      <c r="J255" s="107"/>
      <c r="K255" s="107"/>
    </row>
    <row r="256" spans="1:11" ht="12.75">
      <c r="A256" s="100" t="s">
        <v>11</v>
      </c>
      <c r="B256" s="100"/>
      <c r="C256">
        <v>5.63</v>
      </c>
      <c r="E256" t="s">
        <v>13</v>
      </c>
      <c r="H256" s="107"/>
      <c r="I256" s="107"/>
      <c r="J256" s="107"/>
      <c r="K256" s="107"/>
    </row>
    <row r="258" spans="1:6" ht="12.75">
      <c r="A258" s="100" t="s">
        <v>20</v>
      </c>
      <c r="B258" s="100"/>
      <c r="C258" s="109">
        <f>C255*10^5/$H$3/$E$3</f>
        <v>377.5332591436579</v>
      </c>
      <c r="D258" s="109"/>
      <c r="E258" s="109"/>
      <c r="F258" s="13">
        <f>C258/16.387</f>
        <v>23.038582970870685</v>
      </c>
    </row>
    <row r="260" spans="1:11" ht="15.75">
      <c r="A260" t="s">
        <v>49</v>
      </c>
      <c r="B260" s="2" t="s">
        <v>50</v>
      </c>
      <c r="C260" s="111">
        <f>1.1*F258</f>
        <v>25.342441267957756</v>
      </c>
      <c r="D260" s="111"/>
      <c r="E260" s="111"/>
      <c r="F260" s="98" t="s">
        <v>88</v>
      </c>
      <c r="G260" s="98"/>
      <c r="H260" s="27" t="s">
        <v>31</v>
      </c>
      <c r="I260" s="28">
        <v>15.7</v>
      </c>
      <c r="J260" s="32" t="s">
        <v>59</v>
      </c>
      <c r="K260" s="33">
        <v>7.97</v>
      </c>
    </row>
    <row r="261" spans="2:9" ht="15.75">
      <c r="B261" s="2"/>
      <c r="C261" s="2"/>
      <c r="D261" s="2"/>
      <c r="E261" s="2"/>
      <c r="F261" s="1" t="s">
        <v>51</v>
      </c>
      <c r="G261" s="24">
        <v>44.2</v>
      </c>
      <c r="H261" s="25" t="s">
        <v>32</v>
      </c>
      <c r="I261" s="29">
        <v>0.25</v>
      </c>
    </row>
    <row r="262" spans="2:9" ht="15.75">
      <c r="B262" s="2"/>
      <c r="C262" s="2"/>
      <c r="D262" s="2"/>
      <c r="E262" s="2"/>
      <c r="H262" s="30" t="s">
        <v>34</v>
      </c>
      <c r="I262" s="31">
        <v>56.8</v>
      </c>
    </row>
    <row r="263" spans="2:9" ht="12.75">
      <c r="B263" s="2"/>
      <c r="C263" s="2"/>
      <c r="D263" s="2"/>
      <c r="E263" s="2"/>
      <c r="H263" s="1"/>
      <c r="I263" s="2"/>
    </row>
    <row r="264" spans="1:11" ht="15.75">
      <c r="A264" t="s">
        <v>53</v>
      </c>
      <c r="B264" s="2" t="s">
        <v>54</v>
      </c>
      <c r="C264" s="111">
        <f>1.2*F258</f>
        <v>27.64629956504482</v>
      </c>
      <c r="D264" s="111"/>
      <c r="E264" s="111"/>
      <c r="F264" s="98" t="s">
        <v>88</v>
      </c>
      <c r="G264" s="98"/>
      <c r="H264" s="27" t="s">
        <v>31</v>
      </c>
      <c r="I264" s="28">
        <v>15.7</v>
      </c>
      <c r="J264" s="32" t="s">
        <v>59</v>
      </c>
      <c r="K264" s="33">
        <v>7.97</v>
      </c>
    </row>
    <row r="265" spans="6:9" ht="15.75">
      <c r="F265" s="1" t="s">
        <v>51</v>
      </c>
      <c r="G265" s="24">
        <v>44.2</v>
      </c>
      <c r="H265" s="25" t="s">
        <v>32</v>
      </c>
      <c r="I265" s="29">
        <v>0.25</v>
      </c>
    </row>
    <row r="266" spans="8:9" ht="15.75">
      <c r="H266" s="30" t="s">
        <v>34</v>
      </c>
      <c r="I266" s="31">
        <v>56.8</v>
      </c>
    </row>
    <row r="268" spans="1:11" ht="15.75">
      <c r="A268" t="s">
        <v>56</v>
      </c>
      <c r="B268" s="2" t="s">
        <v>57</v>
      </c>
      <c r="C268" s="111">
        <f>1.4*F258</f>
        <v>32.254016159218956</v>
      </c>
      <c r="D268" s="111"/>
      <c r="E268" s="111"/>
      <c r="F268" s="98" t="s">
        <v>88</v>
      </c>
      <c r="G268" s="98"/>
      <c r="H268" s="27" t="s">
        <v>31</v>
      </c>
      <c r="I268" s="28">
        <v>15.7</v>
      </c>
      <c r="J268" s="32" t="s">
        <v>59</v>
      </c>
      <c r="K268" s="33">
        <v>7.97</v>
      </c>
    </row>
    <row r="269" spans="6:9" ht="15.75">
      <c r="F269" s="1" t="s">
        <v>51</v>
      </c>
      <c r="G269" s="24">
        <v>44.2</v>
      </c>
      <c r="H269" s="25" t="s">
        <v>32</v>
      </c>
      <c r="I269" s="29">
        <v>0.25</v>
      </c>
    </row>
    <row r="270" spans="8:9" ht="15.75">
      <c r="H270" s="30" t="s">
        <v>34</v>
      </c>
      <c r="I270" s="31">
        <v>56.8</v>
      </c>
    </row>
    <row r="271" spans="2:6" ht="12.75">
      <c r="B271" s="108" t="s">
        <v>60</v>
      </c>
      <c r="C271" s="108"/>
      <c r="D271" s="108"/>
      <c r="E271" s="108"/>
      <c r="F271" s="108"/>
    </row>
    <row r="273" spans="2:6" ht="15.75">
      <c r="B273" s="35" t="s">
        <v>89</v>
      </c>
      <c r="C273" s="36" t="s">
        <v>67</v>
      </c>
      <c r="D273" s="98">
        <f>K260</f>
        <v>7.97</v>
      </c>
      <c r="E273" s="98"/>
      <c r="F273" t="str">
        <f>IF(D273&lt;=$I$82,"OK","MAL")</f>
        <v>OK</v>
      </c>
    </row>
    <row r="274" spans="2:6" ht="15.75">
      <c r="B274" s="34"/>
      <c r="C274" s="36" t="s">
        <v>68</v>
      </c>
      <c r="D274" s="98">
        <f>I262</f>
        <v>56.8</v>
      </c>
      <c r="E274" s="98"/>
      <c r="F274" t="str">
        <f>IF(D274&lt;=$I$83,"OK","MAL")</f>
        <v>OK</v>
      </c>
    </row>
    <row r="275" ht="12.75">
      <c r="B275" s="34"/>
    </row>
    <row r="276" spans="2:6" ht="15.75">
      <c r="B276" t="s">
        <v>89</v>
      </c>
      <c r="C276" s="36" t="s">
        <v>67</v>
      </c>
      <c r="D276" s="98">
        <f>K264</f>
        <v>7.97</v>
      </c>
      <c r="E276" s="98"/>
      <c r="F276" t="str">
        <f>IF(D276&lt;=$I$82,"OK","MAL")</f>
        <v>OK</v>
      </c>
    </row>
    <row r="277" spans="3:6" ht="15.75">
      <c r="C277" s="36" t="s">
        <v>68</v>
      </c>
      <c r="D277" s="98">
        <f>I266</f>
        <v>56.8</v>
      </c>
      <c r="E277" s="98"/>
      <c r="F277" t="str">
        <f>IF(D277&lt;=$I$83,"OK","MAL")</f>
        <v>OK</v>
      </c>
    </row>
    <row r="279" spans="2:6" ht="15.75">
      <c r="B279" t="s">
        <v>89</v>
      </c>
      <c r="C279" s="36" t="s">
        <v>67</v>
      </c>
      <c r="D279" s="98">
        <f>K268</f>
        <v>7.97</v>
      </c>
      <c r="E279" s="98"/>
      <c r="F279" t="str">
        <f>IF(D279&lt;=$I$82,"OK","MAL")</f>
        <v>OK</v>
      </c>
    </row>
    <row r="280" spans="3:6" ht="15.75">
      <c r="C280" s="36" t="s">
        <v>68</v>
      </c>
      <c r="D280" s="98">
        <f>I270</f>
        <v>56.8</v>
      </c>
      <c r="E280" s="98"/>
      <c r="F280" t="str">
        <f>IF(D280&lt;=$I$83,"OK","MAL")</f>
        <v>OK</v>
      </c>
    </row>
    <row r="282" spans="2:6" ht="12.75">
      <c r="B282" s="108" t="s">
        <v>71</v>
      </c>
      <c r="C282" s="108"/>
      <c r="D282" s="108"/>
      <c r="E282" s="108"/>
      <c r="F282" s="108"/>
    </row>
    <row r="284" ht="12.75">
      <c r="B284" t="s">
        <v>72</v>
      </c>
    </row>
    <row r="286" spans="2:7" ht="12.75">
      <c r="B286" s="98" t="s">
        <v>28</v>
      </c>
      <c r="C286" s="98"/>
      <c r="D286" s="98"/>
      <c r="E286" s="98"/>
      <c r="F286" s="19">
        <f>2.45*((29000/36)^0.5)</f>
        <v>69.53666099419948</v>
      </c>
      <c r="G286" s="3">
        <f>D274</f>
        <v>56.8</v>
      </c>
    </row>
    <row r="288" spans="2:9" ht="15.75">
      <c r="B288" s="93" t="s">
        <v>29</v>
      </c>
      <c r="C288" s="93"/>
      <c r="D288" s="93"/>
      <c r="E288" s="93"/>
      <c r="F288" s="93"/>
      <c r="G288" s="14">
        <f>$H$4*0.6*$C$3*I260*I261/2.2</f>
        <v>34.68272727272727</v>
      </c>
      <c r="H288" t="s">
        <v>33</v>
      </c>
      <c r="I288" t="str">
        <f>IF(G288&gt;=C256,"OK","MAL")</f>
        <v>OK</v>
      </c>
    </row>
    <row r="289" spans="2:7" ht="12.75">
      <c r="B289" s="3"/>
      <c r="C289" s="3"/>
      <c r="D289" s="3"/>
      <c r="E289" s="3"/>
      <c r="F289" s="3"/>
      <c r="G289" s="14"/>
    </row>
    <row r="290" spans="2:9" ht="12.75">
      <c r="B290" s="104" t="s">
        <v>90</v>
      </c>
      <c r="C290" s="104"/>
      <c r="D290" s="104"/>
      <c r="E290" s="104"/>
      <c r="F290" s="104"/>
      <c r="G290" s="104"/>
      <c r="H290" s="20"/>
      <c r="I290" s="15"/>
    </row>
    <row r="291" spans="2:10" ht="15.75">
      <c r="B291" s="5"/>
      <c r="C291" s="5"/>
      <c r="D291" s="5"/>
      <c r="E291" s="5"/>
      <c r="F291" s="5"/>
      <c r="G291" s="5"/>
      <c r="H291" t="s">
        <v>84</v>
      </c>
      <c r="I291" s="114">
        <v>1.85</v>
      </c>
      <c r="J291" s="114"/>
    </row>
    <row r="292" spans="1:11" ht="12.75">
      <c r="A292" s="100" t="s">
        <v>10</v>
      </c>
      <c r="B292" s="100"/>
      <c r="C292">
        <v>12.63</v>
      </c>
      <c r="E292" t="s">
        <v>12</v>
      </c>
      <c r="H292" s="107" t="s">
        <v>79</v>
      </c>
      <c r="I292" s="107"/>
      <c r="J292" s="107"/>
      <c r="K292" s="107"/>
    </row>
    <row r="293" spans="1:11" ht="12.75">
      <c r="A293" s="100" t="s">
        <v>11</v>
      </c>
      <c r="B293" s="100"/>
      <c r="C293">
        <f>I291*9.16/2</f>
        <v>8.473</v>
      </c>
      <c r="E293" t="s">
        <v>13</v>
      </c>
      <c r="H293" s="107"/>
      <c r="I293" s="107"/>
      <c r="J293" s="107"/>
      <c r="K293" s="107"/>
    </row>
    <row r="295" spans="1:6" ht="12.75">
      <c r="A295" s="100" t="s">
        <v>20</v>
      </c>
      <c r="B295" s="100"/>
      <c r="C295" s="109">
        <f>C292*10^5/$H$3/$E$3</f>
        <v>554.4471003470233</v>
      </c>
      <c r="D295" s="109"/>
      <c r="E295" s="109"/>
      <c r="F295" s="13">
        <f>C295/16.387</f>
        <v>33.83457010722056</v>
      </c>
    </row>
    <row r="297" spans="2:9" ht="12.75">
      <c r="B297" s="2" t="s">
        <v>50</v>
      </c>
      <c r="C297" s="111">
        <f>1.1*F295</f>
        <v>37.21802711794262</v>
      </c>
      <c r="D297" s="111"/>
      <c r="E297" s="111"/>
      <c r="F297" s="98" t="s">
        <v>88</v>
      </c>
      <c r="G297" s="98"/>
      <c r="H297" s="27" t="s">
        <v>31</v>
      </c>
      <c r="I297" s="28">
        <v>15.7</v>
      </c>
    </row>
    <row r="298" spans="2:9" ht="15.75">
      <c r="B298" s="2"/>
      <c r="C298" s="2"/>
      <c r="D298" s="2"/>
      <c r="E298" s="2"/>
      <c r="F298" s="1" t="s">
        <v>51</v>
      </c>
      <c r="G298" s="24">
        <v>44.2</v>
      </c>
      <c r="H298" s="25" t="s">
        <v>32</v>
      </c>
      <c r="I298" s="29">
        <v>0.25</v>
      </c>
    </row>
    <row r="299" spans="2:9" ht="15.75">
      <c r="B299" s="2"/>
      <c r="C299" s="2"/>
      <c r="D299" s="2"/>
      <c r="E299" s="2"/>
      <c r="H299" s="30" t="s">
        <v>34</v>
      </c>
      <c r="I299" s="31">
        <v>56.8</v>
      </c>
    </row>
    <row r="300" spans="8:9" ht="15.75">
      <c r="H300" s="32" t="s">
        <v>59</v>
      </c>
      <c r="I300" s="33">
        <v>7.97</v>
      </c>
    </row>
    <row r="302" spans="2:6" ht="12.75">
      <c r="B302" s="108" t="s">
        <v>60</v>
      </c>
      <c r="C302" s="108"/>
      <c r="D302" s="108"/>
      <c r="E302" s="108"/>
      <c r="F302" s="108"/>
    </row>
    <row r="304" spans="2:6" ht="15.75">
      <c r="B304" s="35" t="s">
        <v>61</v>
      </c>
      <c r="C304" s="36" t="s">
        <v>67</v>
      </c>
      <c r="D304" s="98">
        <f>I300</f>
        <v>7.97</v>
      </c>
      <c r="E304" s="98"/>
      <c r="F304" t="str">
        <f>IF(D304&lt;=$I$82,"OK","MAL")</f>
        <v>OK</v>
      </c>
    </row>
    <row r="305" spans="2:6" ht="15.75">
      <c r="B305" s="34"/>
      <c r="C305" s="36" t="s">
        <v>68</v>
      </c>
      <c r="D305" s="98">
        <f>I299</f>
        <v>56.8</v>
      </c>
      <c r="E305" s="98"/>
      <c r="F305" t="str">
        <f>IF(D305&lt;=$I$83,"OK","MAL")</f>
        <v>OK</v>
      </c>
    </row>
    <row r="306" ht="12.75">
      <c r="B306" s="34"/>
    </row>
    <row r="307" spans="2:6" ht="12.75">
      <c r="B307" s="108" t="s">
        <v>71</v>
      </c>
      <c r="C307" s="108"/>
      <c r="D307" s="108"/>
      <c r="E307" s="108"/>
      <c r="F307" s="108"/>
    </row>
    <row r="309" spans="2:7" ht="12.75">
      <c r="B309" s="98" t="s">
        <v>28</v>
      </c>
      <c r="C309" s="98"/>
      <c r="D309" s="98"/>
      <c r="E309" s="98"/>
      <c r="F309" s="19">
        <f>2.45*((29000/36)^0.5)</f>
        <v>69.53666099419948</v>
      </c>
      <c r="G309" s="3">
        <f>D305</f>
        <v>56.8</v>
      </c>
    </row>
    <row r="310" spans="8:9" ht="12.75">
      <c r="H310" t="s">
        <v>33</v>
      </c>
      <c r="I310" t="str">
        <f>IF(G311&gt;=C293,"OK","MAL")</f>
        <v>OK</v>
      </c>
    </row>
    <row r="311" spans="2:7" ht="15.75">
      <c r="B311" s="93" t="s">
        <v>29</v>
      </c>
      <c r="C311" s="93"/>
      <c r="D311" s="93"/>
      <c r="E311" s="93"/>
      <c r="F311" s="93"/>
      <c r="G311" s="14">
        <f>$H$4*0.6*$C$3*I297*I298/2.2</f>
        <v>34.68272727272727</v>
      </c>
    </row>
    <row r="313" spans="2:9" ht="12.75">
      <c r="B313" s="104" t="s">
        <v>91</v>
      </c>
      <c r="C313" s="104"/>
      <c r="D313" s="104"/>
      <c r="E313" s="104"/>
      <c r="F313" s="104"/>
      <c r="G313" s="104"/>
      <c r="H313" s="20"/>
      <c r="I313" s="15"/>
    </row>
    <row r="314" spans="2:10" ht="15.75">
      <c r="B314" s="5"/>
      <c r="C314" s="5"/>
      <c r="D314" s="5"/>
      <c r="E314" s="5"/>
      <c r="F314" s="5"/>
      <c r="G314" s="5"/>
      <c r="H314" t="s">
        <v>84</v>
      </c>
      <c r="I314" s="114">
        <f>1.85/2</f>
        <v>0.925</v>
      </c>
      <c r="J314" s="114"/>
    </row>
    <row r="315" spans="1:11" ht="12.75">
      <c r="A315" s="100" t="s">
        <v>10</v>
      </c>
      <c r="B315" s="100"/>
      <c r="C315">
        <f>I314*9.16*9.16/12</f>
        <v>6.467723333333335</v>
      </c>
      <c r="E315" t="s">
        <v>12</v>
      </c>
      <c r="H315" s="107" t="s">
        <v>79</v>
      </c>
      <c r="I315" s="107"/>
      <c r="J315" s="107"/>
      <c r="K315" s="107"/>
    </row>
    <row r="316" spans="1:11" ht="12.75">
      <c r="A316" s="100" t="s">
        <v>11</v>
      </c>
      <c r="B316" s="100"/>
      <c r="C316">
        <f>I314*9.16/2</f>
        <v>4.2365</v>
      </c>
      <c r="E316" t="s">
        <v>13</v>
      </c>
      <c r="H316" s="107"/>
      <c r="I316" s="107"/>
      <c r="J316" s="107"/>
      <c r="K316" s="107"/>
    </row>
    <row r="318" spans="1:6" ht="12.75">
      <c r="A318" s="100" t="s">
        <v>20</v>
      </c>
      <c r="B318" s="100"/>
      <c r="C318" s="109">
        <f>C315*10^5/$H$3/$E$3</f>
        <v>283.9279847991648</v>
      </c>
      <c r="D318" s="109"/>
      <c r="E318" s="109"/>
      <c r="F318" s="13">
        <f>C318/16.387</f>
        <v>17.32641635437632</v>
      </c>
    </row>
    <row r="320" spans="2:9" ht="12.75">
      <c r="B320" s="2" t="s">
        <v>50</v>
      </c>
      <c r="C320" s="111">
        <f>1.1*F318</f>
        <v>19.059057989813954</v>
      </c>
      <c r="D320" s="111"/>
      <c r="E320" s="111"/>
      <c r="F320" s="98" t="s">
        <v>88</v>
      </c>
      <c r="G320" s="98"/>
      <c r="H320" s="27" t="s">
        <v>31</v>
      </c>
      <c r="I320" s="28">
        <v>15.7</v>
      </c>
    </row>
    <row r="321" spans="2:9" ht="15.75">
      <c r="B321" s="2"/>
      <c r="C321" s="2"/>
      <c r="D321" s="2"/>
      <c r="E321" s="2"/>
      <c r="F321" s="1" t="s">
        <v>51</v>
      </c>
      <c r="G321" s="24">
        <v>44.2</v>
      </c>
      <c r="H321" s="25" t="s">
        <v>32</v>
      </c>
      <c r="I321" s="29">
        <v>0.25</v>
      </c>
    </row>
    <row r="322" spans="2:9" ht="15.75">
      <c r="B322" s="2"/>
      <c r="C322" s="2"/>
      <c r="D322" s="2"/>
      <c r="E322" s="2"/>
      <c r="H322" s="30" t="s">
        <v>34</v>
      </c>
      <c r="I322" s="31">
        <v>56.8</v>
      </c>
    </row>
    <row r="323" spans="8:9" ht="15.75">
      <c r="H323" s="32" t="s">
        <v>59</v>
      </c>
      <c r="I323" s="33">
        <v>7.97</v>
      </c>
    </row>
    <row r="325" spans="2:6" ht="12.75">
      <c r="B325" s="108" t="s">
        <v>60</v>
      </c>
      <c r="C325" s="108"/>
      <c r="D325" s="108"/>
      <c r="E325" s="108"/>
      <c r="F325" s="108"/>
    </row>
    <row r="327" spans="2:6" ht="15.75">
      <c r="B327" s="35" t="s">
        <v>61</v>
      </c>
      <c r="C327" s="36" t="s">
        <v>67</v>
      </c>
      <c r="D327" s="98">
        <f>I323</f>
        <v>7.97</v>
      </c>
      <c r="E327" s="98"/>
      <c r="F327" t="str">
        <f>IF(D327&lt;=$I$82,"OK","MAL")</f>
        <v>OK</v>
      </c>
    </row>
    <row r="328" spans="2:6" ht="15.75">
      <c r="B328" s="34"/>
      <c r="C328" s="36" t="s">
        <v>68</v>
      </c>
      <c r="D328" s="98">
        <f>I322</f>
        <v>56.8</v>
      </c>
      <c r="E328" s="98"/>
      <c r="F328" t="str">
        <f>IF(D328&lt;=$I$83,"OK","MAL")</f>
        <v>OK</v>
      </c>
    </row>
    <row r="329" ht="12.75">
      <c r="B329" s="34"/>
    </row>
    <row r="330" spans="2:6" ht="12.75">
      <c r="B330" s="108" t="s">
        <v>71</v>
      </c>
      <c r="C330" s="108"/>
      <c r="D330" s="108"/>
      <c r="E330" s="108"/>
      <c r="F330" s="108"/>
    </row>
    <row r="332" spans="2:7" ht="12.75">
      <c r="B332" s="98" t="s">
        <v>28</v>
      </c>
      <c r="C332" s="98"/>
      <c r="D332" s="98"/>
      <c r="E332" s="98"/>
      <c r="F332" s="19">
        <f>2.45*((29000/36)^0.5)</f>
        <v>69.53666099419948</v>
      </c>
      <c r="G332" s="3">
        <f>D328</f>
        <v>56.8</v>
      </c>
    </row>
    <row r="333" spans="8:9" ht="12.75">
      <c r="H333" t="s">
        <v>33</v>
      </c>
      <c r="I333" t="str">
        <f>IF(G334&gt;=C316,"OK","MAL")</f>
        <v>OK</v>
      </c>
    </row>
    <row r="334" spans="2:7" ht="15.75">
      <c r="B334" s="93" t="s">
        <v>29</v>
      </c>
      <c r="C334" s="93"/>
      <c r="D334" s="93"/>
      <c r="E334" s="93"/>
      <c r="F334" s="93"/>
      <c r="G334" s="14">
        <f>$H$4*0.6*$C$3*I320*I321/2.2</f>
        <v>34.68272727272727</v>
      </c>
    </row>
    <row r="337" spans="1:6" ht="15.75">
      <c r="A337" s="110" t="s">
        <v>92</v>
      </c>
      <c r="B337" s="110"/>
      <c r="C337" s="110"/>
      <c r="D337" s="110"/>
      <c r="E337" s="110"/>
      <c r="F337" s="110"/>
    </row>
    <row r="338" spans="1:9" ht="16.5">
      <c r="A338" s="39"/>
      <c r="B338" s="39"/>
      <c r="C338" s="11" t="s">
        <v>97</v>
      </c>
      <c r="D338" s="11"/>
      <c r="E338" s="11">
        <v>1.3</v>
      </c>
      <c r="F338" s="99" t="s">
        <v>98</v>
      </c>
      <c r="G338" s="99"/>
      <c r="H338" s="20" t="s">
        <v>62</v>
      </c>
      <c r="I338" s="16">
        <f>0.64*(29000/$C$3)^0.5</f>
        <v>18.164678790321496</v>
      </c>
    </row>
    <row r="339" spans="1:6" ht="15.75">
      <c r="A339" s="39"/>
      <c r="B339" s="39"/>
      <c r="C339" s="11" t="s">
        <v>100</v>
      </c>
      <c r="D339" s="39"/>
      <c r="E339" s="11">
        <f>(C3+C4)/2/C3</f>
        <v>1.3055555555555556</v>
      </c>
      <c r="F339" s="39"/>
    </row>
    <row r="340" spans="1:7" ht="15.75">
      <c r="A340" s="39"/>
      <c r="B340" s="39"/>
      <c r="C340" t="s">
        <v>46</v>
      </c>
      <c r="D340" s="113">
        <v>25.4</v>
      </c>
      <c r="E340" s="113"/>
      <c r="F340" s="11"/>
      <c r="G340" s="7"/>
    </row>
    <row r="341" spans="3:6" ht="15.75">
      <c r="C341" s="11"/>
      <c r="D341" s="39"/>
      <c r="E341" s="11"/>
      <c r="F341" s="39"/>
    </row>
    <row r="342" ht="12.75">
      <c r="B342" t="s">
        <v>93</v>
      </c>
    </row>
    <row r="343" spans="7:8" ht="12.75">
      <c r="G343" s="98"/>
      <c r="H343" s="98"/>
    </row>
    <row r="344" spans="3:11" ht="12.75">
      <c r="C344" t="s">
        <v>94</v>
      </c>
      <c r="E344" t="s">
        <v>66</v>
      </c>
      <c r="F344" s="42" t="s">
        <v>51</v>
      </c>
      <c r="G344" s="45">
        <v>283</v>
      </c>
      <c r="I344" t="s">
        <v>103</v>
      </c>
      <c r="J344">
        <v>310.82</v>
      </c>
      <c r="K344" t="s">
        <v>63</v>
      </c>
    </row>
    <row r="345" spans="6:11" ht="12.75">
      <c r="F345" s="43" t="s">
        <v>31</v>
      </c>
      <c r="G345" s="44">
        <v>29.5</v>
      </c>
      <c r="I345" t="s">
        <v>104</v>
      </c>
      <c r="J345">
        <v>7.5</v>
      </c>
      <c r="K345" t="s">
        <v>105</v>
      </c>
    </row>
    <row r="346" spans="6:11" ht="15.75">
      <c r="F346" s="42" t="s">
        <v>32</v>
      </c>
      <c r="G346" s="44">
        <v>0.47</v>
      </c>
      <c r="I346" s="1" t="s">
        <v>108</v>
      </c>
      <c r="J346" s="2">
        <v>24.59</v>
      </c>
      <c r="K346" t="s">
        <v>63</v>
      </c>
    </row>
    <row r="347" spans="6:7" ht="15.75">
      <c r="F347" s="42" t="s">
        <v>34</v>
      </c>
      <c r="G347" s="44">
        <v>57.5</v>
      </c>
    </row>
    <row r="348" spans="6:7" ht="15.75">
      <c r="F348" s="42" t="s">
        <v>59</v>
      </c>
      <c r="G348" s="44">
        <v>8.52</v>
      </c>
    </row>
    <row r="350" spans="5:8" ht="15.75">
      <c r="E350" s="98" t="s">
        <v>99</v>
      </c>
      <c r="F350" s="98"/>
      <c r="G350" s="2">
        <f>$E$339*$E$338*G344*$C$3</f>
        <v>17291.300000000003</v>
      </c>
      <c r="H350" t="s">
        <v>101</v>
      </c>
    </row>
    <row r="351" spans="2:8" ht="14.25">
      <c r="B351" s="98" t="s">
        <v>102</v>
      </c>
      <c r="C351" s="98"/>
      <c r="D351" s="98"/>
      <c r="E351" s="98"/>
      <c r="F351" s="98"/>
      <c r="G351" s="47">
        <f>(2*G350+466.23*($D$340*2.2)+(J345*10^-3)*(J344^2)/2)/J344</f>
        <v>196.24804202271417</v>
      </c>
      <c r="H351" t="s">
        <v>106</v>
      </c>
    </row>
    <row r="352" spans="5:9" ht="12.75">
      <c r="E352" s="106" t="s">
        <v>107</v>
      </c>
      <c r="F352" s="106"/>
      <c r="G352" s="48">
        <f>G351*J346</f>
        <v>4825.739353338541</v>
      </c>
      <c r="H352" s="11" t="s">
        <v>101</v>
      </c>
      <c r="I352" s="7"/>
    </row>
    <row r="353" spans="5:8" ht="15.75">
      <c r="E353" s="11"/>
      <c r="F353" s="39"/>
      <c r="G353" s="11"/>
      <c r="H353" s="39"/>
    </row>
    <row r="354" spans="5:9" ht="15.75" customHeight="1">
      <c r="E354" s="20" t="s">
        <v>95</v>
      </c>
      <c r="F354" s="115" t="s">
        <v>96</v>
      </c>
      <c r="G354" s="115"/>
      <c r="H354" s="11">
        <f>1.1*$E$338*$C$3*G344+G352</f>
        <v>19394.579353338544</v>
      </c>
      <c r="I354" s="2" t="s">
        <v>101</v>
      </c>
    </row>
    <row r="355" spans="5:9" ht="12.75">
      <c r="E355" s="20" t="s">
        <v>109</v>
      </c>
      <c r="F355" s="115" t="s">
        <v>110</v>
      </c>
      <c r="G355" s="115"/>
      <c r="H355" s="11">
        <v>28.8</v>
      </c>
      <c r="I355" s="7" t="s">
        <v>111</v>
      </c>
    </row>
    <row r="356" spans="5:7" ht="12.75">
      <c r="E356" s="20"/>
      <c r="F356" s="46"/>
      <c r="G356" s="46"/>
    </row>
    <row r="357" spans="5:7" ht="12.75">
      <c r="E357" s="20"/>
      <c r="F357" s="46"/>
      <c r="G357" s="46"/>
    </row>
    <row r="358" spans="6:10" ht="12.75">
      <c r="F358" s="1" t="s">
        <v>112</v>
      </c>
      <c r="G358" s="17">
        <f>H354/H355</f>
        <v>673.4228942131439</v>
      </c>
      <c r="H358" s="2" t="s">
        <v>24</v>
      </c>
      <c r="I358">
        <f>G358*16.387</f>
        <v>11035.380967470788</v>
      </c>
      <c r="J358" t="s">
        <v>113</v>
      </c>
    </row>
    <row r="359" spans="6:7" ht="12.75">
      <c r="F359" s="1"/>
      <c r="G359" s="17"/>
    </row>
    <row r="360" spans="6:7" ht="12.75">
      <c r="F360" s="56" t="s">
        <v>114</v>
      </c>
      <c r="G360" s="57">
        <v>53</v>
      </c>
    </row>
    <row r="361" spans="6:7" ht="12.75">
      <c r="F361" s="1" t="s">
        <v>115</v>
      </c>
      <c r="G361" s="49">
        <v>3</v>
      </c>
    </row>
    <row r="362" spans="6:8" ht="15.75">
      <c r="F362" s="36" t="s">
        <v>116</v>
      </c>
      <c r="G362" s="23">
        <f>(G360-2*G361)/G361</f>
        <v>15.666666666666666</v>
      </c>
      <c r="H362" t="str">
        <f>IF(G362&lt;=$I$338,"OK","MAL")</f>
        <v>OK</v>
      </c>
    </row>
    <row r="364" ht="12.75">
      <c r="B364" t="s">
        <v>117</v>
      </c>
    </row>
    <row r="365" spans="7:8" ht="12.75">
      <c r="G365" s="98"/>
      <c r="H365" s="98"/>
    </row>
    <row r="366" spans="3:11" ht="12.75">
      <c r="C366" t="s">
        <v>94</v>
      </c>
      <c r="E366" t="s">
        <v>70</v>
      </c>
      <c r="F366" s="42" t="s">
        <v>51</v>
      </c>
      <c r="G366" s="45">
        <v>244</v>
      </c>
      <c r="I366" t="s">
        <v>103</v>
      </c>
      <c r="J366">
        <v>317.56</v>
      </c>
      <c r="K366" t="s">
        <v>63</v>
      </c>
    </row>
    <row r="367" spans="6:11" ht="12.75">
      <c r="F367" s="43" t="s">
        <v>31</v>
      </c>
      <c r="G367" s="44">
        <v>26.7</v>
      </c>
      <c r="I367" t="s">
        <v>104</v>
      </c>
      <c r="J367">
        <v>7</v>
      </c>
      <c r="K367" t="s">
        <v>105</v>
      </c>
    </row>
    <row r="368" spans="6:11" ht="15.75">
      <c r="F368" s="42" t="s">
        <v>32</v>
      </c>
      <c r="G368" s="44">
        <v>0.46</v>
      </c>
      <c r="I368" s="1" t="s">
        <v>108</v>
      </c>
      <c r="J368" s="2">
        <v>21.22</v>
      </c>
      <c r="K368" t="s">
        <v>63</v>
      </c>
    </row>
    <row r="369" spans="6:7" ht="15.75">
      <c r="F369" s="42" t="s">
        <v>34</v>
      </c>
      <c r="G369" s="44">
        <v>52.7</v>
      </c>
    </row>
    <row r="370" spans="6:7" ht="15.75">
      <c r="F370" s="42" t="s">
        <v>59</v>
      </c>
      <c r="G370" s="44">
        <v>7.78</v>
      </c>
    </row>
    <row r="372" spans="5:8" ht="15.75">
      <c r="E372" s="98" t="s">
        <v>99</v>
      </c>
      <c r="F372" s="98"/>
      <c r="G372" s="2">
        <f>$E$339*$E$338*G366*$C$3</f>
        <v>14908.400000000001</v>
      </c>
      <c r="H372" t="s">
        <v>101</v>
      </c>
    </row>
    <row r="373" spans="2:8" ht="14.25">
      <c r="B373" s="98" t="s">
        <v>120</v>
      </c>
      <c r="C373" s="98"/>
      <c r="D373" s="98"/>
      <c r="E373" s="98"/>
      <c r="F373" s="98"/>
      <c r="G373" s="47">
        <f>(2*G372+476.33*($D$340*2.2)+(J367*10^-3)*(J366^2)/2)/J366</f>
        <v>178.82313779317295</v>
      </c>
      <c r="H373" t="s">
        <v>106</v>
      </c>
    </row>
    <row r="374" spans="5:9" ht="12.75">
      <c r="E374" s="106" t="s">
        <v>107</v>
      </c>
      <c r="F374" s="106"/>
      <c r="G374" s="48">
        <f>G373*J368</f>
        <v>3794.62698397113</v>
      </c>
      <c r="H374" s="11" t="s">
        <v>101</v>
      </c>
      <c r="I374" s="7"/>
    </row>
    <row r="375" spans="5:8" ht="15.75">
      <c r="E375" s="11"/>
      <c r="F375" s="39"/>
      <c r="G375" s="11"/>
      <c r="H375" s="39"/>
    </row>
    <row r="376" spans="5:9" ht="15.75">
      <c r="E376" s="20" t="s">
        <v>95</v>
      </c>
      <c r="F376" s="115" t="s">
        <v>96</v>
      </c>
      <c r="G376" s="115"/>
      <c r="H376" s="11">
        <f>1.1*$E$338*$C$3*G366+G374</f>
        <v>16355.74698397113</v>
      </c>
      <c r="I376" s="2" t="s">
        <v>101</v>
      </c>
    </row>
    <row r="377" spans="5:9" ht="12.75">
      <c r="E377" s="20" t="s">
        <v>109</v>
      </c>
      <c r="F377" s="115" t="s">
        <v>110</v>
      </c>
      <c r="G377" s="115"/>
      <c r="H377" s="11">
        <v>28.8</v>
      </c>
      <c r="I377" s="7" t="s">
        <v>111</v>
      </c>
    </row>
    <row r="378" spans="5:7" ht="12.75">
      <c r="E378" s="20"/>
      <c r="F378" s="46"/>
      <c r="G378" s="46"/>
    </row>
    <row r="379" spans="5:7" ht="12.75">
      <c r="E379" s="20"/>
      <c r="F379" s="46"/>
      <c r="G379" s="46"/>
    </row>
    <row r="380" spans="6:10" ht="12.75">
      <c r="F380" s="1" t="s">
        <v>112</v>
      </c>
      <c r="G380" s="17">
        <f>H376/H377</f>
        <v>567.9078813878865</v>
      </c>
      <c r="H380" s="2" t="s">
        <v>24</v>
      </c>
      <c r="I380">
        <f>G380*16.387</f>
        <v>9306.306452303297</v>
      </c>
      <c r="J380" t="s">
        <v>113</v>
      </c>
    </row>
    <row r="381" spans="6:7" ht="12.75">
      <c r="F381" s="1"/>
      <c r="G381" s="17"/>
    </row>
    <row r="382" spans="6:7" ht="12.75">
      <c r="F382" s="56" t="s">
        <v>114</v>
      </c>
      <c r="G382" s="57">
        <v>49</v>
      </c>
    </row>
    <row r="383" spans="6:7" ht="12.75">
      <c r="F383" s="1" t="s">
        <v>115</v>
      </c>
      <c r="G383" s="49">
        <v>3</v>
      </c>
    </row>
    <row r="384" spans="6:8" ht="15.75">
      <c r="F384" s="36" t="s">
        <v>116</v>
      </c>
      <c r="G384" s="23">
        <f>(G382-2*G383)/G383</f>
        <v>14.333333333333334</v>
      </c>
      <c r="H384" t="str">
        <f>IF(G384&lt;=$I$338,"OK","MAL")</f>
        <v>OK</v>
      </c>
    </row>
    <row r="386" ht="12.75">
      <c r="B386" t="s">
        <v>118</v>
      </c>
    </row>
    <row r="387" spans="7:8" ht="12.75">
      <c r="G387" s="98"/>
      <c r="H387" s="98"/>
    </row>
    <row r="388" spans="3:11" ht="12.75">
      <c r="C388" t="s">
        <v>94</v>
      </c>
      <c r="E388" t="s">
        <v>61</v>
      </c>
      <c r="F388" s="42" t="s">
        <v>51</v>
      </c>
      <c r="G388" s="40">
        <v>224</v>
      </c>
      <c r="I388" t="s">
        <v>103</v>
      </c>
      <c r="J388">
        <v>324.06</v>
      </c>
      <c r="K388" t="s">
        <v>63</v>
      </c>
    </row>
    <row r="389" spans="6:11" ht="12.75">
      <c r="F389" s="43" t="s">
        <v>31</v>
      </c>
      <c r="G389" s="41">
        <v>24.1</v>
      </c>
      <c r="I389" t="s">
        <v>104</v>
      </c>
      <c r="J389">
        <v>7</v>
      </c>
      <c r="K389" t="s">
        <v>105</v>
      </c>
    </row>
    <row r="390" spans="6:11" ht="15.75">
      <c r="F390" s="42" t="s">
        <v>32</v>
      </c>
      <c r="G390" s="41">
        <v>0.47</v>
      </c>
      <c r="I390" s="1" t="s">
        <v>108</v>
      </c>
      <c r="J390" s="2">
        <v>17.97</v>
      </c>
      <c r="K390" t="s">
        <v>63</v>
      </c>
    </row>
    <row r="391" spans="6:7" ht="15.75">
      <c r="F391" s="42" t="s">
        <v>34</v>
      </c>
      <c r="G391" s="41">
        <v>45.9</v>
      </c>
    </row>
    <row r="392" spans="6:7" ht="15.75">
      <c r="F392" s="42" t="s">
        <v>59</v>
      </c>
      <c r="G392" s="41">
        <v>5.86</v>
      </c>
    </row>
    <row r="394" spans="5:8" ht="15.75">
      <c r="E394" s="98" t="s">
        <v>99</v>
      </c>
      <c r="F394" s="98"/>
      <c r="G394" s="2">
        <f>$E$339*$E$338*G388*$C$3</f>
        <v>13686.400000000001</v>
      </c>
      <c r="H394" t="s">
        <v>101</v>
      </c>
    </row>
    <row r="395" spans="2:8" ht="14.25">
      <c r="B395" s="98" t="s">
        <v>119</v>
      </c>
      <c r="C395" s="98"/>
      <c r="D395" s="98"/>
      <c r="E395" s="98"/>
      <c r="F395" s="98"/>
      <c r="G395" s="47">
        <f>(2*G394+486.09*($D$340*2.2)+(J389*10^-3)*(J388^2)/2)/J388</f>
        <v>169.42251833796212</v>
      </c>
      <c r="H395" t="s">
        <v>106</v>
      </c>
    </row>
    <row r="396" spans="5:9" ht="12.75">
      <c r="E396" s="106" t="s">
        <v>107</v>
      </c>
      <c r="F396" s="106"/>
      <c r="G396" s="48">
        <f>G395*J390</f>
        <v>3044.522654533179</v>
      </c>
      <c r="H396" s="11" t="s">
        <v>101</v>
      </c>
      <c r="I396" s="7"/>
    </row>
    <row r="397" spans="5:8" ht="15.75">
      <c r="E397" s="11"/>
      <c r="F397" s="39"/>
      <c r="G397" s="11"/>
      <c r="H397" s="39"/>
    </row>
    <row r="398" spans="5:9" ht="15.75">
      <c r="E398" s="20" t="s">
        <v>95</v>
      </c>
      <c r="F398" s="115" t="s">
        <v>96</v>
      </c>
      <c r="G398" s="115"/>
      <c r="H398" s="11">
        <f>1.1*$E$338*$C$3*G388+G396</f>
        <v>14576.04265453318</v>
      </c>
      <c r="I398" s="2" t="s">
        <v>101</v>
      </c>
    </row>
    <row r="399" spans="5:9" ht="12.75">
      <c r="E399" s="20" t="s">
        <v>109</v>
      </c>
      <c r="F399" s="115" t="s">
        <v>110</v>
      </c>
      <c r="G399" s="115"/>
      <c r="H399" s="11">
        <v>28.8</v>
      </c>
      <c r="I399" s="7" t="s">
        <v>111</v>
      </c>
    </row>
    <row r="400" spans="5:7" ht="12.75">
      <c r="E400" s="20"/>
      <c r="F400" s="46"/>
      <c r="G400" s="46"/>
    </row>
    <row r="401" spans="5:7" ht="12.75">
      <c r="E401" s="20"/>
      <c r="F401" s="46"/>
      <c r="G401" s="46"/>
    </row>
    <row r="402" spans="6:10" ht="12.75">
      <c r="F402" s="1" t="s">
        <v>112</v>
      </c>
      <c r="G402" s="17">
        <f>H398/H399</f>
        <v>506.11259217129094</v>
      </c>
      <c r="H402" s="2" t="s">
        <v>24</v>
      </c>
      <c r="I402">
        <f>G402*16.387</f>
        <v>8293.667047910945</v>
      </c>
      <c r="J402" t="s">
        <v>113</v>
      </c>
    </row>
    <row r="403" spans="6:7" ht="12.75">
      <c r="F403" s="1"/>
      <c r="G403" s="17"/>
    </row>
    <row r="404" spans="6:7" ht="12.75">
      <c r="F404" s="56" t="s">
        <v>114</v>
      </c>
      <c r="G404" s="57">
        <v>46</v>
      </c>
    </row>
    <row r="405" spans="6:7" ht="12.75">
      <c r="F405" s="1" t="s">
        <v>115</v>
      </c>
      <c r="G405" s="49">
        <v>3</v>
      </c>
    </row>
    <row r="406" spans="6:8" ht="15.75">
      <c r="F406" s="36" t="s">
        <v>116</v>
      </c>
      <c r="G406" s="23">
        <f>(G404-2*G405)/G405</f>
        <v>13.333333333333334</v>
      </c>
      <c r="H406" t="str">
        <f>IF(G406&lt;=$I$338,"OK","MAL")</f>
        <v>OK</v>
      </c>
    </row>
    <row r="409" spans="1:6" ht="15.75">
      <c r="A409" s="110" t="s">
        <v>121</v>
      </c>
      <c r="B409" s="110"/>
      <c r="C409" s="110"/>
      <c r="D409" s="110"/>
      <c r="E409" s="110"/>
      <c r="F409" s="110"/>
    </row>
    <row r="411" spans="2:7" ht="15.75">
      <c r="B411" s="98" t="s">
        <v>123</v>
      </c>
      <c r="C411" s="98"/>
      <c r="D411" s="98"/>
      <c r="E411">
        <v>1250.3</v>
      </c>
      <c r="F411" t="s">
        <v>78</v>
      </c>
      <c r="G411" t="s">
        <v>122</v>
      </c>
    </row>
    <row r="412" spans="2:6" ht="15.75">
      <c r="B412" s="98" t="s">
        <v>135</v>
      </c>
      <c r="C412" s="98"/>
      <c r="D412" s="98"/>
      <c r="E412">
        <v>9185.37</v>
      </c>
      <c r="F412" t="s">
        <v>78</v>
      </c>
    </row>
    <row r="413" ht="12.75">
      <c r="E413">
        <f>SUM(E411:E412)</f>
        <v>10435.67</v>
      </c>
    </row>
    <row r="414" spans="1:2" ht="14.25">
      <c r="A414" s="116" t="s">
        <v>152</v>
      </c>
      <c r="B414" s="116"/>
    </row>
    <row r="416" spans="2:3" ht="12.75">
      <c r="B416" s="56" t="s">
        <v>186</v>
      </c>
      <c r="C416">
        <v>0.35</v>
      </c>
    </row>
    <row r="417" spans="2:3" ht="12.75">
      <c r="B417" s="1" t="s">
        <v>124</v>
      </c>
      <c r="C417">
        <v>1</v>
      </c>
    </row>
    <row r="418" spans="2:3" ht="12.75">
      <c r="B418" s="1" t="s">
        <v>125</v>
      </c>
      <c r="C418">
        <v>2.5</v>
      </c>
    </row>
    <row r="419" spans="2:5" ht="12.75">
      <c r="B419" s="1" t="s">
        <v>126</v>
      </c>
      <c r="C419">
        <v>1</v>
      </c>
      <c r="E419" t="s">
        <v>151</v>
      </c>
    </row>
    <row r="420" spans="2:3" ht="12.75">
      <c r="B420" s="1" t="s">
        <v>127</v>
      </c>
      <c r="C420">
        <v>1</v>
      </c>
    </row>
    <row r="421" spans="2:3" ht="12.75">
      <c r="B421" s="1" t="s">
        <v>128</v>
      </c>
      <c r="C421">
        <v>1</v>
      </c>
    </row>
    <row r="422" spans="2:4" ht="12.75">
      <c r="B422" s="1" t="s">
        <v>129</v>
      </c>
      <c r="C422">
        <f>+(15+13*5)/3.28</f>
        <v>24.390243902439025</v>
      </c>
      <c r="D422" t="s">
        <v>18</v>
      </c>
    </row>
    <row r="423" spans="2:4" ht="12.75">
      <c r="B423" s="1" t="s">
        <v>130</v>
      </c>
      <c r="C423">
        <f>0.0853*(C422)^0.75</f>
        <v>0.9361838364967741</v>
      </c>
      <c r="D423" t="s">
        <v>131</v>
      </c>
    </row>
    <row r="424" spans="1:4" ht="12.75">
      <c r="A424" s="1" t="s">
        <v>227</v>
      </c>
      <c r="B424" s="1" t="s">
        <v>222</v>
      </c>
      <c r="C424">
        <v>1.18</v>
      </c>
      <c r="D424" t="s">
        <v>131</v>
      </c>
    </row>
    <row r="425" spans="1:4" ht="12.75">
      <c r="A425" s="1" t="s">
        <v>227</v>
      </c>
      <c r="B425" s="1" t="s">
        <v>223</v>
      </c>
      <c r="C425">
        <v>2.19</v>
      </c>
      <c r="D425" t="s">
        <v>131</v>
      </c>
    </row>
    <row r="426" spans="2:3" ht="12.75">
      <c r="B426" s="1" t="s">
        <v>132</v>
      </c>
      <c r="C426" s="50">
        <f>1.25*(C419^C419)/D433</f>
        <v>1.1813718434493916</v>
      </c>
    </row>
    <row r="427" spans="2:3" ht="12.75">
      <c r="B427" s="51" t="s">
        <v>133</v>
      </c>
      <c r="C427" s="52">
        <v>10</v>
      </c>
    </row>
    <row r="428" spans="2:3" ht="12.75">
      <c r="B428" s="51" t="s">
        <v>165</v>
      </c>
      <c r="C428" s="62">
        <f>C416*C417*C426/C427/C420/C421</f>
        <v>0.041348014520728706</v>
      </c>
    </row>
    <row r="429" spans="2:5" ht="12.75">
      <c r="B429" s="56" t="s">
        <v>134</v>
      </c>
      <c r="C429" s="63">
        <f>C428*($E$411+$E$412)</f>
        <v>431.4942346935329</v>
      </c>
      <c r="D429" s="4" t="s">
        <v>78</v>
      </c>
      <c r="E429" s="4"/>
    </row>
    <row r="431" spans="2:9" ht="12.75">
      <c r="B431" s="56"/>
      <c r="C431" s="67"/>
      <c r="D431" s="67"/>
      <c r="E431" s="65"/>
      <c r="G431" s="1" t="s">
        <v>137</v>
      </c>
      <c r="I431">
        <v>1560.03</v>
      </c>
    </row>
    <row r="432" spans="2:12" ht="12.75">
      <c r="B432" s="18"/>
      <c r="C432" s="70"/>
      <c r="D432" s="66"/>
      <c r="E432" s="65"/>
      <c r="F432" s="98" t="s">
        <v>138</v>
      </c>
      <c r="G432" s="98"/>
      <c r="H432" s="98"/>
      <c r="I432">
        <f>$E$411/6</f>
        <v>208.38333333333333</v>
      </c>
      <c r="J432" t="s">
        <v>139</v>
      </c>
      <c r="L432">
        <f>(I431+I432)/9.81</f>
        <v>180.26639483520216</v>
      </c>
    </row>
    <row r="433" spans="1:12" ht="12.75">
      <c r="A433" s="1"/>
      <c r="B433" s="11"/>
      <c r="C433" s="73" t="s">
        <v>130</v>
      </c>
      <c r="D433" s="117">
        <f>AVERAGE(MIN(C424:C425),C423)</f>
        <v>1.058091918248387</v>
      </c>
      <c r="E433" s="117"/>
      <c r="G433" s="2" t="s">
        <v>140</v>
      </c>
      <c r="H433" s="2"/>
      <c r="I433">
        <v>1355.22</v>
      </c>
      <c r="L433">
        <f>(I433+I432)/9.81</f>
        <v>159.38871899422358</v>
      </c>
    </row>
    <row r="434" spans="1:7" ht="12.75">
      <c r="A434" s="38"/>
      <c r="B434" s="69"/>
      <c r="C434" s="73" t="s">
        <v>201</v>
      </c>
      <c r="D434" s="118">
        <f>0.07*D433*C429</f>
        <v>31.959239375</v>
      </c>
      <c r="E434" s="118"/>
      <c r="F434" s="66"/>
      <c r="G434" s="66"/>
    </row>
    <row r="435" spans="1:7" ht="12.75">
      <c r="A435" s="66"/>
      <c r="B435" s="66" t="s">
        <v>202</v>
      </c>
      <c r="C435" s="51" t="s">
        <v>188</v>
      </c>
      <c r="D435" s="93">
        <v>1</v>
      </c>
      <c r="E435" s="93"/>
      <c r="F435" s="66"/>
      <c r="G435" s="66"/>
    </row>
    <row r="436" spans="1:7" ht="12.75">
      <c r="A436" s="66"/>
      <c r="D436" s="66"/>
      <c r="E436" s="66"/>
      <c r="F436" s="66"/>
      <c r="G436" s="66"/>
    </row>
    <row r="437" spans="1:7" ht="12.75">
      <c r="A437" s="66"/>
      <c r="B437" s="71"/>
      <c r="C437" s="72"/>
      <c r="D437" s="66"/>
      <c r="E437" s="66"/>
      <c r="F437" s="66"/>
      <c r="G437" s="66"/>
    </row>
    <row r="438" spans="1:7" ht="12.75">
      <c r="A438" s="66"/>
      <c r="B438" s="71"/>
      <c r="C438" s="72"/>
      <c r="D438" s="66"/>
      <c r="E438" s="66"/>
      <c r="F438" s="66"/>
      <c r="G438" s="66"/>
    </row>
    <row r="439" spans="1:7" ht="12.75">
      <c r="A439" s="66"/>
      <c r="B439" s="71"/>
      <c r="C439" s="66"/>
      <c r="D439" s="66"/>
      <c r="E439" s="92" t="s">
        <v>228</v>
      </c>
      <c r="F439" s="92" t="s">
        <v>229</v>
      </c>
      <c r="G439" s="66"/>
    </row>
    <row r="440" spans="1:10" ht="15">
      <c r="A440" s="66"/>
      <c r="B440" s="53" t="s">
        <v>136</v>
      </c>
      <c r="C440" s="96" t="s">
        <v>194</v>
      </c>
      <c r="D440" s="96"/>
      <c r="E440" s="53" t="s">
        <v>195</v>
      </c>
      <c r="F440" s="64" t="s">
        <v>196</v>
      </c>
      <c r="G440" s="53" t="s">
        <v>197</v>
      </c>
      <c r="H440" s="76" t="s">
        <v>203</v>
      </c>
      <c r="I440" s="96" t="s">
        <v>199</v>
      </c>
      <c r="J440" s="96"/>
    </row>
    <row r="441" spans="1:10" ht="12.75">
      <c r="A441" s="66"/>
      <c r="B441" s="44">
        <v>1</v>
      </c>
      <c r="C441" s="97">
        <f>15/3.28</f>
        <v>4.573170731707317</v>
      </c>
      <c r="D441" s="97"/>
      <c r="E441" s="74">
        <f aca="true" t="shared" si="0" ref="E441:E446">C441^$D$435</f>
        <v>4.573170731707317</v>
      </c>
      <c r="F441" s="75">
        <f>I431+I432</f>
        <v>1768.4133333333334</v>
      </c>
      <c r="G441" s="54">
        <f aca="true" t="shared" si="1" ref="G441:G446">F441*E441</f>
        <v>8087.256097560976</v>
      </c>
      <c r="H441" s="80">
        <f aca="true" t="shared" si="2" ref="H441:H446">$C$429-$D$434</f>
        <v>399.53499531853294</v>
      </c>
      <c r="I441" s="94">
        <f>H441*G441/$G$447</f>
        <v>21.73474700801346</v>
      </c>
      <c r="J441" s="94"/>
    </row>
    <row r="442" spans="1:10" ht="12.75">
      <c r="A442" s="66"/>
      <c r="B442" s="44">
        <v>2</v>
      </c>
      <c r="C442" s="97">
        <f>13/3.28+C441</f>
        <v>8.536585365853659</v>
      </c>
      <c r="D442" s="97"/>
      <c r="E442" s="74">
        <f t="shared" si="0"/>
        <v>8.536585365853659</v>
      </c>
      <c r="F442" s="75">
        <f>F441</f>
        <v>1768.4133333333334</v>
      </c>
      <c r="G442" s="54">
        <f t="shared" si="1"/>
        <v>15096.211382113823</v>
      </c>
      <c r="H442" s="80">
        <f t="shared" si="2"/>
        <v>399.53499531853294</v>
      </c>
      <c r="I442" s="94">
        <f>H442*G442/$G$447</f>
        <v>40.57152774829179</v>
      </c>
      <c r="J442" s="94"/>
    </row>
    <row r="443" spans="1:10" ht="12.75">
      <c r="A443" s="66"/>
      <c r="B443" s="44">
        <v>3</v>
      </c>
      <c r="C443" s="97">
        <f>13/3.28+C442</f>
        <v>12.5</v>
      </c>
      <c r="D443" s="97"/>
      <c r="E443" s="74">
        <f t="shared" si="0"/>
        <v>12.5</v>
      </c>
      <c r="F443" s="75">
        <f>F442</f>
        <v>1768.4133333333334</v>
      </c>
      <c r="G443" s="54">
        <f t="shared" si="1"/>
        <v>22105.166666666668</v>
      </c>
      <c r="H443" s="80">
        <f t="shared" si="2"/>
        <v>399.53499531853294</v>
      </c>
      <c r="I443" s="94">
        <f>H443*G443/$G$447</f>
        <v>59.40830848857013</v>
      </c>
      <c r="J443" s="94"/>
    </row>
    <row r="444" spans="1:10" ht="12.75">
      <c r="A444" s="66"/>
      <c r="B444" s="41">
        <v>4</v>
      </c>
      <c r="C444" s="97">
        <f>13/3.28+C443</f>
        <v>16.463414634146343</v>
      </c>
      <c r="D444" s="97"/>
      <c r="E444" s="74">
        <f t="shared" si="0"/>
        <v>16.463414634146343</v>
      </c>
      <c r="F444" s="75">
        <f>F443</f>
        <v>1768.4133333333334</v>
      </c>
      <c r="G444" s="54">
        <f t="shared" si="1"/>
        <v>29114.121951219517</v>
      </c>
      <c r="H444" s="80">
        <f t="shared" si="2"/>
        <v>399.53499531853294</v>
      </c>
      <c r="I444" s="94">
        <f>H444*G444/$G$447</f>
        <v>78.24508922884846</v>
      </c>
      <c r="J444" s="94"/>
    </row>
    <row r="445" spans="1:10" ht="12.75">
      <c r="A445" s="66"/>
      <c r="B445" s="41">
        <v>5</v>
      </c>
      <c r="C445" s="97">
        <f>13/3.28+C444</f>
        <v>20.426829268292686</v>
      </c>
      <c r="D445" s="97"/>
      <c r="E445" s="74">
        <f t="shared" si="0"/>
        <v>20.426829268292686</v>
      </c>
      <c r="F445" s="75">
        <f>F444</f>
        <v>1768.4133333333334</v>
      </c>
      <c r="G445" s="54">
        <f t="shared" si="1"/>
        <v>36123.07723577236</v>
      </c>
      <c r="H445" s="80">
        <f t="shared" si="2"/>
        <v>399.53499531853294</v>
      </c>
      <c r="I445" s="94">
        <f>H445*G445/$G$447</f>
        <v>97.08186996912679</v>
      </c>
      <c r="J445" s="94"/>
    </row>
    <row r="446" spans="1:10" ht="12.75">
      <c r="A446" s="66"/>
      <c r="B446" s="41">
        <v>6</v>
      </c>
      <c r="C446" s="97">
        <f>13/3.28+C445</f>
        <v>24.39024390243903</v>
      </c>
      <c r="D446" s="97"/>
      <c r="E446" s="74">
        <f t="shared" si="0"/>
        <v>24.39024390243903</v>
      </c>
      <c r="F446" s="75">
        <f>I433+I432</f>
        <v>1563.6033333333335</v>
      </c>
      <c r="G446" s="54">
        <f t="shared" si="1"/>
        <v>38136.66666666668</v>
      </c>
      <c r="H446" s="80">
        <f t="shared" si="2"/>
        <v>399.53499531853294</v>
      </c>
      <c r="I446" s="94">
        <f>H446*G446/$G$447+D434</f>
        <v>134.4526922506823</v>
      </c>
      <c r="J446" s="94"/>
    </row>
    <row r="447" spans="1:9" ht="12.75">
      <c r="A447" s="66"/>
      <c r="B447" s="66"/>
      <c r="C447" s="66"/>
      <c r="D447" s="66"/>
      <c r="E447" s="66"/>
      <c r="F447" s="66"/>
      <c r="G447" s="54">
        <f>SUM(G441:G446)</f>
        <v>148662.50000000003</v>
      </c>
      <c r="I447" s="16"/>
    </row>
    <row r="449" spans="2:7" ht="12.75">
      <c r="B449" s="18" t="s">
        <v>141</v>
      </c>
      <c r="F449" s="96" t="s">
        <v>150</v>
      </c>
      <c r="G449" s="96"/>
    </row>
    <row r="450" spans="5:7" ht="12.75">
      <c r="E450" s="53" t="s">
        <v>136</v>
      </c>
      <c r="F450" s="53" t="s">
        <v>148</v>
      </c>
      <c r="G450" s="53" t="s">
        <v>149</v>
      </c>
    </row>
    <row r="451" spans="5:7" ht="12.75">
      <c r="E451" s="44" t="s">
        <v>142</v>
      </c>
      <c r="F451" s="44">
        <v>0.02784</v>
      </c>
      <c r="G451" s="44">
        <v>0.1024</v>
      </c>
    </row>
    <row r="452" spans="5:7" ht="12.75">
      <c r="E452" s="44" t="s">
        <v>143</v>
      </c>
      <c r="F452" s="44">
        <v>0.02474</v>
      </c>
      <c r="G452" s="44">
        <v>0.0871</v>
      </c>
    </row>
    <row r="453" spans="5:7" ht="12.75">
      <c r="E453" s="44" t="s">
        <v>144</v>
      </c>
      <c r="F453" s="44">
        <v>0.0203</v>
      </c>
      <c r="G453" s="44">
        <v>0.069</v>
      </c>
    </row>
    <row r="454" spans="5:7" ht="12.75">
      <c r="E454" s="44" t="s">
        <v>145</v>
      </c>
      <c r="F454" s="44">
        <v>0.01508</v>
      </c>
      <c r="G454" s="44">
        <v>0.0485</v>
      </c>
    </row>
    <row r="455" spans="5:7" ht="12.75">
      <c r="E455" s="44" t="s">
        <v>146</v>
      </c>
      <c r="F455" s="44">
        <v>0.00935</v>
      </c>
      <c r="G455" s="44">
        <v>0.0277</v>
      </c>
    </row>
    <row r="456" spans="5:7" ht="12.75">
      <c r="E456" s="44" t="s">
        <v>147</v>
      </c>
      <c r="F456" s="44">
        <v>0.00404</v>
      </c>
      <c r="G456" s="44">
        <v>0.0099</v>
      </c>
    </row>
    <row r="458" spans="6:10" ht="12.75">
      <c r="F458" s="96" t="s">
        <v>207</v>
      </c>
      <c r="G458" s="96"/>
      <c r="H458" s="84" t="s">
        <v>133</v>
      </c>
      <c r="I458" s="83">
        <f>C427</f>
        <v>10</v>
      </c>
      <c r="J458" s="3"/>
    </row>
    <row r="459" spans="5:9" ht="12.75">
      <c r="E459" s="53" t="s">
        <v>136</v>
      </c>
      <c r="F459" s="53" t="s">
        <v>148</v>
      </c>
      <c r="G459" s="53" t="s">
        <v>149</v>
      </c>
      <c r="H459" s="96" t="s">
        <v>205</v>
      </c>
      <c r="I459" s="96"/>
    </row>
    <row r="460" spans="5:9" ht="12.75">
      <c r="E460" s="44" t="s">
        <v>142</v>
      </c>
      <c r="F460" s="55">
        <f>$I$458*(F451-F452)/(13/3.28)</f>
        <v>0.007821538461538458</v>
      </c>
      <c r="G460" s="55">
        <f>$I$458*(G451-G452)/(13/3.28)</f>
        <v>0.03860307692307694</v>
      </c>
      <c r="H460" s="81" t="str">
        <f aca="true" t="shared" si="3" ref="H460:I465">IF(F460&lt;0.02,"Si","No")</f>
        <v>Si</v>
      </c>
      <c r="I460" s="81" t="str">
        <f t="shared" si="3"/>
        <v>No</v>
      </c>
    </row>
    <row r="461" spans="5:9" ht="12.75">
      <c r="E461" s="44" t="s">
        <v>143</v>
      </c>
      <c r="F461" s="55">
        <f aca="true" t="shared" si="4" ref="F461:G464">$I$458*(F452-F453)/(13/3.28)</f>
        <v>0.011202461538461545</v>
      </c>
      <c r="G461" s="55">
        <f t="shared" si="4"/>
        <v>0.04566769230769228</v>
      </c>
      <c r="H461" s="81" t="str">
        <f t="shared" si="3"/>
        <v>Si</v>
      </c>
      <c r="I461" s="81" t="str">
        <f t="shared" si="3"/>
        <v>No</v>
      </c>
    </row>
    <row r="462" spans="5:9" ht="12.75">
      <c r="E462" s="44" t="s">
        <v>144</v>
      </c>
      <c r="F462" s="55">
        <f t="shared" si="4"/>
        <v>0.013170461538461534</v>
      </c>
      <c r="G462" s="55">
        <f t="shared" si="4"/>
        <v>0.05172307692307693</v>
      </c>
      <c r="H462" s="81" t="str">
        <f t="shared" si="3"/>
        <v>Si</v>
      </c>
      <c r="I462" s="81" t="str">
        <f t="shared" si="3"/>
        <v>No</v>
      </c>
    </row>
    <row r="463" spans="5:9" ht="12.75">
      <c r="E463" s="44" t="s">
        <v>145</v>
      </c>
      <c r="F463" s="55">
        <f t="shared" si="4"/>
        <v>0.014457230769230766</v>
      </c>
      <c r="G463" s="55">
        <f t="shared" si="4"/>
        <v>0.05248</v>
      </c>
      <c r="H463" s="81" t="str">
        <f t="shared" si="3"/>
        <v>Si</v>
      </c>
      <c r="I463" s="81" t="str">
        <f t="shared" si="3"/>
        <v>No</v>
      </c>
    </row>
    <row r="464" spans="5:9" ht="12.75">
      <c r="E464" s="44" t="s">
        <v>146</v>
      </c>
      <c r="F464" s="55">
        <f t="shared" si="4"/>
        <v>0.013397538461538462</v>
      </c>
      <c r="G464" s="55">
        <f t="shared" si="4"/>
        <v>0.04491076923076922</v>
      </c>
      <c r="H464" s="81" t="str">
        <f t="shared" si="3"/>
        <v>Si</v>
      </c>
      <c r="I464" s="81" t="str">
        <f t="shared" si="3"/>
        <v>No</v>
      </c>
    </row>
    <row r="465" spans="5:9" ht="12.75">
      <c r="E465" s="44" t="s">
        <v>147</v>
      </c>
      <c r="F465" s="55">
        <f>$I$458*(F456-F457)/(15/3.28)</f>
        <v>0.008834133333333334</v>
      </c>
      <c r="G465" s="55">
        <f>$I$458*(G456-G457)/(15/3.28)</f>
        <v>0.021648</v>
      </c>
      <c r="H465" s="81" t="str">
        <f t="shared" si="3"/>
        <v>Si</v>
      </c>
      <c r="I465" s="81" t="str">
        <f t="shared" si="3"/>
        <v>No</v>
      </c>
    </row>
    <row r="467" spans="2:3" ht="12.75">
      <c r="B467" s="56" t="s">
        <v>185</v>
      </c>
      <c r="C467">
        <v>0.35</v>
      </c>
    </row>
    <row r="468" spans="2:3" ht="12.75">
      <c r="B468" s="1" t="s">
        <v>124</v>
      </c>
      <c r="C468">
        <v>1</v>
      </c>
    </row>
    <row r="469" spans="2:3" ht="12.75">
      <c r="B469" s="1" t="s">
        <v>125</v>
      </c>
      <c r="C469">
        <v>2.5</v>
      </c>
    </row>
    <row r="470" spans="2:5" ht="12.75">
      <c r="B470" s="1" t="s">
        <v>126</v>
      </c>
      <c r="C470">
        <v>1</v>
      </c>
      <c r="E470" t="s">
        <v>151</v>
      </c>
    </row>
    <row r="471" spans="2:3" ht="12.75">
      <c r="B471" s="1" t="s">
        <v>127</v>
      </c>
      <c r="C471">
        <v>1</v>
      </c>
    </row>
    <row r="472" spans="2:3" ht="12.75">
      <c r="B472" s="1" t="s">
        <v>128</v>
      </c>
      <c r="C472">
        <v>1</v>
      </c>
    </row>
    <row r="473" spans="2:4" ht="12.75">
      <c r="B473" s="1" t="s">
        <v>129</v>
      </c>
      <c r="C473">
        <f>+(15+13*5)/3.28</f>
        <v>24.390243902439025</v>
      </c>
      <c r="D473" t="s">
        <v>18</v>
      </c>
    </row>
    <row r="474" spans="2:4" ht="12.75">
      <c r="B474" s="1" t="s">
        <v>130</v>
      </c>
      <c r="C474">
        <f>0.0853*(C473)^0.75</f>
        <v>0.9361838364967741</v>
      </c>
      <c r="D474" t="s">
        <v>131</v>
      </c>
    </row>
    <row r="475" spans="1:4" ht="12.75">
      <c r="A475" s="1" t="s">
        <v>227</v>
      </c>
      <c r="B475" s="1" t="s">
        <v>222</v>
      </c>
      <c r="C475">
        <v>1.18</v>
      </c>
      <c r="D475" t="s">
        <v>131</v>
      </c>
    </row>
    <row r="476" spans="1:4" ht="12.75">
      <c r="A476" s="1" t="s">
        <v>227</v>
      </c>
      <c r="B476" s="1" t="s">
        <v>223</v>
      </c>
      <c r="C476">
        <v>2.19</v>
      </c>
      <c r="D476" t="s">
        <v>131</v>
      </c>
    </row>
    <row r="477" spans="2:3" ht="12.75">
      <c r="B477" s="1" t="s">
        <v>132</v>
      </c>
      <c r="C477" s="50">
        <f>1.25*(C470^C470)/D484</f>
        <v>1.1813718434493916</v>
      </c>
    </row>
    <row r="478" spans="2:3" ht="12.75">
      <c r="B478" s="51" t="s">
        <v>133</v>
      </c>
      <c r="C478" s="52">
        <f>H643</f>
        <v>7.499999999999998</v>
      </c>
    </row>
    <row r="479" spans="2:3" ht="12.75">
      <c r="B479" s="51" t="s">
        <v>165</v>
      </c>
      <c r="C479" s="62">
        <f>C467*C468*C477/C478/C471/C472</f>
        <v>0.055130686027638286</v>
      </c>
    </row>
    <row r="480" spans="2:5" ht="12.75">
      <c r="B480" s="56" t="s">
        <v>134</v>
      </c>
      <c r="C480" s="63">
        <f>C479*($E$411+$E$412)</f>
        <v>575.325646258044</v>
      </c>
      <c r="D480" s="4" t="s">
        <v>78</v>
      </c>
      <c r="E480" s="4"/>
    </row>
    <row r="482" spans="2:9" ht="12.75">
      <c r="B482" s="56"/>
      <c r="C482" s="67"/>
      <c r="D482" s="67"/>
      <c r="E482" s="65"/>
      <c r="G482" s="1" t="s">
        <v>137</v>
      </c>
      <c r="I482">
        <v>1560.03</v>
      </c>
    </row>
    <row r="483" spans="2:10" ht="12.75">
      <c r="B483" s="18"/>
      <c r="C483" s="70"/>
      <c r="D483" s="66"/>
      <c r="E483" s="65"/>
      <c r="F483" s="98" t="s">
        <v>138</v>
      </c>
      <c r="G483" s="98"/>
      <c r="H483" s="98"/>
      <c r="I483">
        <f>$E$411/6</f>
        <v>208.38333333333333</v>
      </c>
      <c r="J483" t="s">
        <v>139</v>
      </c>
    </row>
    <row r="484" spans="1:9" ht="12.75">
      <c r="A484" s="1"/>
      <c r="B484" s="11"/>
      <c r="C484" s="73" t="s">
        <v>130</v>
      </c>
      <c r="D484" s="117">
        <f>AVERAGE(MIN(C475:C476),C474)</f>
        <v>1.058091918248387</v>
      </c>
      <c r="E484" s="117"/>
      <c r="G484" s="2" t="s">
        <v>140</v>
      </c>
      <c r="H484" s="2"/>
      <c r="I484">
        <v>1355.22</v>
      </c>
    </row>
    <row r="485" spans="1:7" ht="12.75">
      <c r="A485" s="38"/>
      <c r="B485" s="69"/>
      <c r="C485" s="73" t="s">
        <v>201</v>
      </c>
      <c r="D485" s="118">
        <f>0.07*D484*C480</f>
        <v>42.61231916666667</v>
      </c>
      <c r="E485" s="118"/>
      <c r="F485" s="66"/>
      <c r="G485" s="66"/>
    </row>
    <row r="486" spans="1:7" ht="12.75">
      <c r="A486" s="66"/>
      <c r="B486" s="66" t="s">
        <v>202</v>
      </c>
      <c r="C486" s="51" t="s">
        <v>188</v>
      </c>
      <c r="D486" s="93">
        <v>1</v>
      </c>
      <c r="E486" s="93"/>
      <c r="F486" s="66"/>
      <c r="G486" s="66"/>
    </row>
    <row r="487" spans="1:7" ht="12.75">
      <c r="A487" s="66"/>
      <c r="D487" s="66"/>
      <c r="E487" s="66"/>
      <c r="F487" s="66"/>
      <c r="G487" s="66"/>
    </row>
    <row r="488" spans="1:7" ht="12.75">
      <c r="A488" s="66"/>
      <c r="B488" s="71"/>
      <c r="C488" s="72"/>
      <c r="D488" s="66"/>
      <c r="E488" s="66"/>
      <c r="F488" s="66"/>
      <c r="G488" s="66"/>
    </row>
    <row r="489" spans="1:7" ht="12.75">
      <c r="A489" s="66"/>
      <c r="B489" s="71"/>
      <c r="C489" s="72"/>
      <c r="D489" s="66"/>
      <c r="E489" s="66"/>
      <c r="F489" s="66"/>
      <c r="G489" s="66"/>
    </row>
    <row r="490" spans="1:7" ht="12.75">
      <c r="A490" s="66"/>
      <c r="B490" s="71"/>
      <c r="C490" s="66"/>
      <c r="D490" s="66"/>
      <c r="E490" s="66"/>
      <c r="F490" s="66"/>
      <c r="G490" s="66"/>
    </row>
    <row r="491" spans="1:10" ht="15">
      <c r="A491" s="66"/>
      <c r="B491" s="53" t="s">
        <v>136</v>
      </c>
      <c r="C491" s="96" t="s">
        <v>194</v>
      </c>
      <c r="D491" s="96"/>
      <c r="E491" s="53" t="s">
        <v>195</v>
      </c>
      <c r="F491" s="64" t="s">
        <v>196</v>
      </c>
      <c r="G491" s="53" t="s">
        <v>197</v>
      </c>
      <c r="H491" s="76" t="s">
        <v>203</v>
      </c>
      <c r="I491" s="96" t="s">
        <v>199</v>
      </c>
      <c r="J491" s="96"/>
    </row>
    <row r="492" spans="1:10" ht="12.75">
      <c r="A492" s="66"/>
      <c r="B492" s="44">
        <v>1</v>
      </c>
      <c r="C492" s="97">
        <f>15/3.28</f>
        <v>4.573170731707317</v>
      </c>
      <c r="D492" s="97"/>
      <c r="E492" s="74">
        <f aca="true" t="shared" si="5" ref="E492:E497">C492^$D$486</f>
        <v>4.573170731707317</v>
      </c>
      <c r="F492" s="75">
        <f>I482+I483</f>
        <v>1768.4133333333334</v>
      </c>
      <c r="G492" s="54">
        <f aca="true" t="shared" si="6" ref="G492:G497">F492*E492</f>
        <v>8087.256097560976</v>
      </c>
      <c r="H492" s="80">
        <f aca="true" t="shared" si="7" ref="H492:H497">$C$480-$D$485</f>
        <v>532.7133270913773</v>
      </c>
      <c r="I492" s="94">
        <f>H492*G492/$G$498</f>
        <v>28.979662677351282</v>
      </c>
      <c r="J492" s="94"/>
    </row>
    <row r="493" spans="1:10" ht="12.75">
      <c r="A493" s="66"/>
      <c r="B493" s="44">
        <v>2</v>
      </c>
      <c r="C493" s="97">
        <f>13/3.28+C492</f>
        <v>8.536585365853659</v>
      </c>
      <c r="D493" s="97"/>
      <c r="E493" s="74">
        <f t="shared" si="5"/>
        <v>8.536585365853659</v>
      </c>
      <c r="F493" s="75">
        <f>F492</f>
        <v>1768.4133333333334</v>
      </c>
      <c r="G493" s="54">
        <f t="shared" si="6"/>
        <v>15096.211382113823</v>
      </c>
      <c r="H493" s="80">
        <f t="shared" si="7"/>
        <v>532.7133270913773</v>
      </c>
      <c r="I493" s="94">
        <f>H493*G493/$G$498</f>
        <v>54.09537033105573</v>
      </c>
      <c r="J493" s="94"/>
    </row>
    <row r="494" spans="1:10" ht="12.75">
      <c r="A494" s="66"/>
      <c r="B494" s="44">
        <v>3</v>
      </c>
      <c r="C494" s="97">
        <f>13/3.28+C493</f>
        <v>12.5</v>
      </c>
      <c r="D494" s="97"/>
      <c r="E494" s="74">
        <f t="shared" si="5"/>
        <v>12.5</v>
      </c>
      <c r="F494" s="75">
        <f>F493</f>
        <v>1768.4133333333334</v>
      </c>
      <c r="G494" s="54">
        <f t="shared" si="6"/>
        <v>22105.166666666668</v>
      </c>
      <c r="H494" s="80">
        <f t="shared" si="7"/>
        <v>532.7133270913773</v>
      </c>
      <c r="I494" s="94">
        <f>H494*G494/$G$498</f>
        <v>79.21107798476017</v>
      </c>
      <c r="J494" s="94"/>
    </row>
    <row r="495" spans="1:10" ht="12.75">
      <c r="A495" s="66"/>
      <c r="B495" s="41">
        <v>4</v>
      </c>
      <c r="C495" s="97">
        <f>13/3.28+C494</f>
        <v>16.463414634146343</v>
      </c>
      <c r="D495" s="97"/>
      <c r="E495" s="74">
        <f t="shared" si="5"/>
        <v>16.463414634146343</v>
      </c>
      <c r="F495" s="75">
        <f>F494</f>
        <v>1768.4133333333334</v>
      </c>
      <c r="G495" s="54">
        <f t="shared" si="6"/>
        <v>29114.121951219517</v>
      </c>
      <c r="H495" s="80">
        <f t="shared" si="7"/>
        <v>532.7133270913773</v>
      </c>
      <c r="I495" s="94">
        <f>H495*G495/$G$498</f>
        <v>104.32678563846463</v>
      </c>
      <c r="J495" s="94"/>
    </row>
    <row r="496" spans="1:10" ht="12.75">
      <c r="A496" s="66"/>
      <c r="B496" s="41">
        <v>5</v>
      </c>
      <c r="C496" s="97">
        <f>13/3.28+C495</f>
        <v>20.426829268292686</v>
      </c>
      <c r="D496" s="97"/>
      <c r="E496" s="74">
        <f t="shared" si="5"/>
        <v>20.426829268292686</v>
      </c>
      <c r="F496" s="75">
        <f>F495</f>
        <v>1768.4133333333334</v>
      </c>
      <c r="G496" s="54">
        <f t="shared" si="6"/>
        <v>36123.07723577236</v>
      </c>
      <c r="H496" s="80">
        <f t="shared" si="7"/>
        <v>532.7133270913773</v>
      </c>
      <c r="I496" s="94">
        <f>H496*G496/$G$498</f>
        <v>129.44249329216908</v>
      </c>
      <c r="J496" s="94"/>
    </row>
    <row r="497" spans="1:10" ht="12.75">
      <c r="A497" s="66"/>
      <c r="B497" s="41">
        <v>6</v>
      </c>
      <c r="C497" s="97">
        <f>13/3.28+C496</f>
        <v>24.39024390243903</v>
      </c>
      <c r="D497" s="97"/>
      <c r="E497" s="74">
        <f t="shared" si="5"/>
        <v>24.39024390243903</v>
      </c>
      <c r="F497" s="75">
        <f>I484+I483</f>
        <v>1563.6033333333335</v>
      </c>
      <c r="G497" s="54">
        <f t="shared" si="6"/>
        <v>38136.66666666668</v>
      </c>
      <c r="H497" s="80">
        <f t="shared" si="7"/>
        <v>532.7133270913773</v>
      </c>
      <c r="I497" s="94">
        <f>H497*G497/$G$498+D485</f>
        <v>179.2702563342431</v>
      </c>
      <c r="J497" s="94"/>
    </row>
    <row r="498" spans="1:9" ht="12.75">
      <c r="A498" s="66"/>
      <c r="B498" s="66"/>
      <c r="C498" s="66"/>
      <c r="D498" s="66"/>
      <c r="E498" s="66"/>
      <c r="F498" s="66"/>
      <c r="G498" s="54">
        <f>SUM(G492:G497)</f>
        <v>148662.50000000003</v>
      </c>
      <c r="I498" s="16"/>
    </row>
    <row r="500" spans="2:11" ht="12.75" customHeight="1">
      <c r="B500" s="79" t="s">
        <v>220</v>
      </c>
      <c r="C500" s="79"/>
      <c r="D500" s="79"/>
      <c r="E500" s="79"/>
      <c r="F500" s="79"/>
      <c r="G500" s="79"/>
      <c r="H500" s="79"/>
      <c r="I500" s="79"/>
      <c r="J500" s="79"/>
      <c r="K500" s="79"/>
    </row>
    <row r="501" spans="2:11" ht="12.75">
      <c r="B501" s="79"/>
      <c r="C501" s="79"/>
      <c r="D501" s="79"/>
      <c r="E501" s="79"/>
      <c r="F501" s="79"/>
      <c r="G501" s="79"/>
      <c r="H501" s="79"/>
      <c r="I501" s="79"/>
      <c r="J501" s="79"/>
      <c r="K501" s="79"/>
    </row>
    <row r="502" spans="2:12" ht="13.5" customHeight="1"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</row>
    <row r="503" spans="1:12" ht="12.75">
      <c r="A503" s="3" t="s">
        <v>212</v>
      </c>
      <c r="B503" s="3"/>
      <c r="C503" s="3"/>
      <c r="D503" s="3"/>
      <c r="E503" s="3"/>
      <c r="F503" s="79"/>
      <c r="G503" s="79"/>
      <c r="H503" s="79"/>
      <c r="I503" s="79"/>
      <c r="J503" s="79"/>
      <c r="K503" s="79"/>
      <c r="L503" s="79"/>
    </row>
    <row r="505" spans="2:4" ht="12.75">
      <c r="B505" s="99" t="s">
        <v>208</v>
      </c>
      <c r="C505" s="99"/>
      <c r="D505" s="99"/>
    </row>
    <row r="506" spans="2:11" ht="12.75" customHeight="1">
      <c r="B506" s="99" t="s">
        <v>209</v>
      </c>
      <c r="C506" s="99"/>
      <c r="D506" s="99"/>
      <c r="E506" s="99"/>
      <c r="H506" s="79"/>
      <c r="I506" s="79"/>
      <c r="J506" s="79"/>
      <c r="K506" s="79"/>
    </row>
    <row r="507" spans="2:3" ht="12.75">
      <c r="B507" s="99" t="s">
        <v>210</v>
      </c>
      <c r="C507" s="99"/>
    </row>
    <row r="508" spans="2:7" ht="12.75">
      <c r="B508" s="7"/>
      <c r="F508" s="119" t="s">
        <v>213</v>
      </c>
      <c r="G508" s="119"/>
    </row>
    <row r="509" ht="12.75">
      <c r="B509" s="7"/>
    </row>
    <row r="510" spans="1:4" ht="14.25">
      <c r="A510" s="116" t="s">
        <v>184</v>
      </c>
      <c r="B510" s="116"/>
      <c r="C510" s="116"/>
      <c r="D510" s="116"/>
    </row>
    <row r="512" spans="2:3" ht="12.75">
      <c r="B512" s="18" t="s">
        <v>182</v>
      </c>
      <c r="C512" s="18"/>
    </row>
    <row r="513" spans="2:3" ht="12.75">
      <c r="B513" s="18"/>
      <c r="C513" s="18"/>
    </row>
    <row r="514" spans="2:5" ht="12.75">
      <c r="B514" s="1" t="s">
        <v>153</v>
      </c>
      <c r="C514" s="1">
        <v>1.5</v>
      </c>
      <c r="D514" s="1"/>
      <c r="E514" s="1"/>
    </row>
    <row r="515" spans="2:5" ht="12.75">
      <c r="B515" s="1" t="s">
        <v>154</v>
      </c>
      <c r="C515" s="1">
        <v>0.6</v>
      </c>
      <c r="D515" s="1"/>
      <c r="E515" s="1"/>
    </row>
    <row r="516" spans="2:5" ht="12.75">
      <c r="B516" s="1" t="s">
        <v>155</v>
      </c>
      <c r="C516" s="1">
        <v>1</v>
      </c>
      <c r="D516" s="1"/>
      <c r="E516" s="1"/>
    </row>
    <row r="517" spans="2:5" ht="12.75">
      <c r="B517" s="1" t="s">
        <v>156</v>
      </c>
      <c r="C517" s="1">
        <v>1.5</v>
      </c>
      <c r="D517" s="1"/>
      <c r="E517" s="1"/>
    </row>
    <row r="518" spans="2:5" ht="15.75">
      <c r="B518" s="1" t="s">
        <v>157</v>
      </c>
      <c r="C518" s="100" t="s">
        <v>161</v>
      </c>
      <c r="D518" s="100"/>
      <c r="E518" s="2">
        <f>C516*C514</f>
        <v>1.5</v>
      </c>
    </row>
    <row r="519" spans="2:5" ht="15.75">
      <c r="B519" s="1" t="s">
        <v>158</v>
      </c>
      <c r="C519" s="100" t="s">
        <v>162</v>
      </c>
      <c r="D519" s="100"/>
      <c r="E519" s="2">
        <f>C517*C515</f>
        <v>0.8999999999999999</v>
      </c>
    </row>
    <row r="520" spans="2:11" ht="18.75">
      <c r="B520" s="1" t="s">
        <v>159</v>
      </c>
      <c r="C520" s="100" t="s">
        <v>163</v>
      </c>
      <c r="D520" s="100"/>
      <c r="E520" s="61">
        <f>2/3*E518</f>
        <v>1</v>
      </c>
      <c r="H520" s="103" t="s">
        <v>167</v>
      </c>
      <c r="I520" s="103"/>
      <c r="J520" s="1" t="s">
        <v>168</v>
      </c>
      <c r="K520" s="3">
        <v>1.4</v>
      </c>
    </row>
    <row r="521" spans="2:5" ht="15.75">
      <c r="B521" s="1" t="s">
        <v>160</v>
      </c>
      <c r="C521" s="100" t="s">
        <v>164</v>
      </c>
      <c r="D521" s="100"/>
      <c r="E521" s="61">
        <f>2/3*E519</f>
        <v>0.5999999999999999</v>
      </c>
    </row>
    <row r="522" spans="2:10" ht="15.75">
      <c r="B522" s="56" t="s">
        <v>133</v>
      </c>
      <c r="C522" s="56">
        <v>8</v>
      </c>
      <c r="D522" s="1"/>
      <c r="E522" s="1"/>
      <c r="I522" t="s">
        <v>170</v>
      </c>
      <c r="J522">
        <v>0.028</v>
      </c>
    </row>
    <row r="523" spans="2:10" ht="15.75">
      <c r="B523" s="1" t="s">
        <v>166</v>
      </c>
      <c r="C523">
        <v>1</v>
      </c>
      <c r="I523" t="s">
        <v>171</v>
      </c>
      <c r="J523" s="59">
        <v>80</v>
      </c>
    </row>
    <row r="524" spans="9:10" ht="12.75">
      <c r="I524" t="s">
        <v>169</v>
      </c>
      <c r="J524">
        <v>0.8</v>
      </c>
    </row>
    <row r="525" spans="2:3" ht="12.75">
      <c r="B525" s="8" t="s">
        <v>165</v>
      </c>
      <c r="C525" s="90">
        <f>E520/C522*C523</f>
        <v>0.125</v>
      </c>
    </row>
    <row r="526" spans="2:10" ht="15.75">
      <c r="B526" s="1" t="s">
        <v>173</v>
      </c>
      <c r="C526">
        <f>K520*J522*(J523^J524)</f>
        <v>1.3054434292061365</v>
      </c>
      <c r="D526" t="s">
        <v>175</v>
      </c>
      <c r="I526" t="s">
        <v>174</v>
      </c>
      <c r="J526">
        <v>6</v>
      </c>
    </row>
    <row r="527" spans="2:8" ht="12.75">
      <c r="B527" s="1" t="s">
        <v>172</v>
      </c>
      <c r="C527">
        <f>J522*(J523^J524)</f>
        <v>0.9324595922900976</v>
      </c>
      <c r="D527" t="s">
        <v>175</v>
      </c>
      <c r="F527" s="1" t="s">
        <v>130</v>
      </c>
      <c r="G527" s="91">
        <f>IF(MIN(C529:C530)&lt;=C526,MIN(C529:C530),C526)</f>
        <v>1.18</v>
      </c>
      <c r="H527" t="s">
        <v>131</v>
      </c>
    </row>
    <row r="528" spans="2:6" ht="12.75">
      <c r="B528" s="1" t="s">
        <v>172</v>
      </c>
      <c r="C528">
        <f>0.1*J526</f>
        <v>0.6000000000000001</v>
      </c>
      <c r="D528" t="s">
        <v>175</v>
      </c>
      <c r="F528" s="1"/>
    </row>
    <row r="529" spans="1:6" ht="12.75">
      <c r="A529" s="2" t="s">
        <v>226</v>
      </c>
      <c r="B529" s="1" t="s">
        <v>222</v>
      </c>
      <c r="C529">
        <v>1.18</v>
      </c>
      <c r="D529" t="s">
        <v>175</v>
      </c>
      <c r="F529" s="1"/>
    </row>
    <row r="530" spans="2:6" ht="12.75">
      <c r="B530" s="1" t="s">
        <v>223</v>
      </c>
      <c r="C530">
        <v>2.19</v>
      </c>
      <c r="D530" t="s">
        <v>175</v>
      </c>
      <c r="F530" s="60"/>
    </row>
    <row r="531" spans="2:6" ht="12.75">
      <c r="B531" s="1"/>
      <c r="F531" s="60"/>
    </row>
    <row r="532" spans="3:8" ht="12.75">
      <c r="C532" s="120" t="s">
        <v>177</v>
      </c>
      <c r="D532" s="120"/>
      <c r="E532" s="120"/>
      <c r="F532" s="1" t="s">
        <v>178</v>
      </c>
      <c r="G532" s="23">
        <v>0.01</v>
      </c>
      <c r="H532" t="str">
        <f>IF(C525&gt;=0.01,"OK","NO")</f>
        <v>OK</v>
      </c>
    </row>
    <row r="533" spans="6:11" ht="12.75">
      <c r="F533" s="1" t="s">
        <v>225</v>
      </c>
      <c r="G533" s="50">
        <f>E521/G527/(C522/C523)</f>
        <v>0.06355932203389829</v>
      </c>
      <c r="H533" s="93" t="str">
        <f>IF(C525&lt;=G533,"? OK","? no, entonces Cs =")</f>
        <v>? no, entonces Cs =</v>
      </c>
      <c r="I533" s="93"/>
      <c r="J533" s="93"/>
      <c r="K533" s="89">
        <f>IF(H533="? no, entonces Cs =",G533," ")</f>
        <v>0.06355932203389829</v>
      </c>
    </row>
    <row r="534" spans="6:7" ht="12.75">
      <c r="F534" s="1" t="s">
        <v>165</v>
      </c>
      <c r="G534" s="50">
        <f>IF(K533=G533,K533,C525)</f>
        <v>0.06355932203389829</v>
      </c>
    </row>
    <row r="535" spans="3:10" ht="15.75">
      <c r="C535" s="98" t="s">
        <v>180</v>
      </c>
      <c r="D535" s="98"/>
      <c r="E535" s="2">
        <v>0.6</v>
      </c>
      <c r="F535" s="1" t="str">
        <f>IF(E521&gt;=E535,"Cs &gt;","No aplica")</f>
        <v>Cs &gt;</v>
      </c>
      <c r="G535" s="50">
        <f>IF(F535="No aplica","No aplica",0.5*E521/C522)</f>
        <v>0.03749999999999999</v>
      </c>
      <c r="H535" s="93" t="str">
        <f>IF(G535="No aplica"," ",IF(G535&gt;=G534,"MAL","OK"))</f>
        <v>OK</v>
      </c>
      <c r="I535" s="93"/>
      <c r="J535" s="93"/>
    </row>
    <row r="536" ht="12.75">
      <c r="K536" s="58" t="str">
        <f>IF(H535="no, entonces Cs =",G535," ")</f>
        <v> </v>
      </c>
    </row>
    <row r="537" spans="6:8" ht="12.75">
      <c r="F537" s="1" t="s">
        <v>179</v>
      </c>
      <c r="G537" s="56" t="s">
        <v>165</v>
      </c>
      <c r="H537" s="88">
        <f>IF(H535="OK",G534,IF(H535=" ",G534,IF(H535="MAL",G535,"VALI TOLETE")))</f>
        <v>0.06355932203389829</v>
      </c>
    </row>
    <row r="540" spans="2:5" ht="12.75">
      <c r="B540" s="56" t="s">
        <v>134</v>
      </c>
      <c r="C540" s="102">
        <f>H537*(E411+E412)</f>
        <v>663.2841101694913</v>
      </c>
      <c r="D540" s="102"/>
      <c r="E540" t="s">
        <v>78</v>
      </c>
    </row>
    <row r="541" spans="2:9" ht="12.75">
      <c r="B541" s="56"/>
      <c r="C541" s="67"/>
      <c r="D541" s="67"/>
      <c r="E541" s="65"/>
      <c r="G541" s="1" t="s">
        <v>137</v>
      </c>
      <c r="I541">
        <v>1560.03</v>
      </c>
    </row>
    <row r="542" spans="2:10" ht="12.75">
      <c r="B542" s="18" t="s">
        <v>189</v>
      </c>
      <c r="C542" s="70"/>
      <c r="D542" s="66"/>
      <c r="E542" s="65"/>
      <c r="F542" s="98" t="s">
        <v>138</v>
      </c>
      <c r="G542" s="98"/>
      <c r="H542" s="98"/>
      <c r="I542">
        <f>$E$411/6</f>
        <v>208.38333333333333</v>
      </c>
      <c r="J542" t="s">
        <v>139</v>
      </c>
    </row>
    <row r="543" spans="1:9" ht="12.75">
      <c r="A543" s="1" t="s">
        <v>188</v>
      </c>
      <c r="B543" s="11">
        <v>1</v>
      </c>
      <c r="C543" s="8" t="s">
        <v>130</v>
      </c>
      <c r="D543" s="99">
        <v>0.5</v>
      </c>
      <c r="E543" s="99"/>
      <c r="G543" s="2" t="s">
        <v>140</v>
      </c>
      <c r="H543" s="2"/>
      <c r="I543">
        <v>1355.22</v>
      </c>
    </row>
    <row r="544" spans="1:7" ht="12.75">
      <c r="A544" s="38" t="s">
        <v>188</v>
      </c>
      <c r="B544" s="69">
        <v>2</v>
      </c>
      <c r="C544" s="68" t="s">
        <v>130</v>
      </c>
      <c r="D544" s="101">
        <v>2.5</v>
      </c>
      <c r="E544" s="101"/>
      <c r="F544" s="66"/>
      <c r="G544" s="66"/>
    </row>
    <row r="545" spans="1:7" ht="12.75">
      <c r="A545" s="66"/>
      <c r="B545" s="66"/>
      <c r="C545" s="73" t="s">
        <v>130</v>
      </c>
      <c r="D545" s="95">
        <f>G527</f>
        <v>1.18</v>
      </c>
      <c r="E545" s="95"/>
      <c r="F545" s="66"/>
      <c r="G545" s="66"/>
    </row>
    <row r="546" spans="1:7" ht="12.75">
      <c r="A546" s="66"/>
      <c r="D546" s="66"/>
      <c r="E546" s="66"/>
      <c r="F546" s="66"/>
      <c r="G546" s="66"/>
    </row>
    <row r="547" spans="1:7" ht="12.75">
      <c r="A547" s="66"/>
      <c r="B547" s="71" t="s">
        <v>190</v>
      </c>
      <c r="C547" s="72">
        <f>B544-B543</f>
        <v>1</v>
      </c>
      <c r="D547" s="66"/>
      <c r="E547" s="66"/>
      <c r="F547" s="66"/>
      <c r="G547" s="66"/>
    </row>
    <row r="548" spans="1:7" ht="12.75">
      <c r="A548" s="66"/>
      <c r="B548" s="71" t="s">
        <v>191</v>
      </c>
      <c r="C548" s="72">
        <f>D544-D543</f>
        <v>2</v>
      </c>
      <c r="D548" s="66"/>
      <c r="E548" s="66"/>
      <c r="F548" s="66"/>
      <c r="G548" s="66"/>
    </row>
    <row r="549" spans="1:7" ht="12.75">
      <c r="A549" s="66"/>
      <c r="B549" s="71" t="s">
        <v>192</v>
      </c>
      <c r="C549" s="66">
        <f>D544-D545</f>
        <v>1.32</v>
      </c>
      <c r="D549" s="66"/>
      <c r="E549" s="66"/>
      <c r="F549" s="66"/>
      <c r="G549" s="66"/>
    </row>
    <row r="550" spans="1:7" ht="12.75">
      <c r="A550" s="66"/>
      <c r="B550" s="71" t="s">
        <v>190</v>
      </c>
      <c r="C550" s="66">
        <f>C549*C547/C548</f>
        <v>0.66</v>
      </c>
      <c r="D550" s="66"/>
      <c r="E550" s="66"/>
      <c r="F550" s="66"/>
      <c r="G550" s="66"/>
    </row>
    <row r="551" spans="1:7" ht="12.75">
      <c r="A551" s="66"/>
      <c r="B551" s="51" t="s">
        <v>188</v>
      </c>
      <c r="C551" s="66">
        <f>B544-C550</f>
        <v>1.3399999999999999</v>
      </c>
      <c r="D551" s="66"/>
      <c r="E551" s="66" t="s">
        <v>193</v>
      </c>
      <c r="F551" s="66"/>
      <c r="G551" s="66"/>
    </row>
    <row r="552" spans="1:7" ht="12.75">
      <c r="A552" s="66"/>
      <c r="B552" s="66"/>
      <c r="C552" s="66"/>
      <c r="D552" s="66"/>
      <c r="E552" s="66"/>
      <c r="F552" s="66"/>
      <c r="G552" s="66"/>
    </row>
    <row r="553" spans="1:10" ht="15">
      <c r="A553" s="66"/>
      <c r="B553" s="53" t="s">
        <v>136</v>
      </c>
      <c r="C553" s="96" t="s">
        <v>194</v>
      </c>
      <c r="D553" s="96"/>
      <c r="E553" s="53" t="s">
        <v>195</v>
      </c>
      <c r="F553" s="64" t="s">
        <v>196</v>
      </c>
      <c r="G553" s="53" t="s">
        <v>197</v>
      </c>
      <c r="H553" s="76" t="s">
        <v>198</v>
      </c>
      <c r="I553" s="96" t="s">
        <v>199</v>
      </c>
      <c r="J553" s="96"/>
    </row>
    <row r="554" spans="1:10" ht="12.75">
      <c r="A554" s="66"/>
      <c r="B554" s="44">
        <v>1</v>
      </c>
      <c r="C554" s="97">
        <f>15/3.28</f>
        <v>4.573170731707317</v>
      </c>
      <c r="D554" s="97"/>
      <c r="E554" s="74">
        <f aca="true" t="shared" si="8" ref="E554:E559">C554^$C$551</f>
        <v>7.668163010245571</v>
      </c>
      <c r="F554" s="75">
        <f>I541+I542</f>
        <v>1768.4133333333334</v>
      </c>
      <c r="G554" s="54">
        <f aca="true" t="shared" si="9" ref="G554:G559">F554*E554</f>
        <v>13560.481709491738</v>
      </c>
      <c r="H554" s="78">
        <f aca="true" t="shared" si="10" ref="H554:H559">G554/$G$560</f>
        <v>0.03511064237642794</v>
      </c>
      <c r="I554" s="94">
        <f aca="true" t="shared" si="11" ref="I554:I559">H554*$C$540</f>
        <v>23.288331186128243</v>
      </c>
      <c r="J554" s="94"/>
    </row>
    <row r="555" spans="1:10" ht="12.75">
      <c r="A555" s="66"/>
      <c r="B555" s="44">
        <v>2</v>
      </c>
      <c r="C555" s="97">
        <f>13/3.28+C554</f>
        <v>8.536585365853659</v>
      </c>
      <c r="D555" s="97"/>
      <c r="E555" s="74">
        <f t="shared" si="8"/>
        <v>17.69786228848483</v>
      </c>
      <c r="F555" s="75">
        <f>F554</f>
        <v>1768.4133333333334</v>
      </c>
      <c r="G555" s="54">
        <f t="shared" si="9"/>
        <v>31297.135642453755</v>
      </c>
      <c r="H555" s="78">
        <f t="shared" si="10"/>
        <v>0.081034181564479</v>
      </c>
      <c r="I555" s="94">
        <f t="shared" si="11"/>
        <v>53.74868501230846</v>
      </c>
      <c r="J555" s="94"/>
    </row>
    <row r="556" spans="1:10" ht="12.75">
      <c r="A556" s="66"/>
      <c r="B556" s="44">
        <v>3</v>
      </c>
      <c r="C556" s="97">
        <f>13/3.28+C555</f>
        <v>12.5</v>
      </c>
      <c r="D556" s="97"/>
      <c r="E556" s="74">
        <f t="shared" si="8"/>
        <v>29.502540650203855</v>
      </c>
      <c r="F556" s="75">
        <f>F555</f>
        <v>1768.4133333333334</v>
      </c>
      <c r="G556" s="54">
        <f t="shared" si="9"/>
        <v>52172.68625302917</v>
      </c>
      <c r="H556" s="78">
        <f t="shared" si="10"/>
        <v>0.13508491571988146</v>
      </c>
      <c r="I556" s="94">
        <f t="shared" si="11"/>
        <v>89.59967812058231</v>
      </c>
      <c r="J556" s="94"/>
    </row>
    <row r="557" spans="1:10" ht="12.75">
      <c r="A557" s="66"/>
      <c r="B557" s="41">
        <v>4</v>
      </c>
      <c r="C557" s="97">
        <f>13/3.28+C556</f>
        <v>16.463414634146343</v>
      </c>
      <c r="D557" s="97"/>
      <c r="E557" s="74">
        <f t="shared" si="8"/>
        <v>42.67137993535853</v>
      </c>
      <c r="F557" s="75">
        <f>F556</f>
        <v>1768.4133333333334</v>
      </c>
      <c r="G557" s="54">
        <f t="shared" si="9"/>
        <v>75460.6372294205</v>
      </c>
      <c r="H557" s="78">
        <f t="shared" si="10"/>
        <v>0.19538180899613872</v>
      </c>
      <c r="I557" s="94">
        <f t="shared" si="11"/>
        <v>129.5936493233094</v>
      </c>
      <c r="J557" s="94"/>
    </row>
    <row r="558" spans="1:10" ht="12.75">
      <c r="A558" s="66"/>
      <c r="B558" s="41">
        <v>5</v>
      </c>
      <c r="C558" s="97">
        <f>13/3.28+C557</f>
        <v>20.426829268292686</v>
      </c>
      <c r="D558" s="97"/>
      <c r="E558" s="74">
        <f t="shared" si="8"/>
        <v>56.97302578444543</v>
      </c>
      <c r="F558" s="75">
        <f>F557</f>
        <v>1768.4133333333334</v>
      </c>
      <c r="G558" s="54">
        <f t="shared" si="9"/>
        <v>100751.8584375571</v>
      </c>
      <c r="H558" s="78">
        <f t="shared" si="10"/>
        <v>0.2608655463828762</v>
      </c>
      <c r="I558" s="94">
        <f t="shared" si="11"/>
        <v>173.02797180644419</v>
      </c>
      <c r="J558" s="94"/>
    </row>
    <row r="559" spans="1:10" ht="12.75">
      <c r="A559" s="66"/>
      <c r="B559" s="41">
        <v>6</v>
      </c>
      <c r="C559" s="97">
        <f>13/3.28+C558</f>
        <v>24.39024390243903</v>
      </c>
      <c r="D559" s="97"/>
      <c r="E559" s="74">
        <f t="shared" si="8"/>
        <v>72.25528726491885</v>
      </c>
      <c r="F559" s="75">
        <f>I543+I542</f>
        <v>1563.6033333333335</v>
      </c>
      <c r="G559" s="54">
        <f t="shared" si="9"/>
        <v>112978.60801838466</v>
      </c>
      <c r="H559" s="78">
        <f t="shared" si="10"/>
        <v>0.29252290496019673</v>
      </c>
      <c r="I559" s="94">
        <f t="shared" si="11"/>
        <v>194.02579472071878</v>
      </c>
      <c r="J559" s="94"/>
    </row>
    <row r="560" spans="1:7" ht="12.75">
      <c r="A560" s="66"/>
      <c r="B560" s="66"/>
      <c r="C560" s="66"/>
      <c r="D560" s="66"/>
      <c r="E560" s="66"/>
      <c r="F560" s="66"/>
      <c r="G560" s="54">
        <f>SUM(G554:G559)</f>
        <v>386221.4072903369</v>
      </c>
    </row>
    <row r="561" ht="12.75">
      <c r="F561" s="16"/>
    </row>
    <row r="562" spans="2:7" ht="12.75">
      <c r="B562" s="18" t="s">
        <v>141</v>
      </c>
      <c r="F562" s="96" t="s">
        <v>150</v>
      </c>
      <c r="G562" s="96"/>
    </row>
    <row r="563" spans="5:7" ht="12.75">
      <c r="E563" s="53" t="s">
        <v>136</v>
      </c>
      <c r="F563" s="53" t="s">
        <v>148</v>
      </c>
      <c r="G563" s="53" t="s">
        <v>149</v>
      </c>
    </row>
    <row r="564" spans="5:7" ht="12.75">
      <c r="E564" s="44" t="s">
        <v>142</v>
      </c>
      <c r="F564" s="44">
        <v>0.0577</v>
      </c>
      <c r="G564" s="44">
        <v>0.2122</v>
      </c>
    </row>
    <row r="565" spans="5:7" ht="12.75">
      <c r="E565" s="44" t="s">
        <v>143</v>
      </c>
      <c r="F565" s="44">
        <v>0.05168</v>
      </c>
      <c r="G565" s="44">
        <v>0.1814</v>
      </c>
    </row>
    <row r="566" spans="5:7" ht="12.75">
      <c r="E566" s="44" t="s">
        <v>144</v>
      </c>
      <c r="F566" s="44">
        <v>0.04268</v>
      </c>
      <c r="G566" s="44">
        <v>0.1442</v>
      </c>
    </row>
    <row r="567" spans="5:7" ht="12.75">
      <c r="E567" s="44" t="s">
        <v>145</v>
      </c>
      <c r="F567" s="44">
        <v>0.03169</v>
      </c>
      <c r="G567" s="44">
        <v>0.1017</v>
      </c>
    </row>
    <row r="568" spans="5:7" ht="12.75">
      <c r="E568" s="44" t="s">
        <v>146</v>
      </c>
      <c r="F568" s="44">
        <v>0.01965</v>
      </c>
      <c r="G568" s="44">
        <v>0.058</v>
      </c>
    </row>
    <row r="569" spans="5:7" ht="12.75">
      <c r="E569" s="44" t="s">
        <v>147</v>
      </c>
      <c r="F569" s="44">
        <v>0.00848</v>
      </c>
      <c r="G569" s="44">
        <v>0.0208</v>
      </c>
    </row>
    <row r="571" spans="6:9" ht="12.75">
      <c r="F571" s="96" t="s">
        <v>206</v>
      </c>
      <c r="G571" s="96"/>
      <c r="H571" s="82" t="s">
        <v>204</v>
      </c>
      <c r="I571" s="83">
        <f>IF(C522=8,5.5,"ERROR")</f>
        <v>5.5</v>
      </c>
    </row>
    <row r="572" spans="5:9" ht="12.75">
      <c r="E572" s="53" t="s">
        <v>136</v>
      </c>
      <c r="F572" s="53" t="s">
        <v>148</v>
      </c>
      <c r="G572" s="53" t="s">
        <v>149</v>
      </c>
      <c r="H572" s="96" t="s">
        <v>205</v>
      </c>
      <c r="I572" s="96"/>
    </row>
    <row r="573" spans="5:9" ht="12.75">
      <c r="E573" s="44" t="s">
        <v>142</v>
      </c>
      <c r="F573" s="55">
        <f aca="true" t="shared" si="12" ref="F573:G577">$I$571*(F564-F565)/(13/3.28)</f>
        <v>0.008353907692307698</v>
      </c>
      <c r="G573" s="55">
        <f t="shared" si="12"/>
        <v>0.042740923076923065</v>
      </c>
      <c r="H573" s="81" t="str">
        <f>IF(F573&lt;0.02,"Si","No")</f>
        <v>Si</v>
      </c>
      <c r="I573" s="81" t="str">
        <f>IF(G573&lt;0.02,"Si","No")</f>
        <v>No</v>
      </c>
    </row>
    <row r="574" spans="5:9" ht="12.75">
      <c r="E574" s="44" t="s">
        <v>143</v>
      </c>
      <c r="F574" s="55">
        <f t="shared" si="12"/>
        <v>0.01248923076923076</v>
      </c>
      <c r="G574" s="55">
        <f t="shared" si="12"/>
        <v>0.05162215384615386</v>
      </c>
      <c r="H574" s="81" t="str">
        <f aca="true" t="shared" si="13" ref="H574:I578">IF(F574&lt;0.02,"Si","No")</f>
        <v>Si</v>
      </c>
      <c r="I574" s="81" t="str">
        <f t="shared" si="13"/>
        <v>No</v>
      </c>
    </row>
    <row r="575" spans="5:9" ht="12.75">
      <c r="E575" s="44" t="s">
        <v>144</v>
      </c>
      <c r="F575" s="55">
        <f t="shared" si="12"/>
        <v>0.01525073846153846</v>
      </c>
      <c r="G575" s="55">
        <f t="shared" si="12"/>
        <v>0.058976923076923066</v>
      </c>
      <c r="H575" s="81" t="str">
        <f t="shared" si="13"/>
        <v>Si</v>
      </c>
      <c r="I575" s="81" t="str">
        <f t="shared" si="13"/>
        <v>No</v>
      </c>
    </row>
    <row r="576" spans="5:9" ht="12.75">
      <c r="E576" s="44" t="s">
        <v>145</v>
      </c>
      <c r="F576" s="55">
        <f t="shared" si="12"/>
        <v>0.016707815384615386</v>
      </c>
      <c r="G576" s="55">
        <f t="shared" si="12"/>
        <v>0.06064215384615383</v>
      </c>
      <c r="H576" s="81" t="str">
        <f t="shared" si="13"/>
        <v>Si</v>
      </c>
      <c r="I576" s="81" t="str">
        <f t="shared" si="13"/>
        <v>No</v>
      </c>
    </row>
    <row r="577" spans="5:9" ht="12.75">
      <c r="E577" s="44" t="s">
        <v>146</v>
      </c>
      <c r="F577" s="55">
        <f t="shared" si="12"/>
        <v>0.015500523076923076</v>
      </c>
      <c r="G577" s="55">
        <f t="shared" si="12"/>
        <v>0.051622153846153845</v>
      </c>
      <c r="H577" s="81" t="str">
        <f t="shared" si="13"/>
        <v>Si</v>
      </c>
      <c r="I577" s="81" t="str">
        <f t="shared" si="13"/>
        <v>No</v>
      </c>
    </row>
    <row r="578" spans="5:9" ht="12.75">
      <c r="E578" s="44" t="s">
        <v>147</v>
      </c>
      <c r="F578" s="55">
        <f>I571*(F569-F570)/(15/3.28)</f>
        <v>0.010198613333333334</v>
      </c>
      <c r="G578" s="55">
        <f>$I$571*(G569-G570)/(15/3.28)</f>
        <v>0.025015466666666666</v>
      </c>
      <c r="H578" s="81" t="str">
        <f t="shared" si="13"/>
        <v>Si</v>
      </c>
      <c r="I578" s="81" t="str">
        <f t="shared" si="13"/>
        <v>No</v>
      </c>
    </row>
    <row r="579" ht="12.75">
      <c r="F579" s="16"/>
    </row>
    <row r="581" spans="2:3" ht="12.75">
      <c r="B581" s="18" t="s">
        <v>183</v>
      </c>
      <c r="C581" s="18"/>
    </row>
    <row r="582" spans="2:3" ht="12.75">
      <c r="B582" s="18"/>
      <c r="C582" s="18"/>
    </row>
    <row r="583" spans="2:5" ht="12.75">
      <c r="B583" s="1" t="s">
        <v>153</v>
      </c>
      <c r="C583" s="1">
        <v>1.5</v>
      </c>
      <c r="D583" s="1"/>
      <c r="E583" s="1"/>
    </row>
    <row r="584" spans="2:5" ht="12.75">
      <c r="B584" s="1" t="s">
        <v>154</v>
      </c>
      <c r="C584" s="1">
        <v>0.6</v>
      </c>
      <c r="D584" s="1"/>
      <c r="E584" s="1"/>
    </row>
    <row r="585" spans="2:5" ht="12.75">
      <c r="B585" s="1" t="s">
        <v>155</v>
      </c>
      <c r="C585" s="1">
        <v>1</v>
      </c>
      <c r="D585" s="1"/>
      <c r="E585" s="1"/>
    </row>
    <row r="586" spans="2:5" ht="12.75">
      <c r="B586" s="1" t="s">
        <v>156</v>
      </c>
      <c r="C586" s="1">
        <v>1.5</v>
      </c>
      <c r="D586" s="1"/>
      <c r="E586" s="1"/>
    </row>
    <row r="587" spans="2:5" ht="15.75" customHeight="1">
      <c r="B587" s="1" t="s">
        <v>157</v>
      </c>
      <c r="C587" s="100" t="s">
        <v>161</v>
      </c>
      <c r="D587" s="100"/>
      <c r="E587" s="2">
        <f>C585*C583</f>
        <v>1.5</v>
      </c>
    </row>
    <row r="588" spans="2:5" ht="15.75" customHeight="1">
      <c r="B588" s="1" t="s">
        <v>158</v>
      </c>
      <c r="C588" s="100" t="s">
        <v>162</v>
      </c>
      <c r="D588" s="100"/>
      <c r="E588" s="2">
        <f>C586*C584</f>
        <v>0.8999999999999999</v>
      </c>
    </row>
    <row r="589" spans="2:11" ht="18.75">
      <c r="B589" s="1" t="s">
        <v>159</v>
      </c>
      <c r="C589" s="100" t="s">
        <v>163</v>
      </c>
      <c r="D589" s="100"/>
      <c r="E589" s="61">
        <f>2/3*E587</f>
        <v>1</v>
      </c>
      <c r="H589" s="103" t="s">
        <v>181</v>
      </c>
      <c r="I589" s="103"/>
      <c r="J589" s="1" t="s">
        <v>168</v>
      </c>
      <c r="K589" s="3">
        <v>1.4</v>
      </c>
    </row>
    <row r="590" spans="2:5" ht="15.75">
      <c r="B590" s="1" t="s">
        <v>160</v>
      </c>
      <c r="C590" s="100" t="s">
        <v>164</v>
      </c>
      <c r="D590" s="100"/>
      <c r="E590" s="61">
        <f>2/3*E588</f>
        <v>0.5999999999999999</v>
      </c>
    </row>
    <row r="591" spans="2:10" ht="15.75">
      <c r="B591" s="56" t="s">
        <v>133</v>
      </c>
      <c r="C591" s="56">
        <v>6</v>
      </c>
      <c r="D591" s="1"/>
      <c r="E591" s="1"/>
      <c r="I591" s="2" t="s">
        <v>170</v>
      </c>
      <c r="J591" s="2">
        <v>0.028</v>
      </c>
    </row>
    <row r="592" spans="2:10" ht="15.75" customHeight="1">
      <c r="B592" s="1" t="s">
        <v>166</v>
      </c>
      <c r="C592">
        <v>1</v>
      </c>
      <c r="I592" s="2" t="s">
        <v>171</v>
      </c>
      <c r="J592" s="77">
        <v>80</v>
      </c>
    </row>
    <row r="593" spans="9:10" ht="12.75">
      <c r="I593" s="2" t="s">
        <v>169</v>
      </c>
      <c r="J593" s="2">
        <v>0.8</v>
      </c>
    </row>
    <row r="594" spans="2:10" ht="12.75">
      <c r="B594" s="8" t="s">
        <v>165</v>
      </c>
      <c r="C594">
        <f>E589/C591*C592</f>
        <v>0.16666666666666666</v>
      </c>
      <c r="I594" s="2"/>
      <c r="J594" s="2"/>
    </row>
    <row r="595" spans="2:10" ht="15.75" customHeight="1">
      <c r="B595" s="1" t="s">
        <v>173</v>
      </c>
      <c r="C595">
        <f>K589*J591*(J592^J593)</f>
        <v>1.3054434292061365</v>
      </c>
      <c r="D595" t="s">
        <v>175</v>
      </c>
      <c r="I595" s="2" t="s">
        <v>174</v>
      </c>
      <c r="J595" s="2">
        <v>6</v>
      </c>
    </row>
    <row r="596" spans="2:8" ht="12.75">
      <c r="B596" s="1" t="s">
        <v>172</v>
      </c>
      <c r="C596">
        <f>J591*(J592^J593)</f>
        <v>0.9324595922900976</v>
      </c>
      <c r="D596" t="s">
        <v>175</v>
      </c>
      <c r="F596" s="1" t="s">
        <v>176</v>
      </c>
      <c r="G596" s="91">
        <f>IF(MIN(C598:C599)&lt;=C595,MIN(C598:C599),C595)</f>
        <v>1.18</v>
      </c>
      <c r="H596" t="s">
        <v>131</v>
      </c>
    </row>
    <row r="597" spans="2:6" ht="12.75">
      <c r="B597" s="1" t="s">
        <v>172</v>
      </c>
      <c r="C597">
        <f>0.1*J595</f>
        <v>0.6000000000000001</v>
      </c>
      <c r="D597" t="s">
        <v>175</v>
      </c>
      <c r="F597" s="1"/>
    </row>
    <row r="598" spans="1:6" ht="12.75">
      <c r="A598" s="2" t="s">
        <v>226</v>
      </c>
      <c r="B598" s="1" t="s">
        <v>222</v>
      </c>
      <c r="C598">
        <v>1.18</v>
      </c>
      <c r="D598" t="s">
        <v>175</v>
      </c>
      <c r="F598" s="1"/>
    </row>
    <row r="599" spans="2:6" ht="12.75">
      <c r="B599" s="1" t="s">
        <v>223</v>
      </c>
      <c r="C599">
        <v>2.19</v>
      </c>
      <c r="D599" t="s">
        <v>175</v>
      </c>
      <c r="F599" s="60"/>
    </row>
    <row r="600" spans="2:6" ht="12.75">
      <c r="B600" s="1"/>
      <c r="F600" s="60"/>
    </row>
    <row r="601" spans="3:8" ht="12.75">
      <c r="C601" s="120" t="s">
        <v>177</v>
      </c>
      <c r="D601" s="120"/>
      <c r="E601" s="120"/>
      <c r="F601" s="1" t="s">
        <v>178</v>
      </c>
      <c r="G601" s="23">
        <v>0.01</v>
      </c>
      <c r="H601" t="str">
        <f>IF(C594&gt;=0.01,"OK","NO")</f>
        <v>OK</v>
      </c>
    </row>
    <row r="602" spans="6:11" ht="12.75">
      <c r="F602" s="1" t="s">
        <v>225</v>
      </c>
      <c r="G602" s="50">
        <f>E590/G596/(C591/C592)</f>
        <v>0.08474576271186439</v>
      </c>
      <c r="H602" s="93" t="str">
        <f>IF(C594&lt;=G602,"? OK","? no, entonces Cs =")</f>
        <v>? no, entonces Cs =</v>
      </c>
      <c r="I602" s="93"/>
      <c r="J602" s="93"/>
      <c r="K602" s="89">
        <f>IF(H602="? no, entonces Cs =",G602," ")</f>
        <v>0.08474576271186439</v>
      </c>
    </row>
    <row r="603" spans="6:7" ht="12.75">
      <c r="F603" s="1" t="s">
        <v>165</v>
      </c>
      <c r="G603" s="50">
        <f>IF(K602=G602,K602,C594)</f>
        <v>0.08474576271186439</v>
      </c>
    </row>
    <row r="604" spans="3:10" ht="15.75">
      <c r="C604" s="98" t="s">
        <v>180</v>
      </c>
      <c r="D604" s="98"/>
      <c r="E604" s="2">
        <v>0.6</v>
      </c>
      <c r="F604" s="1" t="str">
        <f>IF(E590&gt;=E604,"Cs &gt;","No aplica")</f>
        <v>Cs &gt;</v>
      </c>
      <c r="G604" s="50">
        <f>IF(F604="No aplica","No aplica",0.5*E590/C591)</f>
        <v>0.04999999999999999</v>
      </c>
      <c r="H604" s="93" t="str">
        <f>IF(G604="No aplica"," ",IF(G604&gt;=G603,"MAL","OK"))</f>
        <v>OK</v>
      </c>
      <c r="I604" s="93"/>
      <c r="J604" s="93"/>
    </row>
    <row r="605" ht="12.75">
      <c r="K605" s="58" t="str">
        <f>IF(H604="no, entonces Cs =",G604," ")</f>
        <v> </v>
      </c>
    </row>
    <row r="606" spans="6:8" ht="12.75">
      <c r="F606" s="1" t="s">
        <v>179</v>
      </c>
      <c r="G606" s="56" t="s">
        <v>165</v>
      </c>
      <c r="H606" s="88">
        <f>IF(H604="OK",G603,IF(H604=" ",G603,IF(H604="MAL",G604,"VALI TOLETE")))</f>
        <v>0.08474576271186439</v>
      </c>
    </row>
    <row r="608" spans="2:5" ht="12.75">
      <c r="B608" s="56" t="s">
        <v>134</v>
      </c>
      <c r="C608" s="102">
        <f>H606*(E413)</f>
        <v>884.3788135593219</v>
      </c>
      <c r="D608" s="102"/>
      <c r="E608" t="s">
        <v>78</v>
      </c>
    </row>
    <row r="609" spans="2:9" ht="12.75">
      <c r="B609" s="56"/>
      <c r="C609" s="67"/>
      <c r="D609" s="67"/>
      <c r="E609" s="65"/>
      <c r="G609" s="1" t="s">
        <v>137</v>
      </c>
      <c r="I609">
        <v>1560.03</v>
      </c>
    </row>
    <row r="610" spans="2:10" ht="12.75">
      <c r="B610" s="18" t="s">
        <v>189</v>
      </c>
      <c r="C610" s="70"/>
      <c r="D610" s="66"/>
      <c r="E610" s="65"/>
      <c r="F610" s="98" t="s">
        <v>138</v>
      </c>
      <c r="G610" s="98"/>
      <c r="H610" s="98"/>
      <c r="I610">
        <f>$E$411/6</f>
        <v>208.38333333333333</v>
      </c>
      <c r="J610" t="s">
        <v>139</v>
      </c>
    </row>
    <row r="611" spans="1:9" ht="12.75">
      <c r="A611" s="1" t="s">
        <v>188</v>
      </c>
      <c r="B611" s="11">
        <v>1</v>
      </c>
      <c r="C611" s="8" t="s">
        <v>130</v>
      </c>
      <c r="D611" s="99">
        <v>0.5</v>
      </c>
      <c r="E611" s="99"/>
      <c r="G611" s="2" t="s">
        <v>140</v>
      </c>
      <c r="H611" s="2"/>
      <c r="I611">
        <v>1355.22</v>
      </c>
    </row>
    <row r="612" spans="1:7" ht="12.75">
      <c r="A612" s="38" t="s">
        <v>188</v>
      </c>
      <c r="B612" s="69">
        <v>2</v>
      </c>
      <c r="C612" s="68" t="s">
        <v>130</v>
      </c>
      <c r="D612" s="101">
        <v>2.5</v>
      </c>
      <c r="E612" s="101"/>
      <c r="F612" s="66"/>
      <c r="G612" s="66"/>
    </row>
    <row r="613" spans="1:7" ht="12.75">
      <c r="A613" s="66"/>
      <c r="B613" s="66"/>
      <c r="C613" s="73" t="s">
        <v>130</v>
      </c>
      <c r="D613" s="95">
        <f>G596</f>
        <v>1.18</v>
      </c>
      <c r="E613" s="95"/>
      <c r="F613" s="66"/>
      <c r="G613" s="66"/>
    </row>
    <row r="614" spans="1:7" ht="12.75">
      <c r="A614" s="66"/>
      <c r="D614" s="66"/>
      <c r="E614" s="66"/>
      <c r="F614" s="66"/>
      <c r="G614" s="66"/>
    </row>
    <row r="615" spans="1:7" ht="12.75">
      <c r="A615" s="66"/>
      <c r="B615" s="71" t="s">
        <v>190</v>
      </c>
      <c r="C615" s="72">
        <f>B612-B611</f>
        <v>1</v>
      </c>
      <c r="D615" s="66"/>
      <c r="E615" s="66"/>
      <c r="F615" s="66"/>
      <c r="G615" s="66"/>
    </row>
    <row r="616" spans="1:7" ht="12.75">
      <c r="A616" s="66"/>
      <c r="B616" s="71" t="s">
        <v>191</v>
      </c>
      <c r="C616" s="72">
        <f>D612-D611</f>
        <v>2</v>
      </c>
      <c r="D616" s="66"/>
      <c r="E616" s="66"/>
      <c r="F616" s="66"/>
      <c r="G616" s="66"/>
    </row>
    <row r="617" spans="1:7" ht="12.75">
      <c r="A617" s="66"/>
      <c r="B617" s="71" t="s">
        <v>192</v>
      </c>
      <c r="C617" s="66">
        <f>D612-D613</f>
        <v>1.32</v>
      </c>
      <c r="D617" s="66"/>
      <c r="E617" s="66"/>
      <c r="F617" s="66"/>
      <c r="G617" s="66"/>
    </row>
    <row r="618" spans="1:7" ht="12.75">
      <c r="A618" s="66"/>
      <c r="B618" s="71" t="s">
        <v>190</v>
      </c>
      <c r="C618" s="66">
        <f>C617*C615/C616</f>
        <v>0.66</v>
      </c>
      <c r="D618" s="66"/>
      <c r="E618" s="66"/>
      <c r="F618" s="66"/>
      <c r="G618" s="66"/>
    </row>
    <row r="619" spans="1:7" ht="12.75">
      <c r="A619" s="66"/>
      <c r="B619" s="51" t="s">
        <v>188</v>
      </c>
      <c r="C619" s="66">
        <f>B612-C618</f>
        <v>1.3399999999999999</v>
      </c>
      <c r="D619" s="66"/>
      <c r="E619" s="66" t="s">
        <v>193</v>
      </c>
      <c r="F619" s="66"/>
      <c r="G619" s="66"/>
    </row>
    <row r="620" spans="1:7" ht="12.75">
      <c r="A620" s="66"/>
      <c r="B620" s="66"/>
      <c r="C620" s="66"/>
      <c r="D620" s="66"/>
      <c r="E620" s="66"/>
      <c r="F620" s="66"/>
      <c r="G620" s="66"/>
    </row>
    <row r="621" spans="1:10" ht="15">
      <c r="A621" s="66"/>
      <c r="B621" s="53" t="s">
        <v>136</v>
      </c>
      <c r="C621" s="96" t="s">
        <v>194</v>
      </c>
      <c r="D621" s="96"/>
      <c r="E621" s="53" t="s">
        <v>195</v>
      </c>
      <c r="F621" s="64" t="s">
        <v>196</v>
      </c>
      <c r="G621" s="53" t="s">
        <v>197</v>
      </c>
      <c r="H621" s="76" t="s">
        <v>198</v>
      </c>
      <c r="I621" s="96" t="s">
        <v>199</v>
      </c>
      <c r="J621" s="96"/>
    </row>
    <row r="622" spans="1:10" ht="12.75">
      <c r="A622" s="66"/>
      <c r="B622" s="44">
        <v>1</v>
      </c>
      <c r="C622" s="97">
        <f>15/3.28</f>
        <v>4.573170731707317</v>
      </c>
      <c r="D622" s="97"/>
      <c r="E622" s="74">
        <f aca="true" t="shared" si="14" ref="E622:E627">C622^$C$619</f>
        <v>7.668163010245571</v>
      </c>
      <c r="F622" s="75">
        <f>I609+I610</f>
        <v>1768.4133333333334</v>
      </c>
      <c r="G622" s="54">
        <f aca="true" t="shared" si="15" ref="G622:G627">F622*E622</f>
        <v>13560.481709491738</v>
      </c>
      <c r="H622" s="78">
        <f aca="true" t="shared" si="16" ref="H622:H627">G622/$G$628</f>
        <v>0.03511064237642794</v>
      </c>
      <c r="I622" s="94">
        <f aca="true" t="shared" si="17" ref="I622:I627">H622*$C$608</f>
        <v>31.051108248170994</v>
      </c>
      <c r="J622" s="94"/>
    </row>
    <row r="623" spans="1:10" ht="12.75">
      <c r="A623" s="66"/>
      <c r="B623" s="44">
        <v>2</v>
      </c>
      <c r="C623" s="97">
        <f>13/3.28+C622</f>
        <v>8.536585365853659</v>
      </c>
      <c r="D623" s="97"/>
      <c r="E623" s="74">
        <f t="shared" si="14"/>
        <v>17.69786228848483</v>
      </c>
      <c r="F623" s="75">
        <f>F622</f>
        <v>1768.4133333333334</v>
      </c>
      <c r="G623" s="54">
        <f t="shared" si="15"/>
        <v>31297.135642453755</v>
      </c>
      <c r="H623" s="78">
        <f t="shared" si="16"/>
        <v>0.081034181564479</v>
      </c>
      <c r="I623" s="94">
        <f t="shared" si="17"/>
        <v>71.66491334974461</v>
      </c>
      <c r="J623" s="94"/>
    </row>
    <row r="624" spans="1:10" ht="12.75">
      <c r="A624" s="66"/>
      <c r="B624" s="44">
        <v>3</v>
      </c>
      <c r="C624" s="97">
        <f>13/3.28+C623</f>
        <v>12.5</v>
      </c>
      <c r="D624" s="97"/>
      <c r="E624" s="74">
        <f t="shared" si="14"/>
        <v>29.502540650203855</v>
      </c>
      <c r="F624" s="75">
        <f>F623</f>
        <v>1768.4133333333334</v>
      </c>
      <c r="G624" s="54">
        <f t="shared" si="15"/>
        <v>52172.68625302917</v>
      </c>
      <c r="H624" s="78">
        <f t="shared" si="16"/>
        <v>0.13508491571988146</v>
      </c>
      <c r="I624" s="94">
        <f t="shared" si="17"/>
        <v>119.46623749410976</v>
      </c>
      <c r="J624" s="94"/>
    </row>
    <row r="625" spans="1:10" ht="12.75">
      <c r="A625" s="66"/>
      <c r="B625" s="41">
        <v>4</v>
      </c>
      <c r="C625" s="97">
        <f>13/3.28+C624</f>
        <v>16.463414634146343</v>
      </c>
      <c r="D625" s="97"/>
      <c r="E625" s="74">
        <f t="shared" si="14"/>
        <v>42.67137993535853</v>
      </c>
      <c r="F625" s="75">
        <f>F624</f>
        <v>1768.4133333333334</v>
      </c>
      <c r="G625" s="54">
        <f t="shared" si="15"/>
        <v>75460.6372294205</v>
      </c>
      <c r="H625" s="78">
        <f t="shared" si="16"/>
        <v>0.19538180899613872</v>
      </c>
      <c r="I625" s="94">
        <f t="shared" si="17"/>
        <v>172.7915324310792</v>
      </c>
      <c r="J625" s="94"/>
    </row>
    <row r="626" spans="1:10" ht="12.75">
      <c r="A626" s="66"/>
      <c r="B626" s="41">
        <v>5</v>
      </c>
      <c r="C626" s="97">
        <f>13/3.28+C625</f>
        <v>20.426829268292686</v>
      </c>
      <c r="D626" s="97"/>
      <c r="E626" s="74">
        <f t="shared" si="14"/>
        <v>56.97302578444543</v>
      </c>
      <c r="F626" s="75">
        <f>F625</f>
        <v>1768.4133333333334</v>
      </c>
      <c r="G626" s="54">
        <f t="shared" si="15"/>
        <v>100751.8584375571</v>
      </c>
      <c r="H626" s="78">
        <f t="shared" si="16"/>
        <v>0.2608655463828762</v>
      </c>
      <c r="I626" s="94">
        <f t="shared" si="17"/>
        <v>230.70396240859228</v>
      </c>
      <c r="J626" s="94"/>
    </row>
    <row r="627" spans="1:10" ht="12.75">
      <c r="A627" s="66"/>
      <c r="B627" s="41">
        <v>6</v>
      </c>
      <c r="C627" s="97">
        <f>13/3.28+C626</f>
        <v>24.39024390243903</v>
      </c>
      <c r="D627" s="97"/>
      <c r="E627" s="74">
        <f t="shared" si="14"/>
        <v>72.25528726491885</v>
      </c>
      <c r="F627" s="75">
        <f>I611+I610</f>
        <v>1563.6033333333335</v>
      </c>
      <c r="G627" s="54">
        <f t="shared" si="15"/>
        <v>112978.60801838466</v>
      </c>
      <c r="H627" s="78">
        <f t="shared" si="16"/>
        <v>0.29252290496019673</v>
      </c>
      <c r="I627" s="94">
        <f t="shared" si="17"/>
        <v>258.70105962762506</v>
      </c>
      <c r="J627" s="94"/>
    </row>
    <row r="628" spans="1:7" ht="12.75">
      <c r="A628" s="66"/>
      <c r="B628" s="66"/>
      <c r="C628" s="66"/>
      <c r="D628" s="66"/>
      <c r="E628" s="66"/>
      <c r="F628" s="66"/>
      <c r="G628" s="54">
        <f>SUM(G622:G627)</f>
        <v>386221.4072903369</v>
      </c>
    </row>
    <row r="631" spans="1:7" ht="12.75">
      <c r="A631" s="3" t="s">
        <v>211</v>
      </c>
      <c r="B631" s="3"/>
      <c r="C631" s="3"/>
      <c r="D631" s="3"/>
      <c r="E631" s="3"/>
      <c r="F631" s="3"/>
      <c r="G631" s="3"/>
    </row>
    <row r="632" spans="1:7" ht="12.75">
      <c r="A632" s="3"/>
      <c r="B632" s="3"/>
      <c r="C632" s="3"/>
      <c r="D632" s="3"/>
      <c r="E632" s="3"/>
      <c r="F632" s="3"/>
      <c r="G632" s="3"/>
    </row>
    <row r="633" ht="12.75">
      <c r="B633" t="s">
        <v>221</v>
      </c>
    </row>
    <row r="634" spans="2:5" ht="12.75">
      <c r="B634" s="93" t="s">
        <v>187</v>
      </c>
      <c r="C634" s="93"/>
      <c r="D634" s="93"/>
      <c r="E634" s="93"/>
    </row>
    <row r="635" spans="2:5" ht="12.75">
      <c r="B635" s="93" t="s">
        <v>200</v>
      </c>
      <c r="C635" s="93"/>
      <c r="D635" s="93"/>
      <c r="E635" s="93"/>
    </row>
    <row r="636" spans="2:5" ht="12.75">
      <c r="B636" s="93" t="s">
        <v>230</v>
      </c>
      <c r="C636" s="93"/>
      <c r="D636" s="3"/>
      <c r="E636" s="3"/>
    </row>
    <row r="638" ht="12.75">
      <c r="E638" s="53" t="s">
        <v>218</v>
      </c>
    </row>
    <row r="639" spans="2:8" ht="12.75" customHeight="1">
      <c r="B639" s="44" t="s">
        <v>214</v>
      </c>
      <c r="C639" s="97" t="s">
        <v>215</v>
      </c>
      <c r="D639" s="97"/>
      <c r="E639" s="86">
        <f>C429</f>
        <v>431.4942346935329</v>
      </c>
      <c r="F639" s="2"/>
      <c r="G639" s="1" t="s">
        <v>219</v>
      </c>
      <c r="H639" s="85">
        <f>E413</f>
        <v>10435.67</v>
      </c>
    </row>
    <row r="640" spans="2:8" ht="12.75">
      <c r="B640" s="44" t="s">
        <v>216</v>
      </c>
      <c r="C640" s="97" t="s">
        <v>217</v>
      </c>
      <c r="D640" s="97"/>
      <c r="E640" s="54">
        <f>C540</f>
        <v>663.2841101694913</v>
      </c>
      <c r="H640" s="85"/>
    </row>
    <row r="641" spans="2:5" ht="12.75">
      <c r="B641" s="44" t="s">
        <v>216</v>
      </c>
      <c r="C641" s="97" t="s">
        <v>224</v>
      </c>
      <c r="D641" s="97"/>
      <c r="E641" s="54">
        <f>C608</f>
        <v>884.3788135593219</v>
      </c>
    </row>
    <row r="642" spans="2:8" ht="12.75">
      <c r="B642" s="44" t="s">
        <v>214</v>
      </c>
      <c r="C642" s="97" t="s">
        <v>231</v>
      </c>
      <c r="D642" s="97"/>
      <c r="E642" s="54">
        <f>E641*E639/E640</f>
        <v>575.325646258044</v>
      </c>
      <c r="G642" s="1" t="s">
        <v>165</v>
      </c>
      <c r="H642">
        <f>E642/H639</f>
        <v>0.055130686027638286</v>
      </c>
    </row>
    <row r="643" spans="7:8" ht="12.75">
      <c r="G643" s="56" t="s">
        <v>133</v>
      </c>
      <c r="H643" s="4">
        <f>C416*C417*C426/C420/C421/H642</f>
        <v>7.499999999999998</v>
      </c>
    </row>
    <row r="645" spans="1:2" ht="14.25">
      <c r="A645" s="87"/>
      <c r="B645" s="87"/>
    </row>
  </sheetData>
  <mergeCells count="318">
    <mergeCell ref="I627:J627"/>
    <mergeCell ref="C641:D641"/>
    <mergeCell ref="C642:D642"/>
    <mergeCell ref="C532:E532"/>
    <mergeCell ref="C601:E601"/>
    <mergeCell ref="C639:D639"/>
    <mergeCell ref="C640:D640"/>
    <mergeCell ref="B634:E634"/>
    <mergeCell ref="B635:E635"/>
    <mergeCell ref="C627:D627"/>
    <mergeCell ref="F508:G508"/>
    <mergeCell ref="C625:D625"/>
    <mergeCell ref="C626:D626"/>
    <mergeCell ref="I621:J621"/>
    <mergeCell ref="I622:J622"/>
    <mergeCell ref="I623:J623"/>
    <mergeCell ref="I624:J624"/>
    <mergeCell ref="I625:J625"/>
    <mergeCell ref="I626:J626"/>
    <mergeCell ref="A510:D510"/>
    <mergeCell ref="C492:D492"/>
    <mergeCell ref="B505:D505"/>
    <mergeCell ref="B506:E506"/>
    <mergeCell ref="B507:C507"/>
    <mergeCell ref="C495:D495"/>
    <mergeCell ref="C496:D496"/>
    <mergeCell ref="C497:D497"/>
    <mergeCell ref="C493:D493"/>
    <mergeCell ref="C494:D494"/>
    <mergeCell ref="I495:J495"/>
    <mergeCell ref="I496:J496"/>
    <mergeCell ref="I497:J497"/>
    <mergeCell ref="I493:J493"/>
    <mergeCell ref="I494:J494"/>
    <mergeCell ref="F432:H432"/>
    <mergeCell ref="I491:J491"/>
    <mergeCell ref="I492:J492"/>
    <mergeCell ref="C442:D442"/>
    <mergeCell ref="C443:D443"/>
    <mergeCell ref="C444:D444"/>
    <mergeCell ref="C445:D445"/>
    <mergeCell ref="F458:G458"/>
    <mergeCell ref="F449:G449"/>
    <mergeCell ref="D485:E485"/>
    <mergeCell ref="D486:E486"/>
    <mergeCell ref="C491:D491"/>
    <mergeCell ref="C440:D440"/>
    <mergeCell ref="B411:D411"/>
    <mergeCell ref="A414:B414"/>
    <mergeCell ref="B412:D412"/>
    <mergeCell ref="D484:E484"/>
    <mergeCell ref="C441:D441"/>
    <mergeCell ref="D433:E433"/>
    <mergeCell ref="D434:E434"/>
    <mergeCell ref="E396:F396"/>
    <mergeCell ref="F398:G398"/>
    <mergeCell ref="F399:G399"/>
    <mergeCell ref="A409:F409"/>
    <mergeCell ref="F377:G377"/>
    <mergeCell ref="F355:G355"/>
    <mergeCell ref="G387:H387"/>
    <mergeCell ref="G365:H365"/>
    <mergeCell ref="E372:F372"/>
    <mergeCell ref="B373:F373"/>
    <mergeCell ref="E374:F374"/>
    <mergeCell ref="E394:F394"/>
    <mergeCell ref="B395:F395"/>
    <mergeCell ref="A337:F337"/>
    <mergeCell ref="G343:H343"/>
    <mergeCell ref="F354:G354"/>
    <mergeCell ref="E350:F350"/>
    <mergeCell ref="B351:F351"/>
    <mergeCell ref="D340:E340"/>
    <mergeCell ref="E352:F352"/>
    <mergeCell ref="F376:G376"/>
    <mergeCell ref="D328:E328"/>
    <mergeCell ref="B330:F330"/>
    <mergeCell ref="B332:E332"/>
    <mergeCell ref="B334:F334"/>
    <mergeCell ref="C320:E320"/>
    <mergeCell ref="F320:G320"/>
    <mergeCell ref="B325:F325"/>
    <mergeCell ref="D327:E327"/>
    <mergeCell ref="A315:B315"/>
    <mergeCell ref="H315:K316"/>
    <mergeCell ref="A316:B316"/>
    <mergeCell ref="A318:B318"/>
    <mergeCell ref="C318:E318"/>
    <mergeCell ref="B309:E309"/>
    <mergeCell ref="B311:F311"/>
    <mergeCell ref="B313:G313"/>
    <mergeCell ref="I314:J314"/>
    <mergeCell ref="B302:F302"/>
    <mergeCell ref="D304:E304"/>
    <mergeCell ref="D305:E305"/>
    <mergeCell ref="B307:F307"/>
    <mergeCell ref="A295:B295"/>
    <mergeCell ref="C295:E295"/>
    <mergeCell ref="C297:E297"/>
    <mergeCell ref="F297:G297"/>
    <mergeCell ref="B290:G290"/>
    <mergeCell ref="I291:J291"/>
    <mergeCell ref="A292:B292"/>
    <mergeCell ref="H292:K293"/>
    <mergeCell ref="A293:B293"/>
    <mergeCell ref="D280:E280"/>
    <mergeCell ref="B282:F282"/>
    <mergeCell ref="B286:E286"/>
    <mergeCell ref="B288:F288"/>
    <mergeCell ref="D274:E274"/>
    <mergeCell ref="D276:E276"/>
    <mergeCell ref="D277:E277"/>
    <mergeCell ref="D279:E279"/>
    <mergeCell ref="C268:E268"/>
    <mergeCell ref="F268:G268"/>
    <mergeCell ref="B271:F271"/>
    <mergeCell ref="D273:E273"/>
    <mergeCell ref="C260:E260"/>
    <mergeCell ref="F260:G260"/>
    <mergeCell ref="C264:E264"/>
    <mergeCell ref="F264:G264"/>
    <mergeCell ref="A255:B255"/>
    <mergeCell ref="H255:K256"/>
    <mergeCell ref="A256:B256"/>
    <mergeCell ref="A258:B258"/>
    <mergeCell ref="C258:E258"/>
    <mergeCell ref="B249:E249"/>
    <mergeCell ref="B251:F251"/>
    <mergeCell ref="B253:G253"/>
    <mergeCell ref="I254:J254"/>
    <mergeCell ref="D240:E240"/>
    <mergeCell ref="D242:E242"/>
    <mergeCell ref="D243:E243"/>
    <mergeCell ref="B245:F245"/>
    <mergeCell ref="B234:F234"/>
    <mergeCell ref="D236:E236"/>
    <mergeCell ref="D237:E237"/>
    <mergeCell ref="D239:E239"/>
    <mergeCell ref="C226:E226"/>
    <mergeCell ref="F226:G226"/>
    <mergeCell ref="C230:E230"/>
    <mergeCell ref="F230:G230"/>
    <mergeCell ref="A220:B220"/>
    <mergeCell ref="C220:E220"/>
    <mergeCell ref="C222:E222"/>
    <mergeCell ref="F222:G222"/>
    <mergeCell ref="A208:F208"/>
    <mergeCell ref="B215:G215"/>
    <mergeCell ref="I216:J216"/>
    <mergeCell ref="A217:B217"/>
    <mergeCell ref="H217:J218"/>
    <mergeCell ref="A218:B218"/>
    <mergeCell ref="D200:E200"/>
    <mergeCell ref="B202:F202"/>
    <mergeCell ref="B204:E204"/>
    <mergeCell ref="B206:F206"/>
    <mergeCell ref="H164:K165"/>
    <mergeCell ref="B179:F179"/>
    <mergeCell ref="B174:F174"/>
    <mergeCell ref="D176:E176"/>
    <mergeCell ref="I88:J88"/>
    <mergeCell ref="I125:J125"/>
    <mergeCell ref="H126:K127"/>
    <mergeCell ref="I163:J163"/>
    <mergeCell ref="C190:E190"/>
    <mergeCell ref="F169:G169"/>
    <mergeCell ref="B185:G185"/>
    <mergeCell ref="I186:J186"/>
    <mergeCell ref="A187:B187"/>
    <mergeCell ref="H187:K188"/>
    <mergeCell ref="A188:B188"/>
    <mergeCell ref="B181:E181"/>
    <mergeCell ref="B183:F183"/>
    <mergeCell ref="B159:F159"/>
    <mergeCell ref="C192:E192"/>
    <mergeCell ref="F192:G192"/>
    <mergeCell ref="B197:F197"/>
    <mergeCell ref="A165:B165"/>
    <mergeCell ref="A167:B167"/>
    <mergeCell ref="C167:E167"/>
    <mergeCell ref="C169:E169"/>
    <mergeCell ref="D177:E177"/>
    <mergeCell ref="A190:B190"/>
    <mergeCell ref="D150:E150"/>
    <mergeCell ref="D151:E151"/>
    <mergeCell ref="B153:F153"/>
    <mergeCell ref="B157:E157"/>
    <mergeCell ref="D144:E144"/>
    <mergeCell ref="D145:E145"/>
    <mergeCell ref="D147:E147"/>
    <mergeCell ref="D148:E148"/>
    <mergeCell ref="F135:G135"/>
    <mergeCell ref="C139:E139"/>
    <mergeCell ref="F139:G139"/>
    <mergeCell ref="B142:F142"/>
    <mergeCell ref="B162:G162"/>
    <mergeCell ref="A164:B164"/>
    <mergeCell ref="B124:G124"/>
    <mergeCell ref="A126:B126"/>
    <mergeCell ref="A127:B127"/>
    <mergeCell ref="A129:B129"/>
    <mergeCell ref="C129:E129"/>
    <mergeCell ref="C131:E131"/>
    <mergeCell ref="F131:G131"/>
    <mergeCell ref="C135:E135"/>
    <mergeCell ref="D114:E114"/>
    <mergeCell ref="B116:F116"/>
    <mergeCell ref="B120:E120"/>
    <mergeCell ref="B122:F122"/>
    <mergeCell ref="C98:E98"/>
    <mergeCell ref="F98:G98"/>
    <mergeCell ref="D199:E199"/>
    <mergeCell ref="C94:E94"/>
    <mergeCell ref="B105:F105"/>
    <mergeCell ref="D107:E107"/>
    <mergeCell ref="D108:E108"/>
    <mergeCell ref="D110:E110"/>
    <mergeCell ref="D111:E111"/>
    <mergeCell ref="D113:E113"/>
    <mergeCell ref="A80:F80"/>
    <mergeCell ref="H89:J90"/>
    <mergeCell ref="B87:G87"/>
    <mergeCell ref="C102:E102"/>
    <mergeCell ref="F102:G102"/>
    <mergeCell ref="A89:B89"/>
    <mergeCell ref="A90:B90"/>
    <mergeCell ref="A92:B92"/>
    <mergeCell ref="C92:E92"/>
    <mergeCell ref="F94:G94"/>
    <mergeCell ref="B69:E69"/>
    <mergeCell ref="B71:F71"/>
    <mergeCell ref="B74:F74"/>
    <mergeCell ref="A20:C20"/>
    <mergeCell ref="A60:B60"/>
    <mergeCell ref="A62:B62"/>
    <mergeCell ref="C62:E62"/>
    <mergeCell ref="B65:E65"/>
    <mergeCell ref="B55:F55"/>
    <mergeCell ref="C56:E56"/>
    <mergeCell ref="F56:G56"/>
    <mergeCell ref="A59:B59"/>
    <mergeCell ref="B44:F44"/>
    <mergeCell ref="B26:G26"/>
    <mergeCell ref="B38:E38"/>
    <mergeCell ref="B47:F47"/>
    <mergeCell ref="A33:B33"/>
    <mergeCell ref="A35:B35"/>
    <mergeCell ref="C35:E35"/>
    <mergeCell ref="A32:B32"/>
    <mergeCell ref="B42:E42"/>
    <mergeCell ref="B53:G53"/>
    <mergeCell ref="A1:K1"/>
    <mergeCell ref="F338:G338"/>
    <mergeCell ref="B8:F8"/>
    <mergeCell ref="B14:D14"/>
    <mergeCell ref="C29:E29"/>
    <mergeCell ref="F29:G29"/>
    <mergeCell ref="B28:F28"/>
    <mergeCell ref="A22:I23"/>
    <mergeCell ref="C518:D518"/>
    <mergeCell ref="C519:D519"/>
    <mergeCell ref="C520:D520"/>
    <mergeCell ref="C521:D521"/>
    <mergeCell ref="D543:E543"/>
    <mergeCell ref="D544:E544"/>
    <mergeCell ref="C553:D553"/>
    <mergeCell ref="C554:D554"/>
    <mergeCell ref="C555:D555"/>
    <mergeCell ref="C556:D556"/>
    <mergeCell ref="H520:I520"/>
    <mergeCell ref="H533:J533"/>
    <mergeCell ref="H535:J535"/>
    <mergeCell ref="C535:D535"/>
    <mergeCell ref="C540:D540"/>
    <mergeCell ref="D545:E545"/>
    <mergeCell ref="F542:H542"/>
    <mergeCell ref="I553:J553"/>
    <mergeCell ref="C587:D587"/>
    <mergeCell ref="C588:D588"/>
    <mergeCell ref="C557:D557"/>
    <mergeCell ref="C558:D558"/>
    <mergeCell ref="C559:D559"/>
    <mergeCell ref="F562:G562"/>
    <mergeCell ref="F571:G571"/>
    <mergeCell ref="H589:I589"/>
    <mergeCell ref="H572:I572"/>
    <mergeCell ref="C623:D623"/>
    <mergeCell ref="F610:H610"/>
    <mergeCell ref="H602:J602"/>
    <mergeCell ref="H604:J604"/>
    <mergeCell ref="F483:H483"/>
    <mergeCell ref="H459:I459"/>
    <mergeCell ref="I445:J445"/>
    <mergeCell ref="C624:D624"/>
    <mergeCell ref="D611:E611"/>
    <mergeCell ref="C590:D590"/>
    <mergeCell ref="C589:D589"/>
    <mergeCell ref="D612:E612"/>
    <mergeCell ref="C608:D608"/>
    <mergeCell ref="C604:D604"/>
    <mergeCell ref="C446:D446"/>
    <mergeCell ref="I446:J446"/>
    <mergeCell ref="D435:E435"/>
    <mergeCell ref="I441:J441"/>
    <mergeCell ref="I442:J442"/>
    <mergeCell ref="I443:J443"/>
    <mergeCell ref="I444:J444"/>
    <mergeCell ref="I440:J440"/>
    <mergeCell ref="B636:C636"/>
    <mergeCell ref="I558:J558"/>
    <mergeCell ref="I559:J559"/>
    <mergeCell ref="I554:J554"/>
    <mergeCell ref="I555:J555"/>
    <mergeCell ref="I556:J556"/>
    <mergeCell ref="I557:J557"/>
    <mergeCell ref="D613:E613"/>
    <mergeCell ref="C621:D621"/>
    <mergeCell ref="C622:D622"/>
  </mergeCells>
  <printOptions/>
  <pageMargins left="0.75" right="0.44" top="1" bottom="1" header="0" footer="0"/>
  <pageSetup orientation="portrait" paperSize="9" r:id="rId21"/>
  <ignoredErrors>
    <ignoredError sqref="E439:F439" numberStoredAsText="1"/>
  </ignoredErrors>
  <drawing r:id="rId20"/>
  <legacyDrawing r:id="rId19"/>
  <oleObjects>
    <oleObject progId="Equation.3" shapeId="549493" r:id="rId1"/>
    <oleObject progId="Equation.3" shapeId="551500" r:id="rId2"/>
    <oleObject progId="Equation.3" shapeId="28181" r:id="rId3"/>
    <oleObject progId="Equation.3" shapeId="43653" r:id="rId4"/>
    <oleObject progId="Equation.3" shapeId="56499" r:id="rId5"/>
    <oleObject progId="Equation.3" shapeId="70587" r:id="rId6"/>
    <oleObject progId="Equation.3" shapeId="74770" r:id="rId7"/>
    <oleObject progId="Equation.3" shapeId="249798" r:id="rId8"/>
    <oleObject progId="Equation.3" shapeId="249801" r:id="rId9"/>
    <oleObject progId="Equation.3" shapeId="25820" r:id="rId10"/>
    <oleObject progId="Equation.3" shapeId="25821" r:id="rId11"/>
    <oleObject progId="Equation.3" shapeId="25822" r:id="rId12"/>
    <oleObject progId="Equation.3" shapeId="114250" r:id="rId13"/>
    <oleObject progId="Equation.3" shapeId="135391" r:id="rId14"/>
    <oleObject progId="Equation.3" shapeId="156836" r:id="rId15"/>
    <oleObject progId="Equation.3" shapeId="156837" r:id="rId16"/>
    <oleObject progId="Equation.3" shapeId="514611" r:id="rId17"/>
    <oleObject progId="Equation.3" shapeId="530029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Familia Emen</cp:lastModifiedBy>
  <cp:lastPrinted>2006-11-07T21:10:39Z</cp:lastPrinted>
  <dcterms:created xsi:type="dcterms:W3CDTF">2006-10-28T05:10:33Z</dcterms:created>
  <dcterms:modified xsi:type="dcterms:W3CDTF">2007-03-27T22:27:12Z</dcterms:modified>
  <cp:category/>
  <cp:version/>
  <cp:contentType/>
  <cp:contentStatus/>
</cp:coreProperties>
</file>