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Columnas, V y Derivas" sheetId="1" r:id="rId1"/>
    <sheet name="Pesos" sheetId="2" r:id="rId2"/>
  </sheets>
  <externalReferences>
    <externalReference r:id="rId5"/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<sst xmlns="http://schemas.openxmlformats.org/spreadsheetml/2006/main" count="699" uniqueCount="262">
  <si>
    <t>5. Columnas</t>
  </si>
  <si>
    <t>Ry =</t>
  </si>
  <si>
    <t>(planchas soldadas)</t>
  </si>
  <si>
    <r>
      <t>l</t>
    </r>
    <r>
      <rPr>
        <vertAlign val="subscript"/>
        <sz val="10"/>
        <rFont val="Arial"/>
        <family val="2"/>
      </rPr>
      <t xml:space="preserve">PS </t>
    </r>
    <r>
      <rPr>
        <sz val="10"/>
        <rFont val="Arial"/>
        <family val="2"/>
      </rPr>
      <t>=</t>
    </r>
  </si>
  <si>
    <t>Cpr =</t>
  </si>
  <si>
    <t>Pu =</t>
  </si>
  <si>
    <t>Columna. Tipo 1</t>
  </si>
  <si>
    <t>Vigas</t>
  </si>
  <si>
    <t xml:space="preserve">Zx = </t>
  </si>
  <si>
    <t>L´ =</t>
  </si>
  <si>
    <t>pulg</t>
  </si>
  <si>
    <t>d =</t>
  </si>
  <si>
    <t>w =</t>
  </si>
  <si>
    <t>Lb/pulg</t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</si>
  <si>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</si>
  <si>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x+dc/2=</t>
  </si>
  <si>
    <r>
      <t>M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 xml:space="preserve"> = C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 =</t>
    </r>
  </si>
  <si>
    <t>K - "</t>
  </si>
  <si>
    <t>Kip</t>
  </si>
  <si>
    <t>Muv =</t>
  </si>
  <si>
    <r>
      <t>S</t>
    </r>
    <r>
      <rPr>
        <sz val="10"/>
        <rFont val="Arial"/>
        <family val="0"/>
      </rPr>
      <t>Mpb =</t>
    </r>
  </si>
  <si>
    <r>
      <t>1.1R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yb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+ Muv =</t>
    </r>
  </si>
  <si>
    <r>
      <t>S</t>
    </r>
    <r>
      <rPr>
        <sz val="10"/>
        <rFont val="Arial"/>
        <family val="0"/>
      </rPr>
      <t>Mpc =</t>
    </r>
  </si>
  <si>
    <t>Zc (Fyc - 0.2Fyc) =</t>
  </si>
  <si>
    <t>Zc</t>
  </si>
  <si>
    <t>Zc =</t>
  </si>
  <si>
    <t>=</t>
  </si>
  <si>
    <t>cm3</t>
  </si>
  <si>
    <t>b = h =</t>
  </si>
  <si>
    <t>t =</t>
  </si>
  <si>
    <r>
      <t>l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</si>
  <si>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t>Columna. Tipo 2</t>
  </si>
  <si>
    <t>Columna. Tipo 3</t>
  </si>
  <si>
    <t>Fu =</t>
  </si>
  <si>
    <t>Fy =</t>
  </si>
  <si>
    <t>dc/2=</t>
  </si>
  <si>
    <t>+wL´2/2)/L´ =</t>
  </si>
  <si>
    <t xml:space="preserve">Vp = (2Mpr + </t>
  </si>
  <si>
    <t>6.2. IBC (ASCE 7-05)</t>
  </si>
  <si>
    <t>a. Suelo tipo D.</t>
  </si>
  <si>
    <t>Ss:</t>
  </si>
  <si>
    <t>S1:</t>
  </si>
  <si>
    <t>Fa:</t>
  </si>
  <si>
    <t>Fv:</t>
  </si>
  <si>
    <r>
      <t>S</t>
    </r>
    <r>
      <rPr>
        <vertAlign val="subscript"/>
        <sz val="10"/>
        <rFont val="Arial"/>
        <family val="2"/>
      </rPr>
      <t>MS</t>
    </r>
    <r>
      <rPr>
        <sz val="10"/>
        <rFont val="Arial"/>
        <family val="0"/>
      </rPr>
      <t>:</t>
    </r>
  </si>
  <si>
    <t>Fa.Ss =</t>
  </si>
  <si>
    <r>
      <t>S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0"/>
      </rPr>
      <t>:</t>
    </r>
  </si>
  <si>
    <t>Fv.S1 =</t>
  </si>
  <si>
    <r>
      <t>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</si>
  <si>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MS:</t>
    </r>
  </si>
  <si>
    <r>
      <t>; S</t>
    </r>
    <r>
      <rPr>
        <vertAlign val="subscript"/>
        <sz val="11"/>
        <rFont val="Arial"/>
        <family val="2"/>
      </rPr>
      <t xml:space="preserve">D1 </t>
    </r>
    <r>
      <rPr>
        <sz val="11"/>
        <rFont val="Symbol"/>
        <family val="1"/>
      </rPr>
      <t xml:space="preserve">³ 0.4 </t>
    </r>
    <r>
      <rPr>
        <sz val="11"/>
        <rFont val="Arial"/>
        <family val="2"/>
      </rPr>
      <t xml:space="preserve"> </t>
    </r>
  </si>
  <si>
    <t>Cu =</t>
  </si>
  <si>
    <r>
      <t>S</t>
    </r>
    <r>
      <rPr>
        <vertAlign val="subscript"/>
        <sz val="10"/>
        <rFont val="Arial"/>
        <family val="2"/>
      </rPr>
      <t>D1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</si>
  <si>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M1:</t>
    </r>
  </si>
  <si>
    <t>R =</t>
  </si>
  <si>
    <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</si>
  <si>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I =</t>
  </si>
  <si>
    <r>
      <t>h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</si>
  <si>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x =</t>
  </si>
  <si>
    <t>Cs =</t>
  </si>
  <si>
    <r>
      <t>C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*Ta =</t>
    </r>
  </si>
  <si>
    <t>s</t>
  </si>
  <si>
    <t>N =</t>
  </si>
  <si>
    <t>Ta =</t>
  </si>
  <si>
    <t>T =</t>
  </si>
  <si>
    <t>(MODAL)</t>
  </si>
  <si>
    <t>Tx =</t>
  </si>
  <si>
    <t>Ty =</t>
  </si>
  <si>
    <t>Condiciones</t>
  </si>
  <si>
    <t xml:space="preserve"> Cs &gt;</t>
  </si>
  <si>
    <t xml:space="preserve"> ¿ Cs &lt;</t>
  </si>
  <si>
    <r>
      <t>Si S</t>
    </r>
    <r>
      <rPr>
        <vertAlign val="subscript"/>
        <sz val="10"/>
        <rFont val="Arial"/>
        <family val="2"/>
      </rPr>
      <t>D1</t>
    </r>
    <r>
      <rPr>
        <sz val="10"/>
        <rFont val="Symbol"/>
        <family val="1"/>
      </rPr>
      <t>³</t>
    </r>
  </si>
  <si>
    <t>Por lo tanto,</t>
  </si>
  <si>
    <t>ton</t>
  </si>
  <si>
    <t>w (piso) =</t>
  </si>
  <si>
    <t>Interporlación</t>
  </si>
  <si>
    <t>w (elementos x piso) =</t>
  </si>
  <si>
    <t>(prom)</t>
  </si>
  <si>
    <t>K =</t>
  </si>
  <si>
    <t>w (cubierta) =</t>
  </si>
  <si>
    <r>
      <t>D</t>
    </r>
    <r>
      <rPr>
        <sz val="10"/>
        <rFont val="Arial"/>
        <family val="0"/>
      </rPr>
      <t>k1 =</t>
    </r>
  </si>
  <si>
    <r>
      <t>D</t>
    </r>
    <r>
      <rPr>
        <sz val="10"/>
        <rFont val="Arial"/>
        <family val="0"/>
      </rPr>
      <t>T1 =</t>
    </r>
  </si>
  <si>
    <r>
      <t>D</t>
    </r>
    <r>
      <rPr>
        <sz val="10"/>
        <rFont val="Arial"/>
        <family val="0"/>
      </rPr>
      <t>T2 =</t>
    </r>
  </si>
  <si>
    <t>(a usarse)</t>
  </si>
  <si>
    <t>Piso</t>
  </si>
  <si>
    <t>hi (hx)</t>
  </si>
  <si>
    <r>
      <t>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 xml:space="preserve">k </t>
    </r>
    <r>
      <rPr>
        <b/>
        <sz val="10"/>
        <rFont val="Arial"/>
        <family val="2"/>
      </rPr>
      <t>(1)</t>
    </r>
  </si>
  <si>
    <t>(1) x (2)</t>
  </si>
  <si>
    <r>
      <t>C</t>
    </r>
    <r>
      <rPr>
        <b/>
        <vertAlign val="subscript"/>
        <sz val="10"/>
        <rFont val="Arial"/>
        <family val="2"/>
      </rPr>
      <t>vx</t>
    </r>
  </si>
  <si>
    <t>Fx</t>
  </si>
  <si>
    <t>Derivas</t>
  </si>
  <si>
    <t>Desplaz.</t>
  </si>
  <si>
    <t>Eje x</t>
  </si>
  <si>
    <t>Eje y</t>
  </si>
  <si>
    <t>6to piso</t>
  </si>
  <si>
    <t>5to piso</t>
  </si>
  <si>
    <t>4to piso</t>
  </si>
  <si>
    <t>3ro piso</t>
  </si>
  <si>
    <t>2do piso</t>
  </si>
  <si>
    <t>1ro piso</t>
  </si>
  <si>
    <t>¿Cumple?</t>
  </si>
  <si>
    <r>
      <t>W</t>
    </r>
    <r>
      <rPr>
        <vertAlign val="subscript"/>
        <sz val="10"/>
        <rFont val="Arial"/>
        <family val="2"/>
      </rPr>
      <t>elementos</t>
    </r>
    <r>
      <rPr>
        <sz val="10"/>
        <rFont val="Arial"/>
        <family val="0"/>
      </rPr>
      <t xml:space="preserve"> =</t>
    </r>
  </si>
  <si>
    <t>(SAP2000)</t>
  </si>
  <si>
    <r>
      <t>W</t>
    </r>
    <r>
      <rPr>
        <vertAlign val="subscript"/>
        <sz val="10"/>
        <rFont val="Arial"/>
        <family val="2"/>
      </rPr>
      <t>piso</t>
    </r>
    <r>
      <rPr>
        <sz val="10"/>
        <rFont val="Arial"/>
        <family val="0"/>
      </rPr>
      <t xml:space="preserve">  =</t>
    </r>
  </si>
  <si>
    <t>Ag =</t>
  </si>
  <si>
    <r>
      <t>w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(2)</t>
    </r>
  </si>
  <si>
    <t>Derivas (Asce 7 - 05) (%)</t>
  </si>
  <si>
    <t>Cd =</t>
  </si>
  <si>
    <t>Irregularidad de Piso Suave (Rigidez)</t>
  </si>
  <si>
    <t>perfil</t>
  </si>
  <si>
    <t>Area (cm2)</t>
  </si>
  <si>
    <t>PP (T/m)</t>
  </si>
  <si>
    <t>longitud</t>
  </si>
  <si>
    <t>Peso (T)</t>
  </si>
  <si>
    <t>VS</t>
  </si>
  <si>
    <t>VPX</t>
  </si>
  <si>
    <t>VPY</t>
  </si>
  <si>
    <t>COL</t>
  </si>
  <si>
    <t>3er piso</t>
  </si>
  <si>
    <t>1er piso</t>
  </si>
  <si>
    <t>Tipo</t>
  </si>
  <si>
    <t>Tr =</t>
  </si>
  <si>
    <t>y</t>
  </si>
  <si>
    <t>x</t>
  </si>
  <si>
    <t>W200x640</t>
  </si>
  <si>
    <t>W200X644</t>
  </si>
  <si>
    <t>W200X650</t>
  </si>
  <si>
    <t>W200x540A</t>
  </si>
  <si>
    <t>W200x540B</t>
  </si>
  <si>
    <t>W200x530</t>
  </si>
  <si>
    <t>D</t>
  </si>
  <si>
    <t>L</t>
  </si>
  <si>
    <t>M</t>
  </si>
  <si>
    <t>Mu</t>
  </si>
  <si>
    <t>Mu(e)</t>
  </si>
  <si>
    <t>EQx</t>
  </si>
  <si>
    <t>EQy</t>
  </si>
  <si>
    <t xml:space="preserve">% MAX </t>
  </si>
  <si>
    <t xml:space="preserve">Momentos en vigas </t>
  </si>
  <si>
    <t>V5to piso</t>
  </si>
  <si>
    <t>V1er piso</t>
  </si>
  <si>
    <t>V3er piso</t>
  </si>
  <si>
    <t>Vigas en x</t>
  </si>
  <si>
    <t>Vigas en y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</si>
  <si>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</si>
  <si>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flect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</si>
  <si>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</si>
  <si>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</si>
  <si>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fract</t>
    </r>
    <r>
      <rPr>
        <sz val="10"/>
        <rFont val="Arial"/>
        <family val="2"/>
      </rPr>
      <t xml:space="preserve"> =</t>
    </r>
  </si>
  <si>
    <t>Zx (req) plg3</t>
  </si>
  <si>
    <t>Zx (req) cm3</t>
  </si>
  <si>
    <r>
      <t>Pu</t>
    </r>
    <r>
      <rPr>
        <b/>
        <vertAlign val="subscript"/>
        <sz val="10"/>
        <rFont val="Arial"/>
        <family val="2"/>
      </rPr>
      <t>ac</t>
    </r>
    <r>
      <rPr>
        <b/>
        <sz val="10"/>
        <rFont val="Arial"/>
        <family val="2"/>
      </rPr>
      <t xml:space="preserve"> =</t>
    </r>
  </si>
  <si>
    <t>6. Recálculo del Cortante Basal</t>
  </si>
  <si>
    <t>Csx =</t>
  </si>
  <si>
    <t>Vx =</t>
  </si>
  <si>
    <t>Csy =</t>
  </si>
  <si>
    <t>Fy</t>
  </si>
  <si>
    <r>
      <t>C</t>
    </r>
    <r>
      <rPr>
        <b/>
        <vertAlign val="subscript"/>
        <sz val="10"/>
        <rFont val="Arial"/>
        <family val="2"/>
      </rPr>
      <t>vy</t>
    </r>
  </si>
  <si>
    <t xml:space="preserve">7. Cálculo de derivas </t>
  </si>
  <si>
    <t>7.2. IBC (ASCE 7-05)</t>
  </si>
  <si>
    <t>(archivo 3ra corrida - derivas)</t>
  </si>
  <si>
    <t>HSS550X550x30</t>
  </si>
  <si>
    <t>HSS500X500x25</t>
  </si>
  <si>
    <t>(archivo 3ra corrida - excentricidades)</t>
  </si>
  <si>
    <t>T</t>
  </si>
  <si>
    <t>Vy =</t>
  </si>
  <si>
    <t>HSS450X450X25</t>
  </si>
  <si>
    <t>MASA MODAL</t>
  </si>
  <si>
    <t>Por col/port.</t>
  </si>
  <si>
    <r>
      <t>T.s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/m</t>
    </r>
  </si>
  <si>
    <r>
      <t>kip.s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/pulg</t>
    </r>
  </si>
  <si>
    <t>W150x464</t>
  </si>
  <si>
    <t>HSS500X500x30</t>
  </si>
  <si>
    <t>(carga axial en sismo)</t>
  </si>
  <si>
    <t>MASA ROT.</t>
  </si>
  <si>
    <t>TABLE:  Element Joint Forces - Frames</t>
  </si>
  <si>
    <t>Ton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</si>
  <si>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</si>
  <si>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</si>
  <si>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</si>
  <si>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</si>
  <si>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</si>
  <si>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</si>
  <si>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</si>
  <si>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</si>
  <si>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</si>
  <si>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</si>
  <si>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</si>
  <si>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</si>
  <si>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</si>
  <si>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</si>
  <si>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</si>
  <si>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</si>
  <si>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</si>
  <si>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</si>
  <si>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</si>
  <si>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</si>
  <si>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</si>
  <si>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</si>
  <si>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</si>
  <si>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</si>
  <si>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</si>
  <si>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</si>
  <si>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</si>
  <si>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</si>
  <si>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</si>
  <si>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</si>
  <si>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</si>
  <si>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</si>
  <si>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</si>
  <si>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</si>
  <si>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</si>
  <si>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</si>
  <si>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</si>
  <si>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</si>
  <si>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</si>
  <si>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</si>
  <si>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</si>
  <si>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</si>
  <si>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</si>
  <si>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</si>
  <si>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</si>
  <si>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</si>
  <si>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</si>
  <si>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</si>
  <si>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</si>
  <si>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Portico 1</t>
  </si>
  <si>
    <t>Portico 2</t>
  </si>
  <si>
    <t>Portico 3</t>
  </si>
  <si>
    <t>Portico 4</t>
  </si>
  <si>
    <t>Portico 5</t>
  </si>
  <si>
    <t>Portico 6</t>
  </si>
  <si>
    <t>Portico 7</t>
  </si>
  <si>
    <t>Ton.m</t>
  </si>
  <si>
    <r>
      <t>V</t>
    </r>
    <r>
      <rPr>
        <vertAlign val="subscript"/>
        <sz val="10"/>
        <rFont val="Arial"/>
        <family val="2"/>
      </rPr>
      <t xml:space="preserve">plast </t>
    </r>
    <r>
      <rPr>
        <sz val="10"/>
        <rFont val="Arial"/>
        <family val="0"/>
      </rPr>
      <t xml:space="preserve"> =</t>
    </r>
  </si>
  <si>
    <t>Mecanismo  de Despl. Lateral Columnas</t>
  </si>
  <si>
    <r>
      <t>Pu</t>
    </r>
    <r>
      <rPr>
        <b/>
        <vertAlign val="subscript"/>
        <sz val="10"/>
        <rFont val="Arial"/>
        <family val="2"/>
      </rPr>
      <t>ac</t>
    </r>
  </si>
  <si>
    <t>Elemento</t>
  </si>
  <si>
    <t>Mpc</t>
  </si>
  <si>
    <t>Piso1</t>
  </si>
  <si>
    <t>Piso2</t>
  </si>
  <si>
    <t>Piso3</t>
  </si>
  <si>
    <t>Piso4</t>
  </si>
  <si>
    <t>Piso5</t>
  </si>
  <si>
    <t>Piso6</t>
  </si>
  <si>
    <t>Zb 1 =</t>
  </si>
  <si>
    <t>Zb 3 =</t>
  </si>
  <si>
    <t>Zb 5 =</t>
  </si>
  <si>
    <t>(1 portico)</t>
  </si>
  <si>
    <r>
      <t>Mp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* L/L</t>
    </r>
    <r>
      <rPr>
        <b/>
        <vertAlign val="subscript"/>
        <sz val="10"/>
        <rFont val="Arial"/>
        <family val="2"/>
      </rPr>
      <t>b</t>
    </r>
  </si>
  <si>
    <r>
      <t>L/L</t>
    </r>
    <r>
      <rPr>
        <b/>
        <vertAlign val="subscript"/>
        <sz val="10"/>
        <rFont val="Arial"/>
        <family val="2"/>
      </rPr>
      <t>b</t>
    </r>
  </si>
  <si>
    <r>
      <t>Mp</t>
    </r>
    <r>
      <rPr>
        <b/>
        <vertAlign val="subscript"/>
        <sz val="10"/>
        <rFont val="Arial"/>
        <family val="2"/>
      </rPr>
      <t>b</t>
    </r>
  </si>
  <si>
    <r>
      <t>S</t>
    </r>
    <r>
      <rPr>
        <b/>
        <sz val="10"/>
        <rFont val="Arial"/>
        <family val="2"/>
      </rPr>
      <t>Mp</t>
    </r>
    <r>
      <rPr>
        <b/>
        <vertAlign val="subscript"/>
        <sz val="10"/>
        <rFont val="Arial"/>
        <family val="2"/>
      </rPr>
      <t>b</t>
    </r>
  </si>
  <si>
    <r>
      <t>S</t>
    </r>
    <r>
      <rPr>
        <b/>
        <sz val="10"/>
        <rFont val="Arial"/>
        <family val="2"/>
      </rPr>
      <t>Mp</t>
    </r>
    <r>
      <rPr>
        <b/>
        <vertAlign val="subscript"/>
        <sz val="10"/>
        <rFont val="Arial"/>
        <family val="2"/>
      </rPr>
      <t>c</t>
    </r>
  </si>
  <si>
    <t>Fi</t>
  </si>
  <si>
    <t>(total)</t>
  </si>
  <si>
    <r>
      <t>V</t>
    </r>
    <r>
      <rPr>
        <b/>
        <i/>
        <vertAlign val="subscript"/>
        <sz val="11"/>
        <rFont val="Arial"/>
        <family val="2"/>
      </rPr>
      <t xml:space="preserve">plast </t>
    </r>
    <r>
      <rPr>
        <b/>
        <i/>
        <sz val="11"/>
        <rFont val="Arial"/>
        <family val="2"/>
      </rPr>
      <t xml:space="preserve"> =</t>
    </r>
  </si>
  <si>
    <r>
      <t>V</t>
    </r>
    <r>
      <rPr>
        <b/>
        <i/>
        <vertAlign val="subscript"/>
        <sz val="11"/>
        <color indexed="10"/>
        <rFont val="Arial"/>
        <family val="2"/>
      </rPr>
      <t xml:space="preserve">plast </t>
    </r>
    <r>
      <rPr>
        <b/>
        <i/>
        <sz val="11"/>
        <color indexed="10"/>
        <rFont val="Arial"/>
        <family val="2"/>
      </rPr>
      <t xml:space="preserve"> =</t>
    </r>
  </si>
  <si>
    <t>FR =</t>
  </si>
  <si>
    <t>Mecanismo de Despl. Lateral Vigas Y</t>
  </si>
  <si>
    <r>
      <t>x=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/3 =</t>
    </r>
  </si>
  <si>
    <t>Zc (Fyc - Puac/Ag) =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</si>
</sst>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\ &quot;ton&quot;"/>
    <numFmt numFmtId="165" formatCode="0.00\ &quot;pulg3&quot;"/>
    <numFmt numFmtId="166" formatCode="0.00\ &quot;cm&quot;"/>
    <numFmt numFmtId="167" formatCode="0.0000"/>
    <numFmt numFmtId="168" formatCode="0.000"/>
    <numFmt numFmtId="169" formatCode="0.0000000"/>
    <numFmt numFmtId="170" formatCode="0.000000"/>
    <numFmt numFmtId="171" formatCode="0.00000"/>
    <numFmt numFmtId="172" formatCode="0.00&quot;P&quot;"/>
    <numFmt numFmtId="173" formatCode="0.0"/>
    <numFmt numFmtId="174" formatCode="0\ &quot;pie&quot;"/>
    <numFmt numFmtId="175" formatCode="0.00\ &quot;cm2&quot;"/>
    <numFmt numFmtId="176" formatCode="0.0\ &quot;pulg3&quot;"/>
    <numFmt numFmtId="177" formatCode="0\ &quot;pulg3&quot;"/>
    <numFmt numFmtId="178" formatCode="0.00000000"/>
    <numFmt numFmtId="179" formatCode="0.0E+00"/>
    <numFmt numFmtId="180" formatCode="0E+00"/>
    <numFmt numFmtId="181" formatCode="0.00\ &quot;pulg&quot;"/>
    <numFmt numFmtId="182" formatCode="0.0%"/>
  </numFmts>
  <fonts count="30">
    <font>
      <sz val="10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vertAlign val="subscript"/>
      <sz val="11"/>
      <name val="Arial"/>
      <family val="2"/>
    </font>
    <font>
      <sz val="11"/>
      <name val="Symbol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8.25"/>
      <name val="Arial"/>
      <family val="2"/>
    </font>
    <font>
      <sz val="10.75"/>
      <name val="Arial"/>
      <family val="0"/>
    </font>
    <font>
      <b/>
      <sz val="9.5"/>
      <name val="Arial"/>
      <family val="2"/>
    </font>
    <font>
      <b/>
      <sz val="8.75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Symbol"/>
      <family val="1"/>
    </font>
    <font>
      <b/>
      <i/>
      <vertAlign val="subscript"/>
      <sz val="11"/>
      <name val="Arial"/>
      <family val="2"/>
    </font>
    <font>
      <b/>
      <i/>
      <sz val="11"/>
      <color indexed="10"/>
      <name val="Arial"/>
      <family val="2"/>
    </font>
    <font>
      <b/>
      <i/>
      <vertAlign val="subscript"/>
      <sz val="11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8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3" xfId="0" applyBorder="1" applyAlignment="1">
      <alignment horizontal="left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0" fontId="4" fillId="0" borderId="0" xfId="0" applyFont="1" applyAlignment="1">
      <alignment/>
    </xf>
    <xf numFmtId="181" fontId="0" fillId="0" borderId="1" xfId="0" applyNumberForma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3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Fill="1" applyAlignment="1">
      <alignment/>
    </xf>
    <xf numFmtId="10" fontId="0" fillId="0" borderId="0" xfId="19" applyNumberFormat="1" applyAlignment="1">
      <alignment horizontal="center"/>
    </xf>
    <xf numFmtId="10" fontId="0" fillId="0" borderId="0" xfId="19" applyNumberForma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Alignment="1">
      <alignment/>
    </xf>
    <xf numFmtId="10" fontId="0" fillId="0" borderId="4" xfId="19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14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23" fillId="0" borderId="0" xfId="0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2" fontId="0" fillId="0" borderId="2" xfId="0" applyNumberForma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" fillId="0" borderId="1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2" fontId="14" fillId="0" borderId="0" xfId="0" applyNumberFormat="1" applyFont="1" applyAlignment="1">
      <alignment/>
    </xf>
    <xf numFmtId="0" fontId="29" fillId="3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14" fillId="3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4" fillId="4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0" fontId="0" fillId="0" borderId="20" xfId="19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0" fontId="0" fillId="0" borderId="0" xfId="19" applyNumberFormat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Derivas (Eje y)</a:t>
            </a:r>
          </a:p>
        </c:rich>
      </c:tx>
      <c:layout>
        <c:manualLayout>
          <c:xMode val="factor"/>
          <c:yMode val="factor"/>
          <c:x val="-0.07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87"/>
          <c:w val="0.804"/>
          <c:h val="0.85525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'Columnas, V y Derivas'!$G$252:$G$257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'Columnas, V y Derivas'!$K$252:$K$257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9051561"/>
        <c:axId val="14355186"/>
      </c:scatterChart>
      <c:valAx>
        <c:axId val="9051561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5186"/>
        <c:crosses val="autoZero"/>
        <c:crossBetween val="midCat"/>
        <c:dispUnits/>
        <c:majorUnit val="0.25"/>
        <c:minorUnit val="0.25"/>
      </c:valAx>
      <c:valAx>
        <c:axId val="1435518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51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4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Derivas (Eje x)</a:t>
            </a:r>
          </a:p>
        </c:rich>
      </c:tx>
      <c:layout>
        <c:manualLayout>
          <c:xMode val="factor"/>
          <c:yMode val="factor"/>
          <c:x val="-0.07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92"/>
          <c:w val="0.808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'Columnas, V y Derivas'!$F$252:$F$257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'Columnas, V y Derivas'!$J$252:$J$257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62087811"/>
        <c:axId val="21919388"/>
      </c:scatterChart>
      <c:valAx>
        <c:axId val="62087811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19388"/>
        <c:crosses val="autoZero"/>
        <c:crossBetween val="midCat"/>
        <c:dispUnits/>
        <c:majorUnit val="0.25"/>
        <c:minorUnit val="0.25"/>
      </c:valAx>
      <c:valAx>
        <c:axId val="2191938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87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4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image" Target="../media/image6.emf" /><Relationship Id="rId15" Type="http://schemas.openxmlformats.org/officeDocument/2006/relationships/image" Target="../media/image5.emf" /><Relationship Id="rId1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74</xdr:row>
      <xdr:rowOff>133350</xdr:rowOff>
    </xdr:from>
    <xdr:to>
      <xdr:col>8</xdr:col>
      <xdr:colOff>409575</xdr:colOff>
      <xdr:row>74</xdr:row>
      <xdr:rowOff>133350</xdr:rowOff>
    </xdr:to>
    <xdr:sp>
      <xdr:nvSpPr>
        <xdr:cNvPr id="1" name="Line 3"/>
        <xdr:cNvSpPr>
          <a:spLocks/>
        </xdr:cNvSpPr>
      </xdr:nvSpPr>
      <xdr:spPr>
        <a:xfrm>
          <a:off x="4943475" y="12468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92</xdr:row>
      <xdr:rowOff>95250</xdr:rowOff>
    </xdr:from>
    <xdr:to>
      <xdr:col>5</xdr:col>
      <xdr:colOff>200025</xdr:colOff>
      <xdr:row>92</xdr:row>
      <xdr:rowOff>95250</xdr:rowOff>
    </xdr:to>
    <xdr:sp>
      <xdr:nvSpPr>
        <xdr:cNvPr id="2" name="Line 6"/>
        <xdr:cNvSpPr>
          <a:spLocks/>
        </xdr:cNvSpPr>
      </xdr:nvSpPr>
      <xdr:spPr>
        <a:xfrm>
          <a:off x="2314575" y="15601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290</xdr:row>
      <xdr:rowOff>28575</xdr:rowOff>
    </xdr:from>
    <xdr:to>
      <xdr:col>9</xdr:col>
      <xdr:colOff>590550</xdr:colOff>
      <xdr:row>307</xdr:row>
      <xdr:rowOff>0</xdr:rowOff>
    </xdr:to>
    <xdr:graphicFrame>
      <xdr:nvGraphicFramePr>
        <xdr:cNvPr id="3" name="Chart 12"/>
        <xdr:cNvGraphicFramePr/>
      </xdr:nvGraphicFramePr>
      <xdr:xfrm>
        <a:off x="9525" y="48310800"/>
        <a:ext cx="5715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272</xdr:row>
      <xdr:rowOff>9525</xdr:rowOff>
    </xdr:from>
    <xdr:to>
      <xdr:col>9</xdr:col>
      <xdr:colOff>600075</xdr:colOff>
      <xdr:row>289</xdr:row>
      <xdr:rowOff>0</xdr:rowOff>
    </xdr:to>
    <xdr:graphicFrame>
      <xdr:nvGraphicFramePr>
        <xdr:cNvPr id="4" name="Chart 13"/>
        <xdr:cNvGraphicFramePr/>
      </xdr:nvGraphicFramePr>
      <xdr:xfrm>
        <a:off x="9525" y="45377100"/>
        <a:ext cx="5724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666750</xdr:colOff>
      <xdr:row>273</xdr:row>
      <xdr:rowOff>28575</xdr:rowOff>
    </xdr:from>
    <xdr:to>
      <xdr:col>5</xdr:col>
      <xdr:colOff>666750</xdr:colOff>
      <xdr:row>304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3057525" y="45558075"/>
          <a:ext cx="0" cy="5105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124</xdr:row>
      <xdr:rowOff>95250</xdr:rowOff>
    </xdr:from>
    <xdr:to>
      <xdr:col>5</xdr:col>
      <xdr:colOff>200025</xdr:colOff>
      <xdr:row>124</xdr:row>
      <xdr:rowOff>95250</xdr:rowOff>
    </xdr:to>
    <xdr:sp>
      <xdr:nvSpPr>
        <xdr:cNvPr id="6" name="Line 15"/>
        <xdr:cNvSpPr>
          <a:spLocks/>
        </xdr:cNvSpPr>
      </xdr:nvSpPr>
      <xdr:spPr>
        <a:xfrm>
          <a:off x="2314575" y="20878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124</xdr:row>
      <xdr:rowOff>95250</xdr:rowOff>
    </xdr:from>
    <xdr:to>
      <xdr:col>5</xdr:col>
      <xdr:colOff>200025</xdr:colOff>
      <xdr:row>124</xdr:row>
      <xdr:rowOff>95250</xdr:rowOff>
    </xdr:to>
    <xdr:sp>
      <xdr:nvSpPr>
        <xdr:cNvPr id="7" name="Line 18"/>
        <xdr:cNvSpPr>
          <a:spLocks/>
        </xdr:cNvSpPr>
      </xdr:nvSpPr>
      <xdr:spPr>
        <a:xfrm>
          <a:off x="2314575" y="20878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164</xdr:row>
      <xdr:rowOff>133350</xdr:rowOff>
    </xdr:from>
    <xdr:to>
      <xdr:col>8</xdr:col>
      <xdr:colOff>409575</xdr:colOff>
      <xdr:row>164</xdr:row>
      <xdr:rowOff>133350</xdr:rowOff>
    </xdr:to>
    <xdr:sp>
      <xdr:nvSpPr>
        <xdr:cNvPr id="8" name="Line 21"/>
        <xdr:cNvSpPr>
          <a:spLocks/>
        </xdr:cNvSpPr>
      </xdr:nvSpPr>
      <xdr:spPr>
        <a:xfrm>
          <a:off x="4943475" y="27632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181</xdr:row>
      <xdr:rowOff>95250</xdr:rowOff>
    </xdr:from>
    <xdr:to>
      <xdr:col>5</xdr:col>
      <xdr:colOff>200025</xdr:colOff>
      <xdr:row>181</xdr:row>
      <xdr:rowOff>95250</xdr:rowOff>
    </xdr:to>
    <xdr:sp>
      <xdr:nvSpPr>
        <xdr:cNvPr id="9" name="Line 24"/>
        <xdr:cNvSpPr>
          <a:spLocks/>
        </xdr:cNvSpPr>
      </xdr:nvSpPr>
      <xdr:spPr>
        <a:xfrm>
          <a:off x="2314575" y="30565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213</xdr:row>
      <xdr:rowOff>95250</xdr:rowOff>
    </xdr:from>
    <xdr:to>
      <xdr:col>5</xdr:col>
      <xdr:colOff>200025</xdr:colOff>
      <xdr:row>213</xdr:row>
      <xdr:rowOff>95250</xdr:rowOff>
    </xdr:to>
    <xdr:sp>
      <xdr:nvSpPr>
        <xdr:cNvPr id="10" name="Line 27"/>
        <xdr:cNvSpPr>
          <a:spLocks/>
        </xdr:cNvSpPr>
      </xdr:nvSpPr>
      <xdr:spPr>
        <a:xfrm>
          <a:off x="2314575" y="35842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213</xdr:row>
      <xdr:rowOff>95250</xdr:rowOff>
    </xdr:from>
    <xdr:to>
      <xdr:col>5</xdr:col>
      <xdr:colOff>200025</xdr:colOff>
      <xdr:row>213</xdr:row>
      <xdr:rowOff>95250</xdr:rowOff>
    </xdr:to>
    <xdr:sp>
      <xdr:nvSpPr>
        <xdr:cNvPr id="11" name="Line 30"/>
        <xdr:cNvSpPr>
          <a:spLocks/>
        </xdr:cNvSpPr>
      </xdr:nvSpPr>
      <xdr:spPr>
        <a:xfrm>
          <a:off x="2314575" y="35842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ciones%20equivalen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dimensiona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corrida"/>
      <sheetName val="Despues de estudiar exc."/>
    </sheetNames>
    <sheetDataSet>
      <sheetData sheetId="1">
        <row r="4">
          <cell r="A4" t="str">
            <v>W200X640</v>
          </cell>
        </row>
        <row r="7">
          <cell r="C7">
            <v>60</v>
          </cell>
        </row>
        <row r="8">
          <cell r="C8">
            <v>1</v>
          </cell>
        </row>
        <row r="12">
          <cell r="C12">
            <v>3380</v>
          </cell>
        </row>
        <row r="15">
          <cell r="C15">
            <v>140</v>
          </cell>
          <cell r="J15">
            <v>100</v>
          </cell>
        </row>
        <row r="17">
          <cell r="A17" t="str">
            <v>W200X644</v>
          </cell>
        </row>
        <row r="21">
          <cell r="C21">
            <v>1</v>
          </cell>
        </row>
        <row r="24">
          <cell r="C24">
            <v>64.4</v>
          </cell>
        </row>
        <row r="25">
          <cell r="C25">
            <v>3636.8</v>
          </cell>
        </row>
        <row r="27">
          <cell r="N27">
            <v>43.5</v>
          </cell>
        </row>
        <row r="28">
          <cell r="C28">
            <v>148</v>
          </cell>
          <cell r="J28">
            <v>120</v>
          </cell>
        </row>
        <row r="30">
          <cell r="A30" t="str">
            <v>W200X650</v>
          </cell>
        </row>
        <row r="34">
          <cell r="C34">
            <v>1</v>
          </cell>
        </row>
        <row r="37">
          <cell r="C37">
            <v>65</v>
          </cell>
        </row>
        <row r="38">
          <cell r="C38">
            <v>4025</v>
          </cell>
        </row>
        <row r="41">
          <cell r="J41">
            <v>120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dimensionamiento"/>
    </sheetNames>
    <sheetDataSet>
      <sheetData sheetId="0">
        <row r="10">
          <cell r="C10">
            <v>0.52</v>
          </cell>
        </row>
        <row r="16">
          <cell r="C16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9"/>
  <sheetViews>
    <sheetView workbookViewId="0" topLeftCell="P415">
      <selection activeCell="U443" sqref="U443"/>
    </sheetView>
  </sheetViews>
  <sheetFormatPr defaultColWidth="11.421875" defaultRowHeight="12.75"/>
  <cols>
    <col min="1" max="1" width="9.00390625" style="0" customWidth="1"/>
    <col min="2" max="2" width="8.57421875" style="0" customWidth="1"/>
    <col min="3" max="3" width="6.140625" style="0" customWidth="1"/>
    <col min="4" max="4" width="2.7109375" style="0" customWidth="1"/>
    <col min="5" max="5" width="9.421875" style="0" customWidth="1"/>
    <col min="6" max="6" width="12.7109375" style="6" customWidth="1"/>
    <col min="7" max="7" width="13.00390625" style="6" customWidth="1"/>
    <col min="8" max="8" width="8.421875" style="0" customWidth="1"/>
    <col min="9" max="9" width="7.00390625" style="0" customWidth="1"/>
    <col min="10" max="10" width="11.00390625" style="17" customWidth="1"/>
    <col min="12" max="12" width="7.7109375" style="0" customWidth="1"/>
    <col min="13" max="13" width="7.8515625" style="0" customWidth="1"/>
    <col min="14" max="14" width="3.7109375" style="0" customWidth="1"/>
    <col min="16" max="16" width="6.57421875" style="0" customWidth="1"/>
    <col min="17" max="17" width="5.140625" style="0" customWidth="1"/>
    <col min="18" max="18" width="11.00390625" style="6" customWidth="1"/>
    <col min="19" max="19" width="13.140625" style="6" customWidth="1"/>
    <col min="20" max="20" width="13.28125" style="6" customWidth="1"/>
    <col min="21" max="21" width="5.7109375" style="0" customWidth="1"/>
    <col min="22" max="22" width="9.28125" style="0" customWidth="1"/>
    <col min="23" max="23" width="9.140625" style="0" customWidth="1"/>
    <col min="24" max="24" width="9.7109375" style="0" customWidth="1"/>
    <col min="26" max="26" width="8.140625" style="0" customWidth="1"/>
    <col min="27" max="27" width="7.8515625" style="0" customWidth="1"/>
  </cols>
  <sheetData>
    <row r="1" ht="12.75">
      <c r="A1" t="s">
        <v>163</v>
      </c>
    </row>
    <row r="2" spans="1:10" ht="15">
      <c r="A2" s="161" t="s">
        <v>138</v>
      </c>
      <c r="B2" s="161"/>
      <c r="C2" s="161"/>
      <c r="D2" s="161"/>
      <c r="E2" s="161"/>
      <c r="F2" s="161"/>
      <c r="G2" s="161"/>
      <c r="H2" s="161"/>
      <c r="I2" s="161"/>
      <c r="J2" s="161"/>
    </row>
    <row r="4" spans="1:10" ht="15.75">
      <c r="A4" s="54" t="s">
        <v>137</v>
      </c>
      <c r="B4">
        <v>12</v>
      </c>
      <c r="D4" s="22" t="s">
        <v>144</v>
      </c>
      <c r="E4" s="62">
        <v>36</v>
      </c>
      <c r="F4" s="62" t="s">
        <v>26</v>
      </c>
      <c r="G4" s="62">
        <v>2531.05</v>
      </c>
      <c r="I4" s="22" t="s">
        <v>145</v>
      </c>
      <c r="J4" s="2">
        <v>0.9</v>
      </c>
    </row>
    <row r="5" spans="4:10" ht="15.75">
      <c r="D5" s="22" t="s">
        <v>146</v>
      </c>
      <c r="E5" s="62">
        <v>58</v>
      </c>
      <c r="F5" s="62" t="s">
        <v>26</v>
      </c>
      <c r="G5" s="62">
        <v>4077.88</v>
      </c>
      <c r="H5" s="62"/>
      <c r="I5" s="22" t="s">
        <v>147</v>
      </c>
      <c r="J5" s="2">
        <v>0.9</v>
      </c>
    </row>
    <row r="6" spans="4:10" ht="15.75">
      <c r="D6" s="22"/>
      <c r="E6" s="62"/>
      <c r="F6" s="62"/>
      <c r="G6" s="62"/>
      <c r="H6" s="62"/>
      <c r="I6" s="22" t="s">
        <v>148</v>
      </c>
      <c r="J6" s="6">
        <v>0.75</v>
      </c>
    </row>
    <row r="7" spans="8:10" ht="12.75">
      <c r="H7" s="22"/>
      <c r="I7" s="62"/>
      <c r="J7" s="62"/>
    </row>
    <row r="8" spans="1:10" ht="12.75">
      <c r="A8" s="162" t="s">
        <v>142</v>
      </c>
      <c r="B8" s="162"/>
      <c r="C8" s="162"/>
      <c r="D8" s="162"/>
      <c r="E8" s="162"/>
      <c r="F8" s="61" t="s">
        <v>149</v>
      </c>
      <c r="G8" s="61" t="s">
        <v>150</v>
      </c>
      <c r="H8" s="62"/>
      <c r="I8" s="62"/>
      <c r="J8" s="62"/>
    </row>
    <row r="9" spans="1:5" ht="12.75">
      <c r="A9" s="59" t="s">
        <v>139</v>
      </c>
      <c r="B9" s="42" t="s">
        <v>132</v>
      </c>
      <c r="C9" s="42" t="s">
        <v>133</v>
      </c>
      <c r="D9" s="122" t="s">
        <v>134</v>
      </c>
      <c r="E9" s="122"/>
    </row>
    <row r="10" spans="1:5" ht="12.75">
      <c r="A10" s="42" t="s">
        <v>130</v>
      </c>
      <c r="B10" s="51">
        <v>33.42</v>
      </c>
      <c r="C10" s="51">
        <f>1.4*B10</f>
        <v>46.788</v>
      </c>
      <c r="D10" s="150">
        <f>C10</f>
        <v>46.788</v>
      </c>
      <c r="E10" s="151"/>
    </row>
    <row r="11" spans="1:5" ht="12.75">
      <c r="A11" s="42" t="s">
        <v>131</v>
      </c>
      <c r="B11" s="51">
        <v>14.64</v>
      </c>
      <c r="C11" s="51">
        <f>0.5*B11</f>
        <v>7.32</v>
      </c>
      <c r="D11" s="150">
        <f>C11</f>
        <v>7.32</v>
      </c>
      <c r="E11" s="151"/>
    </row>
    <row r="12" spans="1:5" ht="12.75">
      <c r="A12" s="42" t="s">
        <v>135</v>
      </c>
      <c r="B12" s="51">
        <v>16.53</v>
      </c>
      <c r="C12" s="51">
        <f>B12</f>
        <v>16.53</v>
      </c>
      <c r="D12" s="150">
        <v>19.78</v>
      </c>
      <c r="E12" s="151"/>
    </row>
    <row r="13" spans="1:5" ht="12.75">
      <c r="A13" s="42" t="s">
        <v>136</v>
      </c>
      <c r="B13" s="51">
        <v>0</v>
      </c>
      <c r="C13" s="51">
        <v>0</v>
      </c>
      <c r="D13" s="150">
        <v>0</v>
      </c>
      <c r="E13" s="151"/>
    </row>
    <row r="14" spans="2:7" ht="12.75">
      <c r="B14">
        <f>SUM(B10:B13)</f>
        <v>64.59</v>
      </c>
      <c r="C14">
        <f>SUM(C10:C13)</f>
        <v>70.638</v>
      </c>
      <c r="D14" s="157">
        <f>SUM(D10:E13)</f>
        <v>73.888</v>
      </c>
      <c r="E14" s="157"/>
      <c r="F14" s="15">
        <f>D14*100000/$J$4/$G$4/16.387</f>
        <v>197.93893238973183</v>
      </c>
      <c r="G14" s="15">
        <f>F14*2.54*2.54*2.54</f>
        <v>3243.6379531622088</v>
      </c>
    </row>
    <row r="15" spans="4:5" ht="12.75">
      <c r="D15" s="158">
        <f>(D14-C14)/D14</f>
        <v>0.04398549155478562</v>
      </c>
      <c r="E15" s="158"/>
    </row>
    <row r="16" spans="4:5" ht="12.75">
      <c r="D16" s="65"/>
      <c r="E16" s="65"/>
    </row>
    <row r="17" spans="1:5" ht="12.75">
      <c r="A17" s="59" t="s">
        <v>141</v>
      </c>
      <c r="B17" s="42" t="s">
        <v>132</v>
      </c>
      <c r="C17" s="42" t="s">
        <v>133</v>
      </c>
      <c r="D17" s="122" t="s">
        <v>134</v>
      </c>
      <c r="E17" s="122"/>
    </row>
    <row r="18" spans="1:5" ht="12.75">
      <c r="A18" s="42" t="s">
        <v>130</v>
      </c>
      <c r="B18" s="51">
        <v>33.05</v>
      </c>
      <c r="C18" s="51">
        <f>1.4*B18</f>
        <v>46.269999999999996</v>
      </c>
      <c r="D18" s="150">
        <f>C18</f>
        <v>46.269999999999996</v>
      </c>
      <c r="E18" s="151"/>
    </row>
    <row r="19" spans="1:5" ht="12.75">
      <c r="A19" s="42" t="s">
        <v>131</v>
      </c>
      <c r="B19" s="51">
        <v>14.46</v>
      </c>
      <c r="C19" s="51">
        <f>0.5*B19</f>
        <v>7.23</v>
      </c>
      <c r="D19" s="150">
        <f>C19</f>
        <v>7.23</v>
      </c>
      <c r="E19" s="151"/>
    </row>
    <row r="20" spans="1:5" ht="12.75">
      <c r="A20" s="42" t="s">
        <v>135</v>
      </c>
      <c r="B20" s="51">
        <v>29.5</v>
      </c>
      <c r="C20" s="51">
        <v>29.5</v>
      </c>
      <c r="D20" s="150">
        <v>35.48</v>
      </c>
      <c r="E20" s="151"/>
    </row>
    <row r="21" spans="1:5" ht="12.75">
      <c r="A21" s="42" t="s">
        <v>136</v>
      </c>
      <c r="B21" s="51">
        <v>0</v>
      </c>
      <c r="C21" s="51">
        <f>B21</f>
        <v>0</v>
      </c>
      <c r="D21" s="150">
        <f>C21</f>
        <v>0</v>
      </c>
      <c r="E21" s="151"/>
    </row>
    <row r="22" spans="1:7" ht="12.75">
      <c r="A22" s="6"/>
      <c r="B22">
        <f>SUM(B18:B21)</f>
        <v>77.00999999999999</v>
      </c>
      <c r="C22">
        <f>SUM(C18:C21)</f>
        <v>83</v>
      </c>
      <c r="D22" s="159">
        <f>SUM(D18:E21)</f>
        <v>88.97999999999999</v>
      </c>
      <c r="E22" s="160"/>
      <c r="F22" s="15">
        <f>D22*100000/$J$4/$G$4/16.387</f>
        <v>238.36896659861318</v>
      </c>
      <c r="G22" s="15">
        <f>F22*2.54*2.54*2.54</f>
        <v>3906.167511265337</v>
      </c>
    </row>
    <row r="23" spans="1:5" ht="12.75">
      <c r="A23" s="6"/>
      <c r="D23" s="156">
        <f>(D22-C22)/D22</f>
        <v>0.06720611373342314</v>
      </c>
      <c r="E23" s="156"/>
    </row>
    <row r="24" spans="1:5" ht="12.75">
      <c r="A24" s="6"/>
      <c r="D24" s="82"/>
      <c r="E24" s="82"/>
    </row>
    <row r="25" spans="1:5" ht="12.75">
      <c r="A25" s="59" t="s">
        <v>140</v>
      </c>
      <c r="B25" s="42" t="s">
        <v>132</v>
      </c>
      <c r="C25" s="42" t="s">
        <v>133</v>
      </c>
      <c r="D25" s="122" t="s">
        <v>134</v>
      </c>
      <c r="E25" s="122"/>
    </row>
    <row r="26" spans="1:5" ht="12.75">
      <c r="A26" s="42" t="s">
        <v>130</v>
      </c>
      <c r="B26" s="51">
        <v>32.63</v>
      </c>
      <c r="C26" s="51">
        <f>1.4*B26</f>
        <v>45.682</v>
      </c>
      <c r="D26" s="150">
        <f>C26</f>
        <v>45.682</v>
      </c>
      <c r="E26" s="151"/>
    </row>
    <row r="27" spans="1:5" ht="12.75">
      <c r="A27" s="42" t="s">
        <v>131</v>
      </c>
      <c r="B27" s="51">
        <v>14.71</v>
      </c>
      <c r="C27" s="51">
        <f>0.5*B27</f>
        <v>7.355</v>
      </c>
      <c r="D27" s="150">
        <f>C27</f>
        <v>7.355</v>
      </c>
      <c r="E27" s="151"/>
    </row>
    <row r="28" spans="1:5" ht="12.75">
      <c r="A28" s="42" t="s">
        <v>135</v>
      </c>
      <c r="B28" s="80">
        <v>33.6</v>
      </c>
      <c r="C28" s="51">
        <v>33.63</v>
      </c>
      <c r="D28" s="150">
        <v>40.53</v>
      </c>
      <c r="E28" s="151"/>
    </row>
    <row r="29" spans="1:5" ht="12.75">
      <c r="A29" s="42" t="s">
        <v>136</v>
      </c>
      <c r="B29" s="51">
        <v>0</v>
      </c>
      <c r="C29" s="51">
        <v>0</v>
      </c>
      <c r="D29" s="150">
        <f>C29</f>
        <v>0</v>
      </c>
      <c r="E29" s="151"/>
    </row>
    <row r="30" spans="1:7" ht="12.75">
      <c r="A30" s="6"/>
      <c r="B30">
        <f>SUM(B26:B29)</f>
        <v>80.94</v>
      </c>
      <c r="C30">
        <f>SUM(C26:C29)</f>
        <v>86.667</v>
      </c>
      <c r="D30" s="159">
        <f>SUM(D26:E29)</f>
        <v>93.56700000000001</v>
      </c>
      <c r="E30" s="163"/>
      <c r="F30" s="15">
        <f>D30*100000/$J$4/$G$4/16.387</f>
        <v>250.65710381807648</v>
      </c>
      <c r="G30" s="15">
        <f>F30*2.54*2.54*2.54</f>
        <v>4107.534002321464</v>
      </c>
    </row>
    <row r="31" spans="1:5" ht="12.75">
      <c r="A31" s="6"/>
      <c r="D31" s="156">
        <f>(D30-C30)/D30</f>
        <v>0.07374394818686081</v>
      </c>
      <c r="E31" s="156"/>
    </row>
    <row r="33" spans="1:5" ht="12.75">
      <c r="A33" s="162" t="s">
        <v>143</v>
      </c>
      <c r="B33" s="162"/>
      <c r="C33" s="162"/>
      <c r="D33" s="162"/>
      <c r="E33" s="162"/>
    </row>
    <row r="34" spans="1:5" ht="12.75">
      <c r="A34" s="59" t="s">
        <v>139</v>
      </c>
      <c r="B34" s="42" t="s">
        <v>132</v>
      </c>
      <c r="C34" s="42" t="s">
        <v>133</v>
      </c>
      <c r="D34" s="122" t="s">
        <v>134</v>
      </c>
      <c r="E34" s="122"/>
    </row>
    <row r="35" spans="1:5" ht="12.75">
      <c r="A35" s="42" t="s">
        <v>130</v>
      </c>
      <c r="B35" s="51">
        <v>9.97</v>
      </c>
      <c r="C35" s="51">
        <f>1.4*B35</f>
        <v>13.958</v>
      </c>
      <c r="D35" s="150">
        <f>C35</f>
        <v>13.958</v>
      </c>
      <c r="E35" s="151"/>
    </row>
    <row r="36" spans="1:5" ht="12.75">
      <c r="A36" s="42" t="s">
        <v>131</v>
      </c>
      <c r="B36" s="51">
        <v>4.32</v>
      </c>
      <c r="C36" s="51">
        <f>0.5*B36</f>
        <v>2.16</v>
      </c>
      <c r="D36" s="150">
        <f>C36</f>
        <v>2.16</v>
      </c>
      <c r="E36" s="151"/>
    </row>
    <row r="37" spans="1:5" ht="12.75">
      <c r="A37" s="42" t="s">
        <v>135</v>
      </c>
      <c r="B37" s="51">
        <v>0</v>
      </c>
      <c r="C37" s="51">
        <f>B37</f>
        <v>0</v>
      </c>
      <c r="D37" s="150">
        <f>C37*(1+B4/100)</f>
        <v>0</v>
      </c>
      <c r="E37" s="151"/>
    </row>
    <row r="38" spans="1:5" ht="12.75">
      <c r="A38" s="42" t="s">
        <v>136</v>
      </c>
      <c r="B38" s="80">
        <f>C38</f>
        <v>14.982142857142856</v>
      </c>
      <c r="C38" s="51">
        <f>D38/1.12</f>
        <v>14.982142857142856</v>
      </c>
      <c r="D38" s="150">
        <v>16.78</v>
      </c>
      <c r="E38" s="151"/>
    </row>
    <row r="39" spans="1:7" ht="12.75">
      <c r="A39" s="6"/>
      <c r="B39" s="4">
        <f>SUM(B35:B38)</f>
        <v>29.272142857142857</v>
      </c>
      <c r="C39">
        <f>SUM(C35:C38)</f>
        <v>31.100142857142856</v>
      </c>
      <c r="D39" s="159">
        <f>SUM(D35:E38)</f>
        <v>32.898</v>
      </c>
      <c r="E39" s="163"/>
      <c r="F39" s="15">
        <f>D39*100000/$J$4/$G$4/16.387</f>
        <v>88.13061657857023</v>
      </c>
      <c r="G39" s="15">
        <f>F39*2.54*2.54*2.54</f>
        <v>1444.2020542324915</v>
      </c>
    </row>
    <row r="40" spans="1:5" ht="12.75">
      <c r="A40" s="6"/>
      <c r="D40" s="158">
        <f>(D39-C39)/D39</f>
        <v>0.05464943591881412</v>
      </c>
      <c r="E40" s="158"/>
    </row>
    <row r="41" spans="1:5" ht="12.75">
      <c r="A41" s="6"/>
      <c r="D41" s="66"/>
      <c r="E41" s="66"/>
    </row>
    <row r="42" spans="1:5" ht="12.75">
      <c r="A42" s="59" t="s">
        <v>141</v>
      </c>
      <c r="B42" s="42" t="s">
        <v>132</v>
      </c>
      <c r="C42" s="42" t="s">
        <v>133</v>
      </c>
      <c r="D42" s="122" t="s">
        <v>134</v>
      </c>
      <c r="E42" s="122"/>
    </row>
    <row r="43" spans="1:5" ht="12.75">
      <c r="A43" s="42" t="s">
        <v>130</v>
      </c>
      <c r="B43" s="51">
        <v>12.51</v>
      </c>
      <c r="C43" s="51">
        <f>1.4*B43</f>
        <v>17.514</v>
      </c>
      <c r="D43" s="150">
        <f>C43</f>
        <v>17.514</v>
      </c>
      <c r="E43" s="151"/>
    </row>
    <row r="44" spans="1:5" ht="12.75">
      <c r="A44" s="42" t="s">
        <v>131</v>
      </c>
      <c r="B44" s="51">
        <v>4.64</v>
      </c>
      <c r="C44" s="51">
        <f>0.5*B44</f>
        <v>2.32</v>
      </c>
      <c r="D44" s="150">
        <f>C44</f>
        <v>2.32</v>
      </c>
      <c r="E44" s="151"/>
    </row>
    <row r="45" spans="1:5" ht="12.75">
      <c r="A45" s="42" t="s">
        <v>135</v>
      </c>
      <c r="B45" s="51">
        <v>0</v>
      </c>
      <c r="C45" s="51">
        <v>0</v>
      </c>
      <c r="D45" s="150">
        <v>0</v>
      </c>
      <c r="E45" s="151"/>
    </row>
    <row r="46" spans="1:5" ht="12.75">
      <c r="A46" s="42" t="s">
        <v>136</v>
      </c>
      <c r="B46" s="51">
        <f>28.6-6.13</f>
        <v>22.470000000000002</v>
      </c>
      <c r="C46" s="51">
        <f>B46</f>
        <v>22.470000000000002</v>
      </c>
      <c r="D46" s="150">
        <v>32</v>
      </c>
      <c r="E46" s="151"/>
    </row>
    <row r="47" spans="1:7" ht="12.75">
      <c r="A47" s="6"/>
      <c r="B47">
        <f>SUM(B43:B46)</f>
        <v>39.620000000000005</v>
      </c>
      <c r="C47">
        <f>SUM(C43:C46)</f>
        <v>42.304</v>
      </c>
      <c r="D47" s="159">
        <f>SUM(D43:E46)</f>
        <v>51.834</v>
      </c>
      <c r="E47" s="160"/>
      <c r="F47" s="15">
        <f>D47*100000/$J$4/$G$4/16.387</f>
        <v>138.85836159443153</v>
      </c>
      <c r="G47" s="15">
        <f>F47*2.54*2.54*2.54</f>
        <v>2275.480858383092</v>
      </c>
    </row>
    <row r="48" spans="1:6" ht="12.75">
      <c r="A48" s="6"/>
      <c r="D48" s="158">
        <f>(D47-C47)/D47</f>
        <v>0.18385615619091716</v>
      </c>
      <c r="E48" s="158"/>
      <c r="F48" s="15"/>
    </row>
    <row r="49" spans="1:5" ht="12.75">
      <c r="A49" s="6"/>
      <c r="D49" s="66"/>
      <c r="E49" s="66"/>
    </row>
    <row r="50" spans="1:5" ht="12.75">
      <c r="A50" s="59" t="s">
        <v>140</v>
      </c>
      <c r="B50" s="42" t="s">
        <v>132</v>
      </c>
      <c r="C50" s="42" t="s">
        <v>133</v>
      </c>
      <c r="D50" s="122" t="s">
        <v>134</v>
      </c>
      <c r="E50" s="122"/>
    </row>
    <row r="51" spans="1:5" ht="12.75">
      <c r="A51" s="42" t="s">
        <v>130</v>
      </c>
      <c r="B51" s="51">
        <v>12</v>
      </c>
      <c r="C51" s="51">
        <f>1.4*B51</f>
        <v>16.799999999999997</v>
      </c>
      <c r="D51" s="150">
        <f>C51</f>
        <v>16.799999999999997</v>
      </c>
      <c r="E51" s="151"/>
    </row>
    <row r="52" spans="1:5" ht="12.75">
      <c r="A52" s="42" t="s">
        <v>131</v>
      </c>
      <c r="B52" s="51">
        <v>4.44</v>
      </c>
      <c r="C52" s="51">
        <f>0.5*B52</f>
        <v>2.22</v>
      </c>
      <c r="D52" s="150">
        <f>C52</f>
        <v>2.22</v>
      </c>
      <c r="E52" s="151"/>
    </row>
    <row r="53" spans="1:5" ht="12.75">
      <c r="A53" s="42" t="s">
        <v>135</v>
      </c>
      <c r="B53" s="51">
        <v>0</v>
      </c>
      <c r="C53" s="51">
        <f>+B53</f>
        <v>0</v>
      </c>
      <c r="D53" s="150">
        <v>0</v>
      </c>
      <c r="E53" s="151"/>
    </row>
    <row r="54" spans="1:5" ht="12.75">
      <c r="A54" s="42" t="s">
        <v>136</v>
      </c>
      <c r="B54" s="80">
        <f>C54</f>
        <v>29.830357142857135</v>
      </c>
      <c r="C54" s="80">
        <f>D54/1.12</f>
        <v>29.830357142857135</v>
      </c>
      <c r="D54" s="150">
        <v>33.41</v>
      </c>
      <c r="E54" s="151"/>
    </row>
    <row r="55" spans="2:7" ht="12.75">
      <c r="B55" s="4">
        <f>SUM(B51:B54)</f>
        <v>46.27035714285714</v>
      </c>
      <c r="C55" s="4">
        <f>SUM(C51:C54)</f>
        <v>48.850357142857135</v>
      </c>
      <c r="D55" s="157">
        <f>SUM(D51:E54)</f>
        <v>52.42999999999999</v>
      </c>
      <c r="E55" s="157"/>
      <c r="F55" s="15">
        <f>D55*100000/$J$4/$G$4/16.387</f>
        <v>140.45498897241276</v>
      </c>
      <c r="G55" s="15">
        <f>F55*2.54*2.54*2.54</f>
        <v>2301.6448934102223</v>
      </c>
    </row>
    <row r="56" spans="4:5" ht="12.75">
      <c r="D56" s="158">
        <f>(D55-C55)/D55</f>
        <v>0.06827470641126947</v>
      </c>
      <c r="E56" s="158"/>
    </row>
    <row r="57" spans="4:5" ht="12.75">
      <c r="D57" s="65"/>
      <c r="E57" s="65"/>
    </row>
    <row r="58" spans="4:5" ht="12.75">
      <c r="D58" s="65"/>
      <c r="E58" s="65"/>
    </row>
    <row r="59" spans="1:10" ht="15.75">
      <c r="A59" s="155" t="s">
        <v>152</v>
      </c>
      <c r="B59" s="155"/>
      <c r="C59" s="155"/>
      <c r="D59" s="155"/>
      <c r="E59" s="155"/>
      <c r="F59" s="155"/>
      <c r="J59"/>
    </row>
    <row r="60" ht="12.75">
      <c r="J60"/>
    </row>
    <row r="61" spans="2:10" ht="15.75">
      <c r="B61" s="145" t="s">
        <v>101</v>
      </c>
      <c r="C61" s="145"/>
      <c r="D61" s="145"/>
      <c r="E61" s="4">
        <f>Pesos!H55</f>
        <v>1124.577803673171</v>
      </c>
      <c r="F61" s="6" t="s">
        <v>73</v>
      </c>
      <c r="G61" s="6" t="s">
        <v>102</v>
      </c>
      <c r="J61"/>
    </row>
    <row r="62" spans="2:10" ht="15.75">
      <c r="B62" s="145" t="s">
        <v>103</v>
      </c>
      <c r="C62" s="145"/>
      <c r="D62" s="145"/>
      <c r="E62">
        <f>I99*5+I100</f>
        <v>9185.369999999999</v>
      </c>
      <c r="F62" s="6" t="s">
        <v>73</v>
      </c>
      <c r="J62"/>
    </row>
    <row r="63" spans="5:10" ht="12.75">
      <c r="E63">
        <f>SUM(E61:E62)</f>
        <v>10309.94780367317</v>
      </c>
      <c r="J63"/>
    </row>
    <row r="65" spans="1:10" ht="14.25">
      <c r="A65" s="154" t="s">
        <v>38</v>
      </c>
      <c r="B65" s="154"/>
      <c r="C65" s="154"/>
      <c r="D65" s="154"/>
      <c r="J65"/>
    </row>
    <row r="66" ht="12.75">
      <c r="J66"/>
    </row>
    <row r="67" spans="2:10" ht="12.75">
      <c r="B67" s="23" t="s">
        <v>39</v>
      </c>
      <c r="C67" s="23"/>
      <c r="J67"/>
    </row>
    <row r="68" spans="2:10" ht="12.75">
      <c r="B68" s="23"/>
      <c r="C68" s="23"/>
      <c r="J68"/>
    </row>
    <row r="69" spans="2:10" ht="12.75">
      <c r="B69" s="9" t="s">
        <v>40</v>
      </c>
      <c r="C69" s="9">
        <v>1.5</v>
      </c>
      <c r="D69" s="9"/>
      <c r="E69" s="9"/>
      <c r="J69"/>
    </row>
    <row r="70" spans="2:10" ht="12.75">
      <c r="B70" s="9" t="s">
        <v>41</v>
      </c>
      <c r="C70" s="9">
        <v>0.6</v>
      </c>
      <c r="D70" s="9"/>
      <c r="E70" s="9"/>
      <c r="J70"/>
    </row>
    <row r="71" spans="2:10" ht="12.75">
      <c r="B71" s="9" t="s">
        <v>42</v>
      </c>
      <c r="C71" s="9">
        <v>1</v>
      </c>
      <c r="D71" s="9"/>
      <c r="E71" s="9"/>
      <c r="J71"/>
    </row>
    <row r="72" spans="2:10" ht="12.75">
      <c r="B72" s="9" t="s">
        <v>43</v>
      </c>
      <c r="C72" s="9">
        <v>1.5</v>
      </c>
      <c r="D72" s="9"/>
      <c r="E72" s="9"/>
      <c r="J72"/>
    </row>
    <row r="73" spans="2:10" ht="15.75">
      <c r="B73" s="9" t="s">
        <v>44</v>
      </c>
      <c r="C73" s="132" t="s">
        <v>45</v>
      </c>
      <c r="D73" s="132"/>
      <c r="E73" s="6">
        <f>C71*C69</f>
        <v>1.5</v>
      </c>
      <c r="J73"/>
    </row>
    <row r="74" spans="2:10" ht="15.75">
      <c r="B74" s="9" t="s">
        <v>46</v>
      </c>
      <c r="C74" s="132" t="s">
        <v>47</v>
      </c>
      <c r="D74" s="132"/>
      <c r="E74" s="6">
        <f>C72*C70</f>
        <v>0.8999999999999999</v>
      </c>
      <c r="J74"/>
    </row>
    <row r="75" spans="2:11" ht="18.75">
      <c r="B75" s="9" t="s">
        <v>48</v>
      </c>
      <c r="C75" s="132" t="s">
        <v>49</v>
      </c>
      <c r="D75" s="132"/>
      <c r="E75" s="24">
        <f>2/3*E73</f>
        <v>1</v>
      </c>
      <c r="H75" s="133" t="s">
        <v>50</v>
      </c>
      <c r="I75" s="133"/>
      <c r="J75" s="9" t="s">
        <v>51</v>
      </c>
      <c r="K75" s="17">
        <v>1.4</v>
      </c>
    </row>
    <row r="76" spans="2:10" ht="15.75">
      <c r="B76" s="9" t="s">
        <v>52</v>
      </c>
      <c r="C76" s="132" t="s">
        <v>53</v>
      </c>
      <c r="D76" s="132"/>
      <c r="E76" s="24">
        <f>2/3*E74</f>
        <v>0.5999999999999999</v>
      </c>
      <c r="J76"/>
    </row>
    <row r="77" spans="2:10" ht="15.75">
      <c r="B77" s="13" t="s">
        <v>54</v>
      </c>
      <c r="C77" s="13">
        <v>6</v>
      </c>
      <c r="D77" s="9"/>
      <c r="E77" s="9"/>
      <c r="I77" s="6" t="s">
        <v>55</v>
      </c>
      <c r="J77">
        <v>0.028</v>
      </c>
    </row>
    <row r="78" spans="2:10" ht="15.75">
      <c r="B78" s="9" t="s">
        <v>56</v>
      </c>
      <c r="C78">
        <v>1</v>
      </c>
      <c r="I78" s="6" t="s">
        <v>57</v>
      </c>
      <c r="J78" s="25">
        <v>80</v>
      </c>
    </row>
    <row r="79" spans="9:10" ht="12.75">
      <c r="I79" s="6" t="s">
        <v>58</v>
      </c>
      <c r="J79">
        <v>0.8</v>
      </c>
    </row>
    <row r="80" spans="2:10" ht="12.75">
      <c r="B80" s="22" t="s">
        <v>59</v>
      </c>
      <c r="C80" s="26">
        <f>E75/C77*C78</f>
        <v>0.16666666666666666</v>
      </c>
      <c r="I80" s="6"/>
      <c r="J80"/>
    </row>
    <row r="81" spans="2:10" ht="15.75">
      <c r="B81" s="9" t="s">
        <v>60</v>
      </c>
      <c r="C81">
        <f>K75*J77*(J78^J79)</f>
        <v>1.3054434292061365</v>
      </c>
      <c r="D81" t="s">
        <v>61</v>
      </c>
      <c r="I81" s="6" t="s">
        <v>62</v>
      </c>
      <c r="J81">
        <v>6</v>
      </c>
    </row>
    <row r="82" spans="2:10" ht="12.75">
      <c r="B82" s="9" t="s">
        <v>63</v>
      </c>
      <c r="C82">
        <f>J77*(J78^J79)</f>
        <v>0.9324595922900976</v>
      </c>
      <c r="D82" t="s">
        <v>61</v>
      </c>
      <c r="G82" s="27"/>
      <c r="J82"/>
    </row>
    <row r="83" spans="2:10" ht="12.75">
      <c r="B83" s="9" t="s">
        <v>63</v>
      </c>
      <c r="C83">
        <f>0.1*J81</f>
        <v>0.6000000000000001</v>
      </c>
      <c r="D83" t="s">
        <v>61</v>
      </c>
      <c r="J83"/>
    </row>
    <row r="84" spans="1:10" ht="12.75">
      <c r="A84" s="6" t="s">
        <v>65</v>
      </c>
      <c r="B84" s="92" t="s">
        <v>66</v>
      </c>
      <c r="C84" s="93">
        <v>1.25</v>
      </c>
      <c r="D84" t="s">
        <v>61</v>
      </c>
      <c r="J84"/>
    </row>
    <row r="85" spans="2:10" ht="12.75">
      <c r="B85" s="92" t="s">
        <v>67</v>
      </c>
      <c r="C85" s="94">
        <v>1.55</v>
      </c>
      <c r="D85" t="s">
        <v>61</v>
      </c>
      <c r="F85" s="74"/>
      <c r="J85"/>
    </row>
    <row r="86" spans="2:10" ht="12.75">
      <c r="B86" s="92" t="s">
        <v>121</v>
      </c>
      <c r="C86" s="93">
        <v>1.18</v>
      </c>
      <c r="D86" t="s">
        <v>61</v>
      </c>
      <c r="F86" s="74"/>
      <c r="J86"/>
    </row>
    <row r="87" spans="2:10" ht="12.75">
      <c r="B87" s="9"/>
      <c r="F87" s="74"/>
      <c r="J87"/>
    </row>
    <row r="88" spans="2:10" ht="15">
      <c r="B88" s="76" t="s">
        <v>66</v>
      </c>
      <c r="C88">
        <f>IF(C84&lt;=$C$81,C84,$C$81)</f>
        <v>1.25</v>
      </c>
      <c r="D88" t="s">
        <v>61</v>
      </c>
      <c r="F88" s="74"/>
      <c r="J88"/>
    </row>
    <row r="89" spans="2:10" ht="12.75">
      <c r="B89" s="9"/>
      <c r="F89" s="74"/>
      <c r="J89"/>
    </row>
    <row r="90" spans="3:10" ht="12.75">
      <c r="C90" s="131" t="s">
        <v>68</v>
      </c>
      <c r="D90" s="131"/>
      <c r="E90" s="131"/>
      <c r="F90" s="6" t="s">
        <v>69</v>
      </c>
      <c r="G90" s="15">
        <v>0.01</v>
      </c>
      <c r="H90" t="str">
        <f>IF(C80&gt;=0.01,"OK","NO")</f>
        <v>OK</v>
      </c>
      <c r="J90"/>
    </row>
    <row r="91" spans="6:11" ht="12.75">
      <c r="F91" s="6" t="s">
        <v>70</v>
      </c>
      <c r="G91" s="28">
        <f>$E$76/C88/($C$77/$C$78)</f>
        <v>0.07999999999999997</v>
      </c>
      <c r="H91" s="129" t="str">
        <f>IF($C$80&lt;=G91,"? OK","? no, entonces Cs =")</f>
        <v>? no, entonces Cs =</v>
      </c>
      <c r="I91" s="129"/>
      <c r="J91" s="129"/>
      <c r="K91" s="19">
        <f>IF(H91="? no, entonces Cs =",G91," ")</f>
        <v>0.07999999999999997</v>
      </c>
    </row>
    <row r="92" spans="6:10" ht="12.75">
      <c r="F92" s="6" t="s">
        <v>59</v>
      </c>
      <c r="G92" s="28">
        <f>IF(K91=G91,K91,$C$80)</f>
        <v>0.07999999999999997</v>
      </c>
      <c r="J92"/>
    </row>
    <row r="93" spans="3:10" ht="15.75">
      <c r="C93" s="145" t="s">
        <v>71</v>
      </c>
      <c r="D93" s="145"/>
      <c r="E93" s="6">
        <v>0.6</v>
      </c>
      <c r="F93" s="6" t="str">
        <f>IF($E$76&gt;=E93,"Cs &gt;","No aplica")</f>
        <v>Cs &gt;</v>
      </c>
      <c r="G93" s="28">
        <f>IF(F93="No aplica","No aplica",0.5*$E$76/$C$77)</f>
        <v>0.04999999999999999</v>
      </c>
      <c r="H93" s="129" t="str">
        <f>IF(G93="No aplica"," ",IF(G93&gt;=G92,"MAL","OK"))</f>
        <v>OK</v>
      </c>
      <c r="I93" s="129"/>
      <c r="J93" s="129"/>
    </row>
    <row r="94" spans="10:11" ht="12.75">
      <c r="J94"/>
      <c r="K94" s="29" t="str">
        <f>IF(H93="no, entonces Cs =",G93," ")</f>
        <v> </v>
      </c>
    </row>
    <row r="95" spans="6:10" ht="12.75">
      <c r="F95" s="6" t="s">
        <v>72</v>
      </c>
      <c r="G95" s="61" t="s">
        <v>153</v>
      </c>
      <c r="H95" s="30">
        <f>IF(H93="OK",G92,IF(H93=" ",G92,IF(H93="MAL",G93,"VALI TOLETE")))</f>
        <v>0.07999999999999997</v>
      </c>
      <c r="J95"/>
    </row>
    <row r="96" ht="12.75">
      <c r="J96"/>
    </row>
    <row r="97" ht="12.75">
      <c r="J97"/>
    </row>
    <row r="98" spans="2:10" ht="12.75">
      <c r="B98" s="13" t="s">
        <v>154</v>
      </c>
      <c r="C98" s="130">
        <f>$H$95*($E$61+$E$62)</f>
        <v>824.7958242938533</v>
      </c>
      <c r="D98" s="130"/>
      <c r="E98" t="s">
        <v>73</v>
      </c>
      <c r="J98"/>
    </row>
    <row r="99" spans="2:10" ht="12.75">
      <c r="B99" s="13"/>
      <c r="C99" s="31"/>
      <c r="D99" s="31"/>
      <c r="E99" s="32"/>
      <c r="G99" s="6" t="s">
        <v>74</v>
      </c>
      <c r="I99" s="52">
        <v>1566.03</v>
      </c>
      <c r="J99"/>
    </row>
    <row r="100" spans="2:10" ht="12.75">
      <c r="B100" s="23" t="s">
        <v>75</v>
      </c>
      <c r="C100" s="33"/>
      <c r="D100" s="34"/>
      <c r="E100" s="32"/>
      <c r="F100" s="81"/>
      <c r="G100" s="6" t="s">
        <v>79</v>
      </c>
      <c r="H100" s="6"/>
      <c r="I100">
        <v>1355.22</v>
      </c>
      <c r="J100"/>
    </row>
    <row r="101" spans="1:10" ht="12.75">
      <c r="A101" s="9" t="s">
        <v>78</v>
      </c>
      <c r="B101" s="2">
        <v>1</v>
      </c>
      <c r="C101" s="22" t="s">
        <v>64</v>
      </c>
      <c r="D101" s="125">
        <v>0.5</v>
      </c>
      <c r="E101" s="125"/>
      <c r="J101"/>
    </row>
    <row r="102" spans="1:10" ht="12.75">
      <c r="A102" s="35" t="s">
        <v>78</v>
      </c>
      <c r="B102" s="36">
        <v>2</v>
      </c>
      <c r="C102" s="37" t="s">
        <v>64</v>
      </c>
      <c r="D102" s="126">
        <v>2.5</v>
      </c>
      <c r="E102" s="126"/>
      <c r="F102" s="63"/>
      <c r="G102" s="63"/>
      <c r="J102"/>
    </row>
    <row r="103" spans="1:10" ht="12.75">
      <c r="A103" s="34"/>
      <c r="B103" s="34"/>
      <c r="C103" s="38" t="s">
        <v>64</v>
      </c>
      <c r="D103" s="127">
        <f>C88</f>
        <v>1.25</v>
      </c>
      <c r="E103" s="128"/>
      <c r="F103" s="63"/>
      <c r="G103" s="63"/>
      <c r="J103"/>
    </row>
    <row r="104" spans="1:10" ht="12.75">
      <c r="A104" s="34"/>
      <c r="D104" s="34"/>
      <c r="E104" s="34"/>
      <c r="F104" s="63"/>
      <c r="G104" s="63"/>
      <c r="J104"/>
    </row>
    <row r="105" spans="1:10" ht="12.75">
      <c r="A105" s="34"/>
      <c r="B105" s="39" t="s">
        <v>80</v>
      </c>
      <c r="C105" s="40">
        <f>B102-B101</f>
        <v>1</v>
      </c>
      <c r="D105" s="34"/>
      <c r="E105" s="34"/>
      <c r="F105" s="63"/>
      <c r="G105" s="63"/>
      <c r="J105"/>
    </row>
    <row r="106" spans="1:10" ht="12.75">
      <c r="A106" s="34"/>
      <c r="B106" s="39" t="s">
        <v>81</v>
      </c>
      <c r="C106" s="40">
        <f>D102-D101</f>
        <v>2</v>
      </c>
      <c r="D106" s="34"/>
      <c r="E106" s="34"/>
      <c r="F106" s="63"/>
      <c r="G106" s="63"/>
      <c r="J106"/>
    </row>
    <row r="107" spans="1:10" ht="12.75">
      <c r="A107" s="34"/>
      <c r="B107" s="39" t="s">
        <v>82</v>
      </c>
      <c r="C107" s="34">
        <f>D102-D103</f>
        <v>1.25</v>
      </c>
      <c r="D107" s="34"/>
      <c r="E107" s="34"/>
      <c r="F107" s="63"/>
      <c r="G107" s="63"/>
      <c r="J107"/>
    </row>
    <row r="108" spans="1:10" ht="12.75">
      <c r="A108" s="34"/>
      <c r="B108" s="39" t="s">
        <v>80</v>
      </c>
      <c r="C108" s="34">
        <f>C107*C105/C106</f>
        <v>0.625</v>
      </c>
      <c r="D108" s="34"/>
      <c r="E108" s="34"/>
      <c r="F108" s="63"/>
      <c r="G108" s="63"/>
      <c r="J108"/>
    </row>
    <row r="109" spans="1:10" ht="12.75">
      <c r="A109" s="34"/>
      <c r="B109" s="41" t="s">
        <v>78</v>
      </c>
      <c r="C109" s="34">
        <f>B102-C108</f>
        <v>1.375</v>
      </c>
      <c r="D109" s="34"/>
      <c r="E109" s="34" t="s">
        <v>83</v>
      </c>
      <c r="F109" s="63"/>
      <c r="G109" s="63"/>
      <c r="J109"/>
    </row>
    <row r="110" spans="1:10" ht="12.75">
      <c r="A110" s="34"/>
      <c r="B110" s="34"/>
      <c r="C110" s="34"/>
      <c r="D110" s="34"/>
      <c r="E110" s="34"/>
      <c r="F110" s="63"/>
      <c r="G110" s="63"/>
      <c r="J110"/>
    </row>
    <row r="111" spans="1:10" ht="15">
      <c r="A111" s="34"/>
      <c r="B111" s="42" t="s">
        <v>84</v>
      </c>
      <c r="C111" s="122" t="s">
        <v>85</v>
      </c>
      <c r="D111" s="122"/>
      <c r="E111" s="42" t="s">
        <v>86</v>
      </c>
      <c r="F111" s="43" t="s">
        <v>105</v>
      </c>
      <c r="G111" s="42" t="s">
        <v>87</v>
      </c>
      <c r="H111" s="44" t="s">
        <v>88</v>
      </c>
      <c r="I111" s="122" t="s">
        <v>89</v>
      </c>
      <c r="J111" s="122"/>
    </row>
    <row r="112" spans="1:10" ht="12.75">
      <c r="A112" s="34"/>
      <c r="B112" s="16">
        <v>6</v>
      </c>
      <c r="C112" s="142">
        <f>13/3.28+C113</f>
        <v>24.39024390243903</v>
      </c>
      <c r="D112" s="142"/>
      <c r="E112" s="47">
        <f aca="true" t="shared" si="0" ref="E112:E117">C112^$C$109</f>
        <v>80.80201609463326</v>
      </c>
      <c r="F112" s="46">
        <f>I99+Pesos!F8</f>
        <v>1700.8269647609757</v>
      </c>
      <c r="G112" s="47">
        <f aca="true" t="shared" si="1" ref="G112:G117">F112*E112</f>
        <v>137430.2477808026</v>
      </c>
      <c r="H112" s="48">
        <f aca="true" t="shared" si="2" ref="H112:H117">G112/$G$118</f>
        <v>0.3164259696613448</v>
      </c>
      <c r="I112" s="142">
        <f aca="true" t="shared" si="3" ref="I112:I117">H112*$C$98</f>
        <v>260.9868184748107</v>
      </c>
      <c r="J112" s="142"/>
    </row>
    <row r="113" spans="1:10" ht="12.75">
      <c r="A113" s="34"/>
      <c r="B113" s="16">
        <v>5</v>
      </c>
      <c r="C113" s="142">
        <f>13/3.28+C114</f>
        <v>20.426829268292686</v>
      </c>
      <c r="D113" s="142"/>
      <c r="E113" s="47">
        <f t="shared" si="0"/>
        <v>63.31787317107031</v>
      </c>
      <c r="F113" s="46">
        <f>I99+Pesos!F17</f>
        <v>1729.5332081804877</v>
      </c>
      <c r="G113" s="47">
        <f t="shared" si="1"/>
        <v>109510.36432072647</v>
      </c>
      <c r="H113" s="48">
        <f t="shared" si="2"/>
        <v>0.2521418958177377</v>
      </c>
      <c r="I113" s="142">
        <f t="shared" si="3"/>
        <v>207.96558280000588</v>
      </c>
      <c r="J113" s="142"/>
    </row>
    <row r="114" spans="1:10" ht="12.75">
      <c r="A114" s="34"/>
      <c r="B114" s="16">
        <v>4</v>
      </c>
      <c r="C114" s="142">
        <f>13/3.28+C115</f>
        <v>16.463414634146343</v>
      </c>
      <c r="D114" s="142"/>
      <c r="E114" s="47">
        <f t="shared" si="0"/>
        <v>47.06682301487522</v>
      </c>
      <c r="F114" s="46">
        <f>I99+Pesos!F26</f>
        <v>1752.9690108231707</v>
      </c>
      <c r="G114" s="47">
        <f t="shared" si="1"/>
        <v>82506.68218297506</v>
      </c>
      <c r="H114" s="48">
        <f t="shared" si="2"/>
        <v>0.18996732767977415</v>
      </c>
      <c r="I114" s="142">
        <f t="shared" si="3"/>
        <v>156.68425862253986</v>
      </c>
      <c r="J114" s="142"/>
    </row>
    <row r="115" spans="1:10" ht="12.75">
      <c r="A115" s="34"/>
      <c r="B115" s="8">
        <v>3</v>
      </c>
      <c r="C115" s="142">
        <f>13/3.28+C116</f>
        <v>12.5</v>
      </c>
      <c r="D115" s="142"/>
      <c r="E115" s="47">
        <f t="shared" si="0"/>
        <v>32.229329303788944</v>
      </c>
      <c r="F115" s="46">
        <f>I99+Pesos!F35</f>
        <v>1752.9690108231707</v>
      </c>
      <c r="G115" s="47">
        <f t="shared" si="1"/>
        <v>56497.015509157136</v>
      </c>
      <c r="H115" s="48">
        <f t="shared" si="2"/>
        <v>0.13008142824548052</v>
      </c>
      <c r="I115" s="142">
        <f t="shared" si="3"/>
        <v>107.29061883505284</v>
      </c>
      <c r="J115" s="142"/>
    </row>
    <row r="116" spans="1:10" ht="12.75">
      <c r="A116" s="34"/>
      <c r="B116" s="8">
        <v>2</v>
      </c>
      <c r="C116" s="142">
        <f>13/3.28+C117</f>
        <v>8.536585365853659</v>
      </c>
      <c r="D116" s="142"/>
      <c r="E116" s="47">
        <f t="shared" si="0"/>
        <v>19.077249428501915</v>
      </c>
      <c r="F116" s="46">
        <f>I99+Pesos!F44</f>
        <v>1764.1234448780488</v>
      </c>
      <c r="G116" s="47">
        <f t="shared" si="1"/>
        <v>33654.62298060658</v>
      </c>
      <c r="H116" s="48">
        <f t="shared" si="2"/>
        <v>0.07748801215297658</v>
      </c>
      <c r="I116" s="142">
        <f t="shared" si="3"/>
        <v>63.91178885660645</v>
      </c>
      <c r="J116" s="142"/>
    </row>
    <row r="117" spans="1:10" ht="12.75">
      <c r="A117" s="34"/>
      <c r="B117" s="8">
        <v>1</v>
      </c>
      <c r="C117" s="142">
        <f>15/3.28</f>
        <v>4.573170731707317</v>
      </c>
      <c r="D117" s="142"/>
      <c r="E117" s="47">
        <f t="shared" si="0"/>
        <v>8.08721420002979</v>
      </c>
      <c r="F117" s="46">
        <f>I99+Pesos!F53</f>
        <v>1820.336164207317</v>
      </c>
      <c r="G117" s="47">
        <f t="shared" si="1"/>
        <v>14721.448476005173</v>
      </c>
      <c r="H117" s="48">
        <f t="shared" si="2"/>
        <v>0.03389536644268618</v>
      </c>
      <c r="I117" s="142">
        <f t="shared" si="3"/>
        <v>27.956756704837566</v>
      </c>
      <c r="J117" s="142"/>
    </row>
    <row r="118" spans="1:10" ht="12.75">
      <c r="A118" s="34"/>
      <c r="B118" s="34"/>
      <c r="C118" s="34"/>
      <c r="D118" s="34"/>
      <c r="E118" s="34"/>
      <c r="F118" s="63"/>
      <c r="G118" s="47">
        <f>SUM(G112:G117)</f>
        <v>434320.381250273</v>
      </c>
      <c r="I118" s="143">
        <f>SUM(I112:J117)</f>
        <v>824.7958242938531</v>
      </c>
      <c r="J118" s="144"/>
    </row>
    <row r="119" spans="1:10" ht="12.75">
      <c r="A119" s="34"/>
      <c r="B119" s="34"/>
      <c r="C119" s="34"/>
      <c r="D119" s="34"/>
      <c r="E119" s="34"/>
      <c r="F119" s="63"/>
      <c r="G119" s="77"/>
      <c r="J119"/>
    </row>
    <row r="120" spans="2:10" ht="15">
      <c r="B120" s="76" t="s">
        <v>67</v>
      </c>
      <c r="C120">
        <f>IF(C85&lt;=$C$81,C85,$C$81)</f>
        <v>1.3054434292061365</v>
      </c>
      <c r="D120" t="s">
        <v>61</v>
      </c>
      <c r="F120" s="74"/>
      <c r="J120"/>
    </row>
    <row r="121" spans="2:10" ht="12.75">
      <c r="B121" s="9"/>
      <c r="F121" s="74"/>
      <c r="J121"/>
    </row>
    <row r="122" spans="3:10" ht="12.75">
      <c r="C122" s="131" t="s">
        <v>68</v>
      </c>
      <c r="D122" s="131"/>
      <c r="E122" s="131"/>
      <c r="F122" s="6" t="s">
        <v>69</v>
      </c>
      <c r="G122" s="15">
        <v>0.01</v>
      </c>
      <c r="H122" t="str">
        <f>IF(C117&gt;=0.01,"OK","NO")</f>
        <v>OK</v>
      </c>
      <c r="J122"/>
    </row>
    <row r="123" spans="6:11" ht="12.75">
      <c r="F123" s="6" t="s">
        <v>70</v>
      </c>
      <c r="G123" s="28">
        <f>$E$76/C120/($C$77/$C$78)</f>
        <v>0.07660232359575456</v>
      </c>
      <c r="H123" s="129" t="str">
        <f>IF($C$80&lt;=G123,"? OK","? no, entonces Cs =")</f>
        <v>? no, entonces Cs =</v>
      </c>
      <c r="I123" s="129"/>
      <c r="J123" s="129"/>
      <c r="K123" s="19">
        <f>IF(H123="? no, entonces Cs =",G123," ")</f>
        <v>0.07660232359575456</v>
      </c>
    </row>
    <row r="124" spans="6:10" ht="12.75">
      <c r="F124" s="6" t="s">
        <v>59</v>
      </c>
      <c r="G124" s="28">
        <f>IF(K123=G123,K123,$C$80)</f>
        <v>0.07660232359575456</v>
      </c>
      <c r="J124"/>
    </row>
    <row r="125" spans="3:10" ht="15.75">
      <c r="C125" s="145" t="s">
        <v>71</v>
      </c>
      <c r="D125" s="145"/>
      <c r="E125" s="6">
        <v>0.6</v>
      </c>
      <c r="F125" s="6" t="str">
        <f>IF($E$76&gt;=E125,"Cs &gt;","No aplica")</f>
        <v>Cs &gt;</v>
      </c>
      <c r="G125" s="28">
        <f>IF(F125="No aplica","No aplica",0.5*$E$76/$C$77)</f>
        <v>0.04999999999999999</v>
      </c>
      <c r="H125" s="129" t="str">
        <f>IF(G125="No aplica"," ",IF(G125&gt;=G124,"MAL","OK"))</f>
        <v>OK</v>
      </c>
      <c r="I125" s="129"/>
      <c r="J125" s="129"/>
    </row>
    <row r="126" spans="10:11" ht="12.75">
      <c r="J126"/>
      <c r="K126" s="29" t="str">
        <f>IF(H125="no, entonces Cs =",G125," ")</f>
        <v> </v>
      </c>
    </row>
    <row r="127" spans="6:10" ht="12.75">
      <c r="F127" s="6" t="s">
        <v>72</v>
      </c>
      <c r="G127" s="61" t="s">
        <v>155</v>
      </c>
      <c r="H127" s="30">
        <f>IF(H125="OK",G124,IF(H125=" ",G124,IF(H125="MAL",G125,"VALI TOLETE")))</f>
        <v>0.07660232359575456</v>
      </c>
      <c r="J127"/>
    </row>
    <row r="128" ht="12.75">
      <c r="J128"/>
    </row>
    <row r="129" ht="12.75">
      <c r="J129"/>
    </row>
    <row r="130" spans="2:10" ht="12.75">
      <c r="B130" s="13" t="s">
        <v>165</v>
      </c>
      <c r="C130" s="130">
        <f>H127*($E$61+$E$62)</f>
        <v>789.7659579123111</v>
      </c>
      <c r="D130" s="130"/>
      <c r="E130" t="s">
        <v>73</v>
      </c>
      <c r="J130"/>
    </row>
    <row r="131" spans="2:10" ht="12.75">
      <c r="B131" s="13"/>
      <c r="C131" s="31"/>
      <c r="D131" s="31"/>
      <c r="E131" s="32"/>
      <c r="G131" s="6" t="s">
        <v>74</v>
      </c>
      <c r="I131" s="52">
        <v>1566.03</v>
      </c>
      <c r="J131"/>
    </row>
    <row r="132" spans="2:10" ht="12.75">
      <c r="B132" s="23" t="s">
        <v>75</v>
      </c>
      <c r="C132" s="33"/>
      <c r="D132" s="34"/>
      <c r="E132" s="32"/>
      <c r="F132" s="81"/>
      <c r="G132" s="6" t="s">
        <v>79</v>
      </c>
      <c r="H132" s="6"/>
      <c r="I132">
        <v>1355.22</v>
      </c>
      <c r="J132"/>
    </row>
    <row r="133" spans="1:10" ht="12.75">
      <c r="A133" s="9" t="s">
        <v>78</v>
      </c>
      <c r="B133" s="2">
        <v>1</v>
      </c>
      <c r="C133" s="22" t="s">
        <v>64</v>
      </c>
      <c r="D133" s="125">
        <v>0.5</v>
      </c>
      <c r="E133" s="125"/>
      <c r="J133"/>
    </row>
    <row r="134" spans="1:10" ht="12.75">
      <c r="A134" s="35" t="s">
        <v>78</v>
      </c>
      <c r="B134" s="36">
        <v>2</v>
      </c>
      <c r="C134" s="37" t="s">
        <v>64</v>
      </c>
      <c r="D134" s="126">
        <v>2.5</v>
      </c>
      <c r="E134" s="126"/>
      <c r="F134" s="63"/>
      <c r="G134" s="63"/>
      <c r="J134"/>
    </row>
    <row r="135" spans="1:10" ht="12.75">
      <c r="A135" s="34"/>
      <c r="B135" s="34"/>
      <c r="C135" s="38" t="s">
        <v>64</v>
      </c>
      <c r="D135" s="127">
        <f>C120</f>
        <v>1.3054434292061365</v>
      </c>
      <c r="E135" s="128"/>
      <c r="F135" s="63"/>
      <c r="G135" s="63"/>
      <c r="J135"/>
    </row>
    <row r="136" spans="1:10" ht="12.75">
      <c r="A136" s="34"/>
      <c r="D136" s="34"/>
      <c r="E136" s="34"/>
      <c r="F136" s="63"/>
      <c r="G136" s="63"/>
      <c r="J136"/>
    </row>
    <row r="137" spans="1:10" ht="12.75">
      <c r="A137" s="34"/>
      <c r="B137" s="39" t="s">
        <v>80</v>
      </c>
      <c r="C137" s="40">
        <f>B134-B133</f>
        <v>1</v>
      </c>
      <c r="D137" s="34"/>
      <c r="E137" s="34"/>
      <c r="F137" s="63"/>
      <c r="G137" s="63"/>
      <c r="J137"/>
    </row>
    <row r="138" spans="1:10" ht="12.75">
      <c r="A138" s="34"/>
      <c r="B138" s="39" t="s">
        <v>81</v>
      </c>
      <c r="C138" s="40">
        <f>D134-D133</f>
        <v>2</v>
      </c>
      <c r="D138" s="34"/>
      <c r="E138" s="34"/>
      <c r="F138" s="63"/>
      <c r="G138" s="63"/>
      <c r="J138"/>
    </row>
    <row r="139" spans="1:10" ht="12.75">
      <c r="A139" s="34"/>
      <c r="B139" s="39" t="s">
        <v>82</v>
      </c>
      <c r="C139" s="34">
        <f>D134-D135</f>
        <v>1.1945565707938635</v>
      </c>
      <c r="D139" s="34"/>
      <c r="E139" s="34"/>
      <c r="F139" s="63"/>
      <c r="G139" s="63"/>
      <c r="J139"/>
    </row>
    <row r="140" spans="1:10" ht="12.75">
      <c r="A140" s="34"/>
      <c r="B140" s="39" t="s">
        <v>80</v>
      </c>
      <c r="C140" s="34">
        <f>C139*C137/C138</f>
        <v>0.5972782853969317</v>
      </c>
      <c r="D140" s="34"/>
      <c r="E140" s="34"/>
      <c r="F140" s="63"/>
      <c r="G140" s="63"/>
      <c r="J140"/>
    </row>
    <row r="141" spans="1:10" ht="12.75">
      <c r="A141" s="34"/>
      <c r="B141" s="41" t="s">
        <v>78</v>
      </c>
      <c r="C141" s="34">
        <f>B134-C140</f>
        <v>1.4027217146030684</v>
      </c>
      <c r="D141" s="34"/>
      <c r="E141" s="34" t="s">
        <v>83</v>
      </c>
      <c r="F141" s="63"/>
      <c r="G141" s="63"/>
      <c r="J141"/>
    </row>
    <row r="142" spans="1:10" ht="12.75">
      <c r="A142" s="34"/>
      <c r="B142" s="34"/>
      <c r="C142" s="34"/>
      <c r="D142" s="34"/>
      <c r="E142" s="34"/>
      <c r="F142" s="63"/>
      <c r="G142" s="63"/>
      <c r="J142"/>
    </row>
    <row r="143" spans="1:10" ht="15">
      <c r="A143" s="34"/>
      <c r="B143" s="42" t="s">
        <v>84</v>
      </c>
      <c r="C143" s="122" t="s">
        <v>85</v>
      </c>
      <c r="D143" s="122"/>
      <c r="E143" s="42" t="s">
        <v>86</v>
      </c>
      <c r="F143" s="43" t="s">
        <v>105</v>
      </c>
      <c r="G143" s="42" t="s">
        <v>87</v>
      </c>
      <c r="H143" s="44" t="s">
        <v>157</v>
      </c>
      <c r="I143" s="122" t="s">
        <v>156</v>
      </c>
      <c r="J143" s="122"/>
    </row>
    <row r="144" spans="1:12" ht="12.75">
      <c r="A144" s="34"/>
      <c r="B144" s="16">
        <v>6</v>
      </c>
      <c r="C144" s="141">
        <f>13/3.28+C145</f>
        <v>24.39024390243903</v>
      </c>
      <c r="D144" s="141"/>
      <c r="E144" s="45">
        <f aca="true" t="shared" si="4" ref="E144:E149">C144^$C$109</f>
        <v>80.80201609463326</v>
      </c>
      <c r="F144" s="46">
        <f aca="true" t="shared" si="5" ref="F144:F149">F112</f>
        <v>1700.8269647609757</v>
      </c>
      <c r="G144" s="47">
        <f aca="true" t="shared" si="6" ref="G144:G149">F144*E144</f>
        <v>137430.2477808026</v>
      </c>
      <c r="H144" s="48">
        <f aca="true" t="shared" si="7" ref="H144:H149">G144/$G$150</f>
        <v>0.3164259696613448</v>
      </c>
      <c r="I144" s="142">
        <f aca="true" t="shared" si="8" ref="I144:I149">H144*$C$130</f>
        <v>249.90245903792388</v>
      </c>
      <c r="J144" s="142"/>
      <c r="K144" s="85">
        <f>I144/I144</f>
        <v>1</v>
      </c>
      <c r="L144" s="85">
        <f aca="true" t="shared" si="9" ref="L144:L149">K144/7</f>
        <v>0.14285714285714285</v>
      </c>
    </row>
    <row r="145" spans="1:12" ht="12.75">
      <c r="A145" s="34"/>
      <c r="B145" s="16">
        <v>5</v>
      </c>
      <c r="C145" s="141">
        <f>13/3.28+C146</f>
        <v>20.426829268292686</v>
      </c>
      <c r="D145" s="141"/>
      <c r="E145" s="45">
        <f t="shared" si="4"/>
        <v>63.31787317107031</v>
      </c>
      <c r="F145" s="46">
        <f t="shared" si="5"/>
        <v>1729.5332081804877</v>
      </c>
      <c r="G145" s="47">
        <f t="shared" si="6"/>
        <v>109510.36432072647</v>
      </c>
      <c r="H145" s="48">
        <f t="shared" si="7"/>
        <v>0.2521418958177377</v>
      </c>
      <c r="I145" s="142">
        <f t="shared" si="8"/>
        <v>199.13308588032177</v>
      </c>
      <c r="J145" s="142"/>
      <c r="K145" s="85">
        <f>I145/$I$144</f>
        <v>0.7968432429474509</v>
      </c>
      <c r="L145" s="85">
        <f t="shared" si="9"/>
        <v>0.11383474899249299</v>
      </c>
    </row>
    <row r="146" spans="1:12" ht="12.75">
      <c r="A146" s="34"/>
      <c r="B146" s="16">
        <v>4</v>
      </c>
      <c r="C146" s="141">
        <f>13/3.28+C147</f>
        <v>16.463414634146343</v>
      </c>
      <c r="D146" s="141"/>
      <c r="E146" s="45">
        <f t="shared" si="4"/>
        <v>47.06682301487522</v>
      </c>
      <c r="F146" s="46">
        <f t="shared" si="5"/>
        <v>1752.9690108231707</v>
      </c>
      <c r="G146" s="47">
        <f t="shared" si="6"/>
        <v>82506.68218297506</v>
      </c>
      <c r="H146" s="48">
        <f t="shared" si="7"/>
        <v>0.18996732767977415</v>
      </c>
      <c r="I146" s="142">
        <f t="shared" si="8"/>
        <v>150.02972851705871</v>
      </c>
      <c r="J146" s="142"/>
      <c r="K146" s="85">
        <f>I146/$I$144</f>
        <v>0.6003531501636444</v>
      </c>
      <c r="L146" s="85">
        <f t="shared" si="9"/>
        <v>0.0857647357376635</v>
      </c>
    </row>
    <row r="147" spans="1:12" ht="12.75">
      <c r="A147" s="34"/>
      <c r="B147" s="8">
        <v>3</v>
      </c>
      <c r="C147" s="141">
        <f>13/3.28+C148</f>
        <v>12.5</v>
      </c>
      <c r="D147" s="141"/>
      <c r="E147" s="45">
        <f t="shared" si="4"/>
        <v>32.229329303788944</v>
      </c>
      <c r="F147" s="46">
        <f t="shared" si="5"/>
        <v>1752.9690108231707</v>
      </c>
      <c r="G147" s="47">
        <f t="shared" si="6"/>
        <v>56497.015509157136</v>
      </c>
      <c r="H147" s="48">
        <f t="shared" si="7"/>
        <v>0.13008142824548052</v>
      </c>
      <c r="I147" s="142">
        <f t="shared" si="8"/>
        <v>102.7338837848935</v>
      </c>
      <c r="J147" s="142"/>
      <c r="K147" s="85">
        <f>I147/$I$144</f>
        <v>0.4110959299096098</v>
      </c>
      <c r="L147" s="85">
        <f t="shared" si="9"/>
        <v>0.058727989987087115</v>
      </c>
    </row>
    <row r="148" spans="1:12" ht="12.75">
      <c r="A148" s="34"/>
      <c r="B148" s="8">
        <v>2</v>
      </c>
      <c r="C148" s="141">
        <f>13/3.28+C149</f>
        <v>8.536585365853659</v>
      </c>
      <c r="D148" s="141"/>
      <c r="E148" s="45">
        <f t="shared" si="4"/>
        <v>19.077249428501915</v>
      </c>
      <c r="F148" s="46">
        <f t="shared" si="5"/>
        <v>1764.1234448780488</v>
      </c>
      <c r="G148" s="47">
        <f t="shared" si="6"/>
        <v>33654.62298060658</v>
      </c>
      <c r="H148" s="48">
        <f t="shared" si="7"/>
        <v>0.07748801215297658</v>
      </c>
      <c r="I148" s="142">
        <f t="shared" si="8"/>
        <v>61.19739414471636</v>
      </c>
      <c r="J148" s="142"/>
      <c r="K148" s="85">
        <f>I148/$I$144</f>
        <v>0.24488512190041864</v>
      </c>
      <c r="L148" s="85">
        <f t="shared" si="9"/>
        <v>0.03498358884291695</v>
      </c>
    </row>
    <row r="149" spans="1:12" ht="12.75">
      <c r="A149" s="34"/>
      <c r="B149" s="8">
        <v>1</v>
      </c>
      <c r="C149" s="141">
        <f>15/3.28</f>
        <v>4.573170731707317</v>
      </c>
      <c r="D149" s="141"/>
      <c r="E149" s="45">
        <f t="shared" si="4"/>
        <v>8.08721420002979</v>
      </c>
      <c r="F149" s="46">
        <f t="shared" si="5"/>
        <v>1820.336164207317</v>
      </c>
      <c r="G149" s="47">
        <f t="shared" si="6"/>
        <v>14721.448476005173</v>
      </c>
      <c r="H149" s="48">
        <f t="shared" si="7"/>
        <v>0.03389536644268618</v>
      </c>
      <c r="I149" s="142">
        <f t="shared" si="8"/>
        <v>26.76940654739686</v>
      </c>
      <c r="J149" s="142"/>
      <c r="K149" s="85">
        <f>I149/$I$144</f>
        <v>0.10711942031484561</v>
      </c>
      <c r="L149" s="85">
        <f t="shared" si="9"/>
        <v>0.01530277433069223</v>
      </c>
    </row>
    <row r="150" spans="1:10" ht="12.75">
      <c r="A150" s="34"/>
      <c r="B150" s="34"/>
      <c r="C150" s="34"/>
      <c r="D150" s="34"/>
      <c r="E150" s="34"/>
      <c r="F150" s="63"/>
      <c r="G150" s="47">
        <f>SUM(G144:G149)</f>
        <v>434320.381250273</v>
      </c>
      <c r="I150" s="143">
        <f>SUM(I144:J149)</f>
        <v>789.765957912311</v>
      </c>
      <c r="J150" s="144"/>
    </row>
    <row r="151" spans="1:10" ht="12.75">
      <c r="A151" s="34"/>
      <c r="B151" s="34"/>
      <c r="C151" s="34"/>
      <c r="D151" s="34"/>
      <c r="E151" s="34"/>
      <c r="F151" s="63"/>
      <c r="G151" s="77"/>
      <c r="J151"/>
    </row>
    <row r="152" spans="1:7" ht="12.75">
      <c r="A152" s="145" t="s">
        <v>160</v>
      </c>
      <c r="B152" s="145"/>
      <c r="C152" s="145"/>
      <c r="F152"/>
      <c r="G152"/>
    </row>
    <row r="153" spans="1:9" ht="15.75">
      <c r="A153" s="155" t="s">
        <v>158</v>
      </c>
      <c r="B153" s="155"/>
      <c r="C153" s="155"/>
      <c r="D153" s="155"/>
      <c r="E153" s="155"/>
      <c r="F153" s="155"/>
      <c r="G153" s="155"/>
      <c r="H153" s="155"/>
      <c r="I153" s="155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10" ht="14.25">
      <c r="A155" s="154" t="s">
        <v>159</v>
      </c>
      <c r="B155" s="154"/>
      <c r="C155" s="154"/>
      <c r="D155" s="154"/>
      <c r="F155"/>
      <c r="G155"/>
      <c r="J155"/>
    </row>
    <row r="156" spans="1:10" ht="12.75">
      <c r="A156" s="34"/>
      <c r="B156" s="34"/>
      <c r="C156" s="34"/>
      <c r="D156" s="34"/>
      <c r="E156" s="34"/>
      <c r="F156" s="63"/>
      <c r="G156" s="77"/>
      <c r="J156"/>
    </row>
    <row r="157" spans="2:10" ht="12.75">
      <c r="B157" s="23" t="s">
        <v>39</v>
      </c>
      <c r="C157" s="23"/>
      <c r="J157"/>
    </row>
    <row r="158" spans="2:10" ht="12.75">
      <c r="B158" s="23"/>
      <c r="C158" s="23"/>
      <c r="J158"/>
    </row>
    <row r="159" spans="2:10" ht="12.75">
      <c r="B159" s="9" t="s">
        <v>40</v>
      </c>
      <c r="C159" s="9">
        <v>1.5</v>
      </c>
      <c r="D159" s="9"/>
      <c r="E159" s="9"/>
      <c r="J159"/>
    </row>
    <row r="160" spans="2:10" ht="12.75">
      <c r="B160" s="9" t="s">
        <v>41</v>
      </c>
      <c r="C160" s="9">
        <v>0.6</v>
      </c>
      <c r="D160" s="9"/>
      <c r="E160" s="9"/>
      <c r="J160"/>
    </row>
    <row r="161" spans="2:10" ht="12.75">
      <c r="B161" s="9" t="s">
        <v>42</v>
      </c>
      <c r="C161" s="9">
        <v>1</v>
      </c>
      <c r="D161" s="9"/>
      <c r="E161" s="9"/>
      <c r="J161"/>
    </row>
    <row r="162" spans="2:10" ht="12.75">
      <c r="B162" s="9" t="s">
        <v>43</v>
      </c>
      <c r="C162" s="9">
        <v>1.5</v>
      </c>
      <c r="D162" s="9"/>
      <c r="E162" s="9"/>
      <c r="J162"/>
    </row>
    <row r="163" spans="2:10" ht="15.75">
      <c r="B163" s="9" t="s">
        <v>44</v>
      </c>
      <c r="C163" s="132" t="s">
        <v>45</v>
      </c>
      <c r="D163" s="132"/>
      <c r="E163" s="6">
        <f>C161*C159</f>
        <v>1.5</v>
      </c>
      <c r="J163"/>
    </row>
    <row r="164" spans="2:10" ht="15.75">
      <c r="B164" s="9" t="s">
        <v>46</v>
      </c>
      <c r="C164" s="132" t="s">
        <v>47</v>
      </c>
      <c r="D164" s="132"/>
      <c r="E164" s="6">
        <f>C162*C160</f>
        <v>0.8999999999999999</v>
      </c>
      <c r="J164"/>
    </row>
    <row r="165" spans="2:11" ht="18.75">
      <c r="B165" s="9" t="s">
        <v>48</v>
      </c>
      <c r="C165" s="132" t="s">
        <v>49</v>
      </c>
      <c r="D165" s="132"/>
      <c r="E165" s="24">
        <f>2/3*E163</f>
        <v>1</v>
      </c>
      <c r="H165" s="133" t="s">
        <v>50</v>
      </c>
      <c r="I165" s="133"/>
      <c r="J165" s="9" t="s">
        <v>51</v>
      </c>
      <c r="K165" s="17">
        <v>1.4</v>
      </c>
    </row>
    <row r="166" spans="2:10" ht="15.75">
      <c r="B166" s="9" t="s">
        <v>52</v>
      </c>
      <c r="C166" s="132" t="s">
        <v>53</v>
      </c>
      <c r="D166" s="132"/>
      <c r="E166" s="24">
        <f>2/3*E164</f>
        <v>0.5999999999999999</v>
      </c>
      <c r="J166"/>
    </row>
    <row r="167" spans="2:10" ht="15.75">
      <c r="B167" s="13" t="s">
        <v>54</v>
      </c>
      <c r="C167" s="13">
        <v>6</v>
      </c>
      <c r="D167" s="9"/>
      <c r="E167" s="9"/>
      <c r="I167" s="6" t="s">
        <v>55</v>
      </c>
      <c r="J167">
        <v>0.028</v>
      </c>
    </row>
    <row r="168" spans="2:10" ht="15.75">
      <c r="B168" s="9" t="s">
        <v>56</v>
      </c>
      <c r="C168">
        <v>1</v>
      </c>
      <c r="I168" s="6" t="s">
        <v>57</v>
      </c>
      <c r="J168" s="25">
        <v>80</v>
      </c>
    </row>
    <row r="169" spans="9:10" ht="12.75">
      <c r="I169" s="6" t="s">
        <v>58</v>
      </c>
      <c r="J169">
        <v>0.8</v>
      </c>
    </row>
    <row r="170" spans="2:10" ht="12.75">
      <c r="B170" s="22" t="s">
        <v>59</v>
      </c>
      <c r="C170" s="26">
        <f>E165/C167*C168</f>
        <v>0.16666666666666666</v>
      </c>
      <c r="I170" s="6" t="s">
        <v>62</v>
      </c>
      <c r="J170">
        <v>6</v>
      </c>
    </row>
    <row r="171" spans="2:10" ht="12.75">
      <c r="B171" s="9" t="s">
        <v>63</v>
      </c>
      <c r="C171">
        <f>J167*(J168^J169)</f>
        <v>0.9324595922900976</v>
      </c>
      <c r="D171" t="s">
        <v>61</v>
      </c>
      <c r="G171" s="27"/>
      <c r="J171"/>
    </row>
    <row r="172" spans="2:10" ht="12.75">
      <c r="B172" s="9" t="s">
        <v>63</v>
      </c>
      <c r="C172">
        <f>0.1*J170</f>
        <v>0.6000000000000001</v>
      </c>
      <c r="D172" t="s">
        <v>61</v>
      </c>
      <c r="J172"/>
    </row>
    <row r="173" spans="1:10" ht="12.75">
      <c r="A173" s="6" t="s">
        <v>65</v>
      </c>
      <c r="B173" s="92" t="s">
        <v>66</v>
      </c>
      <c r="C173" s="93">
        <f>C84</f>
        <v>1.25</v>
      </c>
      <c r="D173" t="s">
        <v>61</v>
      </c>
      <c r="J173"/>
    </row>
    <row r="174" spans="2:10" ht="12.75">
      <c r="B174" s="92" t="s">
        <v>67</v>
      </c>
      <c r="C174" s="93">
        <f>C85</f>
        <v>1.55</v>
      </c>
      <c r="D174" t="s">
        <v>61</v>
      </c>
      <c r="F174" s="74"/>
      <c r="J174"/>
    </row>
    <row r="175" spans="2:10" ht="12.75">
      <c r="B175" s="92" t="s">
        <v>121</v>
      </c>
      <c r="C175" s="93">
        <f>C86</f>
        <v>1.18</v>
      </c>
      <c r="D175" t="s">
        <v>61</v>
      </c>
      <c r="F175" s="74"/>
      <c r="J175"/>
    </row>
    <row r="176" spans="2:10" ht="12.75">
      <c r="B176" s="9"/>
      <c r="F176" s="74"/>
      <c r="J176"/>
    </row>
    <row r="177" spans="2:10" ht="15">
      <c r="B177" s="76" t="s">
        <v>66</v>
      </c>
      <c r="C177">
        <f>C173</f>
        <v>1.25</v>
      </c>
      <c r="D177" t="s">
        <v>61</v>
      </c>
      <c r="E177" s="91"/>
      <c r="F177" s="74"/>
      <c r="J177"/>
    </row>
    <row r="178" spans="2:10" ht="12.75">
      <c r="B178" s="9"/>
      <c r="F178" s="74"/>
      <c r="J178"/>
    </row>
    <row r="179" spans="3:10" ht="12.75">
      <c r="C179" s="131" t="s">
        <v>68</v>
      </c>
      <c r="D179" s="131"/>
      <c r="E179" s="131"/>
      <c r="F179" s="6" t="s">
        <v>69</v>
      </c>
      <c r="G179" s="15">
        <v>0.01</v>
      </c>
      <c r="H179" t="str">
        <f>IF(C170&gt;=0.01,"OK","NO")</f>
        <v>OK</v>
      </c>
      <c r="J179"/>
    </row>
    <row r="180" spans="6:11" ht="12.75">
      <c r="F180" s="6" t="s">
        <v>70</v>
      </c>
      <c r="G180" s="28">
        <f>$E$76/C177/($C$77/$C$78)</f>
        <v>0.07999999999999997</v>
      </c>
      <c r="H180" s="129" t="str">
        <f>IF($C$80&lt;=G180,"? OK","? no, entonces Cs =")</f>
        <v>? no, entonces Cs =</v>
      </c>
      <c r="I180" s="129"/>
      <c r="J180" s="129"/>
      <c r="K180" s="19">
        <f>IF(H180="? no, entonces Cs =",G180," ")</f>
        <v>0.07999999999999997</v>
      </c>
    </row>
    <row r="181" spans="6:10" ht="12.75">
      <c r="F181" s="6" t="s">
        <v>59</v>
      </c>
      <c r="G181" s="28">
        <f>IF(K180=G180,K180,$C$80)</f>
        <v>0.07999999999999997</v>
      </c>
      <c r="J181"/>
    </row>
    <row r="182" spans="3:10" ht="15.75">
      <c r="C182" s="145" t="s">
        <v>71</v>
      </c>
      <c r="D182" s="145"/>
      <c r="E182" s="6">
        <v>0.6</v>
      </c>
      <c r="F182" s="6" t="str">
        <f>IF($E$76&gt;=E182,"Cs &gt;","No aplica")</f>
        <v>Cs &gt;</v>
      </c>
      <c r="G182" s="28">
        <f>IF(F182="No aplica","No aplica",0.5*$E$76/$C$77)</f>
        <v>0.04999999999999999</v>
      </c>
      <c r="H182" s="129" t="str">
        <f>IF(G182="No aplica"," ",IF(G182&gt;=G181,"MAL","OK"))</f>
        <v>OK</v>
      </c>
      <c r="I182" s="129"/>
      <c r="J182" s="129"/>
    </row>
    <row r="183" spans="10:11" ht="12.75">
      <c r="J183"/>
      <c r="K183" s="29" t="str">
        <f>IF(H182="no, entonces Cs =",G182," ")</f>
        <v> </v>
      </c>
    </row>
    <row r="184" spans="6:10" ht="12.75">
      <c r="F184" s="6" t="s">
        <v>72</v>
      </c>
      <c r="G184" s="61" t="s">
        <v>153</v>
      </c>
      <c r="H184" s="30">
        <f>IF(H182="OK",G181,IF(H182=" ",G181,IF(H182="MAL",G182,"VALI TOLETE")))</f>
        <v>0.07999999999999997</v>
      </c>
      <c r="J184"/>
    </row>
    <row r="185" ht="12.75">
      <c r="J185"/>
    </row>
    <row r="186" ht="12.75">
      <c r="J186"/>
    </row>
    <row r="187" spans="2:10" ht="12.75">
      <c r="B187" s="13" t="s">
        <v>154</v>
      </c>
      <c r="C187" s="130">
        <f>$H$95*($E$61+$E$62)</f>
        <v>824.7958242938533</v>
      </c>
      <c r="D187" s="130"/>
      <c r="E187" t="s">
        <v>73</v>
      </c>
      <c r="J187"/>
    </row>
    <row r="188" spans="2:10" ht="12.75">
      <c r="B188" s="13"/>
      <c r="C188" s="31"/>
      <c r="D188" s="31"/>
      <c r="E188" s="32"/>
      <c r="G188" s="6" t="s">
        <v>74</v>
      </c>
      <c r="I188" s="52">
        <v>1566.03</v>
      </c>
      <c r="J188"/>
    </row>
    <row r="189" spans="2:10" ht="12.75">
      <c r="B189" s="23" t="s">
        <v>75</v>
      </c>
      <c r="C189" s="33"/>
      <c r="D189" s="34"/>
      <c r="E189" s="32"/>
      <c r="F189" s="81"/>
      <c r="G189" s="6" t="s">
        <v>79</v>
      </c>
      <c r="H189" s="6"/>
      <c r="I189">
        <v>1355.22</v>
      </c>
      <c r="J189"/>
    </row>
    <row r="190" spans="1:10" ht="12.75">
      <c r="A190" s="9" t="s">
        <v>78</v>
      </c>
      <c r="B190" s="2">
        <v>1</v>
      </c>
      <c r="C190" s="22" t="s">
        <v>64</v>
      </c>
      <c r="D190" s="125">
        <v>0.5</v>
      </c>
      <c r="E190" s="125"/>
      <c r="J190"/>
    </row>
    <row r="191" spans="1:10" ht="12.75">
      <c r="A191" s="35" t="s">
        <v>78</v>
      </c>
      <c r="B191" s="36">
        <v>2</v>
      </c>
      <c r="C191" s="37" t="s">
        <v>64</v>
      </c>
      <c r="D191" s="126">
        <v>2.5</v>
      </c>
      <c r="E191" s="126"/>
      <c r="F191" s="63"/>
      <c r="G191" s="63"/>
      <c r="J191"/>
    </row>
    <row r="192" spans="1:10" ht="12.75">
      <c r="A192" s="34"/>
      <c r="B192" s="34"/>
      <c r="C192" s="38" t="s">
        <v>64</v>
      </c>
      <c r="D192" s="127">
        <f>C177</f>
        <v>1.25</v>
      </c>
      <c r="E192" s="128"/>
      <c r="F192" s="63"/>
      <c r="G192" s="63"/>
      <c r="J192"/>
    </row>
    <row r="193" spans="1:10" ht="12.75">
      <c r="A193" s="34"/>
      <c r="D193" s="34"/>
      <c r="E193" s="34"/>
      <c r="F193" s="63"/>
      <c r="G193" s="63"/>
      <c r="J193"/>
    </row>
    <row r="194" spans="1:10" ht="12.75">
      <c r="A194" s="34"/>
      <c r="B194" s="39" t="s">
        <v>80</v>
      </c>
      <c r="C194" s="40">
        <f>B191-B190</f>
        <v>1</v>
      </c>
      <c r="D194" s="34"/>
      <c r="E194" s="34"/>
      <c r="F194" s="63"/>
      <c r="G194" s="63"/>
      <c r="J194"/>
    </row>
    <row r="195" spans="1:10" ht="12.75">
      <c r="A195" s="34"/>
      <c r="B195" s="39" t="s">
        <v>81</v>
      </c>
      <c r="C195" s="40">
        <f>D191-D190</f>
        <v>2</v>
      </c>
      <c r="D195" s="34"/>
      <c r="E195" s="34"/>
      <c r="F195" s="63"/>
      <c r="G195" s="63"/>
      <c r="J195"/>
    </row>
    <row r="196" spans="1:10" ht="12.75">
      <c r="A196" s="34"/>
      <c r="B196" s="39" t="s">
        <v>82</v>
      </c>
      <c r="C196" s="34">
        <f>D191-D192</f>
        <v>1.25</v>
      </c>
      <c r="D196" s="34"/>
      <c r="E196" s="34"/>
      <c r="F196" s="63"/>
      <c r="G196" s="63"/>
      <c r="J196"/>
    </row>
    <row r="197" spans="1:10" ht="12.75">
      <c r="A197" s="34"/>
      <c r="B197" s="39" t="s">
        <v>80</v>
      </c>
      <c r="C197" s="34">
        <f>C196*C194/C195</f>
        <v>0.625</v>
      </c>
      <c r="D197" s="34"/>
      <c r="E197" s="34"/>
      <c r="F197" s="63"/>
      <c r="G197" s="63"/>
      <c r="J197"/>
    </row>
    <row r="198" spans="1:10" ht="12.75">
      <c r="A198" s="34"/>
      <c r="B198" s="41" t="s">
        <v>78</v>
      </c>
      <c r="C198" s="34">
        <f>B191-C197</f>
        <v>1.375</v>
      </c>
      <c r="D198" s="34"/>
      <c r="E198" s="34" t="s">
        <v>83</v>
      </c>
      <c r="F198" s="63"/>
      <c r="G198" s="63"/>
      <c r="J198"/>
    </row>
    <row r="199" spans="1:10" ht="12.75">
      <c r="A199" s="34"/>
      <c r="B199" s="34"/>
      <c r="C199" s="34"/>
      <c r="D199" s="34"/>
      <c r="E199" s="34"/>
      <c r="F199" s="63"/>
      <c r="G199" s="63"/>
      <c r="J199"/>
    </row>
    <row r="200" spans="1:10" ht="15">
      <c r="A200" s="34"/>
      <c r="B200" s="42" t="s">
        <v>84</v>
      </c>
      <c r="C200" s="122" t="s">
        <v>85</v>
      </c>
      <c r="D200" s="122"/>
      <c r="E200" s="42" t="s">
        <v>86</v>
      </c>
      <c r="F200" s="43" t="s">
        <v>105</v>
      </c>
      <c r="G200" s="42" t="s">
        <v>87</v>
      </c>
      <c r="H200" s="44" t="s">
        <v>88</v>
      </c>
      <c r="I200" s="122" t="s">
        <v>89</v>
      </c>
      <c r="J200" s="122"/>
    </row>
    <row r="201" spans="1:10" ht="12.75">
      <c r="A201" s="34"/>
      <c r="B201" s="16">
        <v>6</v>
      </c>
      <c r="C201" s="141">
        <f>13/3.28+C202</f>
        <v>24.39024390243903</v>
      </c>
      <c r="D201" s="141"/>
      <c r="E201" s="45">
        <f aca="true" t="shared" si="10" ref="E201:E206">C201^$C$109</f>
        <v>80.80201609463326</v>
      </c>
      <c r="F201" s="46">
        <f aca="true" t="shared" si="11" ref="F201:F206">F144</f>
        <v>1700.8269647609757</v>
      </c>
      <c r="G201" s="47">
        <f aca="true" t="shared" si="12" ref="G201:G206">F201*E201</f>
        <v>137430.2477808026</v>
      </c>
      <c r="H201" s="48">
        <f aca="true" t="shared" si="13" ref="H201:H206">G201/$G$207</f>
        <v>0.3164259696613448</v>
      </c>
      <c r="I201" s="142">
        <f aca="true" t="shared" si="14" ref="I201:I206">H201*$C$187</f>
        <v>260.9868184748107</v>
      </c>
      <c r="J201" s="142"/>
    </row>
    <row r="202" spans="1:10" ht="12.75">
      <c r="A202" s="34"/>
      <c r="B202" s="16">
        <v>5</v>
      </c>
      <c r="C202" s="141">
        <f>13/3.28+C203</f>
        <v>20.426829268292686</v>
      </c>
      <c r="D202" s="141"/>
      <c r="E202" s="45">
        <f t="shared" si="10"/>
        <v>63.31787317107031</v>
      </c>
      <c r="F202" s="46">
        <f t="shared" si="11"/>
        <v>1729.5332081804877</v>
      </c>
      <c r="G202" s="47">
        <f t="shared" si="12"/>
        <v>109510.36432072647</v>
      </c>
      <c r="H202" s="48">
        <f t="shared" si="13"/>
        <v>0.2521418958177377</v>
      </c>
      <c r="I202" s="142">
        <f t="shared" si="14"/>
        <v>207.96558280000588</v>
      </c>
      <c r="J202" s="142"/>
    </row>
    <row r="203" spans="1:10" ht="12.75">
      <c r="A203" s="34"/>
      <c r="B203" s="16">
        <v>4</v>
      </c>
      <c r="C203" s="141">
        <f>13/3.28+C204</f>
        <v>16.463414634146343</v>
      </c>
      <c r="D203" s="141"/>
      <c r="E203" s="45">
        <f t="shared" si="10"/>
        <v>47.06682301487522</v>
      </c>
      <c r="F203" s="46">
        <f t="shared" si="11"/>
        <v>1752.9690108231707</v>
      </c>
      <c r="G203" s="47">
        <f t="shared" si="12"/>
        <v>82506.68218297506</v>
      </c>
      <c r="H203" s="48">
        <f t="shared" si="13"/>
        <v>0.18996732767977415</v>
      </c>
      <c r="I203" s="142">
        <f t="shared" si="14"/>
        <v>156.68425862253986</v>
      </c>
      <c r="J203" s="142"/>
    </row>
    <row r="204" spans="1:10" ht="12.75">
      <c r="A204" s="34"/>
      <c r="B204" s="8">
        <v>3</v>
      </c>
      <c r="C204" s="141">
        <f>13/3.28+C205</f>
        <v>12.5</v>
      </c>
      <c r="D204" s="141"/>
      <c r="E204" s="45">
        <f t="shared" si="10"/>
        <v>32.229329303788944</v>
      </c>
      <c r="F204" s="46">
        <f t="shared" si="11"/>
        <v>1752.9690108231707</v>
      </c>
      <c r="G204" s="47">
        <f t="shared" si="12"/>
        <v>56497.015509157136</v>
      </c>
      <c r="H204" s="48">
        <f t="shared" si="13"/>
        <v>0.13008142824548052</v>
      </c>
      <c r="I204" s="142">
        <f t="shared" si="14"/>
        <v>107.29061883505284</v>
      </c>
      <c r="J204" s="142"/>
    </row>
    <row r="205" spans="1:10" ht="12.75">
      <c r="A205" s="34"/>
      <c r="B205" s="8">
        <v>2</v>
      </c>
      <c r="C205" s="141">
        <f>13/3.28+C206</f>
        <v>8.536585365853659</v>
      </c>
      <c r="D205" s="141"/>
      <c r="E205" s="45">
        <f t="shared" si="10"/>
        <v>19.077249428501915</v>
      </c>
      <c r="F205" s="46">
        <f t="shared" si="11"/>
        <v>1764.1234448780488</v>
      </c>
      <c r="G205" s="47">
        <f t="shared" si="12"/>
        <v>33654.62298060658</v>
      </c>
      <c r="H205" s="48">
        <f t="shared" si="13"/>
        <v>0.07748801215297658</v>
      </c>
      <c r="I205" s="142">
        <f t="shared" si="14"/>
        <v>63.91178885660645</v>
      </c>
      <c r="J205" s="142"/>
    </row>
    <row r="206" spans="1:10" ht="12.75">
      <c r="A206" s="34"/>
      <c r="B206" s="8">
        <v>1</v>
      </c>
      <c r="C206" s="141">
        <f>15/3.28</f>
        <v>4.573170731707317</v>
      </c>
      <c r="D206" s="141"/>
      <c r="E206" s="45">
        <f t="shared" si="10"/>
        <v>8.08721420002979</v>
      </c>
      <c r="F206" s="46">
        <f t="shared" si="11"/>
        <v>1820.336164207317</v>
      </c>
      <c r="G206" s="47">
        <f t="shared" si="12"/>
        <v>14721.448476005173</v>
      </c>
      <c r="H206" s="48">
        <f t="shared" si="13"/>
        <v>0.03389536644268618</v>
      </c>
      <c r="I206" s="142">
        <f t="shared" si="14"/>
        <v>27.956756704837566</v>
      </c>
      <c r="J206" s="142"/>
    </row>
    <row r="207" spans="1:10" ht="12.75">
      <c r="A207" s="34"/>
      <c r="B207" s="34"/>
      <c r="C207" s="34"/>
      <c r="D207" s="34"/>
      <c r="E207" s="34"/>
      <c r="F207" s="63"/>
      <c r="G207" s="47">
        <f>SUM(G201:G206)</f>
        <v>434320.381250273</v>
      </c>
      <c r="I207" s="143">
        <f>SUM(I201:J206)</f>
        <v>824.7958242938531</v>
      </c>
      <c r="J207" s="144"/>
    </row>
    <row r="208" spans="1:10" ht="12.75">
      <c r="A208" s="34"/>
      <c r="B208" s="34"/>
      <c r="C208" s="34"/>
      <c r="D208" s="34"/>
      <c r="E208" s="34"/>
      <c r="F208" s="63"/>
      <c r="G208" s="77"/>
      <c r="J208"/>
    </row>
    <row r="209" spans="2:10" ht="15">
      <c r="B209" s="76" t="s">
        <v>67</v>
      </c>
      <c r="C209" s="4">
        <f>C174</f>
        <v>1.55</v>
      </c>
      <c r="D209" t="s">
        <v>61</v>
      </c>
      <c r="E209" s="91"/>
      <c r="F209" s="74"/>
      <c r="J209"/>
    </row>
    <row r="210" spans="2:10" ht="12.75">
      <c r="B210" s="9"/>
      <c r="F210" s="74"/>
      <c r="J210"/>
    </row>
    <row r="211" spans="3:10" ht="12.75">
      <c r="C211" s="131" t="s">
        <v>68</v>
      </c>
      <c r="D211" s="131"/>
      <c r="E211" s="131"/>
      <c r="F211" s="6" t="s">
        <v>69</v>
      </c>
      <c r="G211" s="15">
        <v>0.01</v>
      </c>
      <c r="H211" t="str">
        <f>IF(C206&gt;=0.01,"OK","NO")</f>
        <v>OK</v>
      </c>
      <c r="J211"/>
    </row>
    <row r="212" spans="6:11" ht="12.75">
      <c r="F212" s="6" t="s">
        <v>70</v>
      </c>
      <c r="G212" s="28">
        <f>$E$76/C209/($C$77/$C$78)</f>
        <v>0.06451612903225805</v>
      </c>
      <c r="H212" s="129" t="str">
        <f>IF($C$80&lt;=G212,"? OK","? no, entonces Cs =")</f>
        <v>? no, entonces Cs =</v>
      </c>
      <c r="I212" s="129"/>
      <c r="J212" s="129"/>
      <c r="K212" s="19">
        <f>IF(H212="? no, entonces Cs =",G212," ")</f>
        <v>0.06451612903225805</v>
      </c>
    </row>
    <row r="213" spans="6:10" ht="12.75">
      <c r="F213" s="6" t="s">
        <v>59</v>
      </c>
      <c r="G213" s="28">
        <f>IF(K212=G212,K212,$C$80)</f>
        <v>0.06451612903225805</v>
      </c>
      <c r="J213"/>
    </row>
    <row r="214" spans="3:10" ht="15.75">
      <c r="C214" s="145" t="s">
        <v>71</v>
      </c>
      <c r="D214" s="145"/>
      <c r="E214" s="6">
        <v>0.6</v>
      </c>
      <c r="F214" s="6" t="str">
        <f>IF($E$76&gt;=E214,"Cs &gt;","No aplica")</f>
        <v>Cs &gt;</v>
      </c>
      <c r="G214" s="28">
        <f>IF(F214="No aplica","No aplica",0.5*$E$76/$C$77)</f>
        <v>0.04999999999999999</v>
      </c>
      <c r="H214" s="129" t="str">
        <f>IF(G214="No aplica"," ",IF(G214&gt;=G213,"MAL","OK"))</f>
        <v>OK</v>
      </c>
      <c r="I214" s="129"/>
      <c r="J214" s="129"/>
    </row>
    <row r="215" spans="10:11" ht="12.75">
      <c r="J215"/>
      <c r="K215" s="29" t="str">
        <f>IF(H214="no, entonces Cs =",G214," ")</f>
        <v> </v>
      </c>
    </row>
    <row r="216" spans="6:10" ht="12.75">
      <c r="F216" s="6" t="s">
        <v>72</v>
      </c>
      <c r="G216" s="61" t="s">
        <v>155</v>
      </c>
      <c r="H216" s="30">
        <f>IF(H214="OK",G213,IF(H214=" ",G213,IF(H214="MAL",G214,"VALI TOLETE")))</f>
        <v>0.06451612903225805</v>
      </c>
      <c r="J216"/>
    </row>
    <row r="217" ht="12.75">
      <c r="J217"/>
    </row>
    <row r="218" ht="12.75">
      <c r="J218"/>
    </row>
    <row r="219" spans="2:10" ht="12.75">
      <c r="B219" s="13" t="s">
        <v>165</v>
      </c>
      <c r="C219" s="130">
        <f>H216*($E$61+$E$62)</f>
        <v>665.1579228176238</v>
      </c>
      <c r="D219" s="130"/>
      <c r="E219" t="s">
        <v>73</v>
      </c>
      <c r="J219"/>
    </row>
    <row r="220" spans="2:10" ht="12.75">
      <c r="B220" s="13"/>
      <c r="C220" s="31"/>
      <c r="D220" s="31"/>
      <c r="E220" s="32"/>
      <c r="G220" s="6" t="s">
        <v>74</v>
      </c>
      <c r="I220" s="52">
        <v>1566.03</v>
      </c>
      <c r="J220"/>
    </row>
    <row r="221" spans="2:10" ht="12.75">
      <c r="B221" s="23" t="s">
        <v>75</v>
      </c>
      <c r="C221" s="33"/>
      <c r="D221" s="34"/>
      <c r="E221" s="32"/>
      <c r="F221" s="145" t="s">
        <v>76</v>
      </c>
      <c r="G221" s="145"/>
      <c r="H221" s="145"/>
      <c r="I221" t="e">
        <f>#REF!</f>
        <v>#REF!</v>
      </c>
      <c r="J221" t="s">
        <v>77</v>
      </c>
    </row>
    <row r="222" spans="1:10" ht="12.75">
      <c r="A222" s="9" t="s">
        <v>78</v>
      </c>
      <c r="B222" s="2">
        <v>1</v>
      </c>
      <c r="C222" s="22" t="s">
        <v>64</v>
      </c>
      <c r="D222" s="125">
        <v>0.5</v>
      </c>
      <c r="E222" s="125"/>
      <c r="G222" s="6" t="s">
        <v>79</v>
      </c>
      <c r="H222" s="6"/>
      <c r="I222">
        <v>1355.22</v>
      </c>
      <c r="J222"/>
    </row>
    <row r="223" spans="1:10" ht="12.75">
      <c r="A223" s="35" t="s">
        <v>78</v>
      </c>
      <c r="B223" s="36">
        <v>2</v>
      </c>
      <c r="C223" s="37" t="s">
        <v>64</v>
      </c>
      <c r="D223" s="126">
        <v>2.5</v>
      </c>
      <c r="E223" s="126"/>
      <c r="F223" s="63"/>
      <c r="G223" s="63"/>
      <c r="J223"/>
    </row>
    <row r="224" spans="1:10" ht="12.75">
      <c r="A224" s="34"/>
      <c r="B224" s="34"/>
      <c r="C224" s="38" t="s">
        <v>64</v>
      </c>
      <c r="D224" s="127">
        <f>C209</f>
        <v>1.55</v>
      </c>
      <c r="E224" s="128"/>
      <c r="F224" s="63"/>
      <c r="G224" s="63"/>
      <c r="J224"/>
    </row>
    <row r="225" spans="1:10" ht="12.75">
      <c r="A225" s="34"/>
      <c r="D225" s="34"/>
      <c r="E225" s="34"/>
      <c r="F225" s="63"/>
      <c r="G225" s="63"/>
      <c r="J225"/>
    </row>
    <row r="226" spans="1:10" ht="12.75">
      <c r="A226" s="34"/>
      <c r="B226" s="39" t="s">
        <v>80</v>
      </c>
      <c r="C226" s="40">
        <f>B223-B222</f>
        <v>1</v>
      </c>
      <c r="D226" s="34"/>
      <c r="E226" s="34"/>
      <c r="F226" s="63"/>
      <c r="G226" s="63"/>
      <c r="J226"/>
    </row>
    <row r="227" spans="1:10" ht="12.75">
      <c r="A227" s="34"/>
      <c r="B227" s="39" t="s">
        <v>81</v>
      </c>
      <c r="C227" s="40">
        <f>D223-D222</f>
        <v>2</v>
      </c>
      <c r="D227" s="34"/>
      <c r="E227" s="34"/>
      <c r="F227" s="63"/>
      <c r="G227" s="63"/>
      <c r="J227"/>
    </row>
    <row r="228" spans="1:10" ht="12.75">
      <c r="A228" s="34"/>
      <c r="B228" s="39" t="s">
        <v>82</v>
      </c>
      <c r="C228" s="34">
        <f>D223-D224</f>
        <v>0.95</v>
      </c>
      <c r="D228" s="34"/>
      <c r="E228" s="34"/>
      <c r="F228" s="63"/>
      <c r="G228" s="63"/>
      <c r="J228"/>
    </row>
    <row r="229" spans="1:10" ht="12.75">
      <c r="A229" s="34"/>
      <c r="B229" s="39" t="s">
        <v>80</v>
      </c>
      <c r="C229" s="34">
        <f>C228*C226/C227</f>
        <v>0.475</v>
      </c>
      <c r="D229" s="34"/>
      <c r="E229" s="34"/>
      <c r="F229" s="63"/>
      <c r="G229" s="63"/>
      <c r="J229"/>
    </row>
    <row r="230" spans="1:10" ht="12.75">
      <c r="A230" s="34"/>
      <c r="B230" s="41" t="s">
        <v>78</v>
      </c>
      <c r="C230" s="34">
        <f>B223-C229</f>
        <v>1.525</v>
      </c>
      <c r="D230" s="34"/>
      <c r="E230" s="34" t="s">
        <v>83</v>
      </c>
      <c r="F230" s="63"/>
      <c r="G230" s="63"/>
      <c r="J230"/>
    </row>
    <row r="231" spans="1:10" ht="12.75">
      <c r="A231" s="34"/>
      <c r="B231" s="34"/>
      <c r="C231" s="34"/>
      <c r="D231" s="34"/>
      <c r="E231" s="34"/>
      <c r="F231" s="63"/>
      <c r="G231" s="63"/>
      <c r="J231"/>
    </row>
    <row r="232" spans="1:10" ht="15">
      <c r="A232" s="34"/>
      <c r="B232" s="42" t="s">
        <v>84</v>
      </c>
      <c r="C232" s="122" t="s">
        <v>85</v>
      </c>
      <c r="D232" s="122"/>
      <c r="E232" s="42" t="s">
        <v>86</v>
      </c>
      <c r="F232" s="43" t="s">
        <v>105</v>
      </c>
      <c r="G232" s="42" t="s">
        <v>87</v>
      </c>
      <c r="H232" s="44" t="s">
        <v>157</v>
      </c>
      <c r="I232" s="122" t="s">
        <v>156</v>
      </c>
      <c r="J232" s="122"/>
    </row>
    <row r="233" spans="1:13" ht="12.75">
      <c r="A233" s="34"/>
      <c r="B233" s="16">
        <v>6</v>
      </c>
      <c r="C233" s="141">
        <f>13/3.28+C234</f>
        <v>24.39024390243903</v>
      </c>
      <c r="D233" s="141"/>
      <c r="E233" s="45">
        <f aca="true" t="shared" si="15" ref="E233:E238">C233^$C$109</f>
        <v>80.80201609463326</v>
      </c>
      <c r="F233" s="46">
        <f aca="true" t="shared" si="16" ref="F233:F238">F201</f>
        <v>1700.8269647609757</v>
      </c>
      <c r="G233" s="47">
        <f aca="true" t="shared" si="17" ref="G233:G238">F233*E233</f>
        <v>137430.2477808026</v>
      </c>
      <c r="H233" s="48">
        <f aca="true" t="shared" si="18" ref="H233:H238">G233/$G$239</f>
        <v>0.3164259696613448</v>
      </c>
      <c r="I233" s="142">
        <f aca="true" t="shared" si="19" ref="I233:I238">H233*$C$219</f>
        <v>210.47324070549254</v>
      </c>
      <c r="J233" s="142"/>
      <c r="K233" s="4">
        <f aca="true" t="shared" si="20" ref="K233:K238">I233/7</f>
        <v>30.067605815070362</v>
      </c>
      <c r="L233" s="85">
        <f aca="true" t="shared" si="21" ref="L233:L238">K233/$K$233</f>
        <v>1</v>
      </c>
      <c r="M233" s="85">
        <f aca="true" t="shared" si="22" ref="M233:M238">L233/7</f>
        <v>0.14285714285714285</v>
      </c>
    </row>
    <row r="234" spans="1:13" ht="12.75">
      <c r="A234" s="34"/>
      <c r="B234" s="16">
        <v>5</v>
      </c>
      <c r="C234" s="141">
        <f>13/3.28+C235</f>
        <v>20.426829268292686</v>
      </c>
      <c r="D234" s="141"/>
      <c r="E234" s="45">
        <f t="shared" si="15"/>
        <v>63.31787317107031</v>
      </c>
      <c r="F234" s="46">
        <f t="shared" si="16"/>
        <v>1729.5332081804877</v>
      </c>
      <c r="G234" s="47">
        <f t="shared" si="17"/>
        <v>109510.36432072647</v>
      </c>
      <c r="H234" s="48">
        <f t="shared" si="18"/>
        <v>0.2521418958177377</v>
      </c>
      <c r="I234" s="142">
        <f t="shared" si="19"/>
        <v>167.7141796774241</v>
      </c>
      <c r="J234" s="142"/>
      <c r="K234" s="4">
        <f t="shared" si="20"/>
        <v>23.959168525346303</v>
      </c>
      <c r="L234" s="85">
        <f t="shared" si="21"/>
        <v>0.796843242947451</v>
      </c>
      <c r="M234" s="85">
        <f t="shared" si="22"/>
        <v>0.113834748992493</v>
      </c>
    </row>
    <row r="235" spans="1:13" ht="12.75">
      <c r="A235" s="34"/>
      <c r="B235" s="16">
        <v>4</v>
      </c>
      <c r="C235" s="141">
        <f>13/3.28+C236</f>
        <v>16.463414634146343</v>
      </c>
      <c r="D235" s="141"/>
      <c r="E235" s="45">
        <f t="shared" si="15"/>
        <v>47.06682301487522</v>
      </c>
      <c r="F235" s="46">
        <f t="shared" si="16"/>
        <v>1752.9690108231707</v>
      </c>
      <c r="G235" s="47">
        <f t="shared" si="17"/>
        <v>82506.68218297506</v>
      </c>
      <c r="H235" s="48">
        <f t="shared" si="18"/>
        <v>0.18996732767977415</v>
      </c>
      <c r="I235" s="142">
        <f t="shared" si="19"/>
        <v>126.35827308269346</v>
      </c>
      <c r="J235" s="142"/>
      <c r="K235" s="4">
        <f t="shared" si="20"/>
        <v>18.05118186895621</v>
      </c>
      <c r="L235" s="85">
        <f t="shared" si="21"/>
        <v>0.6003531501636445</v>
      </c>
      <c r="M235" s="85">
        <f t="shared" si="22"/>
        <v>0.08576473573766351</v>
      </c>
    </row>
    <row r="236" spans="1:13" ht="12.75">
      <c r="A236" s="34"/>
      <c r="B236" s="8">
        <v>3</v>
      </c>
      <c r="C236" s="141">
        <f>13/3.28+C237</f>
        <v>12.5</v>
      </c>
      <c r="D236" s="141"/>
      <c r="E236" s="45">
        <f t="shared" si="15"/>
        <v>32.229329303788944</v>
      </c>
      <c r="F236" s="46">
        <f t="shared" si="16"/>
        <v>1752.9690108231707</v>
      </c>
      <c r="G236" s="47">
        <f t="shared" si="17"/>
        <v>56497.015509157136</v>
      </c>
      <c r="H236" s="48">
        <f t="shared" si="18"/>
        <v>0.13008142824548052</v>
      </c>
      <c r="I236" s="142">
        <f t="shared" si="19"/>
        <v>86.5246926089136</v>
      </c>
      <c r="J236" s="142"/>
      <c r="K236" s="4">
        <f t="shared" si="20"/>
        <v>12.360670372701943</v>
      </c>
      <c r="L236" s="85">
        <f t="shared" si="21"/>
        <v>0.41109592990960986</v>
      </c>
      <c r="M236" s="85">
        <f t="shared" si="22"/>
        <v>0.05872798998708712</v>
      </c>
    </row>
    <row r="237" spans="1:13" ht="12.75">
      <c r="A237" s="34"/>
      <c r="B237" s="8">
        <v>2</v>
      </c>
      <c r="C237" s="141">
        <f>13/3.28+C238</f>
        <v>8.536585365853659</v>
      </c>
      <c r="D237" s="141"/>
      <c r="E237" s="45">
        <f t="shared" si="15"/>
        <v>19.077249428501915</v>
      </c>
      <c r="F237" s="46">
        <f t="shared" si="16"/>
        <v>1764.1234448780488</v>
      </c>
      <c r="G237" s="47">
        <f t="shared" si="17"/>
        <v>33654.62298060658</v>
      </c>
      <c r="H237" s="48">
        <f t="shared" si="18"/>
        <v>0.07748801215297658</v>
      </c>
      <c r="I237" s="142">
        <f t="shared" si="19"/>
        <v>51.541765206940696</v>
      </c>
      <c r="J237" s="142"/>
      <c r="K237" s="4">
        <f t="shared" si="20"/>
        <v>7.363109315277242</v>
      </c>
      <c r="L237" s="85">
        <f t="shared" si="21"/>
        <v>0.24488512190041864</v>
      </c>
      <c r="M237" s="85">
        <f t="shared" si="22"/>
        <v>0.03498358884291695</v>
      </c>
    </row>
    <row r="238" spans="1:13" ht="12.75">
      <c r="A238" s="34"/>
      <c r="B238" s="8">
        <v>1</v>
      </c>
      <c r="C238" s="141">
        <f>15/3.28</f>
        <v>4.573170731707317</v>
      </c>
      <c r="D238" s="141"/>
      <c r="E238" s="45">
        <f t="shared" si="15"/>
        <v>8.08721420002979</v>
      </c>
      <c r="F238" s="46">
        <f t="shared" si="16"/>
        <v>1820.336164207317</v>
      </c>
      <c r="G238" s="47">
        <f t="shared" si="17"/>
        <v>14721.448476005173</v>
      </c>
      <c r="H238" s="48">
        <f t="shared" si="18"/>
        <v>0.03389536644268618</v>
      </c>
      <c r="I238" s="142">
        <f t="shared" si="19"/>
        <v>22.545771536159332</v>
      </c>
      <c r="J238" s="142"/>
      <c r="K238" s="4">
        <f t="shared" si="20"/>
        <v>3.220824505165619</v>
      </c>
      <c r="L238" s="85">
        <f t="shared" si="21"/>
        <v>0.10711942031484564</v>
      </c>
      <c r="M238" s="85">
        <f t="shared" si="22"/>
        <v>0.015302774330692234</v>
      </c>
    </row>
    <row r="239" spans="1:10" ht="12.75">
      <c r="A239" s="34"/>
      <c r="B239" s="34"/>
      <c r="C239" s="34"/>
      <c r="D239" s="34"/>
      <c r="E239" s="34"/>
      <c r="F239" s="63"/>
      <c r="G239" s="47">
        <f>SUM(G233:G238)</f>
        <v>434320.381250273</v>
      </c>
      <c r="I239" s="143">
        <f>SUM(I233:J238)</f>
        <v>665.1579228176238</v>
      </c>
      <c r="J239" s="144"/>
    </row>
    <row r="240" spans="6:10" ht="12.75">
      <c r="F240" s="15"/>
      <c r="J240"/>
    </row>
    <row r="241" spans="2:10" ht="12.75">
      <c r="B241" s="23" t="s">
        <v>90</v>
      </c>
      <c r="F241" s="148" t="s">
        <v>91</v>
      </c>
      <c r="G241" s="148"/>
      <c r="J241"/>
    </row>
    <row r="242" spans="5:10" ht="12.75">
      <c r="E242" s="42" t="s">
        <v>84</v>
      </c>
      <c r="F242" s="44" t="s">
        <v>92</v>
      </c>
      <c r="G242" s="44" t="s">
        <v>93</v>
      </c>
      <c r="J242"/>
    </row>
    <row r="243" spans="5:10" ht="12.75">
      <c r="E243" s="8" t="s">
        <v>94</v>
      </c>
      <c r="F243" s="8">
        <v>0.0543</v>
      </c>
      <c r="G243" s="8">
        <v>0.0685</v>
      </c>
      <c r="J243"/>
    </row>
    <row r="244" spans="5:10" ht="12.75">
      <c r="E244" s="8" t="s">
        <v>95</v>
      </c>
      <c r="F244" s="8">
        <v>0.049</v>
      </c>
      <c r="G244" s="8">
        <v>0.0608</v>
      </c>
      <c r="J244"/>
    </row>
    <row r="245" spans="5:10" ht="12.75">
      <c r="E245" s="8" t="s">
        <v>96</v>
      </c>
      <c r="F245" s="8">
        <v>0.0403</v>
      </c>
      <c r="G245" s="8">
        <v>0.0496</v>
      </c>
      <c r="J245"/>
    </row>
    <row r="246" spans="5:10" ht="12.75">
      <c r="E246" s="8" t="s">
        <v>97</v>
      </c>
      <c r="F246" s="8">
        <v>0.0301</v>
      </c>
      <c r="G246" s="8">
        <v>0.0367</v>
      </c>
      <c r="J246"/>
    </row>
    <row r="247" spans="5:10" ht="12.75">
      <c r="E247" s="8" t="s">
        <v>98</v>
      </c>
      <c r="F247" s="8">
        <v>0.0189</v>
      </c>
      <c r="G247" s="8">
        <v>0.0224</v>
      </c>
      <c r="J247"/>
    </row>
    <row r="248" spans="5:10" ht="12.75">
      <c r="E248" s="8" t="s">
        <v>99</v>
      </c>
      <c r="F248" s="8">
        <v>0.0082</v>
      </c>
      <c r="G248" s="8">
        <v>0.009</v>
      </c>
      <c r="J248"/>
    </row>
    <row r="249" ht="12.75">
      <c r="J249"/>
    </row>
    <row r="250" spans="6:13" ht="12.75">
      <c r="F250" s="122" t="s">
        <v>106</v>
      </c>
      <c r="G250" s="122"/>
      <c r="H250" s="42" t="s">
        <v>107</v>
      </c>
      <c r="I250" s="49">
        <v>4.5</v>
      </c>
      <c r="J250" s="152" t="s">
        <v>106</v>
      </c>
      <c r="K250" s="153"/>
      <c r="L250" s="42" t="s">
        <v>107</v>
      </c>
      <c r="M250" s="49">
        <v>5.5</v>
      </c>
    </row>
    <row r="251" spans="5:13" ht="12.75">
      <c r="E251" s="42" t="s">
        <v>84</v>
      </c>
      <c r="F251" s="42" t="s">
        <v>92</v>
      </c>
      <c r="G251" s="42" t="s">
        <v>93</v>
      </c>
      <c r="H251" s="122" t="s">
        <v>100</v>
      </c>
      <c r="I251" s="122"/>
      <c r="J251" s="42" t="s">
        <v>92</v>
      </c>
      <c r="K251" s="42" t="s">
        <v>93</v>
      </c>
      <c r="L251" s="122" t="s">
        <v>100</v>
      </c>
      <c r="M251" s="122"/>
    </row>
    <row r="252" spans="5:14" ht="12.75">
      <c r="E252" s="8" t="s">
        <v>94</v>
      </c>
      <c r="F252" s="47">
        <f>$I$250*(F243-F244)/(13/3.28)*100</f>
        <v>0.601753846153846</v>
      </c>
      <c r="G252" s="47">
        <f>$I$250*(G243-G244)/(13/3.28)*100</f>
        <v>0.8742461538461545</v>
      </c>
      <c r="H252" s="8" t="str">
        <f aca="true" t="shared" si="23" ref="H252:I257">IF(F252&lt;2,"Si","No")</f>
        <v>Si</v>
      </c>
      <c r="I252" s="8" t="str">
        <f t="shared" si="23"/>
        <v>Si</v>
      </c>
      <c r="J252" s="50">
        <f aca="true" t="shared" si="24" ref="J252:K256">(F243-F244)*$M$250/(13/3.28)*100</f>
        <v>0.7354769230769229</v>
      </c>
      <c r="K252" s="50">
        <f t="shared" si="24"/>
        <v>1.0685230769230776</v>
      </c>
      <c r="L252" s="8" t="str">
        <f aca="true" t="shared" si="25" ref="L252:M257">IF(J252&lt;2,"Si","No")</f>
        <v>Si</v>
      </c>
      <c r="M252" s="8" t="str">
        <f t="shared" si="25"/>
        <v>Si</v>
      </c>
      <c r="N252">
        <v>6</v>
      </c>
    </row>
    <row r="253" spans="5:14" ht="12.75">
      <c r="E253" s="8" t="s">
        <v>95</v>
      </c>
      <c r="F253" s="47">
        <f aca="true" t="shared" si="26" ref="F253:G256">$I$250*(F244-F245)/(13/3.28)*100</f>
        <v>0.9877846153846152</v>
      </c>
      <c r="G253" s="47">
        <f t="shared" si="26"/>
        <v>1.2716307692307693</v>
      </c>
      <c r="H253" s="8" t="str">
        <f t="shared" si="23"/>
        <v>Si</v>
      </c>
      <c r="I253" s="8" t="str">
        <f t="shared" si="23"/>
        <v>Si</v>
      </c>
      <c r="J253" s="50">
        <f t="shared" si="24"/>
        <v>1.2072923076923074</v>
      </c>
      <c r="K253" s="50">
        <f t="shared" si="24"/>
        <v>1.5542153846153846</v>
      </c>
      <c r="L253" s="8" t="str">
        <f t="shared" si="25"/>
        <v>Si</v>
      </c>
      <c r="M253" s="8" t="str">
        <f t="shared" si="25"/>
        <v>Si</v>
      </c>
      <c r="N253">
        <v>5</v>
      </c>
    </row>
    <row r="254" spans="5:14" ht="12.75">
      <c r="E254" s="8" t="s">
        <v>96</v>
      </c>
      <c r="F254" s="47">
        <f t="shared" si="26"/>
        <v>1.158092307692308</v>
      </c>
      <c r="G254" s="47">
        <f t="shared" si="26"/>
        <v>1.4646461538461533</v>
      </c>
      <c r="H254" s="8" t="str">
        <f t="shared" si="23"/>
        <v>Si</v>
      </c>
      <c r="I254" s="8" t="str">
        <f t="shared" si="23"/>
        <v>Si</v>
      </c>
      <c r="J254" s="50">
        <f t="shared" si="24"/>
        <v>1.4154461538461542</v>
      </c>
      <c r="K254" s="50">
        <f t="shared" si="24"/>
        <v>1.790123076923076</v>
      </c>
      <c r="L254" s="8" t="str">
        <f t="shared" si="25"/>
        <v>Si</v>
      </c>
      <c r="M254" s="8" t="str">
        <f t="shared" si="25"/>
        <v>Si</v>
      </c>
      <c r="N254">
        <v>4</v>
      </c>
    </row>
    <row r="255" spans="5:14" ht="12.75">
      <c r="E255" s="8" t="s">
        <v>97</v>
      </c>
      <c r="F255" s="47">
        <f t="shared" si="26"/>
        <v>1.271630769230769</v>
      </c>
      <c r="G255" s="47">
        <f t="shared" si="26"/>
        <v>1.6236000000000004</v>
      </c>
      <c r="H255" s="8" t="str">
        <f t="shared" si="23"/>
        <v>Si</v>
      </c>
      <c r="I255" s="8" t="str">
        <f t="shared" si="23"/>
        <v>Si</v>
      </c>
      <c r="J255" s="50">
        <f t="shared" si="24"/>
        <v>1.554215384615384</v>
      </c>
      <c r="K255" s="50">
        <f t="shared" si="24"/>
        <v>1.9844000000000004</v>
      </c>
      <c r="L255" s="8" t="str">
        <f t="shared" si="25"/>
        <v>Si</v>
      </c>
      <c r="M255" s="8" t="str">
        <f t="shared" si="25"/>
        <v>Si</v>
      </c>
      <c r="N255">
        <v>3</v>
      </c>
    </row>
    <row r="256" spans="5:14" ht="12.75">
      <c r="E256" s="8" t="s">
        <v>98</v>
      </c>
      <c r="F256" s="47">
        <f t="shared" si="26"/>
        <v>1.2148615384615382</v>
      </c>
      <c r="G256" s="47">
        <f t="shared" si="26"/>
        <v>1.5214153846153844</v>
      </c>
      <c r="H256" s="8" t="str">
        <f t="shared" si="23"/>
        <v>Si</v>
      </c>
      <c r="I256" s="8" t="str">
        <f t="shared" si="23"/>
        <v>Si</v>
      </c>
      <c r="J256" s="50">
        <f t="shared" si="24"/>
        <v>1.484830769230769</v>
      </c>
      <c r="K256" s="50">
        <f t="shared" si="24"/>
        <v>1.8595076923076923</v>
      </c>
      <c r="L256" s="8" t="str">
        <f t="shared" si="25"/>
        <v>Si</v>
      </c>
      <c r="M256" s="8" t="str">
        <f t="shared" si="25"/>
        <v>Si</v>
      </c>
      <c r="N256">
        <v>2</v>
      </c>
    </row>
    <row r="257" spans="5:14" ht="12.75">
      <c r="E257" s="8" t="s">
        <v>99</v>
      </c>
      <c r="F257" s="47">
        <f>$I$250*(F248-F249)/(15/3.28)*100</f>
        <v>0.80688</v>
      </c>
      <c r="G257" s="47">
        <f>$I$250*(G248-G249)/(15/3.28)*100</f>
        <v>0.8855999999999999</v>
      </c>
      <c r="H257" s="8" t="str">
        <f t="shared" si="23"/>
        <v>Si</v>
      </c>
      <c r="I257" s="8" t="str">
        <f t="shared" si="23"/>
        <v>Si</v>
      </c>
      <c r="J257" s="50">
        <f>(F248-F249)*$M$250/(15/3.28)*100</f>
        <v>0.9861866666666667</v>
      </c>
      <c r="K257" s="50">
        <f>(G248-G249)*$M$250/(13/3.28)*100</f>
        <v>1.2489230769230766</v>
      </c>
      <c r="L257" s="8" t="str">
        <f t="shared" si="25"/>
        <v>Si</v>
      </c>
      <c r="M257" s="8" t="str">
        <f t="shared" si="25"/>
        <v>Si</v>
      </c>
      <c r="N257">
        <v>1</v>
      </c>
    </row>
    <row r="260" spans="5:8" ht="12.75">
      <c r="E260" s="146" t="s">
        <v>108</v>
      </c>
      <c r="F260" s="146"/>
      <c r="G260" s="146"/>
      <c r="H260" s="146"/>
    </row>
    <row r="261" spans="4:7" ht="12.75">
      <c r="D261" s="147" t="s">
        <v>123</v>
      </c>
      <c r="E261" s="8" t="s">
        <v>95</v>
      </c>
      <c r="F261" s="56">
        <f>F252/F253*100</f>
        <v>60.91954022988505</v>
      </c>
      <c r="G261" s="56">
        <f>AVERAGE(F250:F252)/F253*100</f>
        <v>60.91954022988505</v>
      </c>
    </row>
    <row r="262" spans="4:7" ht="12.75">
      <c r="D262" s="147"/>
      <c r="E262" s="8" t="s">
        <v>96</v>
      </c>
      <c r="F262" s="47">
        <f>F253/F254*100</f>
        <v>85.29411764705878</v>
      </c>
      <c r="G262" s="56">
        <f>AVERAGE(F251:F253)/F254*100</f>
        <v>68.62745098039213</v>
      </c>
    </row>
    <row r="263" spans="4:7" ht="12.75">
      <c r="D263" s="147"/>
      <c r="E263" s="8" t="s">
        <v>97</v>
      </c>
      <c r="F263" s="47">
        <f>F254/F255*100</f>
        <v>91.07142857142861</v>
      </c>
      <c r="G263" s="56">
        <f>AVERAGE(F252:F254)/F255*100</f>
        <v>72.02380952380953</v>
      </c>
    </row>
    <row r="264" spans="4:7" ht="12.75">
      <c r="D264" s="147"/>
      <c r="E264" s="8" t="s">
        <v>98</v>
      </c>
      <c r="F264" s="47">
        <f>F255/F256*100</f>
        <v>104.67289719626167</v>
      </c>
      <c r="G264" s="47">
        <f>AVERAGE(F253:F255)/F256*100</f>
        <v>93.76947040498443</v>
      </c>
    </row>
    <row r="265" spans="4:7" ht="12.75">
      <c r="D265" s="147"/>
      <c r="E265" s="8" t="s">
        <v>99</v>
      </c>
      <c r="F265" s="47">
        <f>F256/F257*100</f>
        <v>150.56285178236394</v>
      </c>
      <c r="G265" s="47">
        <f>AVERAGE(F254:F256)/F257*100</f>
        <v>150.56285178236396</v>
      </c>
    </row>
    <row r="266" spans="6:7" ht="12.75">
      <c r="F266" s="15"/>
      <c r="G266" s="15"/>
    </row>
    <row r="267" spans="4:7" ht="12.75">
      <c r="D267" s="147" t="s">
        <v>122</v>
      </c>
      <c r="E267" s="8" t="s">
        <v>95</v>
      </c>
      <c r="F267" s="58">
        <f>G252/G253*100</f>
        <v>68.75000000000004</v>
      </c>
      <c r="G267" s="56">
        <f>AVERAGE(G250:G252)/G253*100</f>
        <v>68.75000000000004</v>
      </c>
    </row>
    <row r="268" spans="4:7" ht="12.75">
      <c r="D268" s="147"/>
      <c r="E268" s="8" t="s">
        <v>96</v>
      </c>
      <c r="F268" s="57">
        <f>G253/G254*100</f>
        <v>86.82170542635663</v>
      </c>
      <c r="G268" s="56">
        <f>AVERAGE(G251:G253)/G254*100</f>
        <v>73.25581395348843</v>
      </c>
    </row>
    <row r="269" spans="4:7" ht="12.75">
      <c r="D269" s="147"/>
      <c r="E269" s="8" t="s">
        <v>97</v>
      </c>
      <c r="F269" s="57">
        <f>G254/G255*100</f>
        <v>90.20979020979016</v>
      </c>
      <c r="G269" s="56">
        <f>AVERAGE(G252:G254)/G255*100</f>
        <v>74.12587412587412</v>
      </c>
    </row>
    <row r="270" spans="4:7" ht="12.75">
      <c r="D270" s="147"/>
      <c r="E270" s="8" t="s">
        <v>98</v>
      </c>
      <c r="F270" s="47">
        <f>G255/G256*100</f>
        <v>106.71641791044779</v>
      </c>
      <c r="G270" s="58">
        <f>AVERAGE(G253:G255)/G256*100</f>
        <v>95.5223880597015</v>
      </c>
    </row>
    <row r="271" spans="4:7" ht="12.75">
      <c r="D271" s="147"/>
      <c r="E271" s="8" t="s">
        <v>99</v>
      </c>
      <c r="F271" s="47">
        <f>G256/G257*100</f>
        <v>171.7948717948718</v>
      </c>
      <c r="G271" s="47">
        <f>AVERAGE(G254:G256)/G257*100</f>
        <v>173.5042735042735</v>
      </c>
    </row>
    <row r="309" spans="1:6" ht="15.75">
      <c r="A309" s="155" t="s">
        <v>0</v>
      </c>
      <c r="B309" s="155"/>
      <c r="C309" s="155"/>
      <c r="D309" s="75"/>
      <c r="E309" s="75"/>
      <c r="F309" s="75"/>
    </row>
    <row r="311" spans="2:5" ht="12.75">
      <c r="B311" t="s">
        <v>34</v>
      </c>
      <c r="C311">
        <v>36</v>
      </c>
      <c r="D311" t="s">
        <v>26</v>
      </c>
      <c r="E311">
        <f>C311/2.2/2.54/2.54</f>
        <v>2.5363687091010543</v>
      </c>
    </row>
    <row r="312" spans="2:3" ht="12.75">
      <c r="B312" t="s">
        <v>33</v>
      </c>
      <c r="C312">
        <v>58</v>
      </c>
    </row>
    <row r="314" spans="1:9" ht="16.5">
      <c r="A314" s="1"/>
      <c r="B314" s="1"/>
      <c r="C314" s="2" t="s">
        <v>1</v>
      </c>
      <c r="D314" s="2"/>
      <c r="E314" s="2">
        <v>1.3</v>
      </c>
      <c r="F314" s="123" t="s">
        <v>2</v>
      </c>
      <c r="G314" s="123"/>
      <c r="H314" s="14" t="s">
        <v>3</v>
      </c>
      <c r="I314" s="4">
        <f>0.64*(29000/$C$311)^0.5</f>
        <v>18.164678790321496</v>
      </c>
    </row>
    <row r="315" spans="1:6" ht="15.75">
      <c r="A315" s="1"/>
      <c r="B315" s="1"/>
      <c r="C315" s="2" t="s">
        <v>4</v>
      </c>
      <c r="D315" s="1"/>
      <c r="E315" s="2">
        <f>IF((C311+C312)/2/C311&lt;=1.2,(C311+C312)/2/C311,1.2)</f>
        <v>1.2</v>
      </c>
      <c r="F315" s="67"/>
    </row>
    <row r="316" spans="1:7" ht="15.75">
      <c r="A316" s="1"/>
      <c r="B316" s="1"/>
      <c r="C316" t="s">
        <v>5</v>
      </c>
      <c r="D316" s="124">
        <v>25.4</v>
      </c>
      <c r="E316" s="124"/>
      <c r="F316" s="62"/>
      <c r="G316" s="62"/>
    </row>
    <row r="317" spans="3:6" ht="15.75">
      <c r="C317" s="2"/>
      <c r="D317" s="1"/>
      <c r="E317" s="2"/>
      <c r="F317" s="67"/>
    </row>
    <row r="318" spans="2:3" ht="12.75">
      <c r="B318" s="54" t="s">
        <v>6</v>
      </c>
      <c r="C318" s="54"/>
    </row>
    <row r="319" spans="2:3" ht="12.75">
      <c r="B319" s="54"/>
      <c r="C319" s="54"/>
    </row>
    <row r="320" spans="2:7" ht="14.25">
      <c r="B320" s="54" t="s">
        <v>151</v>
      </c>
      <c r="C320" s="78">
        <v>492</v>
      </c>
      <c r="D320" s="78" t="s">
        <v>164</v>
      </c>
      <c r="E320" s="78"/>
      <c r="F320" s="79"/>
      <c r="G320" s="79"/>
    </row>
    <row r="321" spans="1:8" ht="12.75">
      <c r="A321" t="s">
        <v>173</v>
      </c>
      <c r="G321" s="145"/>
      <c r="H321" s="145"/>
    </row>
    <row r="322" spans="3:11" ht="12.75">
      <c r="C322" t="s">
        <v>7</v>
      </c>
      <c r="D322" s="145" t="str">
        <f>'[1]Despues de estudiar exc.'!$A$30</f>
        <v>W200X650</v>
      </c>
      <c r="E322" s="164"/>
      <c r="F322" s="8" t="s">
        <v>8</v>
      </c>
      <c r="G322" s="7">
        <f>'[1]Despues de estudiar exc.'!$C$38/2.54/2.54/2.54</f>
        <v>245.62056998129742</v>
      </c>
      <c r="I322" s="6" t="s">
        <v>12</v>
      </c>
      <c r="J322" s="20">
        <v>7.833333333333333</v>
      </c>
      <c r="K322" t="s">
        <v>13</v>
      </c>
    </row>
    <row r="323" spans="6:11" ht="12.75">
      <c r="F323" s="7" t="s">
        <v>11</v>
      </c>
      <c r="G323" s="55">
        <f>'[1]Despues de estudiar exc.'!$C$37/2.54</f>
        <v>25.590551181102363</v>
      </c>
      <c r="I323" s="6" t="s">
        <v>35</v>
      </c>
      <c r="J323" s="20">
        <f>G338/2/2.54</f>
        <v>9.84251968503937</v>
      </c>
      <c r="K323" t="s">
        <v>10</v>
      </c>
    </row>
    <row r="324" spans="6:11" ht="15.75">
      <c r="F324" s="8" t="s">
        <v>14</v>
      </c>
      <c r="G324" s="55">
        <f>'[1]Despues de estudiar exc.'!$C$34/2.54</f>
        <v>0.39370078740157477</v>
      </c>
      <c r="I324" s="6" t="s">
        <v>260</v>
      </c>
      <c r="J324" s="17">
        <f>G323/3</f>
        <v>8.530183727034121</v>
      </c>
      <c r="K324" t="s">
        <v>10</v>
      </c>
    </row>
    <row r="325" spans="6:11" ht="12.75">
      <c r="F325" s="63"/>
      <c r="G325" s="77"/>
      <c r="I325" s="6" t="s">
        <v>15</v>
      </c>
      <c r="J325" s="20">
        <f>J323+J324</f>
        <v>18.37270341207349</v>
      </c>
      <c r="K325" t="s">
        <v>10</v>
      </c>
    </row>
    <row r="326" spans="6:11" ht="12.75">
      <c r="F326" s="63"/>
      <c r="G326" s="77"/>
      <c r="I326" s="6" t="s">
        <v>9</v>
      </c>
      <c r="J326" s="20">
        <f>360-2*J325</f>
        <v>323.254593175853</v>
      </c>
      <c r="K326" t="s">
        <v>10</v>
      </c>
    </row>
    <row r="328" spans="5:8" ht="15.75">
      <c r="E328" s="145" t="s">
        <v>16</v>
      </c>
      <c r="F328" s="145"/>
      <c r="G328" s="6">
        <f>$E$314*$E$315*G322*$C$311</f>
        <v>13794.051210149662</v>
      </c>
      <c r="H328" t="s">
        <v>17</v>
      </c>
    </row>
    <row r="329" spans="2:8" ht="13.5" thickBot="1">
      <c r="B329" s="132" t="s">
        <v>37</v>
      </c>
      <c r="C329" s="132"/>
      <c r="D329" s="132"/>
      <c r="E329" s="21">
        <f>3*J326-90-180-270</f>
        <v>429.7637795275591</v>
      </c>
      <c r="F329" s="6" t="s">
        <v>36</v>
      </c>
      <c r="G329" s="10">
        <f>(2*G328+(3*J326-90-270-180)*($D$316*2.2)+(J322*10^-3)*(J326^2)/2)/J326</f>
        <v>160.9027987599456</v>
      </c>
      <c r="H329" t="s">
        <v>18</v>
      </c>
    </row>
    <row r="330" spans="5:20" ht="13.5" thickBot="1">
      <c r="E330" s="165" t="s">
        <v>19</v>
      </c>
      <c r="F330" s="165"/>
      <c r="G330" s="11">
        <f>G329*J325</f>
        <v>2956.2193997890267</v>
      </c>
      <c r="H330" s="2" t="s">
        <v>17</v>
      </c>
      <c r="I330" s="5"/>
      <c r="R330" s="138" t="s">
        <v>235</v>
      </c>
      <c r="S330" s="139"/>
      <c r="T330" s="140"/>
    </row>
    <row r="331" spans="5:20" ht="15.75">
      <c r="E331" s="2"/>
      <c r="F331" s="67"/>
      <c r="G331" s="62"/>
      <c r="H331" s="1"/>
      <c r="R331" s="137" t="s">
        <v>175</v>
      </c>
      <c r="S331" s="137"/>
      <c r="T331" s="137"/>
    </row>
    <row r="332" spans="5:20" ht="15.75">
      <c r="E332" s="3" t="s">
        <v>20</v>
      </c>
      <c r="F332" s="149" t="s">
        <v>21</v>
      </c>
      <c r="G332" s="149"/>
      <c r="H332" s="18">
        <f>1.1*$E$314*$C$311*G322+G330</f>
        <v>15600.76634242622</v>
      </c>
      <c r="I332" s="6" t="s">
        <v>17</v>
      </c>
      <c r="R332" s="96" t="s">
        <v>237</v>
      </c>
      <c r="S332" s="96" t="s">
        <v>236</v>
      </c>
      <c r="T332" s="107" t="s">
        <v>238</v>
      </c>
    </row>
    <row r="333" spans="5:20" ht="13.5" thickBot="1">
      <c r="E333" s="3" t="s">
        <v>22</v>
      </c>
      <c r="F333" s="149" t="s">
        <v>261</v>
      </c>
      <c r="G333" s="149"/>
      <c r="H333" s="18">
        <f>$C$311-(C320*2.2/(G337/2.54/2.54))</f>
        <v>23.618418723404254</v>
      </c>
      <c r="I333" s="5" t="s">
        <v>24</v>
      </c>
      <c r="R333" s="97"/>
      <c r="S333" s="97" t="s">
        <v>176</v>
      </c>
      <c r="T333" s="97" t="s">
        <v>233</v>
      </c>
    </row>
    <row r="334" spans="5:25" ht="12.75">
      <c r="E334" s="3"/>
      <c r="F334" s="12"/>
      <c r="G334" s="12"/>
      <c r="P334" s="6"/>
      <c r="Q334" s="134" t="s">
        <v>226</v>
      </c>
      <c r="R334" s="98" t="s">
        <v>177</v>
      </c>
      <c r="S334" s="101">
        <v>-65.8638</v>
      </c>
      <c r="T334" s="104">
        <f>$I$338/100*(1.3*2.54+S334/$G$337)</f>
        <v>314.381235</v>
      </c>
      <c r="Y334" s="63"/>
    </row>
    <row r="335" spans="5:25" ht="12.75">
      <c r="E335" s="3"/>
      <c r="F335" s="12"/>
      <c r="G335" s="12"/>
      <c r="P335" s="6"/>
      <c r="Q335" s="135"/>
      <c r="R335" s="99" t="s">
        <v>178</v>
      </c>
      <c r="S335" s="102">
        <v>-199.9753</v>
      </c>
      <c r="T335" s="105">
        <f aca="true" t="shared" si="27" ref="T335:T382">$I$338/100*(1.3*2.54+S335/$G$337)</f>
        <v>290.9117225</v>
      </c>
      <c r="Y335" s="63"/>
    </row>
    <row r="336" spans="6:25" ht="12.75">
      <c r="F336" s="6" t="s">
        <v>25</v>
      </c>
      <c r="G336" s="68">
        <f>H332/H333</f>
        <v>660.5339047091632</v>
      </c>
      <c r="H336" s="6" t="s">
        <v>26</v>
      </c>
      <c r="I336">
        <f>G336*16.387</f>
        <v>10824.169096469057</v>
      </c>
      <c r="J336" s="17" t="s">
        <v>27</v>
      </c>
      <c r="P336" s="6"/>
      <c r="Q336" s="135"/>
      <c r="R336" s="99" t="s">
        <v>179</v>
      </c>
      <c r="S336" s="102">
        <v>-197.1542</v>
      </c>
      <c r="T336" s="105">
        <f t="shared" si="27"/>
        <v>291.405415</v>
      </c>
      <c r="Y336" s="63"/>
    </row>
    <row r="337" spans="6:25" ht="12.75">
      <c r="F337" s="6" t="s">
        <v>104</v>
      </c>
      <c r="G337" s="69">
        <f>G338^2-(G338-2*G339)^2</f>
        <v>564</v>
      </c>
      <c r="P337" s="6"/>
      <c r="Q337" s="135"/>
      <c r="R337" s="99" t="s">
        <v>180</v>
      </c>
      <c r="S337" s="102">
        <v>-197.1924</v>
      </c>
      <c r="T337" s="105">
        <f t="shared" si="27"/>
        <v>291.39873</v>
      </c>
      <c r="Y337" s="63"/>
    </row>
    <row r="338" spans="6:25" ht="12.75">
      <c r="F338" s="86" t="s">
        <v>28</v>
      </c>
      <c r="G338" s="87">
        <v>50</v>
      </c>
      <c r="H338" s="88" t="s">
        <v>26</v>
      </c>
      <c r="I338" s="89">
        <v>9870</v>
      </c>
      <c r="J338" s="90" t="s">
        <v>27</v>
      </c>
      <c r="K338">
        <f>I338/I336</f>
        <v>0.91184828249031</v>
      </c>
      <c r="P338" s="6"/>
      <c r="Q338" s="135"/>
      <c r="R338" s="99" t="s">
        <v>181</v>
      </c>
      <c r="S338" s="102">
        <v>-197.2466</v>
      </c>
      <c r="T338" s="105">
        <f t="shared" si="27"/>
        <v>291.389245</v>
      </c>
      <c r="Y338" s="63"/>
    </row>
    <row r="339" spans="6:25" ht="12.75">
      <c r="F339" s="6" t="s">
        <v>29</v>
      </c>
      <c r="G339" s="71">
        <v>3</v>
      </c>
      <c r="P339" s="6"/>
      <c r="Q339" s="135"/>
      <c r="R339" s="99" t="s">
        <v>182</v>
      </c>
      <c r="S339" s="102">
        <v>-196.1666</v>
      </c>
      <c r="T339" s="105">
        <f t="shared" si="27"/>
        <v>291.578245</v>
      </c>
      <c r="Y339" s="63"/>
    </row>
    <row r="340" spans="6:25" ht="16.5" thickBot="1">
      <c r="F340" s="72" t="s">
        <v>30</v>
      </c>
      <c r="G340" s="15">
        <f>(G338-2*G339)/G339</f>
        <v>14.666666666666666</v>
      </c>
      <c r="H340" t="str">
        <f>IF(G340&lt;=$I$314,"OK","MAL")</f>
        <v>OK</v>
      </c>
      <c r="P340" s="6"/>
      <c r="Q340" s="136"/>
      <c r="R340" s="100" t="s">
        <v>183</v>
      </c>
      <c r="S340" s="103">
        <v>-133.2241</v>
      </c>
      <c r="T340" s="106">
        <f t="shared" si="27"/>
        <v>302.5931825</v>
      </c>
      <c r="Y340" s="63"/>
    </row>
    <row r="341" spans="10:25" ht="12.75" customHeight="1">
      <c r="J341" s="118"/>
      <c r="K341" s="119"/>
      <c r="L341" s="119"/>
      <c r="P341" s="6"/>
      <c r="Q341" s="134" t="s">
        <v>227</v>
      </c>
      <c r="R341" s="98" t="s">
        <v>184</v>
      </c>
      <c r="S341" s="101">
        <v>-218.4607</v>
      </c>
      <c r="T341" s="104">
        <f t="shared" si="27"/>
        <v>287.6767775</v>
      </c>
      <c r="Y341" s="63"/>
    </row>
    <row r="342" spans="2:25" ht="12.75">
      <c r="B342" s="54" t="s">
        <v>31</v>
      </c>
      <c r="C342" s="54"/>
      <c r="J342" s="118"/>
      <c r="K342" s="120"/>
      <c r="L342" s="119"/>
      <c r="Q342" s="135"/>
      <c r="R342" s="99" t="s">
        <v>185</v>
      </c>
      <c r="S342" s="102">
        <v>-496.6444</v>
      </c>
      <c r="T342" s="105">
        <f t="shared" si="27"/>
        <v>238.99463000000003</v>
      </c>
      <c r="Y342" s="63"/>
    </row>
    <row r="343" spans="2:25" ht="12.75">
      <c r="B343" s="54"/>
      <c r="C343" s="54"/>
      <c r="J343" s="118"/>
      <c r="K343" s="119"/>
      <c r="L343" s="119"/>
      <c r="Q343" s="135"/>
      <c r="R343" s="99" t="s">
        <v>186</v>
      </c>
      <c r="S343" s="102">
        <v>-491.9434</v>
      </c>
      <c r="T343" s="105">
        <f t="shared" si="27"/>
        <v>239.817305</v>
      </c>
      <c r="Y343" s="63"/>
    </row>
    <row r="344" spans="2:25" ht="14.25">
      <c r="B344" s="54" t="s">
        <v>151</v>
      </c>
      <c r="C344" s="78">
        <v>320</v>
      </c>
      <c r="D344" s="78" t="s">
        <v>164</v>
      </c>
      <c r="E344" s="78"/>
      <c r="F344" s="79"/>
      <c r="G344" s="79"/>
      <c r="J344" s="118"/>
      <c r="K344" s="119"/>
      <c r="L344" s="119"/>
      <c r="Q344" s="135"/>
      <c r="R344" s="99" t="s">
        <v>187</v>
      </c>
      <c r="S344" s="102">
        <v>-491.9992</v>
      </c>
      <c r="T344" s="105">
        <f t="shared" si="27"/>
        <v>239.80754000000002</v>
      </c>
      <c r="Y344" s="63"/>
    </row>
    <row r="345" spans="7:25" ht="12.75">
      <c r="G345" s="79"/>
      <c r="Q345" s="135"/>
      <c r="R345" s="99" t="s">
        <v>188</v>
      </c>
      <c r="S345" s="102">
        <v>-492.0352</v>
      </c>
      <c r="T345" s="105">
        <f t="shared" si="27"/>
        <v>239.80124</v>
      </c>
      <c r="Y345" s="63"/>
    </row>
    <row r="346" spans="7:25" ht="12.75">
      <c r="G346" s="79"/>
      <c r="Q346" s="135"/>
      <c r="R346" s="99" t="s">
        <v>189</v>
      </c>
      <c r="S346" s="102">
        <v>-492.8435</v>
      </c>
      <c r="T346" s="105">
        <f t="shared" si="27"/>
        <v>239.65978750000002</v>
      </c>
      <c r="Y346" s="63"/>
    </row>
    <row r="347" spans="3:25" ht="13.5" thickBot="1">
      <c r="C347" t="s">
        <v>7</v>
      </c>
      <c r="D347" s="145" t="str">
        <f>'[1]Despues de estudiar exc.'!$A$17</f>
        <v>W200X644</v>
      </c>
      <c r="E347" s="164"/>
      <c r="F347" s="8" t="s">
        <v>8</v>
      </c>
      <c r="G347" s="7">
        <f>'[1]Despues de estudiar exc.'!$C$25/2.54/2.54/2.54</f>
        <v>221.93115252372237</v>
      </c>
      <c r="I347" s="6" t="s">
        <v>12</v>
      </c>
      <c r="J347" s="20">
        <v>7.833333333333333</v>
      </c>
      <c r="K347" t="s">
        <v>13</v>
      </c>
      <c r="Q347" s="136"/>
      <c r="R347" s="100" t="s">
        <v>190</v>
      </c>
      <c r="S347" s="103">
        <v>-286.1709</v>
      </c>
      <c r="T347" s="106">
        <f t="shared" si="27"/>
        <v>275.8274925</v>
      </c>
      <c r="Y347" s="63"/>
    </row>
    <row r="348" spans="6:25" ht="12.75" customHeight="1">
      <c r="F348" s="7" t="s">
        <v>11</v>
      </c>
      <c r="G348" s="55">
        <f>'[1]Despues de estudiar exc.'!$C$24/2.54</f>
        <v>25.35433070866142</v>
      </c>
      <c r="I348" s="6" t="s">
        <v>35</v>
      </c>
      <c r="J348" s="20">
        <f>G363/2/2.54</f>
        <v>9.84251968503937</v>
      </c>
      <c r="K348" t="s">
        <v>10</v>
      </c>
      <c r="Q348" s="134" t="s">
        <v>228</v>
      </c>
      <c r="R348" s="98" t="s">
        <v>191</v>
      </c>
      <c r="S348" s="101">
        <v>-196.2034</v>
      </c>
      <c r="T348" s="104">
        <f t="shared" si="27"/>
        <v>291.571805</v>
      </c>
      <c r="Y348" s="63"/>
    </row>
    <row r="349" spans="6:25" ht="15.75">
      <c r="F349" s="8" t="s">
        <v>14</v>
      </c>
      <c r="G349" s="55">
        <f>'[1]Despues de estudiar exc.'!$C$21/2.54</f>
        <v>0.39370078740157477</v>
      </c>
      <c r="I349" s="6" t="s">
        <v>260</v>
      </c>
      <c r="J349" s="17">
        <f>G348/3</f>
        <v>8.451443569553806</v>
      </c>
      <c r="K349" t="s">
        <v>10</v>
      </c>
      <c r="Q349" s="135"/>
      <c r="R349" s="99" t="s">
        <v>192</v>
      </c>
      <c r="S349" s="102">
        <v>-451.2143</v>
      </c>
      <c r="T349" s="105">
        <f t="shared" si="27"/>
        <v>246.9448975</v>
      </c>
      <c r="Y349" s="63"/>
    </row>
    <row r="350" spans="6:25" ht="12.75">
      <c r="F350" s="63"/>
      <c r="G350" s="77"/>
      <c r="I350" s="6" t="s">
        <v>15</v>
      </c>
      <c r="J350" s="20">
        <f>J348+J349</f>
        <v>18.293963254593177</v>
      </c>
      <c r="K350" t="s">
        <v>10</v>
      </c>
      <c r="Q350" s="135"/>
      <c r="R350" s="99" t="s">
        <v>193</v>
      </c>
      <c r="S350" s="102">
        <v>-446.9977</v>
      </c>
      <c r="T350" s="105">
        <f t="shared" si="27"/>
        <v>247.6828025</v>
      </c>
      <c r="Y350" s="63"/>
    </row>
    <row r="351" spans="6:25" ht="12.75">
      <c r="F351" s="63"/>
      <c r="G351" s="77"/>
      <c r="I351" s="6" t="s">
        <v>9</v>
      </c>
      <c r="J351" s="20">
        <f>360-2*J350</f>
        <v>323.41207349081367</v>
      </c>
      <c r="K351" t="s">
        <v>10</v>
      </c>
      <c r="Q351" s="135"/>
      <c r="R351" s="99" t="s">
        <v>194</v>
      </c>
      <c r="S351" s="102">
        <v>-447.0412</v>
      </c>
      <c r="T351" s="105">
        <f t="shared" si="27"/>
        <v>247.67519</v>
      </c>
      <c r="Y351" s="63"/>
    </row>
    <row r="352" spans="17:25" ht="12.75">
      <c r="Q352" s="135"/>
      <c r="R352" s="99" t="s">
        <v>195</v>
      </c>
      <c r="S352" s="102">
        <v>-447.0895</v>
      </c>
      <c r="T352" s="105">
        <f t="shared" si="27"/>
        <v>247.6667375</v>
      </c>
      <c r="Y352" s="63"/>
    </row>
    <row r="353" spans="5:25" ht="15.75">
      <c r="E353" s="145" t="s">
        <v>16</v>
      </c>
      <c r="F353" s="145"/>
      <c r="G353" s="6">
        <f>$E$314*$E$315*G347*$C$311</f>
        <v>12463.65352573225</v>
      </c>
      <c r="H353" t="s">
        <v>17</v>
      </c>
      <c r="Q353" s="135"/>
      <c r="R353" s="99" t="s">
        <v>196</v>
      </c>
      <c r="S353" s="102">
        <v>-447.4139</v>
      </c>
      <c r="T353" s="105">
        <f t="shared" si="27"/>
        <v>247.6099675</v>
      </c>
      <c r="Y353" s="63"/>
    </row>
    <row r="354" spans="2:25" ht="13.5" thickBot="1">
      <c r="B354" s="132" t="s">
        <v>37</v>
      </c>
      <c r="C354" s="132"/>
      <c r="D354" s="132"/>
      <c r="E354" s="21">
        <f>3*J351-90-180-270</f>
        <v>430.236220472441</v>
      </c>
      <c r="F354" s="6" t="s">
        <v>36</v>
      </c>
      <c r="G354" s="10">
        <f>(2*G353+(3*J351-90-270-180)*($D$316*2.2)+(J347*10^-3)*(J351^2)/2)/J351</f>
        <v>152.6800521539969</v>
      </c>
      <c r="H354" t="s">
        <v>18</v>
      </c>
      <c r="Q354" s="136"/>
      <c r="R354" s="100" t="s">
        <v>197</v>
      </c>
      <c r="S354" s="103">
        <v>-263.9062</v>
      </c>
      <c r="T354" s="106">
        <f t="shared" si="27"/>
        <v>279.723815</v>
      </c>
      <c r="Y354" s="63"/>
    </row>
    <row r="355" spans="5:25" ht="12.75" customHeight="1">
      <c r="E355" s="165" t="s">
        <v>19</v>
      </c>
      <c r="F355" s="165"/>
      <c r="G355" s="11">
        <f>G354*J350</f>
        <v>2793.1232638145893</v>
      </c>
      <c r="H355" s="2" t="s">
        <v>17</v>
      </c>
      <c r="I355" s="5"/>
      <c r="Q355" s="134" t="s">
        <v>229</v>
      </c>
      <c r="R355" s="98" t="s">
        <v>198</v>
      </c>
      <c r="S355" s="101">
        <v>-201.5452</v>
      </c>
      <c r="T355" s="104">
        <f t="shared" si="27"/>
        <v>290.63699</v>
      </c>
      <c r="Y355" s="63"/>
    </row>
    <row r="356" spans="5:25" ht="15.75">
      <c r="E356" s="2"/>
      <c r="F356" s="67"/>
      <c r="G356" s="62"/>
      <c r="H356" s="1"/>
      <c r="Q356" s="135"/>
      <c r="R356" s="99" t="s">
        <v>199</v>
      </c>
      <c r="S356" s="102">
        <v>-462.1367</v>
      </c>
      <c r="T356" s="105">
        <f t="shared" si="27"/>
        <v>245.0334775</v>
      </c>
      <c r="Y356" s="63"/>
    </row>
    <row r="357" spans="5:25" ht="15.75">
      <c r="E357" s="3" t="s">
        <v>20</v>
      </c>
      <c r="F357" s="149" t="s">
        <v>21</v>
      </c>
      <c r="G357" s="149"/>
      <c r="H357" s="18">
        <f>1.1*$E$314*$C$311*G347+G355</f>
        <v>14218.138995735819</v>
      </c>
      <c r="I357" s="6" t="s">
        <v>17</v>
      </c>
      <c r="Q357" s="135"/>
      <c r="R357" s="99" t="s">
        <v>200</v>
      </c>
      <c r="S357" s="102">
        <v>-457.803</v>
      </c>
      <c r="T357" s="105">
        <f t="shared" si="27"/>
        <v>245.791875</v>
      </c>
      <c r="Y357" s="63"/>
    </row>
    <row r="358" spans="5:25" ht="12.75">
      <c r="E358" s="3" t="s">
        <v>22</v>
      </c>
      <c r="F358" s="149" t="s">
        <v>23</v>
      </c>
      <c r="G358" s="149"/>
      <c r="H358" s="18">
        <f>$C$311-(C344*2.2)/(G362/2.54/2.54)</f>
        <v>26.438049684210526</v>
      </c>
      <c r="I358" s="5" t="s">
        <v>24</v>
      </c>
      <c r="Q358" s="135"/>
      <c r="R358" s="99" t="s">
        <v>201</v>
      </c>
      <c r="S358" s="102">
        <v>-457.8498</v>
      </c>
      <c r="T358" s="105">
        <f t="shared" si="27"/>
        <v>245.78368500000002</v>
      </c>
      <c r="Y358" s="63"/>
    </row>
    <row r="359" spans="5:25" ht="12.75">
      <c r="E359" s="3"/>
      <c r="F359" s="12"/>
      <c r="G359" s="12"/>
      <c r="Q359" s="135"/>
      <c r="R359" s="99" t="s">
        <v>202</v>
      </c>
      <c r="S359" s="102">
        <v>-457.8948</v>
      </c>
      <c r="T359" s="105">
        <f t="shared" si="27"/>
        <v>245.77581000000004</v>
      </c>
      <c r="Y359" s="63"/>
    </row>
    <row r="360" spans="5:25" ht="12.75">
      <c r="E360" s="3"/>
      <c r="F360" s="12"/>
      <c r="G360" s="12"/>
      <c r="Q360" s="135"/>
      <c r="R360" s="99" t="s">
        <v>203</v>
      </c>
      <c r="S360" s="102">
        <v>-458.3359</v>
      </c>
      <c r="T360" s="105">
        <f t="shared" si="27"/>
        <v>245.6986175</v>
      </c>
      <c r="Y360" s="63"/>
    </row>
    <row r="361" spans="6:25" ht="13.5" thickBot="1">
      <c r="F361" s="6" t="s">
        <v>25</v>
      </c>
      <c r="G361" s="68">
        <f>H357/H358</f>
        <v>537.790766170897</v>
      </c>
      <c r="H361" s="6" t="s">
        <v>26</v>
      </c>
      <c r="I361">
        <f>G361*16.387</f>
        <v>8812.77728524249</v>
      </c>
      <c r="J361" s="17" t="s">
        <v>27</v>
      </c>
      <c r="Q361" s="136"/>
      <c r="R361" s="100" t="s">
        <v>204</v>
      </c>
      <c r="S361" s="103">
        <v>-269.2479</v>
      </c>
      <c r="T361" s="106">
        <f t="shared" si="27"/>
        <v>278.7890175</v>
      </c>
      <c r="Y361" s="63"/>
    </row>
    <row r="362" spans="6:25" ht="12.75" customHeight="1">
      <c r="F362" s="6" t="s">
        <v>104</v>
      </c>
      <c r="G362" s="69">
        <f>G363^2-(G363-2*G364)^2</f>
        <v>475</v>
      </c>
      <c r="Q362" s="134" t="s">
        <v>230</v>
      </c>
      <c r="R362" s="98" t="s">
        <v>205</v>
      </c>
      <c r="S362" s="101">
        <v>-196.1943</v>
      </c>
      <c r="T362" s="104">
        <f t="shared" si="27"/>
        <v>291.57339750000006</v>
      </c>
      <c r="Y362" s="63"/>
    </row>
    <row r="363" spans="6:25" ht="12.75">
      <c r="F363" s="61" t="s">
        <v>28</v>
      </c>
      <c r="G363" s="70">
        <v>50</v>
      </c>
      <c r="H363" s="6" t="s">
        <v>26</v>
      </c>
      <c r="I363">
        <v>8469.5</v>
      </c>
      <c r="J363" s="17" t="s">
        <v>27</v>
      </c>
      <c r="K363">
        <f>I363/I361</f>
        <v>0.9610477748237973</v>
      </c>
      <c r="Q363" s="135"/>
      <c r="R363" s="99" t="s">
        <v>206</v>
      </c>
      <c r="S363" s="102">
        <v>-451.1817</v>
      </c>
      <c r="T363" s="105">
        <f t="shared" si="27"/>
        <v>246.95060250000003</v>
      </c>
      <c r="Y363" s="63"/>
    </row>
    <row r="364" spans="6:25" ht="12.75">
      <c r="F364" s="6" t="s">
        <v>29</v>
      </c>
      <c r="G364" s="71">
        <v>2.5</v>
      </c>
      <c r="Q364" s="135"/>
      <c r="R364" s="99" t="s">
        <v>207</v>
      </c>
      <c r="S364" s="102">
        <v>-446.9661</v>
      </c>
      <c r="T364" s="105">
        <f t="shared" si="27"/>
        <v>247.6883325</v>
      </c>
      <c r="Y364" s="63"/>
    </row>
    <row r="365" spans="6:25" ht="15.75">
      <c r="F365" s="72" t="s">
        <v>30</v>
      </c>
      <c r="G365" s="15">
        <f>(G363-2*G364)/G364</f>
        <v>18</v>
      </c>
      <c r="H365" t="str">
        <f>IF(G365&lt;=$I$314,"OK","MAL")</f>
        <v>OK</v>
      </c>
      <c r="Q365" s="135"/>
      <c r="R365" s="99" t="s">
        <v>208</v>
      </c>
      <c r="S365" s="102">
        <v>-447.0096</v>
      </c>
      <c r="T365" s="105">
        <f t="shared" si="27"/>
        <v>247.68072000000004</v>
      </c>
      <c r="Y365" s="63"/>
    </row>
    <row r="366" spans="17:25" ht="12.75">
      <c r="Q366" s="135"/>
      <c r="R366" s="99" t="s">
        <v>209</v>
      </c>
      <c r="S366" s="102">
        <v>-447.058</v>
      </c>
      <c r="T366" s="105">
        <f t="shared" si="27"/>
        <v>247.67225</v>
      </c>
      <c r="Y366" s="63"/>
    </row>
    <row r="367" spans="2:25" ht="12.75">
      <c r="B367" s="54" t="s">
        <v>32</v>
      </c>
      <c r="C367" s="54"/>
      <c r="Q367" s="135"/>
      <c r="R367" s="99" t="s">
        <v>210</v>
      </c>
      <c r="S367" s="102">
        <v>-447.3813</v>
      </c>
      <c r="T367" s="105">
        <f t="shared" si="27"/>
        <v>247.6156725</v>
      </c>
      <c r="Y367" s="63"/>
    </row>
    <row r="368" spans="2:25" ht="13.5" thickBot="1">
      <c r="B368" s="54"/>
      <c r="C368" s="54"/>
      <c r="Q368" s="136"/>
      <c r="R368" s="100" t="s">
        <v>211</v>
      </c>
      <c r="S368" s="103">
        <v>-263.897</v>
      </c>
      <c r="T368" s="106">
        <f t="shared" si="27"/>
        <v>279.72542500000003</v>
      </c>
      <c r="Y368" s="63"/>
    </row>
    <row r="369" spans="2:25" ht="14.25" customHeight="1">
      <c r="B369" s="54" t="s">
        <v>151</v>
      </c>
      <c r="C369" s="78">
        <v>153</v>
      </c>
      <c r="D369" s="78" t="s">
        <v>164</v>
      </c>
      <c r="E369" s="78"/>
      <c r="F369" s="79"/>
      <c r="G369" s="79"/>
      <c r="Q369" s="134" t="s">
        <v>231</v>
      </c>
      <c r="R369" s="98" t="s">
        <v>212</v>
      </c>
      <c r="S369" s="101">
        <v>-217.8124</v>
      </c>
      <c r="T369" s="104">
        <f t="shared" si="27"/>
        <v>287.79023</v>
      </c>
      <c r="Y369" s="63"/>
    </row>
    <row r="370" spans="7:25" ht="12.75">
      <c r="G370" s="145"/>
      <c r="H370" s="145"/>
      <c r="Q370" s="135"/>
      <c r="R370" s="99" t="s">
        <v>213</v>
      </c>
      <c r="S370" s="102">
        <v>-496.1097</v>
      </c>
      <c r="T370" s="105">
        <f t="shared" si="27"/>
        <v>239.08820250000005</v>
      </c>
      <c r="Y370" s="63"/>
    </row>
    <row r="371" spans="7:25" ht="12.75">
      <c r="G371" s="145"/>
      <c r="H371" s="145"/>
      <c r="Q371" s="135"/>
      <c r="R371" s="99" t="s">
        <v>214</v>
      </c>
      <c r="S371" s="102">
        <v>-491.4084</v>
      </c>
      <c r="T371" s="105">
        <f t="shared" si="27"/>
        <v>239.91093</v>
      </c>
      <c r="Y371" s="63"/>
    </row>
    <row r="372" spans="3:25" ht="12.75">
      <c r="C372" t="s">
        <v>7</v>
      </c>
      <c r="D372" s="145" t="str">
        <f>'[1]Despues de estudiar exc.'!$A$4</f>
        <v>W200X640</v>
      </c>
      <c r="E372" s="164"/>
      <c r="F372" s="8" t="s">
        <v>8</v>
      </c>
      <c r="G372" s="73">
        <f>'[1]Despues de estudiar exc.'!$C$12/2.54/2.54/2.54</f>
        <v>206.26025504019512</v>
      </c>
      <c r="I372" s="6" t="s">
        <v>12</v>
      </c>
      <c r="J372" s="20">
        <f>Pesos!D5/100*2.54*1000*2.2</f>
        <v>6.14042968</v>
      </c>
      <c r="K372" t="s">
        <v>13</v>
      </c>
      <c r="Q372" s="135"/>
      <c r="R372" s="99" t="s">
        <v>215</v>
      </c>
      <c r="S372" s="102">
        <v>-491.4642</v>
      </c>
      <c r="T372" s="105">
        <f t="shared" si="27"/>
        <v>239.90116500000002</v>
      </c>
      <c r="Y372" s="63"/>
    </row>
    <row r="373" spans="6:25" ht="12.75">
      <c r="F373" s="7" t="s">
        <v>11</v>
      </c>
      <c r="G373" s="53">
        <f>'[1]Despues de estudiar exc.'!$C$7/2.54</f>
        <v>23.62204724409449</v>
      </c>
      <c r="I373" s="6" t="s">
        <v>35</v>
      </c>
      <c r="J373" s="20">
        <f>G388/2/2.54</f>
        <v>8.858267716535433</v>
      </c>
      <c r="K373" t="s">
        <v>10</v>
      </c>
      <c r="Q373" s="135"/>
      <c r="R373" s="99" t="s">
        <v>216</v>
      </c>
      <c r="S373" s="102">
        <v>-491.5002</v>
      </c>
      <c r="T373" s="105">
        <f t="shared" si="27"/>
        <v>239.894865</v>
      </c>
      <c r="Y373" s="63"/>
    </row>
    <row r="374" spans="6:25" ht="15.75">
      <c r="F374" s="8" t="s">
        <v>14</v>
      </c>
      <c r="G374" s="53">
        <f>'[1]Despues de estudiar exc.'!$C$8/2.54</f>
        <v>0.39370078740157477</v>
      </c>
      <c r="I374" s="6" t="s">
        <v>260</v>
      </c>
      <c r="J374" s="17">
        <f>G373/3</f>
        <v>7.874015748031496</v>
      </c>
      <c r="K374" t="s">
        <v>10</v>
      </c>
      <c r="Q374" s="135"/>
      <c r="R374" s="99" t="s">
        <v>217</v>
      </c>
      <c r="S374" s="102">
        <v>-492.3088</v>
      </c>
      <c r="T374" s="105">
        <f t="shared" si="27"/>
        <v>239.75336000000001</v>
      </c>
      <c r="Y374" s="63"/>
    </row>
    <row r="375" spans="6:25" ht="13.5" thickBot="1">
      <c r="F375" s="63"/>
      <c r="G375" s="77"/>
      <c r="I375" s="6" t="s">
        <v>15</v>
      </c>
      <c r="J375" s="20">
        <f>J373+J374</f>
        <v>16.73228346456693</v>
      </c>
      <c r="K375" t="s">
        <v>10</v>
      </c>
      <c r="Q375" s="136"/>
      <c r="R375" s="100" t="s">
        <v>218</v>
      </c>
      <c r="S375" s="103">
        <v>-285.5226</v>
      </c>
      <c r="T375" s="106">
        <f t="shared" si="27"/>
        <v>275.940945</v>
      </c>
      <c r="Y375" s="63"/>
    </row>
    <row r="376" spans="6:25" ht="12.75" customHeight="1">
      <c r="F376" s="63"/>
      <c r="G376" s="77"/>
      <c r="I376" s="6" t="s">
        <v>9</v>
      </c>
      <c r="J376" s="20">
        <f>360-2*J375</f>
        <v>326.53543307086613</v>
      </c>
      <c r="K376" t="s">
        <v>10</v>
      </c>
      <c r="Q376" s="134" t="s">
        <v>232</v>
      </c>
      <c r="R376" s="98" t="s">
        <v>219</v>
      </c>
      <c r="S376" s="101">
        <v>-84.7951</v>
      </c>
      <c r="T376" s="104">
        <f t="shared" si="27"/>
        <v>311.0682575</v>
      </c>
      <c r="Y376" s="63"/>
    </row>
    <row r="377" spans="17:25" ht="12.75">
      <c r="Q377" s="135"/>
      <c r="R377" s="99" t="s">
        <v>220</v>
      </c>
      <c r="S377" s="102">
        <v>-217.6632</v>
      </c>
      <c r="T377" s="105">
        <f t="shared" si="27"/>
        <v>287.81634</v>
      </c>
      <c r="Y377" s="63"/>
    </row>
    <row r="378" spans="5:25" ht="15.75">
      <c r="E378" s="145" t="s">
        <v>16</v>
      </c>
      <c r="F378" s="145"/>
      <c r="G378" s="6">
        <f>$E$314*$E$315*G372*$C$311</f>
        <v>11583.575923057359</v>
      </c>
      <c r="H378" t="s">
        <v>17</v>
      </c>
      <c r="Q378" s="135"/>
      <c r="R378" s="99" t="s">
        <v>221</v>
      </c>
      <c r="S378" s="102">
        <v>-214.8219</v>
      </c>
      <c r="T378" s="105">
        <f t="shared" si="27"/>
        <v>288.3135675</v>
      </c>
      <c r="Y378" s="63"/>
    </row>
    <row r="379" spans="2:25" ht="12.75">
      <c r="B379" s="132" t="s">
        <v>37</v>
      </c>
      <c r="C379" s="132"/>
      <c r="D379" s="132"/>
      <c r="E379" s="21">
        <f>3*J376-90-180-270</f>
        <v>439.6062992125984</v>
      </c>
      <c r="F379" s="6" t="s">
        <v>36</v>
      </c>
      <c r="G379" s="10">
        <f>(2*G378+(3*J376-90-270-180)*($D$316*2.2)+(J372*10^-3)*(J376^2)/2)/J376</f>
        <v>147.18070331886176</v>
      </c>
      <c r="H379" t="s">
        <v>18</v>
      </c>
      <c r="Q379" s="135"/>
      <c r="R379" s="99" t="s">
        <v>222</v>
      </c>
      <c r="S379" s="102">
        <v>-214.8614</v>
      </c>
      <c r="T379" s="105">
        <f t="shared" si="27"/>
        <v>288.306655</v>
      </c>
      <c r="Y379" s="63"/>
    </row>
    <row r="380" spans="5:25" ht="12.75">
      <c r="E380" s="123" t="s">
        <v>19</v>
      </c>
      <c r="F380" s="123"/>
      <c r="G380" s="11">
        <f>G379*J375</f>
        <v>2462.6692484455216</v>
      </c>
      <c r="H380" s="2" t="s">
        <v>17</v>
      </c>
      <c r="I380" s="5"/>
      <c r="Q380" s="135"/>
      <c r="R380" s="99" t="s">
        <v>223</v>
      </c>
      <c r="S380" s="102">
        <v>-214.9144</v>
      </c>
      <c r="T380" s="105">
        <f t="shared" si="27"/>
        <v>288.29738000000003</v>
      </c>
      <c r="Y380" s="63"/>
    </row>
    <row r="381" spans="5:25" ht="15.75">
      <c r="E381" s="2"/>
      <c r="F381" s="67"/>
      <c r="G381" s="62"/>
      <c r="H381" s="1"/>
      <c r="Q381" s="135"/>
      <c r="R381" s="99" t="s">
        <v>224</v>
      </c>
      <c r="S381" s="102">
        <v>-213.8545</v>
      </c>
      <c r="T381" s="105">
        <f t="shared" si="27"/>
        <v>288.4828625</v>
      </c>
      <c r="Y381" s="63"/>
    </row>
    <row r="382" spans="5:25" ht="16.5" thickBot="1">
      <c r="E382" s="3" t="s">
        <v>20</v>
      </c>
      <c r="F382" s="149" t="s">
        <v>21</v>
      </c>
      <c r="G382" s="149"/>
      <c r="H382" s="18">
        <f>1.1*$E$314*$C$311*G372+G380</f>
        <v>13080.947177914768</v>
      </c>
      <c r="I382" s="6" t="s">
        <v>17</v>
      </c>
      <c r="Q382" s="136"/>
      <c r="R382" s="100" t="s">
        <v>225</v>
      </c>
      <c r="S382" s="103">
        <v>-152.1554</v>
      </c>
      <c r="T382" s="106">
        <f t="shared" si="27"/>
        <v>299.280205</v>
      </c>
      <c r="Y382" s="63"/>
    </row>
    <row r="383" spans="5:21" ht="17.25">
      <c r="E383" s="3" t="s">
        <v>22</v>
      </c>
      <c r="F383" s="149" t="s">
        <v>23</v>
      </c>
      <c r="G383" s="149"/>
      <c r="H383" s="18">
        <f>$C$311-(C369*2.2)/(G387/2.54/2.54)</f>
        <v>30.23425934579439</v>
      </c>
      <c r="I383" s="5" t="s">
        <v>24</v>
      </c>
      <c r="S383" s="95" t="s">
        <v>256</v>
      </c>
      <c r="T383" s="15">
        <f>2*SUM(T334:T382)/4.6</f>
        <v>5680.1646086956525</v>
      </c>
      <c r="U383" s="4" t="s">
        <v>73</v>
      </c>
    </row>
    <row r="384" spans="5:7" ht="12.75">
      <c r="E384" s="3"/>
      <c r="F384" s="12"/>
      <c r="G384" s="12"/>
    </row>
    <row r="385" spans="5:7" ht="13.5" thickBot="1">
      <c r="E385" s="3"/>
      <c r="F385" s="12"/>
      <c r="G385" s="12"/>
    </row>
    <row r="386" spans="6:20" ht="13.5" thickBot="1">
      <c r="F386" s="6" t="s">
        <v>25</v>
      </c>
      <c r="G386" s="68">
        <f>H382/H383</f>
        <v>432.6531378958466</v>
      </c>
      <c r="H386" s="6" t="s">
        <v>26</v>
      </c>
      <c r="I386">
        <f>G386*16.387</f>
        <v>7089.886970699238</v>
      </c>
      <c r="J386" s="17" t="s">
        <v>27</v>
      </c>
      <c r="R386" s="138" t="s">
        <v>259</v>
      </c>
      <c r="S386" s="139"/>
      <c r="T386" s="140"/>
    </row>
    <row r="387" spans="6:20" ht="12.75">
      <c r="F387" s="6" t="s">
        <v>104</v>
      </c>
      <c r="G387" s="69">
        <f>G388^2-(G388-2*G389)^2</f>
        <v>376.6399999999999</v>
      </c>
      <c r="R387" s="137" t="s">
        <v>175</v>
      </c>
      <c r="S387" s="137"/>
      <c r="T387" s="137"/>
    </row>
    <row r="388" spans="6:24" ht="14.25">
      <c r="F388" s="61" t="s">
        <v>28</v>
      </c>
      <c r="G388" s="70">
        <v>45</v>
      </c>
      <c r="H388" s="6" t="s">
        <v>26</v>
      </c>
      <c r="I388">
        <v>6050</v>
      </c>
      <c r="J388" s="17" t="s">
        <v>27</v>
      </c>
      <c r="K388">
        <f>I388/I386</f>
        <v>0.8533281313232728</v>
      </c>
      <c r="R388" s="96" t="s">
        <v>237</v>
      </c>
      <c r="S388" s="96" t="s">
        <v>236</v>
      </c>
      <c r="T388" s="107" t="s">
        <v>238</v>
      </c>
      <c r="V388" s="107" t="s">
        <v>251</v>
      </c>
      <c r="W388" s="107" t="s">
        <v>250</v>
      </c>
      <c r="X388" s="107" t="s">
        <v>249</v>
      </c>
    </row>
    <row r="389" spans="6:24" ht="13.5" thickBot="1">
      <c r="F389" s="6" t="s">
        <v>29</v>
      </c>
      <c r="G389" s="71">
        <v>2.2</v>
      </c>
      <c r="R389" s="97"/>
      <c r="S389" s="97" t="s">
        <v>176</v>
      </c>
      <c r="T389" s="97" t="s">
        <v>233</v>
      </c>
      <c r="V389" s="108" t="s">
        <v>233</v>
      </c>
      <c r="W389" s="108"/>
      <c r="X389" s="108"/>
    </row>
    <row r="390" spans="1:27" ht="15.75">
      <c r="A390" s="64"/>
      <c r="F390" s="72" t="s">
        <v>30</v>
      </c>
      <c r="G390" s="15">
        <f>(G388-2*G389)/G389</f>
        <v>18.454545454545453</v>
      </c>
      <c r="H390" t="str">
        <f>IF(G390&lt;=$I$314,"OK","MAL")</f>
        <v>MAL</v>
      </c>
      <c r="I390" s="129"/>
      <c r="J390" s="129"/>
      <c r="Q390" s="134" t="s">
        <v>226</v>
      </c>
      <c r="R390" s="98" t="s">
        <v>177</v>
      </c>
      <c r="S390" s="101">
        <v>-66.6648</v>
      </c>
      <c r="T390" s="104">
        <f>$I$338/100*(1.3*2.54+S390/$G$337)</f>
        <v>314.24106</v>
      </c>
      <c r="U390" t="s">
        <v>239</v>
      </c>
      <c r="V390" s="15">
        <f>$AA$390*1.3*2.54/100</f>
        <v>85.1916</v>
      </c>
      <c r="W390" s="83">
        <f>9.15/(9.15-0.5/2-0.54/3)</f>
        <v>1.0493119266055047</v>
      </c>
      <c r="X390" s="15">
        <f aca="true" t="shared" si="28" ref="X390:X395">V390*W390</f>
        <v>89.39256192660551</v>
      </c>
      <c r="Z390" s="9" t="s">
        <v>245</v>
      </c>
      <c r="AA390">
        <v>2580</v>
      </c>
    </row>
    <row r="391" spans="17:27" ht="12.75">
      <c r="Q391" s="135"/>
      <c r="R391" s="99" t="s">
        <v>178</v>
      </c>
      <c r="S391" s="102">
        <v>-199.7838</v>
      </c>
      <c r="T391" s="105">
        <f aca="true" t="shared" si="29" ref="T391:T438">$I$338/100*(1.3*2.54+S391/$G$337)</f>
        <v>290.945235</v>
      </c>
      <c r="U391" t="s">
        <v>240</v>
      </c>
      <c r="V391" s="15">
        <f>$AA$390*1.3*2.54/100</f>
        <v>85.1916</v>
      </c>
      <c r="W391" s="83">
        <f>9.15/(9.15-0.5/2-0.54/3)</f>
        <v>1.0493119266055047</v>
      </c>
      <c r="X391" s="15">
        <f t="shared" si="28"/>
        <v>89.39256192660551</v>
      </c>
      <c r="Z391" s="9" t="s">
        <v>246</v>
      </c>
      <c r="AA391">
        <v>2580</v>
      </c>
    </row>
    <row r="392" spans="17:27" ht="12.75">
      <c r="Q392" s="135"/>
      <c r="R392" s="99" t="s">
        <v>179</v>
      </c>
      <c r="S392" s="102">
        <v>-197.0178</v>
      </c>
      <c r="T392" s="105">
        <f t="shared" si="29"/>
        <v>291.42928500000005</v>
      </c>
      <c r="U392" t="s">
        <v>241</v>
      </c>
      <c r="V392" s="15">
        <f>$AA$391*1.3*2.54/100</f>
        <v>85.1916</v>
      </c>
      <c r="W392" s="83">
        <f>9.15/(9.15-0.5/2-0.54/3)</f>
        <v>1.0493119266055047</v>
      </c>
      <c r="X392" s="15">
        <f t="shared" si="28"/>
        <v>89.39256192660551</v>
      </c>
      <c r="Z392" s="9" t="s">
        <v>247</v>
      </c>
      <c r="AA392">
        <v>2045</v>
      </c>
    </row>
    <row r="393" spans="17:24" ht="12.75">
      <c r="Q393" s="135"/>
      <c r="R393" s="99" t="s">
        <v>180</v>
      </c>
      <c r="S393" s="102">
        <v>-197.0547</v>
      </c>
      <c r="T393" s="105">
        <f t="shared" si="29"/>
        <v>291.4228275</v>
      </c>
      <c r="U393" t="s">
        <v>242</v>
      </c>
      <c r="V393" s="15">
        <f>$AA$391*1.3*2.54/100</f>
        <v>85.1916</v>
      </c>
      <c r="W393" s="83">
        <f>9.15/(9.15-0.5/2-0.54/3)</f>
        <v>1.0493119266055047</v>
      </c>
      <c r="X393" s="15">
        <f t="shared" si="28"/>
        <v>89.39256192660551</v>
      </c>
    </row>
    <row r="394" spans="17:24" ht="12.75">
      <c r="Q394" s="135"/>
      <c r="R394" s="99" t="s">
        <v>181</v>
      </c>
      <c r="S394" s="102">
        <v>-197.1077</v>
      </c>
      <c r="T394" s="105">
        <f t="shared" si="29"/>
        <v>291.41355250000004</v>
      </c>
      <c r="U394" t="s">
        <v>243</v>
      </c>
      <c r="V394" s="15">
        <f>$AA$392*1.3*2.54/100</f>
        <v>67.52590000000001</v>
      </c>
      <c r="W394" s="83">
        <f>9.15/(9.15-0.45/2-0.53/2)</f>
        <v>1.056581986143187</v>
      </c>
      <c r="X394" s="15">
        <f t="shared" si="28"/>
        <v>71.34664953810625</v>
      </c>
    </row>
    <row r="395" spans="17:24" ht="12.75">
      <c r="Q395" s="135"/>
      <c r="R395" s="99" t="s">
        <v>182</v>
      </c>
      <c r="S395" s="102">
        <v>-196.0824</v>
      </c>
      <c r="T395" s="105">
        <f t="shared" si="29"/>
        <v>291.59298</v>
      </c>
      <c r="U395" t="s">
        <v>244</v>
      </c>
      <c r="V395" s="15">
        <f>$AA$392*1.3*2.54/100</f>
        <v>67.52590000000001</v>
      </c>
      <c r="W395" s="83">
        <f>9.15/(9.15-0.45/2-0.53/2)</f>
        <v>1.056581986143187</v>
      </c>
      <c r="X395" s="15">
        <f t="shared" si="28"/>
        <v>71.34664953810625</v>
      </c>
    </row>
    <row r="396" spans="17:25" ht="15" thickBot="1">
      <c r="Q396" s="136"/>
      <c r="R396" s="100" t="s">
        <v>183</v>
      </c>
      <c r="S396" s="103">
        <v>-132.1283</v>
      </c>
      <c r="T396" s="106">
        <f t="shared" si="29"/>
        <v>302.78494750000004</v>
      </c>
      <c r="V396" s="28"/>
      <c r="W396" s="109" t="s">
        <v>252</v>
      </c>
      <c r="X396" s="15">
        <f>12*SUM(X390:X395)</f>
        <v>6003.162561391615</v>
      </c>
      <c r="Y396" s="4" t="s">
        <v>248</v>
      </c>
    </row>
    <row r="397" spans="17:25" ht="14.25">
      <c r="Q397" s="134" t="s">
        <v>227</v>
      </c>
      <c r="R397" s="98" t="s">
        <v>184</v>
      </c>
      <c r="S397" s="101">
        <v>-219.4148</v>
      </c>
      <c r="T397" s="104">
        <f t="shared" si="29"/>
        <v>287.50981</v>
      </c>
      <c r="W397" s="109" t="s">
        <v>253</v>
      </c>
      <c r="X397" s="15">
        <f>SUM(T390:T396)</f>
        <v>2073.8298875</v>
      </c>
      <c r="Y397" t="s">
        <v>248</v>
      </c>
    </row>
    <row r="398" spans="11:20" ht="12.75">
      <c r="K398" s="62"/>
      <c r="L398" s="62"/>
      <c r="M398" s="22"/>
      <c r="N398" s="2"/>
      <c r="Q398" s="135"/>
      <c r="R398" s="99" t="s">
        <v>185</v>
      </c>
      <c r="S398" s="102">
        <v>-496.5954</v>
      </c>
      <c r="T398" s="105">
        <f t="shared" si="29"/>
        <v>239.00320500000004</v>
      </c>
    </row>
    <row r="399" spans="11:20" ht="12.75">
      <c r="K399" s="62"/>
      <c r="L399" s="22"/>
      <c r="Q399" s="135"/>
      <c r="R399" s="99" t="s">
        <v>186</v>
      </c>
      <c r="S399" s="102">
        <v>-491.9493</v>
      </c>
      <c r="T399" s="105">
        <f t="shared" si="29"/>
        <v>239.8162725</v>
      </c>
    </row>
    <row r="400" spans="17:27" ht="14.25">
      <c r="Q400" s="135"/>
      <c r="R400" s="99" t="s">
        <v>187</v>
      </c>
      <c r="S400" s="102">
        <v>-492.0038</v>
      </c>
      <c r="T400" s="105">
        <f t="shared" si="29"/>
        <v>239.80673500000003</v>
      </c>
      <c r="V400" s="42" t="s">
        <v>84</v>
      </c>
      <c r="W400" s="111" t="s">
        <v>85</v>
      </c>
      <c r="X400" s="44" t="s">
        <v>157</v>
      </c>
      <c r="Y400" s="44" t="s">
        <v>254</v>
      </c>
      <c r="AA400" s="112"/>
    </row>
    <row r="401" spans="17:27" ht="12.75">
      <c r="Q401" s="135"/>
      <c r="R401" s="99" t="s">
        <v>188</v>
      </c>
      <c r="S401" s="102">
        <v>-492.0386</v>
      </c>
      <c r="T401" s="105">
        <f t="shared" si="29"/>
        <v>239.800645</v>
      </c>
      <c r="V401" s="16">
        <v>6</v>
      </c>
      <c r="W401" s="110">
        <f>13/3.28+W402</f>
        <v>24.39024390243903</v>
      </c>
      <c r="X401" s="48">
        <f aca="true" t="shared" si="30" ref="X401:X406">H144</f>
        <v>0.3164259696613448</v>
      </c>
      <c r="Y401" s="48">
        <f aca="true" t="shared" si="31" ref="Y401:Y406">X401*W401</f>
        <v>7.717706577105972</v>
      </c>
      <c r="AA401" s="113"/>
    </row>
    <row r="402" spans="17:27" ht="12.75">
      <c r="Q402" s="135"/>
      <c r="R402" s="99" t="s">
        <v>189</v>
      </c>
      <c r="S402" s="102">
        <v>-492.9019</v>
      </c>
      <c r="T402" s="105">
        <f t="shared" si="29"/>
        <v>239.6495675</v>
      </c>
      <c r="V402" s="16">
        <v>5</v>
      </c>
      <c r="W402" s="110">
        <f>13/3.28+W403</f>
        <v>20.426829268292686</v>
      </c>
      <c r="X402" s="48">
        <f t="shared" si="30"/>
        <v>0.2521418958177377</v>
      </c>
      <c r="Y402" s="48">
        <f t="shared" si="31"/>
        <v>5.15045945725257</v>
      </c>
      <c r="AA402" s="113"/>
    </row>
    <row r="403" spans="17:27" ht="13.5" thickBot="1">
      <c r="Q403" s="136"/>
      <c r="R403" s="100" t="s">
        <v>190</v>
      </c>
      <c r="S403" s="103">
        <v>-285.2281</v>
      </c>
      <c r="T403" s="106">
        <f t="shared" si="29"/>
        <v>275.9924825</v>
      </c>
      <c r="V403" s="16">
        <v>4</v>
      </c>
      <c r="W403" s="110">
        <f>13/3.28+W404</f>
        <v>16.463414634146343</v>
      </c>
      <c r="X403" s="48">
        <f t="shared" si="30"/>
        <v>0.18996732767977415</v>
      </c>
      <c r="Y403" s="48">
        <f t="shared" si="31"/>
        <v>3.1275108825328672</v>
      </c>
      <c r="AA403" s="113"/>
    </row>
    <row r="404" spans="17:27" ht="12.75">
      <c r="Q404" s="134" t="s">
        <v>228</v>
      </c>
      <c r="R404" s="98" t="s">
        <v>191</v>
      </c>
      <c r="S404" s="101">
        <v>-197.1519</v>
      </c>
      <c r="T404" s="104">
        <f t="shared" si="29"/>
        <v>291.4058175</v>
      </c>
      <c r="V404" s="8">
        <v>3</v>
      </c>
      <c r="W404" s="110">
        <f>13/3.28+W405</f>
        <v>12.5</v>
      </c>
      <c r="X404" s="48">
        <f t="shared" si="30"/>
        <v>0.13008142824548052</v>
      </c>
      <c r="Y404" s="48">
        <f t="shared" si="31"/>
        <v>1.6260178530685065</v>
      </c>
      <c r="AA404" s="113"/>
    </row>
    <row r="405" spans="17:27" ht="12.75">
      <c r="Q405" s="135"/>
      <c r="R405" s="99" t="s">
        <v>192</v>
      </c>
      <c r="S405" s="102">
        <v>-451.1609</v>
      </c>
      <c r="T405" s="105">
        <f t="shared" si="29"/>
        <v>246.9542425</v>
      </c>
      <c r="V405" s="8">
        <v>2</v>
      </c>
      <c r="W405" s="110">
        <f>13/3.28+W406</f>
        <v>8.536585365853659</v>
      </c>
      <c r="X405" s="48">
        <f t="shared" si="30"/>
        <v>0.07748801215297658</v>
      </c>
      <c r="Y405" s="48">
        <f t="shared" si="31"/>
        <v>0.6614830305741904</v>
      </c>
      <c r="AA405" s="113"/>
    </row>
    <row r="406" spans="17:27" ht="12.75">
      <c r="Q406" s="135"/>
      <c r="R406" s="99" t="s">
        <v>193</v>
      </c>
      <c r="S406" s="102">
        <v>-446.9993</v>
      </c>
      <c r="T406" s="105">
        <f t="shared" si="29"/>
        <v>247.6825225</v>
      </c>
      <c r="V406" s="8">
        <v>1</v>
      </c>
      <c r="W406" s="110">
        <f>15/3.28</f>
        <v>4.573170731707317</v>
      </c>
      <c r="X406" s="48">
        <f t="shared" si="30"/>
        <v>0.03389536644268618</v>
      </c>
      <c r="Y406" s="48">
        <f t="shared" si="31"/>
        <v>0.15500929775618683</v>
      </c>
      <c r="AA406" s="113"/>
    </row>
    <row r="407" spans="17:27" ht="12.75">
      <c r="Q407" s="135"/>
      <c r="R407" s="99" t="s">
        <v>194</v>
      </c>
      <c r="S407" s="102">
        <v>-447.0415</v>
      </c>
      <c r="T407" s="105">
        <f t="shared" si="29"/>
        <v>247.6751375</v>
      </c>
      <c r="V407" s="34"/>
      <c r="W407" s="34">
        <f>SUM(W401:W406)</f>
        <v>86.89024390243904</v>
      </c>
      <c r="X407" s="85">
        <f>SUM(X401:X406)</f>
        <v>1</v>
      </c>
      <c r="Y407" s="114">
        <f>SUM(Y401:Y406)</f>
        <v>18.438187098290292</v>
      </c>
      <c r="AA407" s="113"/>
    </row>
    <row r="408" spans="17:20" ht="12.75">
      <c r="Q408" s="135"/>
      <c r="R408" s="99" t="s">
        <v>195</v>
      </c>
      <c r="S408" s="102">
        <v>-447.0885</v>
      </c>
      <c r="T408" s="105">
        <f t="shared" si="29"/>
        <v>247.6669125</v>
      </c>
    </row>
    <row r="409" spans="17:20" ht="12.75">
      <c r="Q409" s="135"/>
      <c r="R409" s="99" t="s">
        <v>196</v>
      </c>
      <c r="S409" s="102">
        <v>-447.4679</v>
      </c>
      <c r="T409" s="105">
        <f t="shared" si="29"/>
        <v>247.6005175</v>
      </c>
    </row>
    <row r="410" spans="17:25" ht="16.5" thickBot="1">
      <c r="Q410" s="136"/>
      <c r="R410" s="100" t="s">
        <v>197</v>
      </c>
      <c r="S410" s="103">
        <v>-262.9578</v>
      </c>
      <c r="T410" s="106">
        <f t="shared" si="29"/>
        <v>279.889785</v>
      </c>
      <c r="W410" s="6" t="s">
        <v>234</v>
      </c>
      <c r="X410" s="4">
        <f>(X396+X397)/Y407</f>
        <v>438.0578419035875</v>
      </c>
      <c r="Y410" t="s">
        <v>248</v>
      </c>
    </row>
    <row r="411" spans="17:25" ht="17.25">
      <c r="Q411" s="134" t="s">
        <v>229</v>
      </c>
      <c r="R411" s="98" t="s">
        <v>198</v>
      </c>
      <c r="S411" s="101">
        <v>-202.4936</v>
      </c>
      <c r="T411" s="104">
        <f t="shared" si="29"/>
        <v>290.47102</v>
      </c>
      <c r="W411" s="115" t="s">
        <v>257</v>
      </c>
      <c r="X411" s="116">
        <f>(SUM(T390:T438)+X396*7)/Y407</f>
        <v>2987.6319360241923</v>
      </c>
      <c r="Y411" s="91" t="s">
        <v>255</v>
      </c>
    </row>
    <row r="412" spans="17:24" ht="12.75">
      <c r="Q412" s="135"/>
      <c r="R412" s="99" t="s">
        <v>199</v>
      </c>
      <c r="S412" s="102">
        <v>-462.083</v>
      </c>
      <c r="T412" s="105">
        <f t="shared" si="29"/>
        <v>245.042875</v>
      </c>
      <c r="W412" s="117" t="s">
        <v>258</v>
      </c>
      <c r="X412" s="121">
        <f>X411/I150</f>
        <v>3.7829332932021793</v>
      </c>
    </row>
    <row r="413" spans="17:20" ht="12.75">
      <c r="Q413" s="135"/>
      <c r="R413" s="99" t="s">
        <v>200</v>
      </c>
      <c r="S413" s="102">
        <v>-457.8043</v>
      </c>
      <c r="T413" s="105">
        <f t="shared" si="29"/>
        <v>245.7916475</v>
      </c>
    </row>
    <row r="414" spans="17:20" ht="12.75">
      <c r="Q414" s="135"/>
      <c r="R414" s="99" t="s">
        <v>201</v>
      </c>
      <c r="S414" s="102">
        <v>-457.8498</v>
      </c>
      <c r="T414" s="105">
        <f t="shared" si="29"/>
        <v>245.78368500000002</v>
      </c>
    </row>
    <row r="415" spans="17:20" ht="12.75">
      <c r="Q415" s="135"/>
      <c r="R415" s="99" t="s">
        <v>202</v>
      </c>
      <c r="S415" s="102">
        <v>-457.8935</v>
      </c>
      <c r="T415" s="105">
        <f t="shared" si="29"/>
        <v>245.77603750000003</v>
      </c>
    </row>
    <row r="416" spans="17:20" ht="12.75">
      <c r="Q416" s="135"/>
      <c r="R416" s="99" t="s">
        <v>203</v>
      </c>
      <c r="S416" s="102">
        <v>-458.3896</v>
      </c>
      <c r="T416" s="105">
        <f t="shared" si="29"/>
        <v>245.68922000000003</v>
      </c>
    </row>
    <row r="417" spans="17:20" ht="13.5" thickBot="1">
      <c r="Q417" s="136"/>
      <c r="R417" s="100" t="s">
        <v>204</v>
      </c>
      <c r="S417" s="103">
        <v>-268.2995</v>
      </c>
      <c r="T417" s="106">
        <f t="shared" si="29"/>
        <v>278.9549875</v>
      </c>
    </row>
    <row r="418" spans="17:20" ht="12.75">
      <c r="Q418" s="134" t="s">
        <v>230</v>
      </c>
      <c r="R418" s="98" t="s">
        <v>205</v>
      </c>
      <c r="S418" s="101">
        <v>-197.1426</v>
      </c>
      <c r="T418" s="104">
        <f t="shared" si="29"/>
        <v>291.40744500000005</v>
      </c>
    </row>
    <row r="419" spans="17:20" ht="12.75">
      <c r="Q419" s="135"/>
      <c r="R419" s="99" t="s">
        <v>206</v>
      </c>
      <c r="S419" s="102">
        <v>-451.1277</v>
      </c>
      <c r="T419" s="105">
        <f t="shared" si="29"/>
        <v>246.9600525</v>
      </c>
    </row>
    <row r="420" spans="17:20" ht="12.75">
      <c r="Q420" s="135"/>
      <c r="R420" s="99" t="s">
        <v>207</v>
      </c>
      <c r="S420" s="102">
        <v>-446.9671</v>
      </c>
      <c r="T420" s="105">
        <f t="shared" si="29"/>
        <v>247.6881575</v>
      </c>
    </row>
    <row r="421" spans="17:20" ht="12.75">
      <c r="Q421" s="135"/>
      <c r="R421" s="99" t="s">
        <v>208</v>
      </c>
      <c r="S421" s="102">
        <v>-447.0093</v>
      </c>
      <c r="T421" s="105">
        <f t="shared" si="29"/>
        <v>247.68077250000002</v>
      </c>
    </row>
    <row r="422" spans="17:20" ht="12.75">
      <c r="Q422" s="135"/>
      <c r="R422" s="99" t="s">
        <v>209</v>
      </c>
      <c r="S422" s="102">
        <v>-447.0564</v>
      </c>
      <c r="T422" s="105">
        <f t="shared" si="29"/>
        <v>247.67253</v>
      </c>
    </row>
    <row r="423" spans="17:20" ht="12.75">
      <c r="Q423" s="135"/>
      <c r="R423" s="99" t="s">
        <v>210</v>
      </c>
      <c r="S423" s="102">
        <v>-447.4347</v>
      </c>
      <c r="T423" s="105">
        <f t="shared" si="29"/>
        <v>247.6063275</v>
      </c>
    </row>
    <row r="424" spans="17:20" ht="13.5" thickBot="1">
      <c r="Q424" s="136"/>
      <c r="R424" s="100" t="s">
        <v>211</v>
      </c>
      <c r="S424" s="103">
        <v>-262.9485</v>
      </c>
      <c r="T424" s="106">
        <f t="shared" si="29"/>
        <v>279.8914125</v>
      </c>
    </row>
    <row r="425" spans="17:20" ht="12.75">
      <c r="Q425" s="134" t="s">
        <v>231</v>
      </c>
      <c r="R425" s="98" t="s">
        <v>212</v>
      </c>
      <c r="S425" s="101">
        <v>-218.7552</v>
      </c>
      <c r="T425" s="104">
        <f t="shared" si="29"/>
        <v>287.62524</v>
      </c>
    </row>
    <row r="426" spans="17:20" ht="12.75">
      <c r="Q426" s="135"/>
      <c r="R426" s="99" t="s">
        <v>213</v>
      </c>
      <c r="S426" s="102">
        <v>-496.0513</v>
      </c>
      <c r="T426" s="105">
        <f t="shared" si="29"/>
        <v>239.0984225</v>
      </c>
    </row>
    <row r="427" spans="17:20" ht="12.75">
      <c r="Q427" s="135"/>
      <c r="R427" s="99" t="s">
        <v>214</v>
      </c>
      <c r="S427" s="102">
        <v>-491.405</v>
      </c>
      <c r="T427" s="105">
        <f t="shared" si="29"/>
        <v>239.911525</v>
      </c>
    </row>
    <row r="428" spans="17:20" ht="12.75">
      <c r="Q428" s="135"/>
      <c r="R428" s="99" t="s">
        <v>215</v>
      </c>
      <c r="S428" s="102">
        <v>-491.4595</v>
      </c>
      <c r="T428" s="105">
        <f t="shared" si="29"/>
        <v>239.90198750000005</v>
      </c>
    </row>
    <row r="429" spans="17:20" ht="12.75">
      <c r="Q429" s="135"/>
      <c r="R429" s="99" t="s">
        <v>216</v>
      </c>
      <c r="S429" s="102">
        <v>-491.4943</v>
      </c>
      <c r="T429" s="105">
        <f t="shared" si="29"/>
        <v>239.89589750000002</v>
      </c>
    </row>
    <row r="430" spans="17:20" ht="12.75">
      <c r="Q430" s="135"/>
      <c r="R430" s="99" t="s">
        <v>217</v>
      </c>
      <c r="S430" s="102">
        <v>-492.3578</v>
      </c>
      <c r="T430" s="105">
        <f t="shared" si="29"/>
        <v>239.74478500000004</v>
      </c>
    </row>
    <row r="431" spans="17:20" ht="13.5" thickBot="1">
      <c r="Q431" s="136"/>
      <c r="R431" s="100" t="s">
        <v>218</v>
      </c>
      <c r="S431" s="103">
        <v>-284.5685</v>
      </c>
      <c r="T431" s="106">
        <f t="shared" si="29"/>
        <v>276.1079125</v>
      </c>
    </row>
    <row r="432" spans="17:20" ht="12.75">
      <c r="Q432" s="134" t="s">
        <v>232</v>
      </c>
      <c r="R432" s="98" t="s">
        <v>219</v>
      </c>
      <c r="S432" s="101">
        <v>-85.8908</v>
      </c>
      <c r="T432" s="104">
        <f t="shared" si="29"/>
        <v>310.87651</v>
      </c>
    </row>
    <row r="433" spans="17:20" ht="12.75">
      <c r="Q433" s="135"/>
      <c r="R433" s="99" t="s">
        <v>220</v>
      </c>
      <c r="S433" s="102">
        <v>-217.7473</v>
      </c>
      <c r="T433" s="105">
        <f t="shared" si="29"/>
        <v>287.8016225</v>
      </c>
    </row>
    <row r="434" spans="17:20" ht="12.75">
      <c r="Q434" s="135"/>
      <c r="R434" s="99" t="s">
        <v>221</v>
      </c>
      <c r="S434" s="102">
        <v>-214.9609</v>
      </c>
      <c r="T434" s="105">
        <f t="shared" si="29"/>
        <v>288.28924250000006</v>
      </c>
    </row>
    <row r="435" spans="17:20" ht="12.75">
      <c r="Q435" s="135"/>
      <c r="R435" s="99" t="s">
        <v>222</v>
      </c>
      <c r="S435" s="102">
        <v>-214.9991</v>
      </c>
      <c r="T435" s="105">
        <f t="shared" si="29"/>
        <v>288.2825575</v>
      </c>
    </row>
    <row r="436" spans="17:20" ht="12.75">
      <c r="Q436" s="135"/>
      <c r="R436" s="99" t="s">
        <v>223</v>
      </c>
      <c r="S436" s="102">
        <v>-215.0507</v>
      </c>
      <c r="T436" s="105">
        <f t="shared" si="29"/>
        <v>288.2735275</v>
      </c>
    </row>
    <row r="437" spans="17:20" ht="12.75">
      <c r="Q437" s="135"/>
      <c r="R437" s="99" t="s">
        <v>224</v>
      </c>
      <c r="S437" s="102">
        <v>-214.046</v>
      </c>
      <c r="T437" s="105">
        <f t="shared" si="29"/>
        <v>288.44935</v>
      </c>
    </row>
    <row r="438" spans="17:20" ht="13.5" thickBot="1">
      <c r="Q438" s="136"/>
      <c r="R438" s="100" t="s">
        <v>225</v>
      </c>
      <c r="S438" s="103">
        <v>-151.3543</v>
      </c>
      <c r="T438" s="106">
        <f t="shared" si="29"/>
        <v>299.42039750000004</v>
      </c>
    </row>
    <row r="439" spans="19:20" ht="12.75">
      <c r="S439" s="72"/>
      <c r="T439" s="15"/>
    </row>
  </sheetData>
  <mergeCells count="206">
    <mergeCell ref="I390:J390"/>
    <mergeCell ref="D322:E322"/>
    <mergeCell ref="D347:E347"/>
    <mergeCell ref="D372:E372"/>
    <mergeCell ref="F357:G357"/>
    <mergeCell ref="E330:F330"/>
    <mergeCell ref="F332:G332"/>
    <mergeCell ref="E355:F355"/>
    <mergeCell ref="F358:G358"/>
    <mergeCell ref="B329:D329"/>
    <mergeCell ref="D56:E56"/>
    <mergeCell ref="A309:C309"/>
    <mergeCell ref="C148:D148"/>
    <mergeCell ref="C145:D145"/>
    <mergeCell ref="A152:C152"/>
    <mergeCell ref="A153:I153"/>
    <mergeCell ref="A155:D155"/>
    <mergeCell ref="C163:D163"/>
    <mergeCell ref="H91:J91"/>
    <mergeCell ref="D267:D271"/>
    <mergeCell ref="D52:E52"/>
    <mergeCell ref="D53:E53"/>
    <mergeCell ref="D54:E54"/>
    <mergeCell ref="D55:E55"/>
    <mergeCell ref="D47:E47"/>
    <mergeCell ref="D48:E48"/>
    <mergeCell ref="D50:E50"/>
    <mergeCell ref="D51:E51"/>
    <mergeCell ref="D43:E43"/>
    <mergeCell ref="D44:E44"/>
    <mergeCell ref="D45:E45"/>
    <mergeCell ref="D46:E46"/>
    <mergeCell ref="D38:E38"/>
    <mergeCell ref="D39:E39"/>
    <mergeCell ref="D40:E40"/>
    <mergeCell ref="D42:E42"/>
    <mergeCell ref="D30:E30"/>
    <mergeCell ref="D25:E25"/>
    <mergeCell ref="D36:E36"/>
    <mergeCell ref="D37:E37"/>
    <mergeCell ref="D31:E31"/>
    <mergeCell ref="D26:E26"/>
    <mergeCell ref="D27:E27"/>
    <mergeCell ref="D28:E28"/>
    <mergeCell ref="A33:E33"/>
    <mergeCell ref="D34:E34"/>
    <mergeCell ref="A2:J2"/>
    <mergeCell ref="D17:E17"/>
    <mergeCell ref="D9:E9"/>
    <mergeCell ref="A8:E8"/>
    <mergeCell ref="D13:E13"/>
    <mergeCell ref="D23:E23"/>
    <mergeCell ref="D10:E10"/>
    <mergeCell ref="D11:E11"/>
    <mergeCell ref="D19:E19"/>
    <mergeCell ref="D20:E20"/>
    <mergeCell ref="D21:E21"/>
    <mergeCell ref="D14:E14"/>
    <mergeCell ref="D15:E15"/>
    <mergeCell ref="D22:E22"/>
    <mergeCell ref="D18:E18"/>
    <mergeCell ref="D35:E35"/>
    <mergeCell ref="D29:E29"/>
    <mergeCell ref="D12:E12"/>
    <mergeCell ref="J250:K250"/>
    <mergeCell ref="A65:D65"/>
    <mergeCell ref="I117:J117"/>
    <mergeCell ref="A59:F59"/>
    <mergeCell ref="B61:D61"/>
    <mergeCell ref="B62:D62"/>
    <mergeCell ref="D102:E102"/>
    <mergeCell ref="C90:E90"/>
    <mergeCell ref="C98:D98"/>
    <mergeCell ref="D101:E101"/>
    <mergeCell ref="I116:J116"/>
    <mergeCell ref="H93:J93"/>
    <mergeCell ref="I111:J111"/>
    <mergeCell ref="I113:J113"/>
    <mergeCell ref="I114:J114"/>
    <mergeCell ref="C74:D74"/>
    <mergeCell ref="C75:D75"/>
    <mergeCell ref="H75:I75"/>
    <mergeCell ref="C76:D76"/>
    <mergeCell ref="B379:D379"/>
    <mergeCell ref="E378:F378"/>
    <mergeCell ref="F333:G333"/>
    <mergeCell ref="E353:F353"/>
    <mergeCell ref="G370:H370"/>
    <mergeCell ref="G371:H371"/>
    <mergeCell ref="F383:G383"/>
    <mergeCell ref="E380:F380"/>
    <mergeCell ref="F382:G382"/>
    <mergeCell ref="C93:D93"/>
    <mergeCell ref="C117:D117"/>
    <mergeCell ref="C113:D113"/>
    <mergeCell ref="C114:D114"/>
    <mergeCell ref="C116:D116"/>
    <mergeCell ref="D103:E103"/>
    <mergeCell ref="C111:D111"/>
    <mergeCell ref="C73:D73"/>
    <mergeCell ref="D261:D265"/>
    <mergeCell ref="H251:I251"/>
    <mergeCell ref="I112:J112"/>
    <mergeCell ref="F241:G241"/>
    <mergeCell ref="F250:G250"/>
    <mergeCell ref="C112:D112"/>
    <mergeCell ref="C130:D130"/>
    <mergeCell ref="D133:E133"/>
    <mergeCell ref="I115:J115"/>
    <mergeCell ref="I147:J147"/>
    <mergeCell ref="I145:J145"/>
    <mergeCell ref="C115:D115"/>
    <mergeCell ref="C143:D143"/>
    <mergeCell ref="I143:J143"/>
    <mergeCell ref="C146:D146"/>
    <mergeCell ref="I146:J146"/>
    <mergeCell ref="C144:D144"/>
    <mergeCell ref="I144:J144"/>
    <mergeCell ref="I118:J118"/>
    <mergeCell ref="C122:E122"/>
    <mergeCell ref="H123:J123"/>
    <mergeCell ref="C125:D125"/>
    <mergeCell ref="H125:J125"/>
    <mergeCell ref="D134:E134"/>
    <mergeCell ref="D135:E135"/>
    <mergeCell ref="C165:D165"/>
    <mergeCell ref="H165:I165"/>
    <mergeCell ref="I150:J150"/>
    <mergeCell ref="I148:J148"/>
    <mergeCell ref="C164:D164"/>
    <mergeCell ref="C149:D149"/>
    <mergeCell ref="I149:J149"/>
    <mergeCell ref="C147:D147"/>
    <mergeCell ref="C166:D166"/>
    <mergeCell ref="C179:E179"/>
    <mergeCell ref="H180:J180"/>
    <mergeCell ref="C182:D182"/>
    <mergeCell ref="H182:J182"/>
    <mergeCell ref="C206:D206"/>
    <mergeCell ref="I206:J206"/>
    <mergeCell ref="C187:D187"/>
    <mergeCell ref="D190:E190"/>
    <mergeCell ref="D191:E191"/>
    <mergeCell ref="C204:D204"/>
    <mergeCell ref="I204:J204"/>
    <mergeCell ref="D192:E192"/>
    <mergeCell ref="C200:D200"/>
    <mergeCell ref="I200:J200"/>
    <mergeCell ref="C201:D201"/>
    <mergeCell ref="I201:J201"/>
    <mergeCell ref="I207:J207"/>
    <mergeCell ref="C211:E211"/>
    <mergeCell ref="C203:D203"/>
    <mergeCell ref="I203:J203"/>
    <mergeCell ref="C202:D202"/>
    <mergeCell ref="I202:J202"/>
    <mergeCell ref="C205:D205"/>
    <mergeCell ref="I205:J205"/>
    <mergeCell ref="H212:J212"/>
    <mergeCell ref="C214:D214"/>
    <mergeCell ref="H214:J214"/>
    <mergeCell ref="C219:D219"/>
    <mergeCell ref="F221:H221"/>
    <mergeCell ref="D222:E222"/>
    <mergeCell ref="D223:E223"/>
    <mergeCell ref="D224:E224"/>
    <mergeCell ref="C232:D232"/>
    <mergeCell ref="I232:J232"/>
    <mergeCell ref="C238:D238"/>
    <mergeCell ref="I238:J238"/>
    <mergeCell ref="C233:D233"/>
    <mergeCell ref="I233:J233"/>
    <mergeCell ref="C234:D234"/>
    <mergeCell ref="I234:J234"/>
    <mergeCell ref="C235:D235"/>
    <mergeCell ref="I235:J235"/>
    <mergeCell ref="Q348:Q354"/>
    <mergeCell ref="Q355:Q361"/>
    <mergeCell ref="I239:J239"/>
    <mergeCell ref="G321:H321"/>
    <mergeCell ref="E260:H260"/>
    <mergeCell ref="E328:F328"/>
    <mergeCell ref="L251:M251"/>
    <mergeCell ref="F314:G314"/>
    <mergeCell ref="D316:E316"/>
    <mergeCell ref="B354:D354"/>
    <mergeCell ref="C236:D236"/>
    <mergeCell ref="I236:J236"/>
    <mergeCell ref="C237:D237"/>
    <mergeCell ref="I237:J237"/>
    <mergeCell ref="R330:T330"/>
    <mergeCell ref="R386:T386"/>
    <mergeCell ref="Q390:Q396"/>
    <mergeCell ref="Q397:Q403"/>
    <mergeCell ref="Q362:Q368"/>
    <mergeCell ref="Q369:Q375"/>
    <mergeCell ref="Q376:Q382"/>
    <mergeCell ref="R331:T331"/>
    <mergeCell ref="Q334:Q340"/>
    <mergeCell ref="Q341:Q347"/>
    <mergeCell ref="Q432:Q438"/>
    <mergeCell ref="R387:T387"/>
    <mergeCell ref="Q404:Q410"/>
    <mergeCell ref="Q411:Q417"/>
    <mergeCell ref="Q418:Q424"/>
    <mergeCell ref="Q425:Q431"/>
  </mergeCells>
  <printOptions/>
  <pageMargins left="0.75" right="0.75" top="1" bottom="1" header="0" footer="0"/>
  <pageSetup orientation="portrait" paperSize="9" r:id="rId19"/>
  <ignoredErrors>
    <ignoredError sqref="R334:R382 R390:R438" numberStoredAsText="1"/>
  </ignoredErrors>
  <drawing r:id="rId18"/>
  <legacyDrawing r:id="rId17"/>
  <oleObjects>
    <oleObject progId="Equation.3" shapeId="271301" r:id="rId1"/>
    <oleObject progId="Equation.3" shapeId="271302" r:id="rId2"/>
    <oleObject progId="Equation.3" shapeId="271304" r:id="rId3"/>
    <oleObject progId="Equation.3" shapeId="271305" r:id="rId4"/>
    <oleObject progId="Equation.3" shapeId="271306" r:id="rId5"/>
    <oleObject progId="Equation.3" shapeId="271307" r:id="rId6"/>
    <oleObject progId="Equation.3" shapeId="147682" r:id="rId7"/>
    <oleObject progId="Equation.3" shapeId="147688" r:id="rId8"/>
    <oleObject progId="Equation.3" shapeId="168438" r:id="rId9"/>
    <oleObject progId="Equation.3" shapeId="168441" r:id="rId10"/>
    <oleObject progId="Equation.3" shapeId="168444" r:id="rId11"/>
    <oleObject progId="Equation.3" shapeId="168445" r:id="rId12"/>
    <oleObject progId="Equation.3" shapeId="168446" r:id="rId13"/>
    <oleObject progId="Equation.3" shapeId="168447" r:id="rId14"/>
    <oleObject progId="Equation.3" shapeId="168448" r:id="rId15"/>
    <oleObject progId="Equation.3" shapeId="168452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56"/>
  <sheetViews>
    <sheetView tabSelected="1" workbookViewId="0" topLeftCell="A25">
      <selection activeCell="I47" sqref="I47"/>
    </sheetView>
  </sheetViews>
  <sheetFormatPr defaultColWidth="11.421875" defaultRowHeight="12.75"/>
  <cols>
    <col min="1" max="1" width="5.57421875" style="0" customWidth="1"/>
    <col min="2" max="2" width="15.00390625" style="6" customWidth="1"/>
    <col min="3" max="3" width="10.00390625" style="6" customWidth="1"/>
    <col min="4" max="4" width="8.8515625" style="6" customWidth="1"/>
    <col min="5" max="5" width="9.7109375" style="6" customWidth="1"/>
    <col min="8" max="8" width="13.28125" style="0" bestFit="1" customWidth="1"/>
    <col min="9" max="9" width="13.28125" style="0" customWidth="1"/>
    <col min="10" max="10" width="11.8515625" style="0" customWidth="1"/>
    <col min="11" max="11" width="12.140625" style="0" customWidth="1"/>
  </cols>
  <sheetData>
    <row r="2" spans="1:2" ht="12.75">
      <c r="A2" s="146" t="s">
        <v>94</v>
      </c>
      <c r="B2" s="146"/>
    </row>
    <row r="3" spans="1:6" ht="12.75">
      <c r="A3" s="59" t="s">
        <v>120</v>
      </c>
      <c r="B3" s="42" t="s">
        <v>109</v>
      </c>
      <c r="C3" s="42" t="s">
        <v>110</v>
      </c>
      <c r="D3" s="42" t="s">
        <v>111</v>
      </c>
      <c r="E3" s="42" t="s">
        <v>112</v>
      </c>
      <c r="F3" s="42" t="s">
        <v>113</v>
      </c>
    </row>
    <row r="4" spans="1:6" ht="12.75">
      <c r="A4" s="51" t="s">
        <v>114</v>
      </c>
      <c r="B4" s="8" t="s">
        <v>171</v>
      </c>
      <c r="C4" s="47">
        <f>'[1]Despues de estudiar exc.'!$N$27</f>
        <v>43.5</v>
      </c>
      <c r="D4" s="45">
        <f>7.849*(C4/100/100)</f>
        <v>0.03414315</v>
      </c>
      <c r="E4" s="47">
        <f>180*3*6/3.28</f>
        <v>987.8048780487806</v>
      </c>
      <c r="F4" s="47">
        <f>D4*E4</f>
        <v>33.72677012195122</v>
      </c>
    </row>
    <row r="5" spans="1:11" ht="12.75">
      <c r="A5" s="51" t="s">
        <v>115</v>
      </c>
      <c r="B5" s="8" t="s">
        <v>124</v>
      </c>
      <c r="C5" s="8">
        <f>'[1]Despues de estudiar exc.'!$C$15</f>
        <v>140</v>
      </c>
      <c r="D5" s="45">
        <f>7.849*(C5/100/100)</f>
        <v>0.109886</v>
      </c>
      <c r="E5" s="47">
        <f>180*7/3.28</f>
        <v>384.1463414634147</v>
      </c>
      <c r="F5" s="47">
        <f>D5*E5</f>
        <v>42.21230487804878</v>
      </c>
      <c r="H5" s="61" t="s">
        <v>167</v>
      </c>
      <c r="I5" s="61" t="s">
        <v>174</v>
      </c>
      <c r="J5" s="54" t="s">
        <v>168</v>
      </c>
      <c r="K5" s="54" t="s">
        <v>168</v>
      </c>
    </row>
    <row r="6" spans="1:11" ht="14.25">
      <c r="A6" s="51" t="s">
        <v>116</v>
      </c>
      <c r="B6" s="8" t="s">
        <v>129</v>
      </c>
      <c r="C6" s="8">
        <f>'[1]Despues de estudiar exc.'!$J$15</f>
        <v>100</v>
      </c>
      <c r="D6" s="45">
        <f>7.849*(C6/100/100)</f>
        <v>0.07849</v>
      </c>
      <c r="E6" s="47">
        <f>(180*7)/3.28</f>
        <v>384.1463414634147</v>
      </c>
      <c r="F6" s="47">
        <f>D6*E6</f>
        <v>30.15164634146342</v>
      </c>
      <c r="H6" s="61" t="s">
        <v>169</v>
      </c>
      <c r="I6" s="61"/>
      <c r="J6" s="61" t="s">
        <v>169</v>
      </c>
      <c r="K6" s="61" t="s">
        <v>170</v>
      </c>
    </row>
    <row r="7" spans="1:7" ht="12.75">
      <c r="A7" s="51" t="s">
        <v>117</v>
      </c>
      <c r="B7" s="8" t="s">
        <v>166</v>
      </c>
      <c r="C7" s="8">
        <f>'Columnas, V y Derivas'!G387</f>
        <v>376.6399999999999</v>
      </c>
      <c r="D7" s="45">
        <f>7.849*(C7/100/100)</f>
        <v>0.29562473599999994</v>
      </c>
      <c r="E7" s="47">
        <f>(13/3.28/2)*49</f>
        <v>97.10365853658537</v>
      </c>
      <c r="F7" s="47">
        <f>E7*D7</f>
        <v>28.70624341951219</v>
      </c>
      <c r="G7" s="28"/>
    </row>
    <row r="8" spans="6:11" ht="12.75">
      <c r="F8" s="15">
        <f>SUM(F4:F7)</f>
        <v>134.7969647609756</v>
      </c>
      <c r="G8" s="28">
        <f>F8/180/180*3.28*3.28</f>
        <v>0.044759248940879</v>
      </c>
      <c r="H8" s="15">
        <f>('[2]Predimensionamiento'!$C$16+G8)*180*180/3.28/3.28/9.81</f>
        <v>151.88757103364887</v>
      </c>
      <c r="I8" s="15">
        <f>H8/12*(54.88^2+54.88^2)</f>
        <v>76242.86227002776</v>
      </c>
      <c r="J8" s="83">
        <f>H8/7/7</f>
        <v>3.099746347625487</v>
      </c>
      <c r="K8" s="84">
        <f>J8*2.2/3.28/12</f>
        <v>0.1732581799993921</v>
      </c>
    </row>
    <row r="9" spans="7:11" ht="12.75">
      <c r="G9" s="28"/>
      <c r="J9" s="83"/>
      <c r="K9" s="84"/>
    </row>
    <row r="10" spans="1:11" ht="12.75">
      <c r="A10" s="146" t="s">
        <v>95</v>
      </c>
      <c r="B10" s="146"/>
      <c r="G10" s="28"/>
      <c r="J10" s="83"/>
      <c r="K10" s="84"/>
    </row>
    <row r="11" spans="1:11" ht="12.75">
      <c r="A11" s="59" t="s">
        <v>120</v>
      </c>
      <c r="B11" s="42" t="s">
        <v>109</v>
      </c>
      <c r="C11" s="42" t="s">
        <v>110</v>
      </c>
      <c r="D11" s="42" t="s">
        <v>111</v>
      </c>
      <c r="E11" s="42" t="s">
        <v>112</v>
      </c>
      <c r="F11" s="42" t="s">
        <v>113</v>
      </c>
      <c r="G11" s="28"/>
      <c r="J11" s="83"/>
      <c r="K11" s="84"/>
    </row>
    <row r="12" spans="1:11" ht="12.75">
      <c r="A12" s="51" t="s">
        <v>114</v>
      </c>
      <c r="B12" s="8" t="s">
        <v>171</v>
      </c>
      <c r="C12" s="8">
        <f>'[1]Despues de estudiar exc.'!$N$27</f>
        <v>43.5</v>
      </c>
      <c r="D12" s="45">
        <f>7.849*(C12/100/100)</f>
        <v>0.03414315</v>
      </c>
      <c r="E12" s="47">
        <f>180*3*6/3.28</f>
        <v>987.8048780487806</v>
      </c>
      <c r="F12" s="47">
        <f>D12*E12</f>
        <v>33.72677012195122</v>
      </c>
      <c r="G12" s="28"/>
      <c r="J12" s="83"/>
      <c r="K12" s="84"/>
    </row>
    <row r="13" spans="1:11" ht="12.75">
      <c r="A13" s="51" t="s">
        <v>115</v>
      </c>
      <c r="B13" s="8" t="s">
        <v>124</v>
      </c>
      <c r="C13" s="8">
        <f>C5</f>
        <v>140</v>
      </c>
      <c r="D13" s="45">
        <f>7.849*(C13/100/100)</f>
        <v>0.109886</v>
      </c>
      <c r="E13" s="47">
        <f>180*7/3.28</f>
        <v>384.1463414634147</v>
      </c>
      <c r="F13" s="47">
        <f>D13*E13</f>
        <v>42.21230487804878</v>
      </c>
      <c r="G13" s="28"/>
      <c r="J13" s="83"/>
      <c r="K13" s="84"/>
    </row>
    <row r="14" spans="1:11" ht="12.75">
      <c r="A14" s="51" t="s">
        <v>116</v>
      </c>
      <c r="B14" s="8" t="s">
        <v>129</v>
      </c>
      <c r="C14" s="8">
        <f>C6</f>
        <v>100</v>
      </c>
      <c r="D14" s="45">
        <f>7.849*(C14/100/100)</f>
        <v>0.07849</v>
      </c>
      <c r="E14" s="47">
        <f>(180*7)/3.28</f>
        <v>384.1463414634147</v>
      </c>
      <c r="F14" s="47">
        <f>D14*E14</f>
        <v>30.15164634146342</v>
      </c>
      <c r="G14" s="28"/>
      <c r="J14" s="83"/>
      <c r="K14" s="84"/>
    </row>
    <row r="15" spans="1:11" ht="12.75">
      <c r="A15" s="51" t="s">
        <v>117</v>
      </c>
      <c r="B15" s="8" t="s">
        <v>166</v>
      </c>
      <c r="C15" s="8">
        <f>C7</f>
        <v>376.6399999999999</v>
      </c>
      <c r="D15" s="45">
        <f>7.849*(C15/100/100)</f>
        <v>0.29562473599999994</v>
      </c>
      <c r="E15" s="47">
        <f>(13/3.28/2)*49</f>
        <v>97.10365853658537</v>
      </c>
      <c r="F15" s="47">
        <f>E15*D15</f>
        <v>28.70624341951219</v>
      </c>
      <c r="G15" s="28"/>
      <c r="J15" s="83"/>
      <c r="K15" s="84"/>
    </row>
    <row r="16" spans="1:11" ht="12.75">
      <c r="A16" s="51" t="s">
        <v>117</v>
      </c>
      <c r="B16" s="8" t="s">
        <v>166</v>
      </c>
      <c r="C16" s="8">
        <f>C15</f>
        <v>376.6399999999999</v>
      </c>
      <c r="D16" s="45">
        <f>7.849*(C16/100/100)</f>
        <v>0.29562473599999994</v>
      </c>
      <c r="E16" s="47">
        <f>(13/3.28/2)*49</f>
        <v>97.10365853658537</v>
      </c>
      <c r="F16" s="47">
        <f>E16*D16</f>
        <v>28.70624341951219</v>
      </c>
      <c r="G16" s="28"/>
      <c r="J16" s="83"/>
      <c r="K16" s="84"/>
    </row>
    <row r="17" spans="6:11" ht="12.75">
      <c r="F17" s="15">
        <f>SUM(F12:F16)</f>
        <v>163.5032081804878</v>
      </c>
      <c r="G17" s="28">
        <f>F17/180/180*3.28*3.28</f>
        <v>0.05429113934842468</v>
      </c>
      <c r="H17" s="15">
        <f>('[2]Predimensionamiento'!$C$10+G17)*180*180/3.28/3.28/9.81</f>
        <v>176.30329581206516</v>
      </c>
      <c r="I17" s="15"/>
      <c r="J17" s="83">
        <f>H17/7/7</f>
        <v>3.598026445144187</v>
      </c>
      <c r="K17" s="84">
        <f>J17*2.2/3.28/12</f>
        <v>0.201109201710295</v>
      </c>
    </row>
    <row r="18" spans="7:11" ht="12.75">
      <c r="G18" s="28"/>
      <c r="J18" s="83"/>
      <c r="K18" s="84"/>
    </row>
    <row r="19" spans="1:11" ht="12.75">
      <c r="A19" s="146" t="s">
        <v>96</v>
      </c>
      <c r="B19" s="146"/>
      <c r="G19" s="28"/>
      <c r="J19" s="83"/>
      <c r="K19" s="84"/>
    </row>
    <row r="20" spans="1:11" ht="12.75">
      <c r="A20" s="59" t="s">
        <v>120</v>
      </c>
      <c r="B20" s="42" t="s">
        <v>109</v>
      </c>
      <c r="C20" s="42" t="s">
        <v>110</v>
      </c>
      <c r="D20" s="42" t="s">
        <v>111</v>
      </c>
      <c r="E20" s="42" t="s">
        <v>112</v>
      </c>
      <c r="F20" s="42" t="s">
        <v>113</v>
      </c>
      <c r="G20" s="28"/>
      <c r="J20" s="83"/>
      <c r="K20" s="84"/>
    </row>
    <row r="21" spans="1:11" ht="12.75">
      <c r="A21" s="51" t="s">
        <v>114</v>
      </c>
      <c r="B21" s="8" t="s">
        <v>171</v>
      </c>
      <c r="C21" s="8">
        <f>C12</f>
        <v>43.5</v>
      </c>
      <c r="D21" s="45">
        <f>7.849*(C21/100/100)</f>
        <v>0.03414315</v>
      </c>
      <c r="E21" s="47">
        <f>180*3*6/3.28</f>
        <v>987.8048780487806</v>
      </c>
      <c r="F21" s="47">
        <f>D21*E21</f>
        <v>33.72677012195122</v>
      </c>
      <c r="G21" s="28"/>
      <c r="J21" s="83"/>
      <c r="K21" s="84"/>
    </row>
    <row r="22" spans="1:11" ht="12.75">
      <c r="A22" s="51" t="s">
        <v>115</v>
      </c>
      <c r="B22" s="8" t="s">
        <v>125</v>
      </c>
      <c r="C22" s="60">
        <f>'[1]Despues de estudiar exc.'!$C$28</f>
        <v>148</v>
      </c>
      <c r="D22" s="45">
        <f>7.849*(C22/100/100)</f>
        <v>0.11616520000000001</v>
      </c>
      <c r="E22" s="47">
        <f>180*7/3.28</f>
        <v>384.1463414634147</v>
      </c>
      <c r="F22" s="47">
        <f>D22*E22</f>
        <v>44.62443658536586</v>
      </c>
      <c r="G22" s="28"/>
      <c r="J22" s="83"/>
      <c r="K22" s="84"/>
    </row>
    <row r="23" spans="1:11" ht="12.75">
      <c r="A23" s="51" t="s">
        <v>116</v>
      </c>
      <c r="B23" s="8" t="s">
        <v>128</v>
      </c>
      <c r="C23" s="8">
        <f>'[1]Despues de estudiar exc.'!$J$28</f>
        <v>120</v>
      </c>
      <c r="D23" s="45">
        <f>7.849*(C23/100/100)</f>
        <v>0.09418800000000001</v>
      </c>
      <c r="E23" s="47">
        <f>(180*7)/3.28</f>
        <v>384.1463414634147</v>
      </c>
      <c r="F23" s="47">
        <f>D23*E23</f>
        <v>36.1819756097561</v>
      </c>
      <c r="G23" s="28"/>
      <c r="J23" s="83"/>
      <c r="K23" s="84"/>
    </row>
    <row r="24" spans="1:11" ht="12.75">
      <c r="A24" s="51" t="s">
        <v>117</v>
      </c>
      <c r="B24" s="8" t="s">
        <v>162</v>
      </c>
      <c r="C24" s="8">
        <f>C34</f>
        <v>475</v>
      </c>
      <c r="D24" s="45">
        <f>7.849*(C24/100/100)</f>
        <v>0.37282750000000003</v>
      </c>
      <c r="E24" s="47">
        <f>(13/3.28/2)*49</f>
        <v>97.10365853658537</v>
      </c>
      <c r="F24" s="47">
        <f>E24*D24</f>
        <v>36.20291425304879</v>
      </c>
      <c r="G24" s="28"/>
      <c r="J24" s="83"/>
      <c r="K24" s="84"/>
    </row>
    <row r="25" spans="1:11" ht="12.75">
      <c r="A25" s="51" t="s">
        <v>117</v>
      </c>
      <c r="B25" s="8" t="s">
        <v>162</v>
      </c>
      <c r="C25" s="8">
        <f>C33</f>
        <v>475</v>
      </c>
      <c r="D25" s="45">
        <f>7.849*(C25/100/100)</f>
        <v>0.37282750000000003</v>
      </c>
      <c r="E25" s="47">
        <f>(13/3.28/2)*49</f>
        <v>97.10365853658537</v>
      </c>
      <c r="F25" s="47">
        <f>E25*D25</f>
        <v>36.20291425304879</v>
      </c>
      <c r="G25" s="28"/>
      <c r="J25" s="83"/>
      <c r="K25" s="84"/>
    </row>
    <row r="26" spans="6:11" ht="12.75">
      <c r="F26" s="15">
        <f>SUM(F21:F25)</f>
        <v>186.93901082317078</v>
      </c>
      <c r="G26" s="28">
        <f>F26/180/180*3.28*3.28</f>
        <v>0.06207298314938272</v>
      </c>
      <c r="H26" s="15">
        <f>('[2]Predimensionamiento'!$C$10+G26)*180*180/3.28/3.28/9.81</f>
        <v>178.69226651978008</v>
      </c>
      <c r="I26" s="15"/>
      <c r="J26" s="83">
        <f>H26/7/7</f>
        <v>3.646780949383267</v>
      </c>
      <c r="K26" s="84">
        <f>J26*2.2/3.28/12</f>
        <v>0.20383430103260133</v>
      </c>
    </row>
    <row r="27" spans="7:11" ht="12.75">
      <c r="G27" s="28"/>
      <c r="J27" s="83"/>
      <c r="K27" s="84"/>
    </row>
    <row r="28" spans="1:11" ht="12.75">
      <c r="A28" s="146" t="s">
        <v>118</v>
      </c>
      <c r="B28" s="146"/>
      <c r="G28" s="28"/>
      <c r="J28" s="83"/>
      <c r="K28" s="84"/>
    </row>
    <row r="29" spans="1:11" ht="12.75">
      <c r="A29" s="59" t="s">
        <v>120</v>
      </c>
      <c r="B29" s="42" t="s">
        <v>109</v>
      </c>
      <c r="C29" s="42" t="s">
        <v>110</v>
      </c>
      <c r="D29" s="42" t="s">
        <v>111</v>
      </c>
      <c r="E29" s="42" t="s">
        <v>112</v>
      </c>
      <c r="F29" s="42" t="s">
        <v>113</v>
      </c>
      <c r="G29" s="28"/>
      <c r="J29" s="83"/>
      <c r="K29" s="84"/>
    </row>
    <row r="30" spans="1:11" ht="12.75">
      <c r="A30" s="51" t="s">
        <v>114</v>
      </c>
      <c r="B30" s="8" t="s">
        <v>171</v>
      </c>
      <c r="C30" s="8">
        <f>C21</f>
        <v>43.5</v>
      </c>
      <c r="D30" s="45">
        <f>7.849*(C30/100/100)</f>
        <v>0.03414315</v>
      </c>
      <c r="E30" s="47">
        <f>180*3*6/3.28</f>
        <v>987.8048780487806</v>
      </c>
      <c r="F30" s="47">
        <f>D30*E30</f>
        <v>33.72677012195122</v>
      </c>
      <c r="G30" s="28"/>
      <c r="J30" s="83"/>
      <c r="K30" s="84"/>
    </row>
    <row r="31" spans="1:11" ht="12.75">
      <c r="A31" s="51" t="s">
        <v>115</v>
      </c>
      <c r="B31" s="8" t="s">
        <v>125</v>
      </c>
      <c r="C31" s="60">
        <f>C22</f>
        <v>148</v>
      </c>
      <c r="D31" s="45">
        <f>7.849*(C31/100/100)</f>
        <v>0.11616520000000001</v>
      </c>
      <c r="E31" s="47">
        <f>180*7/3.28</f>
        <v>384.1463414634147</v>
      </c>
      <c r="F31" s="47">
        <f>D31*E31</f>
        <v>44.62443658536586</v>
      </c>
      <c r="G31" s="28"/>
      <c r="J31" s="83"/>
      <c r="K31" s="84"/>
    </row>
    <row r="32" spans="1:11" ht="12.75">
      <c r="A32" s="51" t="s">
        <v>116</v>
      </c>
      <c r="B32" s="8" t="s">
        <v>128</v>
      </c>
      <c r="C32" s="8">
        <f>C23</f>
        <v>120</v>
      </c>
      <c r="D32" s="45">
        <f>7.849*(C32/100/100)</f>
        <v>0.09418800000000001</v>
      </c>
      <c r="E32" s="47">
        <f>(180*7)/3.28</f>
        <v>384.1463414634147</v>
      </c>
      <c r="F32" s="47">
        <f>D32*E32</f>
        <v>36.1819756097561</v>
      </c>
      <c r="G32" s="28"/>
      <c r="J32" s="83"/>
      <c r="K32" s="84"/>
    </row>
    <row r="33" spans="1:11" ht="12.75">
      <c r="A33" s="51" t="s">
        <v>117</v>
      </c>
      <c r="B33" s="8" t="s">
        <v>162</v>
      </c>
      <c r="C33" s="8">
        <f>'Columnas, V y Derivas'!G362</f>
        <v>475</v>
      </c>
      <c r="D33" s="45">
        <f>7.849*(C33/100/100)</f>
        <v>0.37282750000000003</v>
      </c>
      <c r="E33" s="47">
        <f>(13/3.28/2)*49</f>
        <v>97.10365853658537</v>
      </c>
      <c r="F33" s="47">
        <f>E33*D33</f>
        <v>36.20291425304879</v>
      </c>
      <c r="G33" s="28"/>
      <c r="J33" s="83"/>
      <c r="K33" s="84"/>
    </row>
    <row r="34" spans="1:11" ht="12.75">
      <c r="A34" s="51" t="s">
        <v>117</v>
      </c>
      <c r="B34" s="8" t="s">
        <v>162</v>
      </c>
      <c r="C34" s="8">
        <f>C33</f>
        <v>475</v>
      </c>
      <c r="D34" s="45">
        <f>7.849*(C34/100/100)</f>
        <v>0.37282750000000003</v>
      </c>
      <c r="E34" s="47">
        <f>(13/3.28/2)*49</f>
        <v>97.10365853658537</v>
      </c>
      <c r="F34" s="47">
        <f>E34*D34</f>
        <v>36.20291425304879</v>
      </c>
      <c r="G34" s="28"/>
      <c r="J34" s="83"/>
      <c r="K34" s="84"/>
    </row>
    <row r="35" spans="6:11" ht="12.75">
      <c r="F35" s="15">
        <f>SUM(F30:F34)</f>
        <v>186.93901082317078</v>
      </c>
      <c r="G35" s="28">
        <f>F35/180/180*3.28*3.28</f>
        <v>0.06207298314938272</v>
      </c>
      <c r="H35" s="15">
        <f>('[2]Predimensionamiento'!$C$10+G35)*180*180/3.28/3.28/9.81</f>
        <v>178.69226651978008</v>
      </c>
      <c r="I35" s="15"/>
      <c r="J35" s="83">
        <f>H35/7/7</f>
        <v>3.646780949383267</v>
      </c>
      <c r="K35" s="84">
        <f>J35*2.2/3.28/12</f>
        <v>0.20383430103260133</v>
      </c>
    </row>
    <row r="36" spans="7:11" ht="12.75">
      <c r="G36" s="28"/>
      <c r="J36" s="83"/>
      <c r="K36" s="84"/>
    </row>
    <row r="37" spans="1:11" ht="12.75">
      <c r="A37" s="146" t="s">
        <v>98</v>
      </c>
      <c r="B37" s="146"/>
      <c r="G37" s="28"/>
      <c r="J37" s="83"/>
      <c r="K37" s="84"/>
    </row>
    <row r="38" spans="1:11" ht="12.75">
      <c r="A38" s="59" t="s">
        <v>120</v>
      </c>
      <c r="B38" s="42" t="s">
        <v>109</v>
      </c>
      <c r="C38" s="42" t="s">
        <v>110</v>
      </c>
      <c r="D38" s="42" t="s">
        <v>111</v>
      </c>
      <c r="E38" s="42" t="s">
        <v>112</v>
      </c>
      <c r="F38" s="42" t="s">
        <v>113</v>
      </c>
      <c r="G38" s="28"/>
      <c r="J38" s="83"/>
      <c r="K38" s="84"/>
    </row>
    <row r="39" spans="1:11" ht="12.75">
      <c r="A39" s="51" t="s">
        <v>114</v>
      </c>
      <c r="B39" s="8" t="s">
        <v>171</v>
      </c>
      <c r="C39" s="8">
        <f>C30</f>
        <v>43.5</v>
      </c>
      <c r="D39" s="45">
        <f>7.849*(C39/100/100)</f>
        <v>0.03414315</v>
      </c>
      <c r="E39" s="47">
        <f>180*3*6/3.28</f>
        <v>987.8048780487806</v>
      </c>
      <c r="F39" s="47">
        <f>D39*E39</f>
        <v>33.72677012195122</v>
      </c>
      <c r="G39" s="28"/>
      <c r="J39" s="83"/>
      <c r="K39" s="84"/>
    </row>
    <row r="40" spans="1:11" ht="12.75">
      <c r="A40" s="51" t="s">
        <v>115</v>
      </c>
      <c r="B40" s="8" t="s">
        <v>126</v>
      </c>
      <c r="C40" s="8">
        <f>'[1]Despues de estudiar exc.'!$C$15</f>
        <v>140</v>
      </c>
      <c r="D40" s="45">
        <f>7.849*(C40/100/100)</f>
        <v>0.109886</v>
      </c>
      <c r="E40" s="47">
        <f>180*7/3.28</f>
        <v>384.1463414634147</v>
      </c>
      <c r="F40" s="47">
        <f>D40*E40</f>
        <v>42.21230487804878</v>
      </c>
      <c r="G40" s="28"/>
      <c r="J40" s="83"/>
      <c r="K40" s="84"/>
    </row>
    <row r="41" spans="1:11" ht="12.75">
      <c r="A41" s="51" t="s">
        <v>116</v>
      </c>
      <c r="B41" s="8" t="s">
        <v>127</v>
      </c>
      <c r="C41" s="8">
        <f>'[1]Despues de estudiar exc.'!$J$41</f>
        <v>120</v>
      </c>
      <c r="D41" s="45">
        <f>7.849*(C41/100/100)</f>
        <v>0.09418800000000001</v>
      </c>
      <c r="E41" s="47">
        <f>(180*7)/3.28</f>
        <v>384.1463414634147</v>
      </c>
      <c r="F41" s="47">
        <f>D41*E41</f>
        <v>36.1819756097561</v>
      </c>
      <c r="G41" s="28"/>
      <c r="J41" s="83"/>
      <c r="K41" s="84"/>
    </row>
    <row r="42" spans="1:11" ht="12.75">
      <c r="A42" s="51" t="s">
        <v>117</v>
      </c>
      <c r="B42" s="8" t="s">
        <v>161</v>
      </c>
      <c r="C42" s="8">
        <f>'Columnas, V y Derivas'!G337</f>
        <v>564</v>
      </c>
      <c r="D42" s="45">
        <f>7.849*(C42/100/100)</f>
        <v>0.4426836</v>
      </c>
      <c r="E42" s="47">
        <f>(13/3.28/2)*49</f>
        <v>97.10365853658537</v>
      </c>
      <c r="F42" s="47">
        <f>E42*D42</f>
        <v>42.986197134146344</v>
      </c>
      <c r="G42" s="28"/>
      <c r="J42" s="83"/>
      <c r="K42" s="84"/>
    </row>
    <row r="43" spans="1:11" ht="12.75">
      <c r="A43" s="51" t="s">
        <v>117</v>
      </c>
      <c r="B43" s="8" t="s">
        <v>161</v>
      </c>
      <c r="C43" s="8">
        <f>C42</f>
        <v>564</v>
      </c>
      <c r="D43" s="45">
        <f>7.849*(C43/100/100)</f>
        <v>0.4426836</v>
      </c>
      <c r="E43" s="47">
        <f>(13/3.28/2)*49</f>
        <v>97.10365853658537</v>
      </c>
      <c r="F43" s="47">
        <f>E43*D43</f>
        <v>42.986197134146344</v>
      </c>
      <c r="G43" s="28"/>
      <c r="J43" s="83"/>
      <c r="K43" s="84"/>
    </row>
    <row r="44" spans="6:11" ht="12.75">
      <c r="F44" s="15">
        <f>SUM(F39:F43)</f>
        <v>198.0934448780488</v>
      </c>
      <c r="G44" s="28">
        <f>F44/180/180*3.28*3.28</f>
        <v>0.06577680609185187</v>
      </c>
      <c r="H44" s="15">
        <f>('[2]Predimensionamiento'!$C$10+G44)*180*180/3.28/3.28/9.81</f>
        <v>179.829313824049</v>
      </c>
      <c r="I44" s="15"/>
      <c r="J44" s="83">
        <f>H44/7/7</f>
        <v>3.6699859964091632</v>
      </c>
      <c r="K44" s="84">
        <f>J44*2.2/3.28/12</f>
        <v>0.2051313311001057</v>
      </c>
    </row>
    <row r="45" spans="7:11" ht="12.75">
      <c r="G45" s="28"/>
      <c r="J45" s="83"/>
      <c r="K45" s="84"/>
    </row>
    <row r="46" spans="1:11" ht="12.75">
      <c r="A46" s="146" t="s">
        <v>119</v>
      </c>
      <c r="B46" s="146"/>
      <c r="G46" s="28"/>
      <c r="J46" s="83"/>
      <c r="K46" s="84"/>
    </row>
    <row r="47" spans="1:11" ht="12.75">
      <c r="A47" s="59" t="s">
        <v>120</v>
      </c>
      <c r="B47" s="42" t="s">
        <v>109</v>
      </c>
      <c r="C47" s="42" t="s">
        <v>110</v>
      </c>
      <c r="D47" s="42" t="s">
        <v>111</v>
      </c>
      <c r="E47" s="42" t="s">
        <v>112</v>
      </c>
      <c r="F47" s="42" t="s">
        <v>113</v>
      </c>
      <c r="G47" s="28"/>
      <c r="J47" s="83"/>
      <c r="K47" s="84"/>
    </row>
    <row r="48" spans="1:11" ht="12.75">
      <c r="A48" s="51" t="s">
        <v>114</v>
      </c>
      <c r="B48" s="8" t="s">
        <v>171</v>
      </c>
      <c r="C48" s="8">
        <f>C39</f>
        <v>43.5</v>
      </c>
      <c r="D48" s="45">
        <f>7.849*(C48/100/100)</f>
        <v>0.03414315</v>
      </c>
      <c r="E48" s="47">
        <f>180*3*6/3.28</f>
        <v>987.8048780487806</v>
      </c>
      <c r="F48" s="47">
        <f>D48*E48</f>
        <v>33.72677012195122</v>
      </c>
      <c r="G48" s="28"/>
      <c r="J48" s="83"/>
      <c r="K48" s="84"/>
    </row>
    <row r="49" spans="1:11" ht="12.75">
      <c r="A49" s="51" t="s">
        <v>115</v>
      </c>
      <c r="B49" s="8" t="s">
        <v>126</v>
      </c>
      <c r="C49" s="8">
        <f>C40</f>
        <v>140</v>
      </c>
      <c r="D49" s="45">
        <f>7.849*(C49/100/100)</f>
        <v>0.109886</v>
      </c>
      <c r="E49" s="47">
        <f>180*7/3.28</f>
        <v>384.1463414634147</v>
      </c>
      <c r="F49" s="47">
        <f>D49*E49</f>
        <v>42.21230487804878</v>
      </c>
      <c r="G49" s="28"/>
      <c r="J49" s="83"/>
      <c r="K49" s="84"/>
    </row>
    <row r="50" spans="1:11" ht="12.75">
      <c r="A50" s="51" t="s">
        <v>116</v>
      </c>
      <c r="B50" s="8" t="s">
        <v>127</v>
      </c>
      <c r="C50" s="8">
        <f>C41</f>
        <v>120</v>
      </c>
      <c r="D50" s="45">
        <f>7.849*(C50/100/100)</f>
        <v>0.09418800000000001</v>
      </c>
      <c r="E50" s="47">
        <f>(180*7)/3.28</f>
        <v>384.1463414634147</v>
      </c>
      <c r="F50" s="47">
        <f>D50*E50</f>
        <v>36.1819756097561</v>
      </c>
      <c r="G50" s="28"/>
      <c r="J50" s="83"/>
      <c r="K50" s="84"/>
    </row>
    <row r="51" spans="1:11" ht="12.75">
      <c r="A51" s="51" t="s">
        <v>117</v>
      </c>
      <c r="B51" s="8" t="s">
        <v>172</v>
      </c>
      <c r="C51" s="8">
        <f>C43</f>
        <v>564</v>
      </c>
      <c r="D51" s="45">
        <f>7.849*(C51/100/100)</f>
        <v>0.4426836</v>
      </c>
      <c r="E51" s="47">
        <f>(13/3.28/2)*49</f>
        <v>97.10365853658537</v>
      </c>
      <c r="F51" s="47">
        <f>E51*D51</f>
        <v>42.986197134146344</v>
      </c>
      <c r="G51" s="28"/>
      <c r="J51" s="83"/>
      <c r="K51" s="84"/>
    </row>
    <row r="52" spans="1:11" ht="12.75">
      <c r="A52" s="51" t="s">
        <v>117</v>
      </c>
      <c r="B52" s="8" t="s">
        <v>172</v>
      </c>
      <c r="C52" s="8">
        <f>C51</f>
        <v>564</v>
      </c>
      <c r="D52" s="45">
        <f>7.849*(C52/100/100)</f>
        <v>0.4426836</v>
      </c>
      <c r="E52" s="47">
        <f>(15/3.28)*49</f>
        <v>224.08536585365854</v>
      </c>
      <c r="F52" s="47">
        <f>E52*D52</f>
        <v>99.19891646341463</v>
      </c>
      <c r="G52" s="28"/>
      <c r="J52" s="83"/>
      <c r="K52" s="84"/>
    </row>
    <row r="53" spans="6:11" ht="12.75">
      <c r="F53" s="15">
        <f>SUM(F48:F52)</f>
        <v>254.3061642073171</v>
      </c>
      <c r="G53" s="28">
        <f>F53/180/180*3.28*3.28</f>
        <v>0.0844422048459259</v>
      </c>
      <c r="H53" s="15">
        <f>('[2]Predimensionamiento'!$C$10+G53)*180*180/3.28/3.28/9.81</f>
        <v>185.55945850593156</v>
      </c>
      <c r="I53" s="15"/>
      <c r="J53" s="83">
        <f>H53/7/7</f>
        <v>3.786927724610848</v>
      </c>
      <c r="K53" s="84">
        <f>J53*2.2/3.28/12</f>
        <v>0.2116677081845495</v>
      </c>
    </row>
    <row r="54" ht="12.75">
      <c r="G54" s="28"/>
    </row>
    <row r="55" spans="7:8" ht="12.75">
      <c r="G55" s="28">
        <f>SUM(G8:G54)</f>
        <v>0.3734153655258469</v>
      </c>
      <c r="H55">
        <f>G55*180*180/3.28/3.28</f>
        <v>1124.577803673171</v>
      </c>
    </row>
    <row r="56" ht="12.75">
      <c r="G56" s="85">
        <f>G55/6</f>
        <v>0.06223589425430782</v>
      </c>
    </row>
  </sheetData>
  <mergeCells count="6">
    <mergeCell ref="A37:B37"/>
    <mergeCell ref="A46:B46"/>
    <mergeCell ref="A2:B2"/>
    <mergeCell ref="A10:B10"/>
    <mergeCell ref="A19:B19"/>
    <mergeCell ref="A28:B28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Emen</dc:creator>
  <cp:keywords/>
  <dc:description/>
  <cp:lastModifiedBy>Familia Emen</cp:lastModifiedBy>
  <cp:lastPrinted>2007-03-06T03:35:47Z</cp:lastPrinted>
  <dcterms:created xsi:type="dcterms:W3CDTF">2006-11-30T04:49:08Z</dcterms:created>
  <dcterms:modified xsi:type="dcterms:W3CDTF">2007-06-25T23:36:56Z</dcterms:modified>
  <cp:category/>
  <cp:version/>
  <cp:contentType/>
  <cp:contentStatus/>
</cp:coreProperties>
</file>