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40" windowHeight="8130" activeTab="0"/>
  </bookViews>
  <sheets>
    <sheet name="INVER" sheetId="1" r:id="rId1"/>
    <sheet name="ACT. INTANG" sheetId="2" r:id="rId2"/>
    <sheet name="K DE TRABAJO" sheetId="3" r:id="rId3"/>
    <sheet name="COSTOS FIJOS Y VARIABLES" sheetId="4" r:id="rId4"/>
    <sheet name="DEPREC" sheetId="5" r:id="rId5"/>
    <sheet name="CALCULO DE INGRESOS" sheetId="6" r:id="rId6"/>
    <sheet name="FLUJO DE EFECTIVO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<sst xmlns="http://schemas.openxmlformats.org/spreadsheetml/2006/main" count="767" uniqueCount="257">
  <si>
    <t>ESTUDIO ECONOMICO</t>
  </si>
  <si>
    <t>No.</t>
  </si>
  <si>
    <t>Descripciíón</t>
  </si>
  <si>
    <t>Tipo deUnidad</t>
  </si>
  <si>
    <t>% Depreciaciòn</t>
  </si>
  <si>
    <t xml:space="preserve">Cantidad </t>
  </si>
  <si>
    <t xml:space="preserve">  Costo parcial </t>
  </si>
  <si>
    <t>Costo Total</t>
  </si>
  <si>
    <t>A. ) INVERSIÒN FIJA</t>
  </si>
  <si>
    <t>INMUEBLES</t>
  </si>
  <si>
    <t>Cerramiento</t>
  </si>
  <si>
    <t>Metro</t>
  </si>
  <si>
    <t>Oficinas</t>
  </si>
  <si>
    <t>M2</t>
  </si>
  <si>
    <t>Planta procesadora</t>
  </si>
  <si>
    <t>Baños/ducha</t>
  </si>
  <si>
    <t>Bodega</t>
  </si>
  <si>
    <t>Guardianía</t>
  </si>
  <si>
    <t>Transformador</t>
  </si>
  <si>
    <t>Postes</t>
  </si>
  <si>
    <t>Poste</t>
  </si>
  <si>
    <t>Alambre</t>
  </si>
  <si>
    <t>Accesorios varios</t>
  </si>
  <si>
    <t>Global</t>
  </si>
  <si>
    <t>Medidor</t>
  </si>
  <si>
    <t>Instalada</t>
  </si>
  <si>
    <t>Mano de Obra</t>
  </si>
  <si>
    <t xml:space="preserve">TOTAL INMUEBLE $. </t>
  </si>
  <si>
    <t>MAQUINARIAS Y EQUIPOSEQUIPOS</t>
  </si>
  <si>
    <t>Elevador de congilones 1HP</t>
  </si>
  <si>
    <t>Elevador</t>
  </si>
  <si>
    <t>Secador modelo tambor 1HP</t>
  </si>
  <si>
    <t>Secador</t>
  </si>
  <si>
    <t>Depósito metálico</t>
  </si>
  <si>
    <t>Depósito</t>
  </si>
  <si>
    <t>Banda transportadora</t>
  </si>
  <si>
    <t>Banda</t>
  </si>
  <si>
    <t>Mesa limpiadora-clasificadora</t>
  </si>
  <si>
    <t>Mesa</t>
  </si>
  <si>
    <t xml:space="preserve">Tostadora </t>
  </si>
  <si>
    <t>Tostadora</t>
  </si>
  <si>
    <t>Sistema de enfriamiento</t>
  </si>
  <si>
    <t>Enfriamiento</t>
  </si>
  <si>
    <t>Descascadora de cacao tostado</t>
  </si>
  <si>
    <t>Descascadora</t>
  </si>
  <si>
    <t>Molino de martillos</t>
  </si>
  <si>
    <t>Molino</t>
  </si>
  <si>
    <t>Molino pastificación cacao</t>
  </si>
  <si>
    <t>Mezcladoras horizontales</t>
  </si>
  <si>
    <t>Mezcladora</t>
  </si>
  <si>
    <t>Moldes lámina de acero</t>
  </si>
  <si>
    <t>Moldes</t>
  </si>
  <si>
    <t>Perchas metálicas</t>
  </si>
  <si>
    <t>Perchas</t>
  </si>
  <si>
    <t>computador/impresora</t>
  </si>
  <si>
    <t>equipos</t>
  </si>
  <si>
    <t xml:space="preserve">TOTAL MAQUINARIAS YEQUIPOS $. </t>
  </si>
  <si>
    <t>MUEBLES Y ENSERES</t>
  </si>
  <si>
    <t xml:space="preserve">Escritorio </t>
  </si>
  <si>
    <t>Archivadores</t>
  </si>
  <si>
    <t xml:space="preserve">Sillas </t>
  </si>
  <si>
    <t xml:space="preserve">TOTAL MUEBLES Y ENCERES $. </t>
  </si>
  <si>
    <t xml:space="preserve">TOTAL DE LA INVERSION  FIJA   $.  </t>
  </si>
  <si>
    <t>B. ) GASTOS PREOPERATIVOS</t>
  </si>
  <si>
    <t>Gastos de Constitución</t>
  </si>
  <si>
    <t>Capacitación a personal</t>
  </si>
  <si>
    <t xml:space="preserve">TOTAL DE GASTOS PREOPERATIVOSCAPITAL DE TRABAJO  $.  </t>
  </si>
  <si>
    <t>C. ) CAPITAL DE TRABAJO</t>
  </si>
  <si>
    <t>Capital de trabajo</t>
  </si>
  <si>
    <t xml:space="preserve">TOTAL DE CAPITAL DE TRABAJO  $.  </t>
  </si>
  <si>
    <t xml:space="preserve">INVERSION TOTAL $. </t>
  </si>
  <si>
    <t>Activos Intangibles</t>
  </si>
  <si>
    <t>Codigo</t>
  </si>
  <si>
    <t>Descripción</t>
  </si>
  <si>
    <t>Cantidades</t>
  </si>
  <si>
    <t>Precio Unitario</t>
  </si>
  <si>
    <t>Precio Total</t>
  </si>
  <si>
    <t>Gastos de constitución</t>
  </si>
  <si>
    <t>subtotal</t>
  </si>
  <si>
    <t>Requerimientos de capacitación</t>
  </si>
  <si>
    <t>CAPACITACIÓN EN OPERACIÓN DE LAS MAQUINARIAS</t>
  </si>
  <si>
    <t>CAPACITACIÓN EN SEGURIDAD INDUSTRIAL</t>
  </si>
  <si>
    <t>CAPACITACIÓN EN GERENCIA Y AMINISTRACIÓN</t>
  </si>
  <si>
    <t>CAPACITACIÓN EN NORMAS DE CALIDAD</t>
  </si>
  <si>
    <t>Total Activos Intangibles</t>
  </si>
  <si>
    <t>REQUERIMIENTO DE  CAPITAL DE TRABAJO</t>
  </si>
  <si>
    <t>Costo Unitario</t>
  </si>
  <si>
    <t>Costo Mensual</t>
  </si>
  <si>
    <t>Costo Anual</t>
  </si>
  <si>
    <t>COSTOS DE PRODUCCION</t>
  </si>
  <si>
    <t>COSTOS DIRECTOS</t>
  </si>
  <si>
    <t>Materia Prima</t>
  </si>
  <si>
    <t>Quintal</t>
  </si>
  <si>
    <t>Jornal</t>
  </si>
  <si>
    <t>mes</t>
  </si>
  <si>
    <t xml:space="preserve">TOTAL  COSTO DIRECTOS $.  </t>
  </si>
  <si>
    <t>COSTOS INDIRECTOS</t>
  </si>
  <si>
    <t>Mes</t>
  </si>
  <si>
    <t>Equipos de seguridad del personal</t>
  </si>
  <si>
    <t xml:space="preserve">TOTAL  COSTO INDIRECTOS $.  </t>
  </si>
  <si>
    <t xml:space="preserve">TOTAL  COSTO DE PRODUCCION $.  </t>
  </si>
  <si>
    <t>GASTOS DE VENTAS</t>
  </si>
  <si>
    <t>global</t>
  </si>
  <si>
    <t>Envio de muestras</t>
  </si>
  <si>
    <t>Folleteria</t>
  </si>
  <si>
    <t xml:space="preserve">TOTAL  GASTOS DE VENTAS $.  </t>
  </si>
  <si>
    <t xml:space="preserve">TOTAL  CAPITAL DE TRABAJO $.  </t>
  </si>
  <si>
    <t>Operadores de maquinaria</t>
  </si>
  <si>
    <t xml:space="preserve">personal de planta </t>
  </si>
  <si>
    <t>publicidad</t>
  </si>
  <si>
    <t>material de oficina y aseo</t>
  </si>
  <si>
    <t>GASTOS DE MANTENIMIENTO</t>
  </si>
  <si>
    <t>Reparaciones y Mantenimiento</t>
  </si>
  <si>
    <t xml:space="preserve">TOTAL  GASTOS DE MANTENIMIENTO $.  </t>
  </si>
  <si>
    <t>Servicios Basícos (Agua, Luz)</t>
  </si>
  <si>
    <t>COSTOS FIJOS</t>
  </si>
  <si>
    <t>COSTOS VARIABLES</t>
  </si>
  <si>
    <t>DEPRECIACIÓN</t>
  </si>
  <si>
    <t>Descripcion</t>
  </si>
  <si>
    <t>Unidad de Medida</t>
  </si>
  <si>
    <t>Cantidad</t>
  </si>
  <si>
    <t>Precio</t>
  </si>
  <si>
    <t>Vida Util</t>
  </si>
  <si>
    <t>Tasa deprec.</t>
  </si>
  <si>
    <t>Valor salvamento</t>
  </si>
  <si>
    <t xml:space="preserve"> </t>
  </si>
  <si>
    <t>Instalaciòn electrica</t>
  </si>
  <si>
    <t>TOTAL INMUEBLE $.</t>
  </si>
  <si>
    <t>Medidor de humedad</t>
  </si>
  <si>
    <t>TOTAL MAQUINARIA Y EQUIPOS $.</t>
  </si>
  <si>
    <t>Muebles y enseres de oficina</t>
  </si>
  <si>
    <t>Escritorio de tipo secretaria</t>
  </si>
  <si>
    <t>Sillas de tipo secretaria</t>
  </si>
  <si>
    <t>TOTAL MUEBLES Y ENCERES $.</t>
  </si>
  <si>
    <t>Equipos de oficina</t>
  </si>
  <si>
    <t xml:space="preserve">   </t>
  </si>
  <si>
    <t>TOTAL DEPRECIACION $.</t>
  </si>
  <si>
    <t>Codigo:</t>
  </si>
  <si>
    <t>Periodo</t>
  </si>
  <si>
    <t>Depreciasión</t>
  </si>
  <si>
    <t>Depreciasión acumulada</t>
  </si>
  <si>
    <t>Valor libros</t>
  </si>
  <si>
    <t>Cantidad:</t>
  </si>
  <si>
    <t>150 M2</t>
  </si>
  <si>
    <t>Valor:</t>
  </si>
  <si>
    <t>Vida Util años:</t>
  </si>
  <si>
    <t>% Depresiaciòn:</t>
  </si>
  <si>
    <t>Valor Salvam.</t>
  </si>
  <si>
    <t>Depresiaciòn: ( Co - Vs )/N</t>
  </si>
  <si>
    <t>24 M2</t>
  </si>
  <si>
    <t>Planta Procesadora</t>
  </si>
  <si>
    <t>368M2</t>
  </si>
  <si>
    <t>Baños/ Duchas</t>
  </si>
  <si>
    <t>20 M2</t>
  </si>
  <si>
    <t>Bodegas</t>
  </si>
  <si>
    <t>96M2</t>
  </si>
  <si>
    <t>Guardiania</t>
  </si>
  <si>
    <t>9M2</t>
  </si>
  <si>
    <t>Elevador de cangilones 1HP</t>
  </si>
  <si>
    <t>(4.300 - 430)/10=</t>
  </si>
  <si>
    <t>Sistema deEnfriamiento</t>
  </si>
  <si>
    <t>Descascaradora de cacao Tostado</t>
  </si>
  <si>
    <t>Molino de Martillo</t>
  </si>
  <si>
    <t>Molino Plastificaciòn de cacao</t>
  </si>
  <si>
    <t>Mezclador de horizontales</t>
  </si>
  <si>
    <t>Moldes Làminas de Acero</t>
  </si>
  <si>
    <t>Perchas Metàlicas</t>
  </si>
  <si>
    <t>MUEBLES Y ENCERES</t>
  </si>
  <si>
    <t>Muebles y oficina</t>
  </si>
  <si>
    <t>EQUIPOS DE OFICINA</t>
  </si>
  <si>
    <t>33.33%</t>
  </si>
  <si>
    <t>Precio  incrementa en un 1% anual</t>
  </si>
  <si>
    <t>INGRESOS NETOS INCREMENTALES POR VENTA DE LA PASTA DE CACAO</t>
  </si>
  <si>
    <t xml:space="preserve">BLOQUE:    Planta </t>
  </si>
  <si>
    <t>Unidad de Producciòn:</t>
  </si>
  <si>
    <t xml:space="preserve">     Quintal</t>
  </si>
  <si>
    <t>Duración deCiclo/año:</t>
  </si>
  <si>
    <t>No. Años</t>
  </si>
  <si>
    <t>CATEGORIA DE INGRESO</t>
  </si>
  <si>
    <t>UNIDADDE VENTA</t>
  </si>
  <si>
    <t xml:space="preserve">          PRODUCCION POR AÑO</t>
  </si>
  <si>
    <t>Promedio precio añual</t>
  </si>
  <si>
    <t xml:space="preserve">                 INGRESO ANUAL</t>
  </si>
  <si>
    <t>Cacao</t>
  </si>
  <si>
    <t>qq</t>
  </si>
  <si>
    <t>TOTAL INGRESOS INCREMENTALES $.</t>
  </si>
  <si>
    <t>Requerimiento de materia prima almendras de cacao qq</t>
  </si>
  <si>
    <t>Requerimiento de materia prima/ Mes</t>
  </si>
  <si>
    <t>Requerimiento de materia prima/ Me</t>
  </si>
  <si>
    <t>3 AL 5</t>
  </si>
  <si>
    <t>1 AL 2</t>
  </si>
  <si>
    <t>6 AL 8</t>
  </si>
  <si>
    <t>9 AL 10</t>
  </si>
  <si>
    <t>perdida</t>
  </si>
  <si>
    <t>pasta de cacao qq</t>
  </si>
  <si>
    <t>FLUJO DE EFECTIVO NETO</t>
  </si>
  <si>
    <t>CONDICIONES NORMALES                                                        :</t>
  </si>
  <si>
    <t xml:space="preserve">  </t>
  </si>
  <si>
    <t>año 1-4</t>
  </si>
  <si>
    <t>Incremento anual en ventas                                                                                :</t>
  </si>
  <si>
    <t>Incremento costos de produccion por efecto inflacionario                        :</t>
  </si>
  <si>
    <t>Años</t>
  </si>
  <si>
    <t>Inversiones fijas</t>
  </si>
  <si>
    <t>Gastos preoperativos</t>
  </si>
  <si>
    <t>capital de trabajo</t>
  </si>
  <si>
    <t>A) Ingresos Operacionales</t>
  </si>
  <si>
    <t>Total ingreso ventas</t>
  </si>
  <si>
    <t xml:space="preserve">B) Egresos Operacionales </t>
  </si>
  <si>
    <t>Costos</t>
  </si>
  <si>
    <t>Directos</t>
  </si>
  <si>
    <t>Indirectos</t>
  </si>
  <si>
    <t>Gastos Adminiatrativos</t>
  </si>
  <si>
    <t>Gastos de ventas</t>
  </si>
  <si>
    <t>Depreciación maquinaria y equipos</t>
  </si>
  <si>
    <t>Amortización de gastos preoperativos</t>
  </si>
  <si>
    <t>Total egresos operacionales</t>
  </si>
  <si>
    <t>C) Flujo Operacional (A-B)</t>
  </si>
  <si>
    <t>Reparto utilidades trabajadores (15%)</t>
  </si>
  <si>
    <t>Ingresos antes de impuestos</t>
  </si>
  <si>
    <t>Impuestos (25%)</t>
  </si>
  <si>
    <t>Ingreso neto</t>
  </si>
  <si>
    <t>Readición de depreciación</t>
  </si>
  <si>
    <t>D) Flujo Efectivo de las operaciones</t>
  </si>
  <si>
    <t>Recuperación capital de trabajo</t>
  </si>
  <si>
    <t>Valor de salvamento neto</t>
  </si>
  <si>
    <t>Flujo neto efectivo</t>
  </si>
  <si>
    <t>TASA DE OPORTUNIDAD</t>
  </si>
  <si>
    <t xml:space="preserve">TASA ACTIVA MAS EL </t>
  </si>
  <si>
    <t>POR MEDIANO  RIESGO =</t>
  </si>
  <si>
    <t>COSTO DE OPORTUNIDAD</t>
  </si>
  <si>
    <t>TASA INTERNA DE RETORNO</t>
  </si>
  <si>
    <t xml:space="preserve"> =</t>
  </si>
  <si>
    <t>VALOR ACTUAL NETO (12%)</t>
  </si>
  <si>
    <t>TASA DE INVERSION</t>
  </si>
  <si>
    <t xml:space="preserve">MICROEMPRESA PROCESADORA DE DERIVADOS DE CACAO " PASTA DE CACAO" </t>
  </si>
  <si>
    <t>FEBRES CORDERO</t>
  </si>
  <si>
    <t>Ingresos por ventas de qq de pasta de cacao</t>
  </si>
  <si>
    <t>GASTOS ADMINISTRATIVOS</t>
  </si>
  <si>
    <t>Servicios Basícos</t>
  </si>
  <si>
    <t xml:space="preserve">TOTAL  GASTOS DE ADMINISTRATIVOS $.  </t>
  </si>
  <si>
    <t xml:space="preserve">10% % de amortización </t>
  </si>
  <si>
    <t>Depreciación anual</t>
  </si>
  <si>
    <t>Depreciación mensual</t>
  </si>
  <si>
    <t>perdida en el proceso del   producto terminado 30%</t>
  </si>
  <si>
    <t>Remuneraciones gerente, contador, guardian, tecnico de alimentos</t>
  </si>
  <si>
    <t>movilización</t>
  </si>
  <si>
    <t>movilizaciones</t>
  </si>
  <si>
    <t>200gramos 150</t>
  </si>
  <si>
    <t xml:space="preserve">amarga  1 0 180 gramos </t>
  </si>
  <si>
    <t>marquesinas</t>
  </si>
  <si>
    <t>Marquesinas( capac. 30qq)</t>
  </si>
  <si>
    <t>unidad</t>
  </si>
  <si>
    <t>cajones de fermentación</t>
  </si>
  <si>
    <t>Mano de Obra Directa (clasificadores, Embalague, tendalero)</t>
  </si>
  <si>
    <t>Insumos (sacas y fundas plasticas)</t>
  </si>
  <si>
    <t>Sacas y fundas plasticas</t>
  </si>
  <si>
    <t>Cajones de fermentación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</si>
</sst>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_$_-;\-* #,##0.00\ _$_-;_-* &quot;-&quot;??\ _$_-;_-@_-"/>
    <numFmt numFmtId="166" formatCode="_(* #,##0.0_);_(* \(#,##0.0\);_(* &quot;-&quot;??_);_(@_)"/>
    <numFmt numFmtId="167" formatCode="0.0000"/>
    <numFmt numFmtId="168" formatCode="0_ ;[Red]\-0\ "/>
    <numFmt numFmtId="169" formatCode="0.0"/>
    <numFmt numFmtId="170" formatCode="_(* #,##0_);_(* \(#,##0\);_(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%"/>
    <numFmt numFmtId="176" formatCode="#,##0.00;[Red]#,##0.00"/>
    <numFmt numFmtId="177" formatCode="#,##0.00_ ;\-#,##0.00\ "/>
    <numFmt numFmtId="178" formatCode="_ [$$-300A]\ * #,##0.00_ ;_ [$$-300A]\ * \-#,##0.00_ ;_ [$$-300A]\ * &quot;-&quot;??_ ;_ @_ "/>
    <numFmt numFmtId="179" formatCode="_ * #,##0.0_ ;_ * \-#,##0.0_ ;_ * &quot;-&quot;??_ ;_ @_ "/>
    <numFmt numFmtId="180" formatCode="_ * #,##0_ ;_ * \-#,##0_ ;_ * &quot;-&quot;??_ ;_ @_ "/>
  </numFmts>
  <fonts count="24">
    <font>
      <sz val="10"/>
      <name val="Arial"/>
      <family val="0"/>
    </font>
    <font>
      <b/>
      <sz val="13"/>
      <name val="Tahoma"/>
      <family val="2"/>
    </font>
    <font>
      <b/>
      <sz val="12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Tahoma"/>
      <family val="2"/>
    </font>
    <font>
      <b/>
      <sz val="8"/>
      <name val="Arial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/>
    </xf>
    <xf numFmtId="9" fontId="6" fillId="0" borderId="6" xfId="0" applyNumberFormat="1" applyFont="1" applyFill="1" applyBorder="1" applyAlignment="1">
      <alignment horizontal="center" vertical="top" wrapText="1"/>
    </xf>
    <xf numFmtId="43" fontId="0" fillId="0" borderId="6" xfId="17" applyFont="1" applyBorder="1" applyAlignment="1">
      <alignment horizontal="right"/>
    </xf>
    <xf numFmtId="43" fontId="6" fillId="0" borderId="6" xfId="17" applyFont="1" applyFill="1" applyBorder="1" applyAlignment="1">
      <alignment horizontal="right" vertical="top" wrapText="1"/>
    </xf>
    <xf numFmtId="43" fontId="5" fillId="0" borderId="6" xfId="17" applyFont="1" applyFill="1" applyBorder="1" applyAlignment="1">
      <alignment horizontal="right" vertical="top" wrapText="1"/>
    </xf>
    <xf numFmtId="4" fontId="5" fillId="0" borderId="7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 quotePrefix="1">
      <alignment horizontal="right"/>
    </xf>
    <xf numFmtId="0" fontId="0" fillId="0" borderId="9" xfId="0" applyFont="1" applyBorder="1" applyAlignment="1">
      <alignment/>
    </xf>
    <xf numFmtId="9" fontId="6" fillId="0" borderId="10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right"/>
    </xf>
    <xf numFmtId="4" fontId="6" fillId="0" borderId="11" xfId="19" applyNumberFormat="1" applyFont="1" applyFill="1" applyBorder="1" applyAlignment="1">
      <alignment/>
    </xf>
    <xf numFmtId="0" fontId="6" fillId="0" borderId="9" xfId="0" applyFont="1" applyFill="1" applyBorder="1" applyAlignment="1" quotePrefix="1">
      <alignment horizontal="right"/>
    </xf>
    <xf numFmtId="9" fontId="6" fillId="0" borderId="12" xfId="0" applyNumberFormat="1" applyFont="1" applyFill="1" applyBorder="1" applyAlignment="1">
      <alignment horizontal="center"/>
    </xf>
    <xf numFmtId="4" fontId="6" fillId="0" borderId="6" xfId="0" applyNumberFormat="1" applyFont="1" applyBorder="1" applyAlignment="1">
      <alignment/>
    </xf>
    <xf numFmtId="43" fontId="5" fillId="0" borderId="13" xfId="17" applyFont="1" applyFill="1" applyBorder="1" applyAlignment="1">
      <alignment/>
    </xf>
    <xf numFmtId="0" fontId="6" fillId="0" borderId="2" xfId="0" applyFont="1" applyFill="1" applyBorder="1" applyAlignment="1">
      <alignment/>
    </xf>
    <xf numFmtId="9" fontId="6" fillId="0" borderId="14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6" fillId="0" borderId="2" xfId="0" applyNumberFormat="1" applyFont="1" applyFill="1" applyBorder="1" applyAlignment="1">
      <alignment/>
    </xf>
    <xf numFmtId="4" fontId="6" fillId="0" borderId="3" xfId="19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right"/>
    </xf>
    <xf numFmtId="0" fontId="6" fillId="0" borderId="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0" fontId="6" fillId="0" borderId="18" xfId="0" applyFont="1" applyFill="1" applyBorder="1" applyAlignment="1" quotePrefix="1">
      <alignment horizontal="right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4" fontId="6" fillId="0" borderId="22" xfId="19" applyNumberFormat="1" applyFont="1" applyFill="1" applyBorder="1" applyAlignment="1">
      <alignment/>
    </xf>
    <xf numFmtId="43" fontId="5" fillId="0" borderId="23" xfId="17" applyFont="1" applyFill="1" applyBorder="1" applyAlignment="1">
      <alignment/>
    </xf>
    <xf numFmtId="43" fontId="5" fillId="0" borderId="24" xfId="17" applyFont="1" applyFill="1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9" fontId="6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6" xfId="0" applyNumberFormat="1" applyFont="1" applyFill="1" applyBorder="1" applyAlignment="1">
      <alignment/>
    </xf>
    <xf numFmtId="0" fontId="6" fillId="0" borderId="26" xfId="0" applyFont="1" applyFill="1" applyBorder="1" applyAlignment="1" quotePrefix="1">
      <alignment horizontal="right"/>
    </xf>
    <xf numFmtId="0" fontId="6" fillId="0" borderId="0" xfId="0" applyFont="1" applyFill="1" applyBorder="1" applyAlignment="1">
      <alignment/>
    </xf>
    <xf numFmtId="9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27" xfId="19" applyNumberFormat="1" applyFont="1" applyFill="1" applyBorder="1" applyAlignment="1">
      <alignment/>
    </xf>
    <xf numFmtId="0" fontId="6" fillId="0" borderId="0" xfId="0" applyFont="1" applyAlignment="1">
      <alignment/>
    </xf>
    <xf numFmtId="165" fontId="0" fillId="0" borderId="0" xfId="0" applyNumberFormat="1" applyAlignment="1">
      <alignment/>
    </xf>
    <xf numFmtId="0" fontId="4" fillId="0" borderId="28" xfId="0" applyFont="1" applyBorder="1" applyAlignment="1">
      <alignment/>
    </xf>
    <xf numFmtId="0" fontId="7" fillId="0" borderId="6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left" wrapText="1"/>
    </xf>
    <xf numFmtId="0" fontId="9" fillId="0" borderId="6" xfId="0" applyFont="1" applyBorder="1" applyAlignment="1">
      <alignment wrapText="1"/>
    </xf>
    <xf numFmtId="8" fontId="8" fillId="0" borderId="6" xfId="0" applyNumberFormat="1" applyFont="1" applyFill="1" applyBorder="1" applyAlignment="1">
      <alignment horizontal="right"/>
    </xf>
    <xf numFmtId="0" fontId="11" fillId="0" borderId="6" xfId="0" applyFont="1" applyBorder="1" applyAlignment="1">
      <alignment wrapText="1"/>
    </xf>
    <xf numFmtId="0" fontId="8" fillId="0" borderId="6" xfId="0" applyFont="1" applyBorder="1" applyAlignment="1">
      <alignment horizontal="right"/>
    </xf>
    <xf numFmtId="0" fontId="12" fillId="0" borderId="6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6" fillId="0" borderId="9" xfId="0" applyFont="1" applyBorder="1" applyAlignment="1">
      <alignment/>
    </xf>
    <xf numFmtId="43" fontId="10" fillId="0" borderId="22" xfId="17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5" fillId="0" borderId="31" xfId="0" applyFont="1" applyBorder="1" applyAlignment="1">
      <alignment/>
    </xf>
    <xf numFmtId="0" fontId="9" fillId="0" borderId="32" xfId="0" applyFont="1" applyFill="1" applyBorder="1" applyAlignment="1">
      <alignment horizontal="left" wrapText="1"/>
    </xf>
    <xf numFmtId="0" fontId="13" fillId="0" borderId="32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6" fontId="0" fillId="0" borderId="2" xfId="0" applyNumberFormat="1" applyFont="1" applyFill="1" applyBorder="1" applyAlignment="1" applyProtection="1">
      <alignment/>
      <protection locked="0"/>
    </xf>
    <xf numFmtId="166" fontId="0" fillId="0" borderId="2" xfId="17" applyNumberFormat="1" applyFont="1" applyFill="1" applyBorder="1" applyAlignment="1" applyProtection="1">
      <alignment horizontal="center"/>
      <protection locked="0"/>
    </xf>
    <xf numFmtId="4" fontId="0" fillId="0" borderId="3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15" fillId="0" borderId="33" xfId="0" applyFont="1" applyFill="1" applyBorder="1" applyAlignment="1">
      <alignment horizontal="right"/>
    </xf>
    <xf numFmtId="2" fontId="15" fillId="0" borderId="33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0" fontId="15" fillId="0" borderId="6" xfId="0" applyFont="1" applyFill="1" applyBorder="1" applyAlignment="1">
      <alignment/>
    </xf>
    <xf numFmtId="0" fontId="15" fillId="0" borderId="6" xfId="0" applyFont="1" applyFill="1" applyBorder="1" applyAlignment="1">
      <alignment horizontal="right"/>
    </xf>
    <xf numFmtId="2" fontId="15" fillId="0" borderId="6" xfId="0" applyNumberFormat="1" applyFont="1" applyFill="1" applyBorder="1" applyAlignment="1">
      <alignment horizontal="right"/>
    </xf>
    <xf numFmtId="4" fontId="0" fillId="0" borderId="6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15" fillId="0" borderId="4" xfId="0" applyFont="1" applyFill="1" applyBorder="1" applyAlignment="1">
      <alignment horizontal="right"/>
    </xf>
    <xf numFmtId="2" fontId="15" fillId="0" borderId="4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4" fontId="0" fillId="0" borderId="6" xfId="0" applyNumberFormat="1" applyFont="1" applyFill="1" applyBorder="1" applyAlignment="1">
      <alignment horizontal="left"/>
    </xf>
    <xf numFmtId="4" fontId="0" fillId="0" borderId="6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0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center"/>
    </xf>
    <xf numFmtId="0" fontId="0" fillId="0" borderId="6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0" fontId="0" fillId="0" borderId="32" xfId="0" applyFont="1" applyBorder="1" applyAlignment="1">
      <alignment wrapText="1"/>
    </xf>
    <xf numFmtId="0" fontId="0" fillId="0" borderId="32" xfId="0" applyNumberFormat="1" applyFont="1" applyBorder="1" applyAlignment="1">
      <alignment/>
    </xf>
    <xf numFmtId="43" fontId="0" fillId="0" borderId="32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left"/>
    </xf>
    <xf numFmtId="8" fontId="0" fillId="0" borderId="30" xfId="0" applyNumberFormat="1" applyFont="1" applyBorder="1" applyAlignment="1">
      <alignment horizontal="right"/>
    </xf>
    <xf numFmtId="0" fontId="0" fillId="0" borderId="15" xfId="0" applyFont="1" applyFill="1" applyBorder="1" applyAlignment="1" quotePrefix="1">
      <alignment horizontal="right"/>
    </xf>
    <xf numFmtId="0" fontId="0" fillId="0" borderId="0" xfId="0" applyFont="1" applyFill="1" applyBorder="1" applyAlignment="1">
      <alignment wrapText="1"/>
    </xf>
    <xf numFmtId="4" fontId="0" fillId="0" borderId="17" xfId="0" applyNumberFormat="1" applyFont="1" applyFill="1" applyBorder="1" applyAlignment="1">
      <alignment/>
    </xf>
    <xf numFmtId="44" fontId="0" fillId="0" borderId="16" xfId="20" applyFont="1" applyFill="1" applyBorder="1" applyAlignment="1">
      <alignment/>
    </xf>
    <xf numFmtId="0" fontId="0" fillId="0" borderId="18" xfId="0" applyFont="1" applyFill="1" applyBorder="1" applyAlignment="1" quotePrefix="1">
      <alignment horizontal="right"/>
    </xf>
    <xf numFmtId="0" fontId="0" fillId="0" borderId="19" xfId="0" applyFont="1" applyFill="1" applyBorder="1" applyAlignment="1">
      <alignment wrapText="1"/>
    </xf>
    <xf numFmtId="4" fontId="0" fillId="0" borderId="21" xfId="0" applyNumberFormat="1" applyFont="1" applyFill="1" applyBorder="1" applyAlignment="1">
      <alignment/>
    </xf>
    <xf numFmtId="44" fontId="0" fillId="0" borderId="20" xfId="20" applyFont="1" applyFill="1" applyBorder="1" applyAlignment="1">
      <alignment/>
    </xf>
    <xf numFmtId="0" fontId="4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4" fillId="0" borderId="3" xfId="0" applyFont="1" applyBorder="1" applyAlignment="1">
      <alignment/>
    </xf>
    <xf numFmtId="0" fontId="0" fillId="0" borderId="35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8" fontId="4" fillId="0" borderId="1" xfId="0" applyNumberFormat="1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Fill="1" applyBorder="1" applyAlignment="1">
      <alignment horizontal="left"/>
    </xf>
    <xf numFmtId="168" fontId="0" fillId="0" borderId="8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8" fontId="0" fillId="0" borderId="9" xfId="0" applyNumberFormat="1" applyFont="1" applyFill="1" applyBorder="1" applyAlignment="1">
      <alignment horizontal="center"/>
    </xf>
    <xf numFmtId="8" fontId="4" fillId="0" borderId="27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 horizontal="center"/>
    </xf>
    <xf numFmtId="9" fontId="0" fillId="0" borderId="27" xfId="0" applyNumberFormat="1" applyFont="1" applyBorder="1" applyAlignment="1">
      <alignment/>
    </xf>
    <xf numFmtId="8" fontId="0" fillId="0" borderId="2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7" xfId="0" applyFont="1" applyBorder="1" applyAlignment="1">
      <alignment/>
    </xf>
    <xf numFmtId="0" fontId="4" fillId="0" borderId="39" xfId="0" applyFont="1" applyBorder="1" applyAlignment="1">
      <alignment horizontal="left"/>
    </xf>
    <xf numFmtId="0" fontId="0" fillId="0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0" borderId="1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8" fontId="4" fillId="0" borderId="29" xfId="0" applyNumberFormat="1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8" fontId="0" fillId="0" borderId="0" xfId="0" applyNumberFormat="1" applyFont="1" applyFill="1" applyAlignment="1">
      <alignment horizontal="right"/>
    </xf>
    <xf numFmtId="0" fontId="0" fillId="0" borderId="21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43" xfId="0" applyFont="1" applyBorder="1" applyAlignment="1">
      <alignment horizontal="left"/>
    </xf>
    <xf numFmtId="8" fontId="4" fillId="0" borderId="6" xfId="0" applyNumberFormat="1" applyFont="1" applyFill="1" applyBorder="1" applyAlignment="1">
      <alignment horizontal="center"/>
    </xf>
    <xf numFmtId="168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16" fillId="0" borderId="35" xfId="0" applyFont="1" applyFill="1" applyBorder="1" applyAlignment="1">
      <alignment horizontal="left"/>
    </xf>
    <xf numFmtId="0" fontId="16" fillId="0" borderId="37" xfId="0" applyFont="1" applyFill="1" applyBorder="1" applyAlignment="1">
      <alignment horizontal="left"/>
    </xf>
    <xf numFmtId="8" fontId="18" fillId="0" borderId="13" xfId="0" applyNumberFormat="1" applyFont="1" applyFill="1" applyBorder="1" applyAlignment="1">
      <alignment horizontal="center"/>
    </xf>
    <xf numFmtId="8" fontId="18" fillId="0" borderId="4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26" xfId="0" applyBorder="1" applyAlignment="1">
      <alignment/>
    </xf>
    <xf numFmtId="0" fontId="16" fillId="0" borderId="27" xfId="0" applyFont="1" applyFill="1" applyBorder="1" applyAlignment="1">
      <alignment horizontal="left"/>
    </xf>
    <xf numFmtId="168" fontId="16" fillId="0" borderId="8" xfId="0" applyNumberFormat="1" applyFont="1" applyFill="1" applyBorder="1" applyAlignment="1">
      <alignment horizontal="center"/>
    </xf>
    <xf numFmtId="8" fontId="16" fillId="0" borderId="33" xfId="0" applyNumberFormat="1" applyFont="1" applyFill="1" applyBorder="1" applyAlignment="1">
      <alignment horizontal="center"/>
    </xf>
    <xf numFmtId="0" fontId="16" fillId="0" borderId="27" xfId="0" applyFont="1" applyFill="1" applyBorder="1" applyAlignment="1">
      <alignment horizontal="right"/>
    </xf>
    <xf numFmtId="168" fontId="16" fillId="0" borderId="9" xfId="0" applyNumberFormat="1" applyFont="1" applyFill="1" applyBorder="1" applyAlignment="1">
      <alignment horizontal="center"/>
    </xf>
    <xf numFmtId="8" fontId="16" fillId="0" borderId="6" xfId="0" applyNumberFormat="1" applyFont="1" applyFill="1" applyBorder="1" applyAlignment="1">
      <alignment horizontal="center"/>
    </xf>
    <xf numFmtId="8" fontId="18" fillId="0" borderId="27" xfId="0" applyNumberFormat="1" applyFont="1" applyFill="1" applyBorder="1" applyAlignment="1">
      <alignment horizontal="right"/>
    </xf>
    <xf numFmtId="0" fontId="16" fillId="0" borderId="9" xfId="0" applyFont="1" applyFill="1" applyBorder="1" applyAlignment="1">
      <alignment horizontal="center"/>
    </xf>
    <xf numFmtId="0" fontId="16" fillId="0" borderId="27" xfId="0" applyFont="1" applyBorder="1" applyAlignment="1">
      <alignment/>
    </xf>
    <xf numFmtId="0" fontId="16" fillId="0" borderId="9" xfId="0" applyFont="1" applyBorder="1" applyAlignment="1">
      <alignment horizontal="center"/>
    </xf>
    <xf numFmtId="9" fontId="16" fillId="0" borderId="27" xfId="0" applyNumberFormat="1" applyFont="1" applyBorder="1" applyAlignment="1">
      <alignment/>
    </xf>
    <xf numFmtId="8" fontId="16" fillId="0" borderId="27" xfId="0" applyNumberFormat="1" applyFont="1" applyBorder="1" applyAlignment="1">
      <alignment/>
    </xf>
    <xf numFmtId="0" fontId="0" fillId="0" borderId="38" xfId="0" applyBorder="1" applyAlignment="1">
      <alignment/>
    </xf>
    <xf numFmtId="0" fontId="16" fillId="0" borderId="39" xfId="0" applyFont="1" applyBorder="1" applyAlignment="1">
      <alignment/>
    </xf>
    <xf numFmtId="0" fontId="0" fillId="0" borderId="35" xfId="0" applyBorder="1" applyAlignment="1">
      <alignment/>
    </xf>
    <xf numFmtId="0" fontId="16" fillId="0" borderId="37" xfId="0" applyFont="1" applyBorder="1" applyAlignment="1">
      <alignment/>
    </xf>
    <xf numFmtId="0" fontId="18" fillId="0" borderId="39" xfId="0" applyFont="1" applyBorder="1" applyAlignment="1">
      <alignment horizontal="left"/>
    </xf>
    <xf numFmtId="0" fontId="16" fillId="0" borderId="31" xfId="0" applyFont="1" applyBorder="1" applyAlignment="1">
      <alignment horizontal="center"/>
    </xf>
    <xf numFmtId="8" fontId="16" fillId="0" borderId="32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vertical="top" wrapText="1"/>
    </xf>
    <xf numFmtId="8" fontId="18" fillId="0" borderId="1" xfId="0" applyNumberFormat="1" applyFont="1" applyFill="1" applyBorder="1" applyAlignment="1">
      <alignment horizontal="center"/>
    </xf>
    <xf numFmtId="8" fontId="18" fillId="0" borderId="2" xfId="0" applyNumberFormat="1" applyFont="1" applyFill="1" applyBorder="1" applyAlignment="1">
      <alignment horizontal="center" vertical="center" wrapText="1"/>
    </xf>
    <xf numFmtId="9" fontId="16" fillId="0" borderId="27" xfId="0" applyNumberFormat="1" applyFont="1" applyBorder="1" applyAlignment="1">
      <alignment horizontal="right"/>
    </xf>
    <xf numFmtId="2" fontId="18" fillId="0" borderId="39" xfId="0" applyNumberFormat="1" applyFont="1" applyBorder="1" applyAlignment="1">
      <alignment horizontal="left"/>
    </xf>
    <xf numFmtId="0" fontId="0" fillId="0" borderId="45" xfId="0" applyFont="1" applyBorder="1" applyAlignment="1">
      <alignment wrapText="1"/>
    </xf>
    <xf numFmtId="0" fontId="0" fillId="0" borderId="45" xfId="0" applyNumberFormat="1" applyFont="1" applyBorder="1" applyAlignment="1">
      <alignment/>
    </xf>
    <xf numFmtId="43" fontId="0" fillId="0" borderId="45" xfId="17" applyFont="1" applyBorder="1" applyAlignment="1">
      <alignment/>
    </xf>
    <xf numFmtId="0" fontId="0" fillId="0" borderId="0" xfId="0" applyFont="1" applyAlignment="1">
      <alignment wrapText="1"/>
    </xf>
    <xf numFmtId="0" fontId="4" fillId="0" borderId="16" xfId="0" applyFont="1" applyBorder="1" applyAlignment="1">
      <alignment wrapText="1"/>
    </xf>
    <xf numFmtId="0" fontId="0" fillId="0" borderId="30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4" fillId="0" borderId="30" xfId="0" applyFont="1" applyBorder="1" applyAlignment="1">
      <alignment horizontal="left" wrapText="1"/>
    </xf>
    <xf numFmtId="0" fontId="0" fillId="0" borderId="16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4" fillId="0" borderId="4" xfId="0" applyFont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8" fontId="4" fillId="0" borderId="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wrapText="1"/>
    </xf>
    <xf numFmtId="9" fontId="0" fillId="0" borderId="0" xfId="0" applyNumberFormat="1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Fill="1" applyAlignment="1">
      <alignment horizontal="right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43" fontId="0" fillId="0" borderId="46" xfId="17" applyFont="1" applyBorder="1" applyAlignment="1">
      <alignment/>
    </xf>
    <xf numFmtId="43" fontId="0" fillId="0" borderId="6" xfId="17" applyFont="1" applyBorder="1" applyAlignment="1">
      <alignment/>
    </xf>
    <xf numFmtId="43" fontId="0" fillId="0" borderId="22" xfId="17" applyFont="1" applyBorder="1" applyAlignment="1">
      <alignment/>
    </xf>
    <xf numFmtId="43" fontId="0" fillId="0" borderId="7" xfId="17" applyFont="1" applyBorder="1" applyAlignment="1">
      <alignment/>
    </xf>
    <xf numFmtId="0" fontId="4" fillId="0" borderId="0" xfId="0" applyFont="1" applyBorder="1" applyAlignment="1">
      <alignment horizontal="right"/>
    </xf>
    <xf numFmtId="43" fontId="4" fillId="0" borderId="16" xfId="17" applyFont="1" applyBorder="1" applyAlignment="1">
      <alignment/>
    </xf>
    <xf numFmtId="43" fontId="4" fillId="0" borderId="47" xfId="17" applyFont="1" applyBorder="1" applyAlignment="1">
      <alignment/>
    </xf>
    <xf numFmtId="43" fontId="4" fillId="0" borderId="32" xfId="17" applyFont="1" applyBorder="1" applyAlignment="1">
      <alignment horizontal="center"/>
    </xf>
    <xf numFmtId="43" fontId="4" fillId="0" borderId="48" xfId="17" applyFont="1" applyBorder="1" applyAlignment="1">
      <alignment horizontal="center"/>
    </xf>
    <xf numFmtId="43" fontId="4" fillId="0" borderId="4" xfId="17" applyFont="1" applyBorder="1" applyAlignment="1">
      <alignment/>
    </xf>
    <xf numFmtId="43" fontId="4" fillId="0" borderId="5" xfId="17" applyFont="1" applyBorder="1" applyAlignment="1">
      <alignment/>
    </xf>
    <xf numFmtId="43" fontId="4" fillId="0" borderId="49" xfId="17" applyFont="1" applyFill="1" applyBorder="1" applyAlignment="1">
      <alignment/>
    </xf>
    <xf numFmtId="0" fontId="16" fillId="0" borderId="0" xfId="0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left"/>
    </xf>
    <xf numFmtId="9" fontId="18" fillId="0" borderId="0" xfId="22" applyFont="1" applyBorder="1" applyAlignment="1">
      <alignment horizontal="left"/>
    </xf>
    <xf numFmtId="4" fontId="18" fillId="0" borderId="45" xfId="0" applyNumberFormat="1" applyFont="1" applyBorder="1" applyAlignment="1">
      <alignment horizontal="right"/>
    </xf>
    <xf numFmtId="0" fontId="18" fillId="2" borderId="35" xfId="0" applyFont="1" applyFill="1" applyBorder="1" applyAlignment="1" quotePrefix="1">
      <alignment horizontal="left"/>
    </xf>
    <xf numFmtId="0" fontId="16" fillId="2" borderId="36" xfId="0" applyFont="1" applyFill="1" applyBorder="1" applyAlignment="1">
      <alignment/>
    </xf>
    <xf numFmtId="0" fontId="18" fillId="2" borderId="36" xfId="0" applyFont="1" applyFill="1" applyBorder="1" applyAlignment="1">
      <alignment/>
    </xf>
    <xf numFmtId="0" fontId="16" fillId="2" borderId="37" xfId="0" applyFont="1" applyFill="1" applyBorder="1" applyAlignment="1">
      <alignment/>
    </xf>
    <xf numFmtId="0" fontId="16" fillId="2" borderId="35" xfId="0" applyFont="1" applyFill="1" applyBorder="1" applyAlignment="1">
      <alignment/>
    </xf>
    <xf numFmtId="0" fontId="18" fillId="2" borderId="26" xfId="0" applyFont="1" applyFill="1" applyBorder="1" applyAlignment="1" quotePrefix="1">
      <alignment horizontal="left"/>
    </xf>
    <xf numFmtId="0" fontId="16" fillId="2" borderId="0" xfId="0" applyFont="1" applyFill="1" applyBorder="1" applyAlignment="1">
      <alignment/>
    </xf>
    <xf numFmtId="0" fontId="16" fillId="2" borderId="26" xfId="0" applyFont="1" applyFill="1" applyBorder="1" applyAlignment="1">
      <alignment/>
    </xf>
    <xf numFmtId="0" fontId="16" fillId="2" borderId="27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18" fillId="2" borderId="26" xfId="0" applyFont="1" applyFill="1" applyBorder="1" applyAlignment="1">
      <alignment horizontal="left"/>
    </xf>
    <xf numFmtId="0" fontId="18" fillId="0" borderId="27" xfId="0" applyFont="1" applyBorder="1" applyAlignment="1" applyProtection="1">
      <alignment/>
      <protection locked="0"/>
    </xf>
    <xf numFmtId="0" fontId="16" fillId="0" borderId="27" xfId="0" applyFont="1" applyFill="1" applyBorder="1" applyAlignment="1">
      <alignment horizontal="center"/>
    </xf>
    <xf numFmtId="0" fontId="18" fillId="2" borderId="38" xfId="0" applyFont="1" applyFill="1" applyBorder="1" applyAlignment="1" quotePrefix="1">
      <alignment horizontal="left"/>
    </xf>
    <xf numFmtId="0" fontId="18" fillId="2" borderId="45" xfId="0" applyFont="1" applyFill="1" applyBorder="1" applyAlignment="1">
      <alignment/>
    </xf>
    <xf numFmtId="0" fontId="16" fillId="0" borderId="39" xfId="0" applyFont="1" applyFill="1" applyBorder="1" applyAlignment="1">
      <alignment/>
    </xf>
    <xf numFmtId="0" fontId="16" fillId="0" borderId="38" xfId="0" applyFont="1" applyFill="1" applyBorder="1" applyAlignment="1">
      <alignment/>
    </xf>
    <xf numFmtId="0" fontId="16" fillId="0" borderId="45" xfId="0" applyFont="1" applyFill="1" applyBorder="1" applyAlignment="1">
      <alignment/>
    </xf>
    <xf numFmtId="0" fontId="16" fillId="0" borderId="29" xfId="0" applyFont="1" applyFill="1" applyBorder="1" applyAlignment="1">
      <alignment horizontal="center"/>
    </xf>
    <xf numFmtId="0" fontId="16" fillId="0" borderId="30" xfId="0" applyFont="1" applyFill="1" applyBorder="1" applyAlignment="1" applyProtection="1">
      <alignment/>
      <protection locked="0"/>
    </xf>
    <xf numFmtId="0" fontId="16" fillId="0" borderId="30" xfId="0" applyFont="1" applyFill="1" applyBorder="1" applyAlignment="1" applyProtection="1">
      <alignment horizontal="center"/>
      <protection locked="0"/>
    </xf>
    <xf numFmtId="164" fontId="16" fillId="0" borderId="30" xfId="17" applyNumberFormat="1" applyFont="1" applyFill="1" applyBorder="1" applyAlignment="1" applyProtection="1">
      <alignment horizontal="center"/>
      <protection locked="0"/>
    </xf>
    <xf numFmtId="170" fontId="16" fillId="0" borderId="30" xfId="17" applyNumberFormat="1" applyFont="1" applyFill="1" applyBorder="1" applyAlignment="1" applyProtection="1">
      <alignment horizontal="center"/>
      <protection locked="0"/>
    </xf>
    <xf numFmtId="164" fontId="16" fillId="0" borderId="46" xfId="17" applyNumberFormat="1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6" xfId="0" applyFont="1" applyFill="1" applyBorder="1" applyAlignment="1" applyProtection="1">
      <alignment/>
      <protection locked="0"/>
    </xf>
    <xf numFmtId="0" fontId="16" fillId="0" borderId="6" xfId="0" applyFont="1" applyFill="1" applyBorder="1" applyAlignment="1" applyProtection="1">
      <alignment horizontal="center"/>
      <protection locked="0"/>
    </xf>
    <xf numFmtId="164" fontId="16" fillId="0" borderId="6" xfId="17" applyNumberFormat="1" applyFont="1" applyFill="1" applyBorder="1" applyAlignment="1" applyProtection="1">
      <alignment horizontal="center"/>
      <protection locked="0"/>
    </xf>
    <xf numFmtId="170" fontId="16" fillId="0" borderId="6" xfId="17" applyNumberFormat="1" applyFont="1" applyFill="1" applyBorder="1" applyAlignment="1" applyProtection="1">
      <alignment horizontal="center"/>
      <protection locked="0"/>
    </xf>
    <xf numFmtId="164" fontId="16" fillId="0" borderId="22" xfId="17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32" xfId="0" applyFont="1" applyFill="1" applyBorder="1" applyAlignment="1" applyProtection="1">
      <alignment/>
      <protection locked="0"/>
    </xf>
    <xf numFmtId="0" fontId="16" fillId="0" borderId="32" xfId="0" applyFont="1" applyFill="1" applyBorder="1" applyAlignment="1" applyProtection="1">
      <alignment horizontal="center"/>
      <protection locked="0"/>
    </xf>
    <xf numFmtId="164" fontId="16" fillId="0" borderId="48" xfId="17" applyNumberFormat="1" applyFont="1" applyFill="1" applyBorder="1" applyAlignment="1">
      <alignment horizontal="center"/>
    </xf>
    <xf numFmtId="43" fontId="18" fillId="0" borderId="13" xfId="17" applyFont="1" applyFill="1" applyBorder="1" applyAlignment="1">
      <alignment horizontal="center"/>
    </xf>
    <xf numFmtId="0" fontId="16" fillId="0" borderId="0" xfId="0" applyFont="1" applyFill="1" applyAlignment="1">
      <alignment/>
    </xf>
    <xf numFmtId="9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9" fontId="0" fillId="0" borderId="6" xfId="0" applyNumberFormat="1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"/>
    </xf>
    <xf numFmtId="16" fontId="0" fillId="0" borderId="46" xfId="0" applyNumberFormat="1" applyFont="1" applyBorder="1" applyAlignment="1">
      <alignment horizontal="center"/>
    </xf>
    <xf numFmtId="9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right"/>
    </xf>
    <xf numFmtId="0" fontId="0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22" xfId="0" applyBorder="1" applyAlignment="1">
      <alignment/>
    </xf>
    <xf numFmtId="0" fontId="0" fillId="0" borderId="9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9" fontId="16" fillId="0" borderId="0" xfId="22" applyFont="1" applyBorder="1" applyAlignment="1">
      <alignment horizontal="center"/>
    </xf>
    <xf numFmtId="4" fontId="16" fillId="0" borderId="0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8" fillId="0" borderId="38" xfId="0" applyFont="1" applyBorder="1" applyAlignment="1">
      <alignment horizontal="left"/>
    </xf>
    <xf numFmtId="0" fontId="18" fillId="0" borderId="45" xfId="0" applyFont="1" applyBorder="1" applyAlignment="1">
      <alignment horizontal="left"/>
    </xf>
    <xf numFmtId="0" fontId="18" fillId="0" borderId="34" xfId="0" applyFont="1" applyBorder="1" applyAlignment="1">
      <alignment horizontal="center"/>
    </xf>
    <xf numFmtId="9" fontId="18" fillId="0" borderId="50" xfId="0" applyNumberFormat="1" applyFont="1" applyBorder="1" applyAlignment="1">
      <alignment horizontal="center" wrapText="1"/>
    </xf>
    <xf numFmtId="175" fontId="18" fillId="0" borderId="0" xfId="0" applyNumberFormat="1" applyFont="1" applyBorder="1" applyAlignment="1">
      <alignment horizontal="center"/>
    </xf>
    <xf numFmtId="9" fontId="18" fillId="0" borderId="0" xfId="0" applyNumberFormat="1" applyFont="1" applyBorder="1" applyAlignment="1">
      <alignment horizontal="center"/>
    </xf>
    <xf numFmtId="9" fontId="18" fillId="0" borderId="13" xfId="0" applyNumberFormat="1" applyFont="1" applyBorder="1" applyAlignment="1">
      <alignment horizontal="center" wrapText="1"/>
    </xf>
    <xf numFmtId="4" fontId="18" fillId="0" borderId="0" xfId="0" applyNumberFormat="1" applyFont="1" applyBorder="1" applyAlignment="1">
      <alignment horizontal="center"/>
    </xf>
    <xf numFmtId="0" fontId="18" fillId="0" borderId="51" xfId="0" applyFont="1" applyBorder="1" applyAlignment="1">
      <alignment/>
    </xf>
    <xf numFmtId="0" fontId="16" fillId="0" borderId="52" xfId="0" applyFont="1" applyBorder="1" applyAlignment="1">
      <alignment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4" fontId="16" fillId="0" borderId="9" xfId="0" applyNumberFormat="1" applyFont="1" applyBorder="1" applyAlignment="1">
      <alignment/>
    </xf>
    <xf numFmtId="176" fontId="16" fillId="0" borderId="6" xfId="0" applyNumberFormat="1" applyFont="1" applyBorder="1" applyAlignment="1">
      <alignment/>
    </xf>
    <xf numFmtId="176" fontId="16" fillId="0" borderId="22" xfId="0" applyNumberFormat="1" applyFont="1" applyBorder="1" applyAlignment="1">
      <alignment/>
    </xf>
    <xf numFmtId="0" fontId="16" fillId="0" borderId="26" xfId="0" applyFont="1" applyBorder="1" applyAlignment="1">
      <alignment/>
    </xf>
    <xf numFmtId="0" fontId="18" fillId="0" borderId="52" xfId="0" applyFont="1" applyBorder="1" applyAlignment="1">
      <alignment/>
    </xf>
    <xf numFmtId="176" fontId="16" fillId="0" borderId="9" xfId="0" applyNumberFormat="1" applyFont="1" applyBorder="1" applyAlignment="1">
      <alignment/>
    </xf>
    <xf numFmtId="4" fontId="16" fillId="0" borderId="6" xfId="0" applyNumberFormat="1" applyFont="1" applyBorder="1" applyAlignment="1">
      <alignment horizontal="center"/>
    </xf>
    <xf numFmtId="4" fontId="16" fillId="0" borderId="22" xfId="0" applyNumberFormat="1" applyFont="1" applyBorder="1" applyAlignment="1">
      <alignment horizontal="center"/>
    </xf>
    <xf numFmtId="0" fontId="18" fillId="0" borderId="52" xfId="0" applyFont="1" applyBorder="1" applyAlignment="1">
      <alignment horizontal="right"/>
    </xf>
    <xf numFmtId="176" fontId="18" fillId="0" borderId="9" xfId="0" applyNumberFormat="1" applyFont="1" applyBorder="1" applyAlignment="1">
      <alignment/>
    </xf>
    <xf numFmtId="176" fontId="18" fillId="0" borderId="6" xfId="0" applyNumberFormat="1" applyFont="1" applyBorder="1" applyAlignment="1">
      <alignment/>
    </xf>
    <xf numFmtId="176" fontId="18" fillId="0" borderId="22" xfId="0" applyNumberFormat="1" applyFont="1" applyBorder="1" applyAlignment="1">
      <alignment/>
    </xf>
    <xf numFmtId="0" fontId="18" fillId="0" borderId="0" xfId="0" applyFont="1" applyAlignment="1">
      <alignment/>
    </xf>
    <xf numFmtId="176" fontId="18" fillId="0" borderId="0" xfId="0" applyNumberFormat="1" applyFont="1" applyAlignment="1">
      <alignment/>
    </xf>
    <xf numFmtId="0" fontId="16" fillId="0" borderId="52" xfId="0" applyFont="1" applyBorder="1" applyAlignment="1">
      <alignment horizontal="center"/>
    </xf>
    <xf numFmtId="177" fontId="16" fillId="0" borderId="6" xfId="0" applyNumberFormat="1" applyFont="1" applyBorder="1" applyAlignment="1">
      <alignment/>
    </xf>
    <xf numFmtId="4" fontId="16" fillId="0" borderId="6" xfId="0" applyNumberFormat="1" applyFont="1" applyBorder="1" applyAlignment="1">
      <alignment/>
    </xf>
    <xf numFmtId="4" fontId="18" fillId="0" borderId="6" xfId="0" applyNumberFormat="1" applyFont="1" applyBorder="1" applyAlignment="1">
      <alignment/>
    </xf>
    <xf numFmtId="4" fontId="18" fillId="0" borderId="22" xfId="0" applyNumberFormat="1" applyFont="1" applyBorder="1" applyAlignment="1">
      <alignment/>
    </xf>
    <xf numFmtId="4" fontId="16" fillId="0" borderId="22" xfId="0" applyNumberFormat="1" applyFont="1" applyBorder="1" applyAlignment="1">
      <alignment/>
    </xf>
    <xf numFmtId="0" fontId="16" fillId="0" borderId="53" xfId="0" applyFont="1" applyBorder="1" applyAlignment="1">
      <alignment/>
    </xf>
    <xf numFmtId="176" fontId="16" fillId="0" borderId="31" xfId="0" applyNumberFormat="1" applyFont="1" applyBorder="1" applyAlignment="1">
      <alignment/>
    </xf>
    <xf numFmtId="176" fontId="16" fillId="0" borderId="32" xfId="0" applyNumberFormat="1" applyFont="1" applyBorder="1" applyAlignment="1">
      <alignment/>
    </xf>
    <xf numFmtId="176" fontId="16" fillId="0" borderId="48" xfId="0" applyNumberFormat="1" applyFont="1" applyBorder="1" applyAlignment="1">
      <alignment/>
    </xf>
    <xf numFmtId="0" fontId="18" fillId="0" borderId="40" xfId="0" applyFont="1" applyBorder="1" applyAlignment="1">
      <alignment horizontal="left"/>
    </xf>
    <xf numFmtId="4" fontId="18" fillId="0" borderId="1" xfId="0" applyNumberFormat="1" applyFont="1" applyBorder="1" applyAlignment="1">
      <alignment/>
    </xf>
    <xf numFmtId="4" fontId="18" fillId="0" borderId="2" xfId="0" applyNumberFormat="1" applyFont="1" applyBorder="1" applyAlignment="1">
      <alignment/>
    </xf>
    <xf numFmtId="4" fontId="18" fillId="0" borderId="3" xfId="0" applyNumberFormat="1" applyFont="1" applyBorder="1" applyAlignment="1">
      <alignment/>
    </xf>
    <xf numFmtId="0" fontId="16" fillId="0" borderId="0" xfId="0" applyFont="1" applyAlignment="1">
      <alignment horizontal="left"/>
    </xf>
    <xf numFmtId="176" fontId="16" fillId="0" borderId="0" xfId="0" applyNumberFormat="1" applyFon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9" fontId="4" fillId="0" borderId="0" xfId="22" applyFont="1" applyAlignment="1">
      <alignment horizontal="center"/>
    </xf>
    <xf numFmtId="178" fontId="0" fillId="0" borderId="0" xfId="0" applyNumberFormat="1" applyAlignment="1">
      <alignment/>
    </xf>
    <xf numFmtId="9" fontId="4" fillId="0" borderId="0" xfId="22" applyFont="1" applyAlignment="1" quotePrefix="1">
      <alignment horizontal="center"/>
    </xf>
    <xf numFmtId="9" fontId="16" fillId="0" borderId="0" xfId="22" applyFont="1" applyAlignment="1">
      <alignment/>
    </xf>
    <xf numFmtId="0" fontId="18" fillId="0" borderId="0" xfId="0" applyFont="1" applyAlignment="1">
      <alignment horizontal="left"/>
    </xf>
    <xf numFmtId="10" fontId="18" fillId="0" borderId="0" xfId="0" applyNumberFormat="1" applyFont="1" applyAlignment="1">
      <alignment horizontal="center"/>
    </xf>
    <xf numFmtId="9" fontId="18" fillId="0" borderId="0" xfId="22" applyFont="1" applyAlignment="1">
      <alignment/>
    </xf>
    <xf numFmtId="8" fontId="18" fillId="0" borderId="0" xfId="20" applyNumberFormat="1" applyFont="1" applyAlignment="1">
      <alignment/>
    </xf>
    <xf numFmtId="166" fontId="0" fillId="0" borderId="0" xfId="17" applyNumberFormat="1" applyFill="1" applyBorder="1" applyAlignment="1" applyProtection="1">
      <alignment horizontal="center"/>
      <protection locked="0"/>
    </xf>
    <xf numFmtId="0" fontId="16" fillId="0" borderId="52" xfId="0" applyFont="1" applyBorder="1" applyAlignment="1">
      <alignment horizontal="left" wrapText="1"/>
    </xf>
    <xf numFmtId="43" fontId="10" fillId="0" borderId="6" xfId="17" applyFont="1" applyFill="1" applyBorder="1" applyAlignment="1">
      <alignment/>
    </xf>
    <xf numFmtId="43" fontId="8" fillId="0" borderId="6" xfId="17" applyFont="1" applyFill="1" applyBorder="1" applyAlignment="1">
      <alignment/>
    </xf>
    <xf numFmtId="0" fontId="0" fillId="0" borderId="46" xfId="0" applyBorder="1" applyAlignment="1">
      <alignment/>
    </xf>
    <xf numFmtId="0" fontId="4" fillId="0" borderId="22" xfId="0" applyFont="1" applyBorder="1" applyAlignment="1">
      <alignment wrapText="1"/>
    </xf>
    <xf numFmtId="43" fontId="14" fillId="0" borderId="32" xfId="17" applyFont="1" applyBorder="1" applyAlignment="1">
      <alignment/>
    </xf>
    <xf numFmtId="43" fontId="4" fillId="0" borderId="48" xfId="0" applyNumberFormat="1" applyFont="1" applyBorder="1" applyAlignment="1">
      <alignment/>
    </xf>
    <xf numFmtId="0" fontId="16" fillId="0" borderId="52" xfId="0" applyFont="1" applyFill="1" applyBorder="1" applyAlignment="1">
      <alignment/>
    </xf>
    <xf numFmtId="176" fontId="16" fillId="0" borderId="9" xfId="0" applyNumberFormat="1" applyFont="1" applyFill="1" applyBorder="1" applyAlignment="1">
      <alignment/>
    </xf>
    <xf numFmtId="176" fontId="16" fillId="0" borderId="6" xfId="0" applyNumberFormat="1" applyFont="1" applyFill="1" applyBorder="1" applyAlignment="1">
      <alignment/>
    </xf>
    <xf numFmtId="176" fontId="16" fillId="0" borderId="22" xfId="0" applyNumberFormat="1" applyFont="1" applyFill="1" applyBorder="1" applyAlignment="1">
      <alignment/>
    </xf>
    <xf numFmtId="4" fontId="18" fillId="0" borderId="0" xfId="0" applyNumberFormat="1" applyFont="1" applyAlignment="1">
      <alignment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166" fontId="0" fillId="0" borderId="6" xfId="0" applyNumberFormat="1" applyFont="1" applyFill="1" applyBorder="1" applyAlignment="1" applyProtection="1">
      <alignment/>
      <protection locked="0"/>
    </xf>
    <xf numFmtId="166" fontId="0" fillId="0" borderId="6" xfId="17" applyNumberFormat="1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>
      <alignment horizontal="right"/>
    </xf>
    <xf numFmtId="4" fontId="4" fillId="0" borderId="6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4" fontId="4" fillId="0" borderId="22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9" fontId="0" fillId="0" borderId="0" xfId="22" applyFont="1" applyAlignment="1">
      <alignment/>
    </xf>
    <xf numFmtId="9" fontId="4" fillId="0" borderId="2" xfId="22" applyFont="1" applyBorder="1" applyAlignment="1">
      <alignment horizontal="center" wrapText="1"/>
    </xf>
    <xf numFmtId="9" fontId="4" fillId="0" borderId="2" xfId="22" applyFont="1" applyBorder="1" applyAlignment="1">
      <alignment wrapText="1"/>
    </xf>
    <xf numFmtId="9" fontId="4" fillId="0" borderId="2" xfId="22" applyFont="1" applyBorder="1" applyAlignment="1">
      <alignment horizontal="center" vertical="center" wrapText="1"/>
    </xf>
    <xf numFmtId="9" fontId="4" fillId="0" borderId="3" xfId="22" applyFont="1" applyBorder="1" applyAlignment="1">
      <alignment horizontal="center" vertical="center" wrapText="1"/>
    </xf>
    <xf numFmtId="9" fontId="0" fillId="0" borderId="16" xfId="22" applyFont="1" applyBorder="1" applyAlignment="1">
      <alignment horizontal="center"/>
    </xf>
    <xf numFmtId="9" fontId="0" fillId="0" borderId="16" xfId="22" applyFont="1" applyBorder="1" applyAlignment="1">
      <alignment/>
    </xf>
    <xf numFmtId="9" fontId="0" fillId="0" borderId="47" xfId="22" applyFont="1" applyBorder="1" applyAlignment="1">
      <alignment/>
    </xf>
    <xf numFmtId="9" fontId="0" fillId="0" borderId="30" xfId="22" applyFont="1" applyBorder="1" applyAlignment="1">
      <alignment/>
    </xf>
    <xf numFmtId="9" fontId="0" fillId="0" borderId="30" xfId="22" applyFont="1" applyBorder="1" applyAlignment="1">
      <alignment horizontal="center"/>
    </xf>
    <xf numFmtId="9" fontId="0" fillId="0" borderId="46" xfId="22" applyFont="1" applyBorder="1" applyAlignment="1">
      <alignment/>
    </xf>
    <xf numFmtId="9" fontId="0" fillId="0" borderId="6" xfId="22" applyFont="1" applyBorder="1" applyAlignment="1">
      <alignment/>
    </xf>
    <xf numFmtId="9" fontId="0" fillId="0" borderId="6" xfId="22" applyFont="1" applyBorder="1" applyAlignment="1">
      <alignment horizontal="center"/>
    </xf>
    <xf numFmtId="9" fontId="0" fillId="0" borderId="32" xfId="22" applyFont="1" applyBorder="1" applyAlignment="1">
      <alignment horizontal="center"/>
    </xf>
    <xf numFmtId="9" fontId="0" fillId="0" borderId="32" xfId="22" applyFont="1" applyBorder="1" applyAlignment="1">
      <alignment horizontal="right"/>
    </xf>
    <xf numFmtId="9" fontId="0" fillId="0" borderId="49" xfId="22" applyFont="1" applyBorder="1" applyAlignment="1">
      <alignment horizontal="right"/>
    </xf>
    <xf numFmtId="9" fontId="4" fillId="0" borderId="48" xfId="22" applyFont="1" applyBorder="1" applyAlignment="1">
      <alignment horizontal="center"/>
    </xf>
    <xf numFmtId="9" fontId="4" fillId="0" borderId="0" xfId="22" applyFont="1" applyBorder="1" applyAlignment="1">
      <alignment horizontal="center"/>
    </xf>
    <xf numFmtId="9" fontId="0" fillId="0" borderId="0" xfId="22" applyFont="1" applyBorder="1" applyAlignment="1">
      <alignment horizontal="center"/>
    </xf>
    <xf numFmtId="9" fontId="4" fillId="0" borderId="4" xfId="22" applyFont="1" applyBorder="1" applyAlignment="1">
      <alignment/>
    </xf>
    <xf numFmtId="9" fontId="0" fillId="0" borderId="4" xfId="22" applyFont="1" applyBorder="1" applyAlignment="1">
      <alignment/>
    </xf>
    <xf numFmtId="9" fontId="0" fillId="0" borderId="5" xfId="22" applyFont="1" applyBorder="1" applyAlignment="1">
      <alignment/>
    </xf>
    <xf numFmtId="9" fontId="4" fillId="0" borderId="49" xfId="22" applyFont="1" applyFill="1" applyBorder="1" applyAlignment="1">
      <alignment/>
    </xf>
    <xf numFmtId="9" fontId="0" fillId="0" borderId="0" xfId="22" applyFont="1" applyFill="1" applyAlignment="1">
      <alignment/>
    </xf>
    <xf numFmtId="9" fontId="4" fillId="0" borderId="2" xfId="22" applyFont="1" applyFill="1" applyBorder="1" applyAlignment="1">
      <alignment horizontal="center" vertical="center" wrapText="1"/>
    </xf>
    <xf numFmtId="9" fontId="4" fillId="0" borderId="3" xfId="22" applyFont="1" applyBorder="1" applyAlignment="1">
      <alignment horizontal="center"/>
    </xf>
    <xf numFmtId="9" fontId="0" fillId="0" borderId="33" xfId="22" applyFont="1" applyFill="1" applyBorder="1" applyAlignment="1">
      <alignment horizontal="center"/>
    </xf>
    <xf numFmtId="9" fontId="0" fillId="0" borderId="33" xfId="22" applyFont="1" applyBorder="1" applyAlignment="1">
      <alignment horizontal="center"/>
    </xf>
    <xf numFmtId="9" fontId="4" fillId="0" borderId="11" xfId="22" applyFont="1" applyBorder="1" applyAlignment="1">
      <alignment horizontal="center"/>
    </xf>
    <xf numFmtId="9" fontId="0" fillId="0" borderId="6" xfId="22" applyFont="1" applyFill="1" applyBorder="1" applyAlignment="1">
      <alignment horizontal="center"/>
    </xf>
    <xf numFmtId="9" fontId="0" fillId="0" borderId="22" xfId="22" applyFont="1" applyBorder="1" applyAlignment="1">
      <alignment horizontal="center"/>
    </xf>
    <xf numFmtId="9" fontId="0" fillId="0" borderId="32" xfId="22" applyFont="1" applyFill="1" applyBorder="1" applyAlignment="1">
      <alignment horizontal="center"/>
    </xf>
    <xf numFmtId="9" fontId="0" fillId="0" borderId="0" xfId="22" applyFont="1" applyFill="1" applyBorder="1" applyAlignment="1">
      <alignment horizontal="center"/>
    </xf>
    <xf numFmtId="9" fontId="0" fillId="0" borderId="48" xfId="22" applyFont="1" applyBorder="1" applyAlignment="1">
      <alignment horizontal="center"/>
    </xf>
    <xf numFmtId="9" fontId="0" fillId="0" borderId="11" xfId="22" applyFont="1" applyBorder="1" applyAlignment="1">
      <alignment horizontal="center"/>
    </xf>
    <xf numFmtId="9" fontId="4" fillId="0" borderId="30" xfId="22" applyFont="1" applyFill="1" applyBorder="1" applyAlignment="1">
      <alignment horizontal="center" vertical="center" wrapText="1"/>
    </xf>
    <xf numFmtId="9" fontId="4" fillId="0" borderId="30" xfId="22" applyFont="1" applyBorder="1" applyAlignment="1">
      <alignment horizontal="center" vertical="center" wrapText="1"/>
    </xf>
    <xf numFmtId="9" fontId="4" fillId="0" borderId="46" xfId="22" applyFont="1" applyBorder="1" applyAlignment="1">
      <alignment horizontal="center"/>
    </xf>
    <xf numFmtId="9" fontId="4" fillId="0" borderId="6" xfId="22" applyFont="1" applyFill="1" applyBorder="1" applyAlignment="1">
      <alignment horizontal="center" vertical="center" wrapText="1"/>
    </xf>
    <xf numFmtId="9" fontId="4" fillId="0" borderId="6" xfId="22" applyFont="1" applyBorder="1" applyAlignment="1">
      <alignment horizontal="center" vertical="center" wrapText="1"/>
    </xf>
    <xf numFmtId="9" fontId="4" fillId="0" borderId="6" xfId="22" applyFont="1" applyBorder="1" applyAlignment="1">
      <alignment horizontal="center"/>
    </xf>
    <xf numFmtId="9" fontId="4" fillId="0" borderId="22" xfId="22" applyFont="1" applyBorder="1" applyAlignment="1">
      <alignment horizontal="center"/>
    </xf>
    <xf numFmtId="9" fontId="18" fillId="0" borderId="2" xfId="22" applyFont="1" applyBorder="1" applyAlignment="1">
      <alignment horizontal="center" vertical="center" wrapText="1"/>
    </xf>
    <xf numFmtId="9" fontId="18" fillId="0" borderId="3" xfId="22" applyFont="1" applyBorder="1" applyAlignment="1">
      <alignment horizontal="center"/>
    </xf>
    <xf numFmtId="9" fontId="16" fillId="0" borderId="0" xfId="22" applyFont="1" applyAlignment="1">
      <alignment/>
    </xf>
    <xf numFmtId="9" fontId="0" fillId="0" borderId="0" xfId="22" applyAlignment="1">
      <alignment/>
    </xf>
    <xf numFmtId="9" fontId="16" fillId="0" borderId="33" xfId="22" applyFont="1" applyBorder="1" applyAlignment="1">
      <alignment horizontal="center"/>
    </xf>
    <xf numFmtId="9" fontId="16" fillId="0" borderId="11" xfId="22" applyFont="1" applyBorder="1" applyAlignment="1">
      <alignment horizontal="center"/>
    </xf>
    <xf numFmtId="9" fontId="16" fillId="0" borderId="6" xfId="22" applyFont="1" applyBorder="1" applyAlignment="1">
      <alignment horizontal="center"/>
    </xf>
    <xf numFmtId="9" fontId="16" fillId="0" borderId="22" xfId="22" applyFont="1" applyBorder="1" applyAlignment="1">
      <alignment horizontal="center"/>
    </xf>
    <xf numFmtId="9" fontId="16" fillId="0" borderId="32" xfId="22" applyFont="1" applyBorder="1" applyAlignment="1">
      <alignment horizontal="center"/>
    </xf>
    <xf numFmtId="9" fontId="16" fillId="0" borderId="48" xfId="22" applyFont="1" applyBorder="1" applyAlignment="1">
      <alignment horizontal="center"/>
    </xf>
    <xf numFmtId="179" fontId="0" fillId="0" borderId="30" xfId="17" applyNumberFormat="1" applyFont="1" applyBorder="1" applyAlignment="1">
      <alignment/>
    </xf>
    <xf numFmtId="179" fontId="0" fillId="0" borderId="6" xfId="17" applyNumberFormat="1" applyFont="1" applyBorder="1" applyAlignment="1">
      <alignment/>
    </xf>
    <xf numFmtId="180" fontId="0" fillId="0" borderId="30" xfId="17" applyNumberFormat="1" applyFont="1" applyBorder="1" applyAlignment="1">
      <alignment/>
    </xf>
    <xf numFmtId="180" fontId="0" fillId="0" borderId="6" xfId="17" applyNumberFormat="1" applyFont="1" applyBorder="1" applyAlignment="1">
      <alignment/>
    </xf>
    <xf numFmtId="180" fontId="0" fillId="0" borderId="32" xfId="17" applyNumberFormat="1" applyFont="1" applyBorder="1" applyAlignment="1">
      <alignment/>
    </xf>
    <xf numFmtId="180" fontId="0" fillId="0" borderId="54" xfId="17" applyNumberFormat="1" applyFont="1" applyBorder="1" applyAlignment="1">
      <alignment/>
    </xf>
    <xf numFmtId="179" fontId="0" fillId="0" borderId="49" xfId="17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5" fillId="0" borderId="36" xfId="0" applyFont="1" applyFill="1" applyBorder="1" applyAlignment="1">
      <alignment horizontal="right"/>
    </xf>
    <xf numFmtId="4" fontId="0" fillId="3" borderId="6" xfId="0" applyNumberFormat="1" applyFont="1" applyFill="1" applyBorder="1" applyAlignment="1">
      <alignment horizontal="right"/>
    </xf>
    <xf numFmtId="4" fontId="0" fillId="3" borderId="11" xfId="0" applyNumberFormat="1" applyFont="1" applyFill="1" applyBorder="1" applyAlignment="1">
      <alignment horizontal="right"/>
    </xf>
    <xf numFmtId="4" fontId="0" fillId="3" borderId="10" xfId="0" applyNumberFormat="1" applyFont="1" applyFill="1" applyBorder="1" applyAlignment="1">
      <alignment horizontal="right"/>
    </xf>
    <xf numFmtId="4" fontId="0" fillId="3" borderId="55" xfId="0" applyNumberFormat="1" applyFont="1" applyFill="1" applyBorder="1" applyAlignment="1">
      <alignment horizontal="right"/>
    </xf>
    <xf numFmtId="4" fontId="0" fillId="3" borderId="0" xfId="0" applyNumberFormat="1" applyFont="1" applyFill="1" applyBorder="1" applyAlignment="1">
      <alignment horizontal="right"/>
    </xf>
    <xf numFmtId="4" fontId="0" fillId="3" borderId="27" xfId="0" applyNumberFormat="1" applyFont="1" applyFill="1" applyBorder="1" applyAlignment="1">
      <alignment horizontal="right"/>
    </xf>
    <xf numFmtId="4" fontId="0" fillId="3" borderId="56" xfId="0" applyNumberFormat="1" applyFont="1" applyFill="1" applyBorder="1" applyAlignment="1">
      <alignment horizontal="right"/>
    </xf>
    <xf numFmtId="43" fontId="18" fillId="0" borderId="0" xfId="17" applyFont="1" applyBorder="1" applyAlignment="1">
      <alignment horizontal="center"/>
    </xf>
    <xf numFmtId="0" fontId="0" fillId="0" borderId="17" xfId="0" applyFill="1" applyBorder="1" applyAlignment="1">
      <alignment/>
    </xf>
    <xf numFmtId="43" fontId="0" fillId="0" borderId="30" xfId="17" applyFont="1" applyBorder="1" applyAlignment="1">
      <alignment horizontal="center"/>
    </xf>
    <xf numFmtId="43" fontId="0" fillId="0" borderId="6" xfId="17" applyFont="1" applyBorder="1" applyAlignment="1">
      <alignment horizontal="center"/>
    </xf>
    <xf numFmtId="43" fontId="0" fillId="0" borderId="32" xfId="17" applyFont="1" applyBorder="1" applyAlignment="1">
      <alignment horizontal="center"/>
    </xf>
    <xf numFmtId="43" fontId="0" fillId="0" borderId="49" xfId="17" applyFont="1" applyBorder="1" applyAlignment="1">
      <alignment horizontal="center"/>
    </xf>
    <xf numFmtId="43" fontId="0" fillId="0" borderId="16" xfId="17" applyFont="1" applyBorder="1" applyAlignment="1">
      <alignment horizontal="center"/>
    </xf>
    <xf numFmtId="43" fontId="0" fillId="0" borderId="6" xfId="17" applyFont="1" applyBorder="1" applyAlignment="1">
      <alignment horizontal="right"/>
    </xf>
    <xf numFmtId="43" fontId="4" fillId="0" borderId="0" xfId="17" applyFont="1" applyBorder="1" applyAlignment="1">
      <alignment horizontal="center"/>
    </xf>
    <xf numFmtId="43" fontId="0" fillId="0" borderId="4" xfId="17" applyFont="1" applyBorder="1" applyAlignment="1">
      <alignment/>
    </xf>
    <xf numFmtId="43" fontId="4" fillId="0" borderId="42" xfId="17" applyFont="1" applyBorder="1" applyAlignment="1">
      <alignment/>
    </xf>
    <xf numFmtId="43" fontId="0" fillId="0" borderId="0" xfId="22" applyNumberFormat="1" applyFont="1" applyFill="1" applyAlignment="1">
      <alignment/>
    </xf>
    <xf numFmtId="0" fontId="5" fillId="0" borderId="40" xfId="0" applyFont="1" applyFill="1" applyBorder="1" applyAlignment="1">
      <alignment horizontal="right"/>
    </xf>
    <xf numFmtId="0" fontId="5" fillId="0" borderId="57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right"/>
    </xf>
    <xf numFmtId="0" fontId="4" fillId="0" borderId="40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5" fillId="0" borderId="40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left" vertical="top" wrapText="1"/>
    </xf>
    <xf numFmtId="0" fontId="5" fillId="0" borderId="58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right"/>
    </xf>
    <xf numFmtId="0" fontId="5" fillId="0" borderId="40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" fillId="0" borderId="4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31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right"/>
    </xf>
    <xf numFmtId="0" fontId="0" fillId="0" borderId="45" xfId="0" applyBorder="1" applyAlignment="1">
      <alignment/>
    </xf>
    <xf numFmtId="0" fontId="0" fillId="0" borderId="39" xfId="0" applyBorder="1" applyAlignment="1">
      <alignment/>
    </xf>
    <xf numFmtId="0" fontId="4" fillId="0" borderId="40" xfId="0" applyFont="1" applyFill="1" applyBorder="1" applyAlignment="1">
      <alignment horizontal="right"/>
    </xf>
    <xf numFmtId="0" fontId="0" fillId="0" borderId="57" xfId="0" applyBorder="1" applyAlignment="1">
      <alignment/>
    </xf>
    <xf numFmtId="0" fontId="0" fillId="0" borderId="24" xfId="0" applyBorder="1" applyAlignment="1">
      <alignment/>
    </xf>
    <xf numFmtId="0" fontId="4" fillId="0" borderId="59" xfId="0" applyFont="1" applyFill="1" applyBorder="1" applyAlignment="1">
      <alignment horizontal="right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4" fillId="0" borderId="40" xfId="0" applyFont="1" applyBorder="1" applyAlignment="1">
      <alignment horizontal="right"/>
    </xf>
    <xf numFmtId="0" fontId="4" fillId="0" borderId="57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30" xfId="0" applyFont="1" applyFill="1" applyBorder="1" applyAlignment="1">
      <alignment horizontal="left" vertical="top" wrapText="1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18" fillId="0" borderId="63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wrapText="1"/>
    </xf>
    <xf numFmtId="0" fontId="18" fillId="2" borderId="40" xfId="0" applyFont="1" applyFill="1" applyBorder="1" applyAlignment="1">
      <alignment horizontal="center" vertical="center"/>
    </xf>
    <xf numFmtId="0" fontId="18" fillId="2" borderId="57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18" fillId="2" borderId="45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 wrapText="1"/>
    </xf>
    <xf numFmtId="0" fontId="18" fillId="0" borderId="47" xfId="0" applyFont="1" applyFill="1" applyBorder="1" applyAlignment="1">
      <alignment horizontal="center" wrapText="1"/>
    </xf>
    <xf numFmtId="0" fontId="18" fillId="0" borderId="40" xfId="0" applyFont="1" applyFill="1" applyBorder="1" applyAlignment="1">
      <alignment horizontal="right"/>
    </xf>
    <xf numFmtId="0" fontId="18" fillId="0" borderId="57" xfId="0" applyFont="1" applyFill="1" applyBorder="1" applyAlignment="1">
      <alignment horizontal="right"/>
    </xf>
    <xf numFmtId="0" fontId="18" fillId="0" borderId="24" xfId="0" applyFont="1" applyFill="1" applyBorder="1" applyAlignment="1">
      <alignment horizontal="right"/>
    </xf>
    <xf numFmtId="0" fontId="18" fillId="0" borderId="35" xfId="0" applyFont="1" applyFill="1" applyBorder="1" applyAlignment="1">
      <alignment horizontal="center" wrapText="1"/>
    </xf>
    <xf numFmtId="0" fontId="18" fillId="0" borderId="26" xfId="0" applyFont="1" applyFill="1" applyBorder="1" applyAlignment="1">
      <alignment horizontal="center" wrapText="1"/>
    </xf>
    <xf numFmtId="0" fontId="18" fillId="0" borderId="36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40" xfId="0" applyFont="1" applyBorder="1" applyAlignment="1">
      <alignment horizontal="left" vertical="top"/>
    </xf>
    <xf numFmtId="0" fontId="18" fillId="0" borderId="57" xfId="0" applyFont="1" applyBorder="1" applyAlignment="1">
      <alignment horizontal="left" vertical="top"/>
    </xf>
    <xf numFmtId="0" fontId="18" fillId="0" borderId="40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8" fillId="0" borderId="24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EDULAS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yovi\Mis%20documentos\Documentos%20Laury%202005\Diplomado\analisis%20financiero\Copia%20de%20FLUJO%20CAJA%20NORM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RSIÓN"/>
      <sheetName val="activos intangibles listo"/>
      <sheetName val="CTRABAJO"/>
      <sheetName val="C. A. FIJOS listo"/>
      <sheetName val="C. C.PROD"/>
      <sheetName val="DEPRECIACIONES"/>
      <sheetName val="ANEXODEPRECIACION"/>
      <sheetName val="VENTAS"/>
      <sheetName val="FLUJOEFECTIVO"/>
      <sheetName val="Recuperaciòn Inversiòn"/>
    </sheetNames>
    <sheetDataSet>
      <sheetData sheetId="1">
        <row r="11">
          <cell r="G11">
            <v>3000</v>
          </cell>
        </row>
        <row r="17">
          <cell r="G17">
            <v>4640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44">
      <selection activeCell="G20" sqref="G20"/>
    </sheetView>
  </sheetViews>
  <sheetFormatPr defaultColWidth="11.421875" defaultRowHeight="12.75"/>
  <cols>
    <col min="1" max="1" width="8.421875" style="0" customWidth="1"/>
    <col min="2" max="2" width="23.7109375" style="0" customWidth="1"/>
    <col min="3" max="3" width="12.57421875" style="0" customWidth="1"/>
    <col min="5" max="5" width="10.00390625" style="0" customWidth="1"/>
    <col min="7" max="7" width="12.8515625" style="0" bestFit="1" customWidth="1"/>
  </cols>
  <sheetData>
    <row r="1" spans="1:11" ht="12.75">
      <c r="A1" s="506" t="s">
        <v>234</v>
      </c>
      <c r="B1" s="506"/>
      <c r="C1" s="506"/>
      <c r="D1" s="506"/>
      <c r="E1" s="506"/>
      <c r="F1" s="506"/>
      <c r="G1" s="506"/>
      <c r="H1" s="470"/>
      <c r="I1" s="470"/>
      <c r="J1" s="470"/>
      <c r="K1" s="470"/>
    </row>
    <row r="2" spans="1:11" ht="12.75" customHeight="1">
      <c r="A2" s="507" t="s">
        <v>235</v>
      </c>
      <c r="B2" s="507"/>
      <c r="C2" s="507"/>
      <c r="D2" s="507"/>
      <c r="E2" s="507"/>
      <c r="F2" s="507"/>
      <c r="G2" s="507"/>
      <c r="H2" s="470"/>
      <c r="I2" s="470"/>
      <c r="J2" s="470"/>
      <c r="K2" s="470"/>
    </row>
    <row r="3" ht="12.75" customHeight="1"/>
    <row r="4" ht="9.75" customHeight="1"/>
    <row r="5" ht="13.5" thickBot="1"/>
    <row r="6" spans="1:7" s="1" customFormat="1" ht="15.75" customHeight="1" thickBot="1">
      <c r="A6" s="508" t="s">
        <v>0</v>
      </c>
      <c r="B6" s="509"/>
      <c r="C6" s="509"/>
      <c r="D6" s="509"/>
      <c r="E6" s="509"/>
      <c r="F6" s="509"/>
      <c r="G6" s="510"/>
    </row>
    <row r="7" spans="1:7" s="1" customFormat="1" ht="15.75" customHeight="1" thickBot="1">
      <c r="A7" s="2"/>
      <c r="B7" s="2"/>
      <c r="C7" s="2"/>
      <c r="D7" s="2"/>
      <c r="E7" s="2"/>
      <c r="F7" s="2"/>
      <c r="G7" s="2"/>
    </row>
    <row r="8" spans="1:7" s="1" customFormat="1" ht="39" thickBot="1">
      <c r="A8" s="3" t="s">
        <v>1</v>
      </c>
      <c r="B8" s="4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6" t="s">
        <v>7</v>
      </c>
    </row>
    <row r="9" spans="1:7" s="9" customFormat="1" ht="13.5" thickBot="1">
      <c r="A9" s="495" t="s">
        <v>8</v>
      </c>
      <c r="B9" s="496"/>
      <c r="C9" s="7"/>
      <c r="D9" s="7"/>
      <c r="E9" s="7"/>
      <c r="F9" s="7"/>
      <c r="G9" s="8"/>
    </row>
    <row r="10" spans="1:7" s="9" customFormat="1" ht="12">
      <c r="A10" s="501" t="s">
        <v>9</v>
      </c>
      <c r="B10" s="502"/>
      <c r="C10" s="10"/>
      <c r="D10" s="10"/>
      <c r="E10" s="10"/>
      <c r="F10" s="10"/>
      <c r="G10" s="11"/>
    </row>
    <row r="11" spans="1:7" s="9" customFormat="1" ht="12.75">
      <c r="A11" s="12">
        <v>1</v>
      </c>
      <c r="B11" s="13" t="s">
        <v>10</v>
      </c>
      <c r="C11" s="13" t="s">
        <v>11</v>
      </c>
      <c r="D11" s="14">
        <v>0.05</v>
      </c>
      <c r="E11" s="15">
        <v>150</v>
      </c>
      <c r="F11" s="15">
        <v>50</v>
      </c>
      <c r="G11" s="16">
        <f>+F11*E11</f>
        <v>7500</v>
      </c>
    </row>
    <row r="12" spans="1:7" s="9" customFormat="1" ht="12.75">
      <c r="A12" s="12">
        <v>2</v>
      </c>
      <c r="B12" s="13" t="s">
        <v>12</v>
      </c>
      <c r="C12" s="13" t="s">
        <v>13</v>
      </c>
      <c r="D12" s="14">
        <v>0.05</v>
      </c>
      <c r="E12" s="15">
        <v>24</v>
      </c>
      <c r="F12" s="15">
        <v>200</v>
      </c>
      <c r="G12" s="16">
        <f aca="true" t="shared" si="0" ref="G12:G23">+F12*E12</f>
        <v>4800</v>
      </c>
    </row>
    <row r="13" spans="1:7" s="9" customFormat="1" ht="12.75">
      <c r="A13" s="12">
        <v>3</v>
      </c>
      <c r="B13" s="13" t="s">
        <v>14</v>
      </c>
      <c r="C13" s="13" t="s">
        <v>13</v>
      </c>
      <c r="D13" s="14">
        <v>0.05</v>
      </c>
      <c r="E13" s="15">
        <v>368</v>
      </c>
      <c r="F13" s="15">
        <v>140</v>
      </c>
      <c r="G13" s="16">
        <f t="shared" si="0"/>
        <v>51520</v>
      </c>
    </row>
    <row r="14" spans="1:7" s="9" customFormat="1" ht="12.75">
      <c r="A14" s="12">
        <v>4</v>
      </c>
      <c r="B14" s="13" t="s">
        <v>15</v>
      </c>
      <c r="C14" s="13" t="s">
        <v>13</v>
      </c>
      <c r="D14" s="14">
        <v>0.05</v>
      </c>
      <c r="E14" s="15">
        <v>20</v>
      </c>
      <c r="F14" s="15">
        <v>200</v>
      </c>
      <c r="G14" s="16">
        <f t="shared" si="0"/>
        <v>4000</v>
      </c>
    </row>
    <row r="15" spans="1:7" s="9" customFormat="1" ht="12.75">
      <c r="A15" s="12">
        <v>5</v>
      </c>
      <c r="B15" s="13" t="s">
        <v>16</v>
      </c>
      <c r="C15" s="13" t="s">
        <v>13</v>
      </c>
      <c r="D15" s="14">
        <v>0.05</v>
      </c>
      <c r="E15" s="15">
        <v>96</v>
      </c>
      <c r="F15" s="15">
        <v>140</v>
      </c>
      <c r="G15" s="16">
        <f t="shared" si="0"/>
        <v>13440</v>
      </c>
    </row>
    <row r="16" spans="1:7" s="9" customFormat="1" ht="12.75">
      <c r="A16" s="12">
        <v>6</v>
      </c>
      <c r="B16" s="13" t="s">
        <v>17</v>
      </c>
      <c r="C16" s="13" t="s">
        <v>13</v>
      </c>
      <c r="D16" s="14">
        <v>0.05</v>
      </c>
      <c r="E16" s="15">
        <v>9</v>
      </c>
      <c r="F16" s="15">
        <v>50</v>
      </c>
      <c r="G16" s="16">
        <f t="shared" si="0"/>
        <v>450</v>
      </c>
    </row>
    <row r="17" spans="1:7" s="9" customFormat="1" ht="12.75">
      <c r="A17" s="12">
        <v>7</v>
      </c>
      <c r="B17" s="13" t="s">
        <v>18</v>
      </c>
      <c r="C17" s="13" t="s">
        <v>18</v>
      </c>
      <c r="D17" s="14">
        <v>0.05</v>
      </c>
      <c r="E17" s="15">
        <v>2</v>
      </c>
      <c r="F17" s="15">
        <v>2520</v>
      </c>
      <c r="G17" s="16">
        <f t="shared" si="0"/>
        <v>5040</v>
      </c>
    </row>
    <row r="18" spans="1:7" s="9" customFormat="1" ht="12.75">
      <c r="A18" s="12">
        <v>8</v>
      </c>
      <c r="B18" s="13" t="s">
        <v>19</v>
      </c>
      <c r="C18" s="13" t="s">
        <v>20</v>
      </c>
      <c r="D18" s="14">
        <v>0.05</v>
      </c>
      <c r="E18" s="15">
        <v>8</v>
      </c>
      <c r="F18" s="15">
        <v>192.64</v>
      </c>
      <c r="G18" s="16">
        <f t="shared" si="0"/>
        <v>1541.12</v>
      </c>
    </row>
    <row r="19" spans="1:7" s="9" customFormat="1" ht="12.75">
      <c r="A19" s="12">
        <v>9</v>
      </c>
      <c r="B19" s="13" t="s">
        <v>21</v>
      </c>
      <c r="C19" s="13" t="s">
        <v>11</v>
      </c>
      <c r="D19" s="14">
        <v>0.05</v>
      </c>
      <c r="E19" s="15">
        <v>500</v>
      </c>
      <c r="F19" s="15">
        <v>1.4</v>
      </c>
      <c r="G19" s="16">
        <f t="shared" si="0"/>
        <v>700</v>
      </c>
    </row>
    <row r="20" spans="1:7" s="9" customFormat="1" ht="12.75">
      <c r="A20" s="12">
        <v>10</v>
      </c>
      <c r="B20" s="13" t="s">
        <v>22</v>
      </c>
      <c r="C20" s="13" t="s">
        <v>23</v>
      </c>
      <c r="D20" s="14">
        <v>0.05</v>
      </c>
      <c r="E20" s="15">
        <v>1</v>
      </c>
      <c r="F20" s="15">
        <v>6438.88</v>
      </c>
      <c r="G20" s="16">
        <f t="shared" si="0"/>
        <v>6438.88</v>
      </c>
    </row>
    <row r="21" spans="1:7" s="9" customFormat="1" ht="12.75">
      <c r="A21" s="12">
        <v>11</v>
      </c>
      <c r="B21" s="13" t="s">
        <v>24</v>
      </c>
      <c r="C21" s="13" t="s">
        <v>24</v>
      </c>
      <c r="D21" s="14">
        <v>0.05</v>
      </c>
      <c r="E21" s="15">
        <v>1</v>
      </c>
      <c r="F21" s="15">
        <v>280</v>
      </c>
      <c r="G21" s="16">
        <f t="shared" si="0"/>
        <v>280</v>
      </c>
    </row>
    <row r="22" spans="1:7" s="9" customFormat="1" ht="12.75">
      <c r="A22" s="12">
        <v>12</v>
      </c>
      <c r="B22" s="13" t="s">
        <v>25</v>
      </c>
      <c r="C22" s="13" t="s">
        <v>23</v>
      </c>
      <c r="D22" s="14">
        <v>0.05</v>
      </c>
      <c r="E22" s="15">
        <v>1</v>
      </c>
      <c r="F22" s="15">
        <v>2800</v>
      </c>
      <c r="G22" s="16">
        <f t="shared" si="0"/>
        <v>2800</v>
      </c>
    </row>
    <row r="23" spans="1:7" s="9" customFormat="1" ht="12.75">
      <c r="A23" s="12">
        <v>13</v>
      </c>
      <c r="B23" s="13" t="s">
        <v>26</v>
      </c>
      <c r="C23" s="13" t="s">
        <v>23</v>
      </c>
      <c r="D23" s="14"/>
      <c r="E23" s="15">
        <v>1</v>
      </c>
      <c r="F23" s="15">
        <v>16616</v>
      </c>
      <c r="G23" s="16">
        <f t="shared" si="0"/>
        <v>16616</v>
      </c>
    </row>
    <row r="24" spans="1:7" s="9" customFormat="1" ht="12.75">
      <c r="A24" s="12">
        <v>13</v>
      </c>
      <c r="B24" s="13" t="s">
        <v>250</v>
      </c>
      <c r="C24" s="13" t="s">
        <v>251</v>
      </c>
      <c r="D24" s="14">
        <v>0.02</v>
      </c>
      <c r="E24" s="15">
        <v>21</v>
      </c>
      <c r="F24" s="15">
        <f>150*8</f>
        <v>1200</v>
      </c>
      <c r="G24" s="15">
        <f>+F24*E24</f>
        <v>25200</v>
      </c>
    </row>
    <row r="25" spans="1:7" s="9" customFormat="1" ht="12.75">
      <c r="A25" s="12">
        <v>13</v>
      </c>
      <c r="B25" s="13" t="s">
        <v>252</v>
      </c>
      <c r="C25" s="13" t="s">
        <v>251</v>
      </c>
      <c r="D25" s="14">
        <v>0.02</v>
      </c>
      <c r="E25" s="15">
        <v>27</v>
      </c>
      <c r="F25" s="15">
        <v>133</v>
      </c>
      <c r="G25" s="15">
        <f>+F25*E25</f>
        <v>3591</v>
      </c>
    </row>
    <row r="26" spans="1:7" s="9" customFormat="1" ht="12">
      <c r="A26" s="503" t="s">
        <v>27</v>
      </c>
      <c r="B26" s="503"/>
      <c r="C26" s="503"/>
      <c r="D26" s="503"/>
      <c r="E26" s="503"/>
      <c r="F26" s="503"/>
      <c r="G26" s="17">
        <f>SUM(G11:G25)</f>
        <v>143917</v>
      </c>
    </row>
    <row r="27" s="9" customFormat="1" ht="12.75" thickBot="1">
      <c r="G27" s="18"/>
    </row>
    <row r="28" spans="1:7" s="9" customFormat="1" ht="12.75" thickBot="1">
      <c r="A28" s="504" t="s">
        <v>28</v>
      </c>
      <c r="B28" s="505"/>
      <c r="C28" s="7"/>
      <c r="D28" s="7"/>
      <c r="E28" s="7"/>
      <c r="F28" s="7"/>
      <c r="G28" s="8"/>
    </row>
    <row r="29" spans="1:7" s="9" customFormat="1" ht="12.75">
      <c r="A29" s="19">
        <v>1</v>
      </c>
      <c r="B29" s="20" t="s">
        <v>29</v>
      </c>
      <c r="C29" s="13" t="s">
        <v>30</v>
      </c>
      <c r="D29" s="21">
        <v>0.1</v>
      </c>
      <c r="E29" s="22">
        <v>1</v>
      </c>
      <c r="F29" s="22">
        <v>3024</v>
      </c>
      <c r="G29" s="23">
        <f>SUM(E29*F29)</f>
        <v>3024</v>
      </c>
    </row>
    <row r="30" spans="1:7" s="9" customFormat="1" ht="12.75">
      <c r="A30" s="24">
        <v>2</v>
      </c>
      <c r="B30" s="20" t="s">
        <v>31</v>
      </c>
      <c r="C30" s="13" t="s">
        <v>32</v>
      </c>
      <c r="D30" s="25">
        <v>0.1</v>
      </c>
      <c r="E30" s="22">
        <v>1</v>
      </c>
      <c r="F30" s="22">
        <v>8400</v>
      </c>
      <c r="G30" s="23">
        <f aca="true" t="shared" si="1" ref="G30:G35">SUM(E30*F30)</f>
        <v>8400</v>
      </c>
    </row>
    <row r="31" spans="1:7" s="9" customFormat="1" ht="12.75">
      <c r="A31" s="19">
        <v>3</v>
      </c>
      <c r="B31" s="20" t="s">
        <v>29</v>
      </c>
      <c r="C31" s="13" t="s">
        <v>30</v>
      </c>
      <c r="D31" s="25">
        <v>0.1</v>
      </c>
      <c r="E31" s="22">
        <v>1</v>
      </c>
      <c r="F31" s="22">
        <v>3024</v>
      </c>
      <c r="G31" s="23">
        <f t="shared" si="1"/>
        <v>3024</v>
      </c>
    </row>
    <row r="32" spans="1:7" s="9" customFormat="1" ht="12.75">
      <c r="A32" s="19">
        <v>4</v>
      </c>
      <c r="B32" s="20" t="s">
        <v>33</v>
      </c>
      <c r="C32" s="13" t="s">
        <v>34</v>
      </c>
      <c r="D32" s="21">
        <v>0.1</v>
      </c>
      <c r="E32" s="22">
        <v>1</v>
      </c>
      <c r="F32" s="22">
        <v>2352</v>
      </c>
      <c r="G32" s="23">
        <f t="shared" si="1"/>
        <v>2352</v>
      </c>
    </row>
    <row r="33" spans="1:7" s="9" customFormat="1" ht="12.75">
      <c r="A33" s="24">
        <v>5</v>
      </c>
      <c r="B33" s="20" t="s">
        <v>35</v>
      </c>
      <c r="C33" s="13" t="s">
        <v>36</v>
      </c>
      <c r="D33" s="25">
        <v>0.1</v>
      </c>
      <c r="E33" s="22">
        <v>1</v>
      </c>
      <c r="F33" s="22">
        <v>1680</v>
      </c>
      <c r="G33" s="23">
        <f t="shared" si="1"/>
        <v>1680</v>
      </c>
    </row>
    <row r="34" spans="1:7" s="9" customFormat="1" ht="12.75">
      <c r="A34" s="19">
        <v>6</v>
      </c>
      <c r="B34" s="20" t="s">
        <v>37</v>
      </c>
      <c r="C34" s="13" t="s">
        <v>38</v>
      </c>
      <c r="D34" s="25">
        <v>0.1</v>
      </c>
      <c r="E34" s="22">
        <v>1</v>
      </c>
      <c r="F34" s="22">
        <v>2685.76</v>
      </c>
      <c r="G34" s="23">
        <f t="shared" si="1"/>
        <v>2685.76</v>
      </c>
    </row>
    <row r="35" spans="1:7" s="9" customFormat="1" ht="12.75">
      <c r="A35" s="19">
        <v>7</v>
      </c>
      <c r="B35" s="20" t="s">
        <v>35</v>
      </c>
      <c r="C35" s="13" t="s">
        <v>36</v>
      </c>
      <c r="D35" s="21">
        <v>0.1</v>
      </c>
      <c r="E35" s="22">
        <v>1</v>
      </c>
      <c r="F35" s="22">
        <v>1680</v>
      </c>
      <c r="G35" s="23">
        <f t="shared" si="1"/>
        <v>1680</v>
      </c>
    </row>
    <row r="36" spans="1:7" s="9" customFormat="1" ht="12.75">
      <c r="A36" s="24">
        <v>8</v>
      </c>
      <c r="B36" s="20" t="s">
        <v>39</v>
      </c>
      <c r="C36" s="13" t="s">
        <v>40</v>
      </c>
      <c r="D36" s="25">
        <v>0.1</v>
      </c>
      <c r="E36" s="22">
        <v>1</v>
      </c>
      <c r="F36" s="22">
        <v>9576</v>
      </c>
      <c r="G36" s="23">
        <f>SUM(E36*F36)</f>
        <v>9576</v>
      </c>
    </row>
    <row r="37" spans="1:7" s="9" customFormat="1" ht="12.75">
      <c r="A37" s="19">
        <v>9</v>
      </c>
      <c r="B37" s="20" t="s">
        <v>35</v>
      </c>
      <c r="C37" s="13" t="s">
        <v>36</v>
      </c>
      <c r="D37" s="25">
        <v>0.1</v>
      </c>
      <c r="E37" s="22">
        <v>1</v>
      </c>
      <c r="F37" s="22">
        <v>1680</v>
      </c>
      <c r="G37" s="26">
        <f aca="true" t="shared" si="2" ref="G37:G47">+F37*E37</f>
        <v>1680</v>
      </c>
    </row>
    <row r="38" spans="1:7" s="9" customFormat="1" ht="12.75">
      <c r="A38" s="19">
        <v>10</v>
      </c>
      <c r="B38" s="20" t="s">
        <v>41</v>
      </c>
      <c r="C38" s="13" t="s">
        <v>42</v>
      </c>
      <c r="D38" s="21">
        <v>0.1</v>
      </c>
      <c r="E38" s="22">
        <v>1</v>
      </c>
      <c r="F38" s="22">
        <v>1797.6</v>
      </c>
      <c r="G38" s="26">
        <f t="shared" si="2"/>
        <v>1797.6</v>
      </c>
    </row>
    <row r="39" spans="1:7" s="9" customFormat="1" ht="12.75">
      <c r="A39" s="24">
        <v>11</v>
      </c>
      <c r="B39" s="20" t="s">
        <v>35</v>
      </c>
      <c r="C39" s="13" t="s">
        <v>36</v>
      </c>
      <c r="D39" s="25">
        <v>0.1</v>
      </c>
      <c r="E39" s="22">
        <v>1</v>
      </c>
      <c r="F39" s="22">
        <v>1680</v>
      </c>
      <c r="G39" s="26">
        <f t="shared" si="2"/>
        <v>1680</v>
      </c>
    </row>
    <row r="40" spans="1:7" s="9" customFormat="1" ht="12.75">
      <c r="A40" s="19">
        <v>12</v>
      </c>
      <c r="B40" s="20" t="s">
        <v>43</v>
      </c>
      <c r="C40" s="13" t="s">
        <v>44</v>
      </c>
      <c r="D40" s="25">
        <v>0.1</v>
      </c>
      <c r="E40" s="22">
        <v>1</v>
      </c>
      <c r="F40" s="22">
        <v>1680</v>
      </c>
      <c r="G40" s="26">
        <f t="shared" si="2"/>
        <v>1680</v>
      </c>
    </row>
    <row r="41" spans="1:7" s="9" customFormat="1" ht="12.75">
      <c r="A41" s="19">
        <v>13</v>
      </c>
      <c r="B41" s="20" t="s">
        <v>35</v>
      </c>
      <c r="C41" s="13" t="s">
        <v>36</v>
      </c>
      <c r="D41" s="21">
        <v>0.1</v>
      </c>
      <c r="E41" s="22">
        <v>1</v>
      </c>
      <c r="F41" s="22">
        <v>1680</v>
      </c>
      <c r="G41" s="26">
        <f t="shared" si="2"/>
        <v>1680</v>
      </c>
    </row>
    <row r="42" spans="1:7" s="9" customFormat="1" ht="12.75">
      <c r="A42" s="24">
        <v>14</v>
      </c>
      <c r="B42" s="20" t="s">
        <v>45</v>
      </c>
      <c r="C42" s="13" t="s">
        <v>46</v>
      </c>
      <c r="D42" s="25">
        <v>0.1</v>
      </c>
      <c r="E42" s="22">
        <v>1</v>
      </c>
      <c r="F42" s="22">
        <v>2408</v>
      </c>
      <c r="G42" s="26">
        <f t="shared" si="2"/>
        <v>2408</v>
      </c>
    </row>
    <row r="43" spans="1:7" s="9" customFormat="1" ht="12.75">
      <c r="A43" s="19">
        <v>15</v>
      </c>
      <c r="B43" s="20" t="s">
        <v>47</v>
      </c>
      <c r="C43" s="13" t="s">
        <v>46</v>
      </c>
      <c r="D43" s="25">
        <v>0.1</v>
      </c>
      <c r="E43" s="22">
        <v>6</v>
      </c>
      <c r="F43" s="22">
        <v>792.96</v>
      </c>
      <c r="G43" s="26">
        <f t="shared" si="2"/>
        <v>4757.76</v>
      </c>
    </row>
    <row r="44" spans="1:7" s="9" customFormat="1" ht="12.75">
      <c r="A44" s="19">
        <v>16</v>
      </c>
      <c r="B44" s="20" t="s">
        <v>48</v>
      </c>
      <c r="C44" s="13" t="s">
        <v>49</v>
      </c>
      <c r="D44" s="21">
        <v>0.1</v>
      </c>
      <c r="E44" s="22">
        <v>2</v>
      </c>
      <c r="F44" s="22">
        <v>2912</v>
      </c>
      <c r="G44" s="26">
        <f t="shared" si="2"/>
        <v>5824</v>
      </c>
    </row>
    <row r="45" spans="1:7" s="9" customFormat="1" ht="12.75">
      <c r="A45" s="24">
        <v>17</v>
      </c>
      <c r="B45" s="20" t="s">
        <v>50</v>
      </c>
      <c r="C45" s="13" t="s">
        <v>51</v>
      </c>
      <c r="D45" s="25">
        <v>0.1</v>
      </c>
      <c r="E45" s="22">
        <v>100</v>
      </c>
      <c r="F45" s="22">
        <v>10.64</v>
      </c>
      <c r="G45" s="26">
        <f t="shared" si="2"/>
        <v>1064</v>
      </c>
    </row>
    <row r="46" spans="1:7" s="9" customFormat="1" ht="12.75">
      <c r="A46" s="19">
        <v>18</v>
      </c>
      <c r="B46" s="20" t="s">
        <v>52</v>
      </c>
      <c r="C46" s="13" t="s">
        <v>53</v>
      </c>
      <c r="D46" s="25">
        <v>0.1</v>
      </c>
      <c r="E46" s="22">
        <v>3</v>
      </c>
      <c r="F46" s="22">
        <v>634.67</v>
      </c>
      <c r="G46" s="26">
        <f t="shared" si="2"/>
        <v>1904.0099999999998</v>
      </c>
    </row>
    <row r="47" spans="1:7" s="9" customFormat="1" ht="13.5" thickBot="1">
      <c r="A47" s="19">
        <v>19</v>
      </c>
      <c r="B47" s="20" t="s">
        <v>54</v>
      </c>
      <c r="C47" s="13" t="s">
        <v>55</v>
      </c>
      <c r="D47" s="21">
        <v>0.1</v>
      </c>
      <c r="E47" s="22">
        <v>1</v>
      </c>
      <c r="F47" s="22">
        <v>1848</v>
      </c>
      <c r="G47" s="26">
        <f t="shared" si="2"/>
        <v>1848</v>
      </c>
    </row>
    <row r="48" spans="1:7" s="9" customFormat="1" ht="12.75" thickBot="1">
      <c r="A48" s="492" t="s">
        <v>56</v>
      </c>
      <c r="B48" s="493"/>
      <c r="C48" s="493"/>
      <c r="D48" s="493"/>
      <c r="E48" s="493"/>
      <c r="F48" s="494"/>
      <c r="G48" s="27">
        <f>SUM(G29:G47)</f>
        <v>58745.130000000005</v>
      </c>
    </row>
    <row r="49" spans="1:7" s="9" customFormat="1" ht="12.75" thickBot="1">
      <c r="A49" s="497" t="s">
        <v>57</v>
      </c>
      <c r="B49" s="498"/>
      <c r="C49" s="28"/>
      <c r="D49" s="29"/>
      <c r="E49" s="30"/>
      <c r="F49" s="31"/>
      <c r="G49" s="32"/>
    </row>
    <row r="50" spans="1:7" s="9" customFormat="1" ht="12">
      <c r="A50" s="33">
        <v>18</v>
      </c>
      <c r="B50" s="34" t="s">
        <v>58</v>
      </c>
      <c r="C50" s="35" t="s">
        <v>23</v>
      </c>
      <c r="D50" s="21">
        <v>0.1</v>
      </c>
      <c r="E50" s="36">
        <v>2</v>
      </c>
      <c r="F50" s="37">
        <v>200</v>
      </c>
      <c r="G50" s="23">
        <f>SUM(E50*F50)</f>
        <v>400</v>
      </c>
    </row>
    <row r="51" spans="1:7" s="9" customFormat="1" ht="12">
      <c r="A51" s="38">
        <v>21</v>
      </c>
      <c r="B51" s="39" t="s">
        <v>59</v>
      </c>
      <c r="C51" s="40" t="s">
        <v>23</v>
      </c>
      <c r="D51" s="25">
        <v>0.1</v>
      </c>
      <c r="E51" s="41">
        <v>2</v>
      </c>
      <c r="F51" s="42">
        <v>150</v>
      </c>
      <c r="G51" s="43">
        <f>SUM(E51*F51)</f>
        <v>300</v>
      </c>
    </row>
    <row r="52" spans="1:7" s="9" customFormat="1" ht="12.75" thickBot="1">
      <c r="A52" s="38">
        <v>22</v>
      </c>
      <c r="B52" s="39" t="s">
        <v>60</v>
      </c>
      <c r="C52" s="40" t="s">
        <v>23</v>
      </c>
      <c r="D52" s="25">
        <v>0.1</v>
      </c>
      <c r="E52" s="41">
        <v>4</v>
      </c>
      <c r="F52" s="42">
        <v>75</v>
      </c>
      <c r="G52" s="43">
        <f>SUM(E52*F52)</f>
        <v>300</v>
      </c>
    </row>
    <row r="53" spans="1:7" s="9" customFormat="1" ht="12.75" thickBot="1">
      <c r="A53" s="499" t="s">
        <v>61</v>
      </c>
      <c r="B53" s="472"/>
      <c r="C53" s="472"/>
      <c r="D53" s="472"/>
      <c r="E53" s="472"/>
      <c r="F53" s="500"/>
      <c r="G53" s="44">
        <f>SUM(G50:G52)</f>
        <v>1000</v>
      </c>
    </row>
    <row r="54" spans="1:7" s="9" customFormat="1" ht="12.75" thickBot="1">
      <c r="A54" s="492" t="s">
        <v>62</v>
      </c>
      <c r="B54" s="493"/>
      <c r="C54" s="493"/>
      <c r="D54" s="493"/>
      <c r="E54" s="493"/>
      <c r="F54" s="494"/>
      <c r="G54" s="45">
        <f>+G53+G48+G26</f>
        <v>203662.13</v>
      </c>
    </row>
    <row r="55" spans="1:7" s="9" customFormat="1" ht="13.5" thickBot="1">
      <c r="A55" s="495" t="s">
        <v>63</v>
      </c>
      <c r="B55" s="496"/>
      <c r="C55" s="7"/>
      <c r="D55" s="7"/>
      <c r="E55" s="7"/>
      <c r="F55" s="46"/>
      <c r="G55" s="47"/>
    </row>
    <row r="56" spans="1:7" s="9" customFormat="1" ht="12">
      <c r="A56" s="24">
        <v>1</v>
      </c>
      <c r="B56" s="48" t="s">
        <v>64</v>
      </c>
      <c r="C56" s="49" t="s">
        <v>23</v>
      </c>
      <c r="D56" s="50"/>
      <c r="E56" s="51">
        <v>1</v>
      </c>
      <c r="F56" s="52">
        <f>+'[1]activos intangibles listo'!G11</f>
        <v>3000</v>
      </c>
      <c r="G56" s="23">
        <f>SUM(E56*F56)</f>
        <v>3000</v>
      </c>
    </row>
    <row r="57" spans="1:7" s="9" customFormat="1" ht="12.75" thickBot="1">
      <c r="A57" s="53">
        <v>2</v>
      </c>
      <c r="B57" s="54" t="s">
        <v>65</v>
      </c>
      <c r="C57" s="54" t="s">
        <v>23</v>
      </c>
      <c r="D57" s="55"/>
      <c r="E57" s="56">
        <v>1</v>
      </c>
      <c r="F57" s="56">
        <f>+'[1]activos intangibles listo'!G17</f>
        <v>4640</v>
      </c>
      <c r="G57" s="57">
        <f>+F57*E57</f>
        <v>4640</v>
      </c>
    </row>
    <row r="58" spans="1:7" s="9" customFormat="1" ht="12.75" thickBot="1">
      <c r="A58" s="492" t="s">
        <v>66</v>
      </c>
      <c r="B58" s="493"/>
      <c r="C58" s="493"/>
      <c r="D58" s="493"/>
      <c r="E58" s="493"/>
      <c r="F58" s="494"/>
      <c r="G58" s="45">
        <f>+G57+G56</f>
        <v>7640</v>
      </c>
    </row>
    <row r="59" spans="1:7" s="9" customFormat="1" ht="13.5" thickBot="1">
      <c r="A59" s="495" t="s">
        <v>67</v>
      </c>
      <c r="B59" s="496"/>
      <c r="C59" s="7"/>
      <c r="D59" s="7"/>
      <c r="E59" s="7"/>
      <c r="F59" s="46"/>
      <c r="G59" s="47"/>
    </row>
    <row r="60" spans="1:7" s="9" customFormat="1" ht="12.75" thickBot="1">
      <c r="A60" s="24">
        <v>1</v>
      </c>
      <c r="B60" s="48" t="s">
        <v>68</v>
      </c>
      <c r="C60" s="49" t="s">
        <v>23</v>
      </c>
      <c r="D60" s="50"/>
      <c r="E60" s="51">
        <v>1</v>
      </c>
      <c r="F60" s="52">
        <f>+'K DE TRABAJO'!F36</f>
        <v>64243.25</v>
      </c>
      <c r="G60" s="23">
        <f>+F60*E60</f>
        <v>64243.25</v>
      </c>
    </row>
    <row r="61" spans="1:7" s="9" customFormat="1" ht="12.75" thickBot="1">
      <c r="A61" s="492" t="s">
        <v>69</v>
      </c>
      <c r="B61" s="493"/>
      <c r="C61" s="493"/>
      <c r="D61" s="493"/>
      <c r="E61" s="493"/>
      <c r="F61" s="494"/>
      <c r="G61" s="45">
        <f>SUM(G60)</f>
        <v>64243.25</v>
      </c>
    </row>
    <row r="62" spans="1:7" s="9" customFormat="1" ht="12.75" thickBot="1">
      <c r="A62" s="492" t="s">
        <v>70</v>
      </c>
      <c r="B62" s="493"/>
      <c r="C62" s="493"/>
      <c r="D62" s="493"/>
      <c r="E62" s="493"/>
      <c r="F62" s="494"/>
      <c r="G62" s="45">
        <f>+G54+G58+G61</f>
        <v>275545.38</v>
      </c>
    </row>
    <row r="63" s="58" customFormat="1" ht="12"/>
    <row r="64" ht="12.75">
      <c r="G64" s="59"/>
    </row>
  </sheetData>
  <mergeCells count="16">
    <mergeCell ref="A1:G1"/>
    <mergeCell ref="A2:G2"/>
    <mergeCell ref="A6:G6"/>
    <mergeCell ref="A9:B9"/>
    <mergeCell ref="A10:B10"/>
    <mergeCell ref="A26:F26"/>
    <mergeCell ref="A28:B28"/>
    <mergeCell ref="A48:F48"/>
    <mergeCell ref="A49:B49"/>
    <mergeCell ref="A53:F53"/>
    <mergeCell ref="A54:F54"/>
    <mergeCell ref="A55:B55"/>
    <mergeCell ref="A58:F58"/>
    <mergeCell ref="A59:B59"/>
    <mergeCell ref="A61:F61"/>
    <mergeCell ref="A62:F6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14" sqref="E14"/>
    </sheetView>
  </sheetViews>
  <sheetFormatPr defaultColWidth="11.421875" defaultRowHeight="12.75"/>
  <cols>
    <col min="2" max="2" width="26.8515625" style="0" customWidth="1"/>
    <col min="6" max="6" width="13.8515625" style="0" customWidth="1"/>
  </cols>
  <sheetData>
    <row r="1" spans="1:7" ht="12.75">
      <c r="A1" s="506" t="s">
        <v>234</v>
      </c>
      <c r="B1" s="506"/>
      <c r="C1" s="506"/>
      <c r="D1" s="506"/>
      <c r="E1" s="506"/>
      <c r="F1" s="506"/>
      <c r="G1" s="470"/>
    </row>
    <row r="2" spans="1:7" ht="13.5" customHeight="1" thickBot="1">
      <c r="A2" s="507" t="s">
        <v>235</v>
      </c>
      <c r="B2" s="507"/>
      <c r="C2" s="507"/>
      <c r="D2" s="507"/>
      <c r="E2" s="507"/>
      <c r="F2" s="507"/>
      <c r="G2" s="471"/>
    </row>
    <row r="3" spans="1:5" ht="18.75" thickBot="1">
      <c r="A3" s="511" t="s">
        <v>71</v>
      </c>
      <c r="B3" s="512"/>
      <c r="C3" s="512"/>
      <c r="D3" s="512"/>
      <c r="E3" s="513"/>
    </row>
    <row r="4" spans="1:6" ht="18">
      <c r="A4" s="72"/>
      <c r="B4" s="73"/>
      <c r="C4" s="73"/>
      <c r="D4" s="73"/>
      <c r="E4" s="73"/>
      <c r="F4" s="388"/>
    </row>
    <row r="5" spans="1:6" ht="25.5">
      <c r="A5" s="74" t="s">
        <v>72</v>
      </c>
      <c r="B5" s="70" t="s">
        <v>73</v>
      </c>
      <c r="C5" s="70" t="s">
        <v>74</v>
      </c>
      <c r="D5" s="71" t="s">
        <v>75</v>
      </c>
      <c r="E5" s="71" t="s">
        <v>76</v>
      </c>
      <c r="F5" s="389" t="s">
        <v>240</v>
      </c>
    </row>
    <row r="6" spans="1:6" ht="12.75">
      <c r="A6" s="75">
        <v>1</v>
      </c>
      <c r="B6" s="61" t="s">
        <v>77</v>
      </c>
      <c r="C6" s="62">
        <v>1</v>
      </c>
      <c r="D6" s="63">
        <v>3000</v>
      </c>
      <c r="E6" s="387">
        <f>+D6*C6</f>
        <v>3000</v>
      </c>
      <c r="F6" s="320">
        <f>+E6*0.1</f>
        <v>300</v>
      </c>
    </row>
    <row r="7" spans="1:6" ht="12.75">
      <c r="A7" s="75"/>
      <c r="B7" s="64" t="s">
        <v>78</v>
      </c>
      <c r="C7" s="62"/>
      <c r="D7" s="63"/>
      <c r="E7" s="386">
        <f>SUM(E6)</f>
        <v>3000</v>
      </c>
      <c r="F7" s="76">
        <f>SUM(F6)</f>
        <v>300</v>
      </c>
    </row>
    <row r="8" spans="1:6" ht="24">
      <c r="A8" s="77"/>
      <c r="B8" s="65" t="s">
        <v>79</v>
      </c>
      <c r="C8" s="62"/>
      <c r="D8" s="66"/>
      <c r="E8" s="387">
        <f>+D8*C8</f>
        <v>0</v>
      </c>
      <c r="F8" s="320"/>
    </row>
    <row r="9" spans="1:6" ht="22.5">
      <c r="A9" s="77">
        <v>2</v>
      </c>
      <c r="B9" s="67" t="s">
        <v>80</v>
      </c>
      <c r="C9" s="68">
        <v>4</v>
      </c>
      <c r="D9" s="68">
        <v>300</v>
      </c>
      <c r="E9" s="387">
        <f>+D9*C9</f>
        <v>1200</v>
      </c>
      <c r="F9" s="320">
        <f>+E9*0.1</f>
        <v>120</v>
      </c>
    </row>
    <row r="10" spans="1:6" ht="22.5">
      <c r="A10" s="77">
        <v>3</v>
      </c>
      <c r="B10" s="67" t="s">
        <v>81</v>
      </c>
      <c r="C10" s="68">
        <v>4</v>
      </c>
      <c r="D10" s="68">
        <v>400</v>
      </c>
      <c r="E10" s="387">
        <f>+D10*C10</f>
        <v>1600</v>
      </c>
      <c r="F10" s="320">
        <f>+E10*0.1</f>
        <v>160</v>
      </c>
    </row>
    <row r="11" spans="1:6" ht="22.5">
      <c r="A11" s="77">
        <v>4</v>
      </c>
      <c r="B11" s="67" t="s">
        <v>82</v>
      </c>
      <c r="C11" s="68">
        <v>3</v>
      </c>
      <c r="D11" s="68">
        <v>400</v>
      </c>
      <c r="E11" s="387">
        <f>+D11*C11</f>
        <v>1200</v>
      </c>
      <c r="F11" s="320">
        <f>+E11*0.1</f>
        <v>120</v>
      </c>
    </row>
    <row r="12" spans="1:6" ht="22.5">
      <c r="A12" s="77">
        <v>5</v>
      </c>
      <c r="B12" s="67" t="s">
        <v>83</v>
      </c>
      <c r="C12" s="68">
        <v>2</v>
      </c>
      <c r="D12" s="68">
        <v>320</v>
      </c>
      <c r="E12" s="387">
        <f>+D12*C12</f>
        <v>640</v>
      </c>
      <c r="F12" s="320">
        <f>+E12*0.1</f>
        <v>64</v>
      </c>
    </row>
    <row r="13" spans="1:6" ht="12.75">
      <c r="A13" s="77"/>
      <c r="B13" s="69" t="s">
        <v>78</v>
      </c>
      <c r="C13" s="68"/>
      <c r="D13" s="68"/>
      <c r="E13" s="386">
        <f>SUM(E8:E12)</f>
        <v>4640</v>
      </c>
      <c r="F13" s="76">
        <f>SUM(F8:F12)</f>
        <v>464</v>
      </c>
    </row>
    <row r="14" spans="1:6" ht="15.75" thickBot="1">
      <c r="A14" s="78"/>
      <c r="B14" s="79" t="s">
        <v>84</v>
      </c>
      <c r="C14" s="80"/>
      <c r="D14" s="80"/>
      <c r="E14" s="390">
        <f>+E13+E7</f>
        <v>7640</v>
      </c>
      <c r="F14" s="391">
        <f>+F13+F7</f>
        <v>764</v>
      </c>
    </row>
  </sheetData>
  <mergeCells count="3">
    <mergeCell ref="A3:E3"/>
    <mergeCell ref="A1:F1"/>
    <mergeCell ref="A2:F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8"/>
  <sheetViews>
    <sheetView workbookViewId="0" topLeftCell="A1">
      <selection activeCell="A1" sqref="A1"/>
    </sheetView>
  </sheetViews>
  <sheetFormatPr defaultColWidth="11.421875" defaultRowHeight="12.75"/>
  <cols>
    <col min="1" max="1" width="7.7109375" style="81" customWidth="1"/>
    <col min="2" max="2" width="21.28125" style="81" customWidth="1"/>
    <col min="3" max="3" width="9.421875" style="81" customWidth="1"/>
    <col min="4" max="4" width="9.7109375" style="81" customWidth="1"/>
    <col min="5" max="5" width="12.00390625" style="81" customWidth="1"/>
    <col min="6" max="6" width="11.28125" style="81" customWidth="1"/>
    <col min="7" max="7" width="12.140625" style="81" customWidth="1"/>
    <col min="8" max="8" width="7.7109375" style="81" customWidth="1"/>
    <col min="9" max="16384" width="11.421875" style="81" customWidth="1"/>
  </cols>
  <sheetData>
    <row r="2" spans="1:7" ht="12.75">
      <c r="A2" s="506" t="s">
        <v>234</v>
      </c>
      <c r="B2" s="506"/>
      <c r="C2" s="506"/>
      <c r="D2" s="506"/>
      <c r="E2" s="506"/>
      <c r="F2" s="506"/>
      <c r="G2" s="506"/>
    </row>
    <row r="3" spans="1:7" ht="12.75" customHeight="1">
      <c r="A3" s="507" t="s">
        <v>235</v>
      </c>
      <c r="B3" s="507"/>
      <c r="C3" s="507"/>
      <c r="D3" s="507"/>
      <c r="E3" s="507"/>
      <c r="F3" s="507"/>
      <c r="G3" s="507"/>
    </row>
    <row r="5" ht="13.5" thickBot="1"/>
    <row r="6" spans="1:7" ht="16.5" thickBot="1">
      <c r="A6" s="522" t="s">
        <v>85</v>
      </c>
      <c r="B6" s="523"/>
      <c r="C6" s="523"/>
      <c r="D6" s="523"/>
      <c r="E6" s="523"/>
      <c r="F6" s="523"/>
      <c r="G6" s="524"/>
    </row>
    <row r="7" spans="1:7" ht="12.75">
      <c r="A7" s="403"/>
      <c r="B7" s="404"/>
      <c r="C7" s="404"/>
      <c r="D7" s="404"/>
      <c r="E7" s="404"/>
      <c r="F7" s="404"/>
      <c r="G7" s="405"/>
    </row>
    <row r="8" spans="1:7" s="82" customFormat="1" ht="38.25">
      <c r="A8" s="406" t="s">
        <v>1</v>
      </c>
      <c r="B8" s="397" t="s">
        <v>2</v>
      </c>
      <c r="C8" s="398" t="s">
        <v>3</v>
      </c>
      <c r="D8" s="398" t="s">
        <v>5</v>
      </c>
      <c r="E8" s="398" t="s">
        <v>86</v>
      </c>
      <c r="F8" s="398" t="s">
        <v>87</v>
      </c>
      <c r="G8" s="407" t="s">
        <v>88</v>
      </c>
    </row>
    <row r="9" spans="1:7" s="82" customFormat="1" ht="13.5" customHeight="1">
      <c r="A9" s="525" t="s">
        <v>89</v>
      </c>
      <c r="B9" s="526"/>
      <c r="C9" s="398"/>
      <c r="D9" s="398"/>
      <c r="E9" s="398"/>
      <c r="F9" s="398"/>
      <c r="G9" s="407"/>
    </row>
    <row r="10" spans="1:7" s="82" customFormat="1" ht="12.75">
      <c r="A10" s="518" t="s">
        <v>90</v>
      </c>
      <c r="B10" s="519"/>
      <c r="C10" s="399"/>
      <c r="D10" s="400"/>
      <c r="E10" s="400"/>
      <c r="F10" s="95"/>
      <c r="G10" s="96"/>
    </row>
    <row r="11" spans="1:7" ht="12.75">
      <c r="A11" s="91">
        <v>1</v>
      </c>
      <c r="B11" s="92" t="s">
        <v>91</v>
      </c>
      <c r="C11" s="92" t="s">
        <v>92</v>
      </c>
      <c r="D11" s="93">
        <v>900</v>
      </c>
      <c r="E11" s="94">
        <v>66</v>
      </c>
      <c r="F11" s="95">
        <f>SUM(D11*E11)</f>
        <v>59400</v>
      </c>
      <c r="G11" s="96">
        <f>+F11*12</f>
        <v>712800</v>
      </c>
    </row>
    <row r="12" spans="1:7" ht="12.75">
      <c r="A12" s="91">
        <v>2</v>
      </c>
      <c r="B12" s="92" t="s">
        <v>254</v>
      </c>
      <c r="C12" s="92" t="s">
        <v>251</v>
      </c>
      <c r="D12" s="93">
        <v>640</v>
      </c>
      <c r="E12" s="94">
        <v>1.5</v>
      </c>
      <c r="F12" s="95">
        <f>+E12*D12</f>
        <v>960</v>
      </c>
      <c r="G12" s="96">
        <f>+F12*12</f>
        <v>11520</v>
      </c>
    </row>
    <row r="13" spans="1:7" ht="12.75">
      <c r="A13" s="91">
        <v>3</v>
      </c>
      <c r="B13" s="92" t="s">
        <v>253</v>
      </c>
      <c r="C13" s="92" t="s">
        <v>93</v>
      </c>
      <c r="D13" s="93">
        <v>96</v>
      </c>
      <c r="E13" s="94">
        <v>7</v>
      </c>
      <c r="F13" s="95">
        <f>SUM(D13*E13)</f>
        <v>672</v>
      </c>
      <c r="G13" s="96">
        <f>+F13*12</f>
        <v>8064</v>
      </c>
    </row>
    <row r="14" spans="1:7" ht="12.75">
      <c r="A14" s="516" t="s">
        <v>95</v>
      </c>
      <c r="B14" s="517"/>
      <c r="C14" s="517"/>
      <c r="D14" s="517"/>
      <c r="E14" s="517"/>
      <c r="F14" s="402">
        <f>SUM(F11:F13)</f>
        <v>61032</v>
      </c>
      <c r="G14" s="402">
        <f>SUM(G11:G13)</f>
        <v>732384</v>
      </c>
    </row>
    <row r="15" spans="1:7" ht="12.75">
      <c r="A15" s="108" t="s">
        <v>96</v>
      </c>
      <c r="B15" s="92"/>
      <c r="C15" s="92"/>
      <c r="D15" s="93"/>
      <c r="E15" s="94"/>
      <c r="F15" s="95"/>
      <c r="G15" s="96"/>
    </row>
    <row r="16" spans="1:7" ht="12.75">
      <c r="A16" s="108"/>
      <c r="B16" s="92"/>
      <c r="C16" s="92"/>
      <c r="D16" s="93"/>
      <c r="E16" s="94"/>
      <c r="F16" s="95"/>
      <c r="G16" s="96"/>
    </row>
    <row r="17" spans="1:10" ht="12.75">
      <c r="A17" s="91">
        <v>2</v>
      </c>
      <c r="B17" s="92" t="s">
        <v>107</v>
      </c>
      <c r="C17" s="92" t="s">
        <v>97</v>
      </c>
      <c r="D17" s="93">
        <v>2</v>
      </c>
      <c r="E17" s="94">
        <v>200</v>
      </c>
      <c r="F17" s="95">
        <f>+E17*D17</f>
        <v>400</v>
      </c>
      <c r="G17" s="96">
        <f>+F17*12</f>
        <v>4800</v>
      </c>
      <c r="J17" s="81">
        <f>+I17*20</f>
        <v>0</v>
      </c>
    </row>
    <row r="18" spans="1:7" ht="12.75">
      <c r="A18" s="91">
        <v>3</v>
      </c>
      <c r="B18" s="92" t="s">
        <v>98</v>
      </c>
      <c r="C18" s="92" t="s">
        <v>55</v>
      </c>
      <c r="D18" s="93">
        <v>6</v>
      </c>
      <c r="E18" s="94">
        <v>50</v>
      </c>
      <c r="F18" s="95">
        <f>SUM(D18*E18)</f>
        <v>300</v>
      </c>
      <c r="G18" s="96">
        <f>+F18*12</f>
        <v>3600</v>
      </c>
    </row>
    <row r="19" spans="1:7" ht="12.75">
      <c r="A19" s="91">
        <v>4</v>
      </c>
      <c r="B19" s="92" t="s">
        <v>110</v>
      </c>
      <c r="C19" s="92" t="s">
        <v>102</v>
      </c>
      <c r="D19" s="93">
        <v>1</v>
      </c>
      <c r="E19" s="94">
        <f>15+10</f>
        <v>25</v>
      </c>
      <c r="F19" s="95">
        <f>+E19*D19</f>
        <v>25</v>
      </c>
      <c r="G19" s="96">
        <f>+F19*12</f>
        <v>300</v>
      </c>
    </row>
    <row r="20" spans="1:7" ht="12.75">
      <c r="A20" s="516" t="s">
        <v>99</v>
      </c>
      <c r="B20" s="517"/>
      <c r="C20" s="517"/>
      <c r="D20" s="517"/>
      <c r="E20" s="517"/>
      <c r="F20" s="402">
        <f>SUM(+F17+F18+F19)</f>
        <v>725</v>
      </c>
      <c r="G20" s="402">
        <f>SUM(+G17+G18+G19)</f>
        <v>8700</v>
      </c>
    </row>
    <row r="21" spans="1:7" ht="12.75">
      <c r="A21" s="516" t="s">
        <v>100</v>
      </c>
      <c r="B21" s="517"/>
      <c r="C21" s="517"/>
      <c r="D21" s="517"/>
      <c r="E21" s="517"/>
      <c r="F21" s="402">
        <f>+F20+F14</f>
        <v>61757</v>
      </c>
      <c r="G21" s="402">
        <f>+G20+G14</f>
        <v>741084</v>
      </c>
    </row>
    <row r="22" spans="1:7" ht="12.75">
      <c r="A22" s="108" t="s">
        <v>101</v>
      </c>
      <c r="B22" s="92"/>
      <c r="C22" s="92"/>
      <c r="D22" s="93"/>
      <c r="E22" s="94"/>
      <c r="F22" s="95"/>
      <c r="G22" s="96"/>
    </row>
    <row r="23" spans="1:7" ht="12.75">
      <c r="A23" s="108">
        <v>1</v>
      </c>
      <c r="B23" s="109" t="s">
        <v>103</v>
      </c>
      <c r="C23" s="110" t="s">
        <v>102</v>
      </c>
      <c r="D23" s="111">
        <v>1</v>
      </c>
      <c r="E23" s="95">
        <v>50</v>
      </c>
      <c r="F23" s="95">
        <f>SUM(D23*E23)</f>
        <v>50</v>
      </c>
      <c r="G23" s="96">
        <f>+F23*12</f>
        <v>600</v>
      </c>
    </row>
    <row r="24" spans="1:7" ht="12.75">
      <c r="A24" s="108">
        <v>2</v>
      </c>
      <c r="B24" s="110" t="s">
        <v>104</v>
      </c>
      <c r="C24" s="110" t="s">
        <v>102</v>
      </c>
      <c r="D24" s="111">
        <v>1</v>
      </c>
      <c r="E24" s="95">
        <v>40</v>
      </c>
      <c r="F24" s="95">
        <f>SUM(D24*E24)</f>
        <v>40</v>
      </c>
      <c r="G24" s="96">
        <f>+F24*12</f>
        <v>480</v>
      </c>
    </row>
    <row r="25" spans="1:7" ht="12.75">
      <c r="A25" s="108">
        <v>3</v>
      </c>
      <c r="B25" s="110" t="s">
        <v>109</v>
      </c>
      <c r="C25" s="110" t="s">
        <v>102</v>
      </c>
      <c r="D25" s="111">
        <v>1</v>
      </c>
      <c r="E25" s="95">
        <v>50</v>
      </c>
      <c r="F25" s="95">
        <f>+E25*D25</f>
        <v>50</v>
      </c>
      <c r="G25" s="96">
        <f>+F25*12</f>
        <v>600</v>
      </c>
    </row>
    <row r="26" spans="1:7" ht="12.75">
      <c r="A26" s="108">
        <v>4</v>
      </c>
      <c r="B26" s="110" t="s">
        <v>245</v>
      </c>
      <c r="C26" s="110" t="s">
        <v>102</v>
      </c>
      <c r="D26" s="111">
        <v>1</v>
      </c>
      <c r="E26" s="95">
        <v>200</v>
      </c>
      <c r="F26" s="95">
        <f>+E26*D26</f>
        <v>200</v>
      </c>
      <c r="G26" s="96">
        <f>+F26*12</f>
        <v>2400</v>
      </c>
    </row>
    <row r="27" spans="1:7" ht="12.75">
      <c r="A27" s="516" t="s">
        <v>105</v>
      </c>
      <c r="B27" s="517"/>
      <c r="C27" s="517"/>
      <c r="D27" s="517"/>
      <c r="E27" s="517"/>
      <c r="F27" s="402">
        <f>SUM(F23:F26)</f>
        <v>340</v>
      </c>
      <c r="G27" s="402">
        <f>SUM(G23:G26)</f>
        <v>4080</v>
      </c>
    </row>
    <row r="28" spans="1:7" ht="12.75">
      <c r="A28" s="516" t="s">
        <v>106</v>
      </c>
      <c r="B28" s="517"/>
      <c r="C28" s="517"/>
      <c r="D28" s="517"/>
      <c r="E28" s="517"/>
      <c r="F28" s="402">
        <f>+F27+F21</f>
        <v>62097</v>
      </c>
      <c r="G28" s="402">
        <f>+G27+G21</f>
        <v>745164</v>
      </c>
    </row>
    <row r="29" spans="1:7" ht="12.75">
      <c r="A29" s="108" t="s">
        <v>237</v>
      </c>
      <c r="B29" s="92"/>
      <c r="C29" s="92"/>
      <c r="D29" s="93"/>
      <c r="E29" s="94"/>
      <c r="F29" s="95"/>
      <c r="G29" s="96"/>
    </row>
    <row r="30" spans="1:7" ht="12.75">
      <c r="A30" s="108">
        <v>1</v>
      </c>
      <c r="B30" s="109" t="s">
        <v>244</v>
      </c>
      <c r="C30" s="110" t="s">
        <v>94</v>
      </c>
      <c r="D30" s="111">
        <v>4</v>
      </c>
      <c r="E30" s="95">
        <v>463</v>
      </c>
      <c r="F30" s="95">
        <f>SUM(D30*E30)</f>
        <v>1852</v>
      </c>
      <c r="G30" s="96">
        <f>+F30*12</f>
        <v>22224</v>
      </c>
    </row>
    <row r="31" spans="1:7" ht="12.75">
      <c r="A31" s="108">
        <v>2</v>
      </c>
      <c r="B31" s="110" t="s">
        <v>238</v>
      </c>
      <c r="C31" s="110" t="s">
        <v>102</v>
      </c>
      <c r="D31" s="111">
        <v>1</v>
      </c>
      <c r="E31" s="95">
        <f>30+105</f>
        <v>135</v>
      </c>
      <c r="F31" s="95">
        <f>SUM(D31*E31)</f>
        <v>135</v>
      </c>
      <c r="G31" s="96">
        <f>+F31*12</f>
        <v>1620</v>
      </c>
    </row>
    <row r="32" spans="1:7" ht="12.75">
      <c r="A32" s="516" t="s">
        <v>239</v>
      </c>
      <c r="B32" s="517"/>
      <c r="C32" s="517"/>
      <c r="D32" s="517"/>
      <c r="E32" s="517"/>
      <c r="F32" s="402">
        <f>SUM(F30:F31)</f>
        <v>1987</v>
      </c>
      <c r="G32" s="402">
        <f>SUM(G30:G31)</f>
        <v>23844</v>
      </c>
    </row>
    <row r="33" spans="1:7" ht="12.75">
      <c r="A33" s="520" t="s">
        <v>111</v>
      </c>
      <c r="B33" s="521"/>
      <c r="C33" s="401"/>
      <c r="D33" s="401"/>
      <c r="E33" s="401"/>
      <c r="F33" s="402"/>
      <c r="G33" s="408"/>
    </row>
    <row r="34" spans="1:7" ht="12.75">
      <c r="A34" s="108">
        <v>1</v>
      </c>
      <c r="B34" s="109" t="s">
        <v>112</v>
      </c>
      <c r="C34" s="110" t="s">
        <v>94</v>
      </c>
      <c r="D34" s="111">
        <v>1</v>
      </c>
      <c r="E34" s="95">
        <v>159.25</v>
      </c>
      <c r="F34" s="95">
        <f>SUM(D34*E34)</f>
        <v>159.25</v>
      </c>
      <c r="G34" s="96">
        <f>+F34*12</f>
        <v>1911</v>
      </c>
    </row>
    <row r="35" spans="1:7" ht="12.75">
      <c r="A35" s="516" t="s">
        <v>113</v>
      </c>
      <c r="B35" s="517"/>
      <c r="C35" s="517"/>
      <c r="D35" s="517"/>
      <c r="E35" s="517"/>
      <c r="F35" s="402">
        <f>SUM(F34:F34)</f>
        <v>159.25</v>
      </c>
      <c r="G35" s="402">
        <f>SUM(G34:G34)</f>
        <v>1911</v>
      </c>
    </row>
    <row r="36" spans="1:7" ht="13.5" thickBot="1">
      <c r="A36" s="514" t="s">
        <v>106</v>
      </c>
      <c r="B36" s="515"/>
      <c r="C36" s="515"/>
      <c r="D36" s="515"/>
      <c r="E36" s="515"/>
      <c r="F36" s="409">
        <f>+F14+F20+F27+F32+F35</f>
        <v>64243.25</v>
      </c>
      <c r="G36" s="409">
        <f>+G14+G20+G27+G32+G35</f>
        <v>770919</v>
      </c>
    </row>
    <row r="38" ht="12.75">
      <c r="F38" s="112"/>
    </row>
  </sheetData>
  <mergeCells count="14">
    <mergeCell ref="A2:G2"/>
    <mergeCell ref="A6:G6"/>
    <mergeCell ref="A9:B9"/>
    <mergeCell ref="A35:E35"/>
    <mergeCell ref="A3:G3"/>
    <mergeCell ref="A36:E36"/>
    <mergeCell ref="A32:E32"/>
    <mergeCell ref="A10:B10"/>
    <mergeCell ref="A14:E14"/>
    <mergeCell ref="A20:E20"/>
    <mergeCell ref="A21:E21"/>
    <mergeCell ref="A27:E27"/>
    <mergeCell ref="A28:E28"/>
    <mergeCell ref="A33:B33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3">
      <selection activeCell="D19" sqref="D19"/>
    </sheetView>
  </sheetViews>
  <sheetFormatPr defaultColWidth="11.421875" defaultRowHeight="12.75"/>
  <cols>
    <col min="1" max="1" width="7.7109375" style="81" customWidth="1"/>
    <col min="2" max="2" width="17.140625" style="81" customWidth="1"/>
    <col min="3" max="3" width="7.8515625" style="81" customWidth="1"/>
    <col min="4" max="4" width="8.140625" style="81" customWidth="1"/>
    <col min="5" max="5" width="10.28125" style="81" customWidth="1"/>
    <col min="6" max="6" width="10.57421875" style="81" customWidth="1"/>
    <col min="7" max="7" width="12.57421875" style="81" customWidth="1"/>
    <col min="8" max="8" width="7.7109375" style="81" customWidth="1"/>
    <col min="9" max="16384" width="11.421875" style="81" customWidth="1"/>
  </cols>
  <sheetData>
    <row r="1" spans="1:7" ht="16.5">
      <c r="A1" s="538"/>
      <c r="B1" s="538"/>
      <c r="C1" s="538"/>
      <c r="D1" s="538"/>
      <c r="E1" s="538"/>
      <c r="F1" s="538"/>
      <c r="G1" s="538"/>
    </row>
    <row r="2" spans="1:7" ht="12.75">
      <c r="A2" s="506" t="s">
        <v>234</v>
      </c>
      <c r="B2" s="506"/>
      <c r="C2" s="506"/>
      <c r="D2" s="506"/>
      <c r="E2" s="506"/>
      <c r="F2" s="506"/>
      <c r="G2" s="506"/>
    </row>
    <row r="3" spans="1:7" ht="12.75">
      <c r="A3" s="507" t="s">
        <v>235</v>
      </c>
      <c r="B3" s="507"/>
      <c r="C3" s="507"/>
      <c r="D3" s="507"/>
      <c r="E3" s="507"/>
      <c r="F3" s="507"/>
      <c r="G3" s="507"/>
    </row>
    <row r="4" ht="13.5" thickBot="1"/>
    <row r="5" spans="1:7" ht="16.5" thickBot="1">
      <c r="A5" s="539" t="s">
        <v>85</v>
      </c>
      <c r="B5" s="540"/>
      <c r="C5" s="540"/>
      <c r="D5" s="540"/>
      <c r="E5" s="540"/>
      <c r="F5" s="540"/>
      <c r="G5" s="541"/>
    </row>
    <row r="6" ht="13.5" thickBot="1"/>
    <row r="7" spans="1:7" s="82" customFormat="1" ht="39" thickBot="1">
      <c r="A7" s="3" t="s">
        <v>1</v>
      </c>
      <c r="B7" s="4" t="s">
        <v>2</v>
      </c>
      <c r="C7" s="5" t="s">
        <v>3</v>
      </c>
      <c r="D7" s="5" t="s">
        <v>5</v>
      </c>
      <c r="E7" s="5" t="s">
        <v>86</v>
      </c>
      <c r="F7" s="6" t="s">
        <v>87</v>
      </c>
      <c r="G7" s="6" t="s">
        <v>88</v>
      </c>
    </row>
    <row r="8" spans="1:7" s="82" customFormat="1" ht="13.5" customHeight="1" thickBot="1">
      <c r="A8" s="495" t="s">
        <v>89</v>
      </c>
      <c r="B8" s="496"/>
      <c r="C8" s="5"/>
      <c r="D8" s="5"/>
      <c r="E8" s="5"/>
      <c r="F8" s="6"/>
      <c r="G8" s="6"/>
    </row>
    <row r="9" spans="1:7" s="82" customFormat="1" ht="13.5" thickBot="1">
      <c r="A9" s="536" t="s">
        <v>115</v>
      </c>
      <c r="B9" s="537"/>
      <c r="C9" s="83"/>
      <c r="D9" s="84"/>
      <c r="E9" s="84"/>
      <c r="F9" s="85"/>
      <c r="G9" s="85"/>
    </row>
    <row r="10" spans="1:7" ht="12.75">
      <c r="A10" s="117">
        <v>1</v>
      </c>
      <c r="B10" s="92" t="s">
        <v>108</v>
      </c>
      <c r="C10" s="92" t="s">
        <v>97</v>
      </c>
      <c r="D10" s="93">
        <v>4</v>
      </c>
      <c r="E10" s="94">
        <v>463</v>
      </c>
      <c r="F10" s="479">
        <f>SUM(D10*E10)</f>
        <v>1852</v>
      </c>
      <c r="G10" s="95">
        <f>+F10*12</f>
        <v>22224</v>
      </c>
    </row>
    <row r="11" spans="1:7" ht="12.75">
      <c r="A11" s="117">
        <v>2</v>
      </c>
      <c r="B11" s="92" t="s">
        <v>107</v>
      </c>
      <c r="C11" s="92" t="s">
        <v>97</v>
      </c>
      <c r="D11" s="93">
        <v>2</v>
      </c>
      <c r="E11" s="94">
        <v>200</v>
      </c>
      <c r="F11" s="476">
        <f>+E11*D11</f>
        <v>400</v>
      </c>
      <c r="G11" s="95">
        <f>+F11*12</f>
        <v>4800</v>
      </c>
    </row>
    <row r="12" spans="1:7" ht="12.75">
      <c r="A12" s="117">
        <v>3</v>
      </c>
      <c r="B12" s="92" t="s">
        <v>98</v>
      </c>
      <c r="C12" s="92" t="s">
        <v>55</v>
      </c>
      <c r="D12" s="93">
        <v>6</v>
      </c>
      <c r="E12" s="94">
        <v>50</v>
      </c>
      <c r="F12" s="476">
        <f>SUM(D12*E12)</f>
        <v>300</v>
      </c>
      <c r="G12" s="95">
        <f>+F12*12</f>
        <v>3600</v>
      </c>
    </row>
    <row r="13" spans="1:7" ht="12.75">
      <c r="A13" s="117">
        <v>4</v>
      </c>
      <c r="B13" s="92" t="s">
        <v>110</v>
      </c>
      <c r="C13" s="92" t="s">
        <v>102</v>
      </c>
      <c r="D13" s="93">
        <v>1</v>
      </c>
      <c r="E13" s="94">
        <f>15+10</f>
        <v>25</v>
      </c>
      <c r="F13" s="477">
        <f>+E13*D13</f>
        <v>25</v>
      </c>
      <c r="G13" s="95">
        <f>+F13*12</f>
        <v>300</v>
      </c>
    </row>
    <row r="14" spans="1:7" ht="12.75">
      <c r="A14" s="117">
        <v>5</v>
      </c>
      <c r="B14" s="92" t="s">
        <v>114</v>
      </c>
      <c r="C14" s="92" t="s">
        <v>94</v>
      </c>
      <c r="D14" s="93">
        <v>1</v>
      </c>
      <c r="E14" s="94">
        <f>+'K DE TRABAJO'!E31</f>
        <v>135</v>
      </c>
      <c r="F14" s="477">
        <f>+E14*D14</f>
        <v>135</v>
      </c>
      <c r="G14" s="95">
        <f>+F14*12</f>
        <v>1620</v>
      </c>
    </row>
    <row r="15" spans="1:7" ht="13.5" thickBot="1">
      <c r="A15" s="533" t="s">
        <v>95</v>
      </c>
      <c r="B15" s="534"/>
      <c r="C15" s="534"/>
      <c r="D15" s="534"/>
      <c r="E15" s="535"/>
      <c r="F15" s="104">
        <f>SUM(F10:F14)</f>
        <v>2712</v>
      </c>
      <c r="G15" s="104">
        <f>SUM(G10:G14)</f>
        <v>32544</v>
      </c>
    </row>
    <row r="16" spans="1:7" ht="12.75">
      <c r="A16" s="99" t="s">
        <v>116</v>
      </c>
      <c r="B16" s="100"/>
      <c r="C16" s="100"/>
      <c r="D16" s="101"/>
      <c r="E16" s="102"/>
      <c r="F16" s="103"/>
      <c r="G16" s="103"/>
    </row>
    <row r="17" spans="1:7" ht="12.75">
      <c r="A17" s="86">
        <v>1</v>
      </c>
      <c r="B17" s="87" t="s">
        <v>91</v>
      </c>
      <c r="C17" s="87" t="s">
        <v>92</v>
      </c>
      <c r="D17" s="88">
        <v>900</v>
      </c>
      <c r="E17" s="89">
        <v>66</v>
      </c>
      <c r="F17" s="474">
        <f>SUM(D17*E17)</f>
        <v>59400</v>
      </c>
      <c r="G17" s="90">
        <f>+F17*12</f>
        <v>712800</v>
      </c>
    </row>
    <row r="18" spans="1:7" ht="12.75">
      <c r="A18" s="86">
        <v>2</v>
      </c>
      <c r="B18" s="87" t="s">
        <v>255</v>
      </c>
      <c r="C18" s="87" t="s">
        <v>251</v>
      </c>
      <c r="D18" s="88">
        <v>640</v>
      </c>
      <c r="E18" s="89">
        <v>1.5</v>
      </c>
      <c r="F18" s="475">
        <f>+E18*D18</f>
        <v>960</v>
      </c>
      <c r="G18" s="90">
        <f>+F18*12</f>
        <v>11520</v>
      </c>
    </row>
    <row r="19" spans="1:7" ht="12.75">
      <c r="A19" s="91">
        <v>3</v>
      </c>
      <c r="B19" s="92" t="s">
        <v>253</v>
      </c>
      <c r="C19" s="92" t="s">
        <v>93</v>
      </c>
      <c r="D19" s="93">
        <f>+'K DE TRABAJO'!D13</f>
        <v>96</v>
      </c>
      <c r="E19" s="94">
        <v>7</v>
      </c>
      <c r="F19" s="473">
        <f>SUM(D19*E19)</f>
        <v>672</v>
      </c>
      <c r="G19" s="96">
        <f>+F19*12</f>
        <v>8064</v>
      </c>
    </row>
    <row r="20" spans="1:7" ht="13.5" thickBot="1">
      <c r="A20" s="533" t="s">
        <v>99</v>
      </c>
      <c r="B20" s="534"/>
      <c r="C20" s="534"/>
      <c r="D20" s="534"/>
      <c r="E20" s="535"/>
      <c r="F20" s="104">
        <f>SUM(F17:F19)</f>
        <v>61032</v>
      </c>
      <c r="G20" s="104">
        <f>SUM(G17:G19)</f>
        <v>732384</v>
      </c>
    </row>
    <row r="21" spans="1:9" ht="13.5" thickBot="1">
      <c r="A21" s="530" t="s">
        <v>100</v>
      </c>
      <c r="B21" s="531"/>
      <c r="C21" s="531"/>
      <c r="D21" s="531"/>
      <c r="E21" s="532"/>
      <c r="F21" s="98">
        <f>+F20+F15</f>
        <v>63744</v>
      </c>
      <c r="G21" s="98">
        <f>+G20+G15</f>
        <v>764928</v>
      </c>
      <c r="I21" s="112"/>
    </row>
    <row r="22" spans="1:7" ht="13.5" thickBot="1">
      <c r="A22" s="105"/>
      <c r="B22" s="106"/>
      <c r="C22" s="106"/>
      <c r="D22" s="106"/>
      <c r="E22" s="106"/>
      <c r="F22" s="107"/>
      <c r="G22" s="107"/>
    </row>
    <row r="23" spans="1:7" ht="12.75">
      <c r="A23" s="99" t="s">
        <v>101</v>
      </c>
      <c r="B23" s="100"/>
      <c r="C23" s="100"/>
      <c r="D23" s="101"/>
      <c r="E23" s="102"/>
      <c r="F23" s="103"/>
      <c r="G23" s="103"/>
    </row>
    <row r="24" spans="1:7" ht="12.75">
      <c r="A24" s="108">
        <v>1</v>
      </c>
      <c r="B24" s="109" t="s">
        <v>103</v>
      </c>
      <c r="C24" s="110" t="s">
        <v>102</v>
      </c>
      <c r="D24" s="111">
        <v>1</v>
      </c>
      <c r="E24" s="95">
        <v>50</v>
      </c>
      <c r="F24" s="474">
        <f>SUM(D24*E24)</f>
        <v>50</v>
      </c>
      <c r="G24" s="90">
        <f>+F24*12</f>
        <v>600</v>
      </c>
    </row>
    <row r="25" spans="1:7" ht="12.75">
      <c r="A25" s="108">
        <v>2</v>
      </c>
      <c r="B25" s="110" t="s">
        <v>104</v>
      </c>
      <c r="C25" s="110" t="s">
        <v>102</v>
      </c>
      <c r="D25" s="111">
        <v>1</v>
      </c>
      <c r="E25" s="95">
        <v>40</v>
      </c>
      <c r="F25" s="474">
        <f>SUM(D25*E25)</f>
        <v>40</v>
      </c>
      <c r="G25" s="90">
        <f>+F25*12</f>
        <v>480</v>
      </c>
    </row>
    <row r="26" spans="1:7" ht="12.75">
      <c r="A26" s="114">
        <v>3</v>
      </c>
      <c r="B26" s="115" t="s">
        <v>109</v>
      </c>
      <c r="C26" s="115" t="s">
        <v>102</v>
      </c>
      <c r="D26" s="116">
        <v>1</v>
      </c>
      <c r="E26" s="113">
        <v>50</v>
      </c>
      <c r="F26" s="478">
        <f>+E26*D26</f>
        <v>50</v>
      </c>
      <c r="G26" s="97">
        <f>+F26*12</f>
        <v>600</v>
      </c>
    </row>
    <row r="27" spans="1:7" ht="12.75">
      <c r="A27" s="114">
        <v>4</v>
      </c>
      <c r="B27" s="115" t="s">
        <v>246</v>
      </c>
      <c r="C27" s="115" t="s">
        <v>102</v>
      </c>
      <c r="D27" s="116">
        <v>1</v>
      </c>
      <c r="E27" s="113">
        <v>200</v>
      </c>
      <c r="F27" s="478">
        <f>+E27*D27</f>
        <v>200</v>
      </c>
      <c r="G27" s="97">
        <f>+F27*12</f>
        <v>2400</v>
      </c>
    </row>
    <row r="28" spans="1:7" ht="13.5" thickBot="1">
      <c r="A28" s="527" t="s">
        <v>105</v>
      </c>
      <c r="B28" s="528"/>
      <c r="C28" s="528"/>
      <c r="D28" s="528"/>
      <c r="E28" s="529"/>
      <c r="F28" s="104">
        <f>SUM(F24:F27)</f>
        <v>340</v>
      </c>
      <c r="G28" s="104">
        <f>SUM(G24:G27)</f>
        <v>4080</v>
      </c>
    </row>
    <row r="29" spans="1:7" ht="13.5" thickBot="1">
      <c r="A29" s="530" t="s">
        <v>106</v>
      </c>
      <c r="B29" s="531"/>
      <c r="C29" s="531"/>
      <c r="D29" s="531"/>
      <c r="E29" s="532"/>
      <c r="F29" s="98">
        <f>+F28+F20+F15</f>
        <v>64084</v>
      </c>
      <c r="G29" s="98">
        <f>+G28+G20+G15</f>
        <v>769008</v>
      </c>
    </row>
    <row r="30" ht="12.75">
      <c r="F30" s="112"/>
    </row>
    <row r="31" spans="6:7" ht="13.5" thickBot="1">
      <c r="F31" s="112"/>
      <c r="G31" s="112"/>
    </row>
    <row r="32" spans="1:7" ht="12.75">
      <c r="A32" s="99" t="s">
        <v>111</v>
      </c>
      <c r="B32" s="100"/>
      <c r="C32" s="100"/>
      <c r="D32" s="101"/>
      <c r="E32" s="102"/>
      <c r="F32" s="103"/>
      <c r="G32" s="103"/>
    </row>
    <row r="33" spans="1:7" ht="12.75">
      <c r="A33" s="108">
        <v>1</v>
      </c>
      <c r="B33" s="109" t="s">
        <v>112</v>
      </c>
      <c r="C33" s="110" t="s">
        <v>94</v>
      </c>
      <c r="D33" s="111">
        <v>1</v>
      </c>
      <c r="E33" s="95">
        <v>159.25</v>
      </c>
      <c r="F33" s="90">
        <f>SUM(D33*E33)</f>
        <v>159.25</v>
      </c>
      <c r="G33" s="90">
        <f>+F33*12</f>
        <v>1911</v>
      </c>
    </row>
    <row r="34" spans="1:7" ht="13.5" thickBot="1">
      <c r="A34" s="533" t="s">
        <v>113</v>
      </c>
      <c r="B34" s="534"/>
      <c r="C34" s="534"/>
      <c r="D34" s="534"/>
      <c r="E34" s="535"/>
      <c r="F34" s="104">
        <f>SUM(F33:F33)</f>
        <v>159.25</v>
      </c>
      <c r="G34" s="104">
        <f>SUM(G33:G33)</f>
        <v>1911</v>
      </c>
    </row>
    <row r="35" spans="1:7" ht="13.5" thickBot="1">
      <c r="A35" s="530" t="s">
        <v>106</v>
      </c>
      <c r="B35" s="531"/>
      <c r="C35" s="531"/>
      <c r="D35" s="531"/>
      <c r="E35" s="532"/>
      <c r="F35" s="98">
        <f>+F34+F29</f>
        <v>64243.25</v>
      </c>
      <c r="G35" s="98">
        <f>+G34+G29</f>
        <v>770919</v>
      </c>
    </row>
  </sheetData>
  <mergeCells count="13">
    <mergeCell ref="A1:G1"/>
    <mergeCell ref="A2:G2"/>
    <mergeCell ref="A5:G5"/>
    <mergeCell ref="A8:B8"/>
    <mergeCell ref="A3:G3"/>
    <mergeCell ref="A9:B9"/>
    <mergeCell ref="A20:E20"/>
    <mergeCell ref="A21:E21"/>
    <mergeCell ref="A15:E15"/>
    <mergeCell ref="A28:E28"/>
    <mergeCell ref="A29:E29"/>
    <mergeCell ref="A34:E34"/>
    <mergeCell ref="A35:E3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8"/>
  <sheetViews>
    <sheetView workbookViewId="0" topLeftCell="B30">
      <selection activeCell="J40" sqref="J40"/>
    </sheetView>
  </sheetViews>
  <sheetFormatPr defaultColWidth="11.421875" defaultRowHeight="12.75"/>
  <cols>
    <col min="1" max="1" width="7.8515625" style="119" customWidth="1"/>
    <col min="2" max="2" width="22.00390625" style="119" customWidth="1"/>
    <col min="3" max="3" width="11.00390625" style="233" customWidth="1"/>
    <col min="4" max="4" width="7.140625" style="119" customWidth="1"/>
    <col min="5" max="5" width="10.28125" style="119" customWidth="1"/>
    <col min="6" max="6" width="11.7109375" style="411" customWidth="1"/>
    <col min="7" max="7" width="9.28125" style="411" customWidth="1"/>
    <col min="8" max="8" width="8.57421875" style="411" customWidth="1"/>
    <col min="9" max="9" width="12.00390625" style="411" customWidth="1"/>
    <col min="10" max="10" width="11.00390625" style="411" customWidth="1"/>
    <col min="11" max="11" width="13.00390625" style="411" customWidth="1"/>
    <col min="12" max="12" width="11.421875" style="119" customWidth="1"/>
    <col min="13" max="13" width="21.7109375" style="119" customWidth="1"/>
    <col min="14" max="16384" width="11.421875" style="119" customWidth="1"/>
  </cols>
  <sheetData>
    <row r="1" spans="1:11" ht="12.75">
      <c r="A1" s="506" t="s">
        <v>234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</row>
    <row r="2" spans="1:11" ht="15" customHeight="1" thickBot="1">
      <c r="A2" s="507" t="s">
        <v>235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</row>
    <row r="3" spans="1:11" ht="16.5" thickBot="1">
      <c r="A3" s="508" t="s">
        <v>117</v>
      </c>
      <c r="B3" s="509"/>
      <c r="C3" s="509"/>
      <c r="D3" s="509"/>
      <c r="E3" s="509"/>
      <c r="F3" s="509"/>
      <c r="G3" s="509"/>
      <c r="H3" s="509"/>
      <c r="I3" s="509"/>
      <c r="J3" s="509"/>
      <c r="K3" s="510"/>
    </row>
    <row r="4" spans="1:11" ht="26.25" thickBot="1">
      <c r="A4" s="410" t="s">
        <v>72</v>
      </c>
      <c r="B4" s="121" t="s">
        <v>118</v>
      </c>
      <c r="C4" s="121" t="s">
        <v>119</v>
      </c>
      <c r="D4" s="121" t="s">
        <v>120</v>
      </c>
      <c r="E4" s="551" t="s">
        <v>121</v>
      </c>
      <c r="F4" s="551"/>
      <c r="G4" s="412" t="s">
        <v>122</v>
      </c>
      <c r="H4" s="413" t="s">
        <v>123</v>
      </c>
      <c r="I4" s="414" t="s">
        <v>124</v>
      </c>
      <c r="J4" s="414" t="s">
        <v>241</v>
      </c>
      <c r="K4" s="415" t="s">
        <v>242</v>
      </c>
    </row>
    <row r="5" spans="1:11" ht="13.5" thickBot="1">
      <c r="A5" s="122">
        <v>1</v>
      </c>
      <c r="B5" s="123" t="s">
        <v>9</v>
      </c>
      <c r="C5" s="234"/>
      <c r="D5" s="124"/>
      <c r="E5" s="125"/>
      <c r="F5" s="416"/>
      <c r="G5" s="417"/>
      <c r="H5" s="416" t="s">
        <v>125</v>
      </c>
      <c r="I5" s="416" t="s">
        <v>125</v>
      </c>
      <c r="J5" s="416" t="s">
        <v>125</v>
      </c>
      <c r="K5" s="418"/>
    </row>
    <row r="6" spans="1:11" ht="12.75">
      <c r="A6" s="126">
        <v>1.1</v>
      </c>
      <c r="B6" s="127" t="s">
        <v>10</v>
      </c>
      <c r="C6" s="235" t="s">
        <v>13</v>
      </c>
      <c r="D6" s="129">
        <v>150</v>
      </c>
      <c r="E6" s="130">
        <v>50</v>
      </c>
      <c r="F6" s="465">
        <f>E6*D6</f>
        <v>7500</v>
      </c>
      <c r="G6" s="482">
        <v>20</v>
      </c>
      <c r="H6" s="419">
        <v>0.05</v>
      </c>
      <c r="I6" s="465">
        <f>F6*H6</f>
        <v>375</v>
      </c>
      <c r="J6" s="463">
        <f>(F6-I6)/G6</f>
        <v>356.25</v>
      </c>
      <c r="K6" s="256">
        <f>J6/12</f>
        <v>29.6875</v>
      </c>
    </row>
    <row r="7" spans="1:11" ht="13.5" thickBot="1">
      <c r="A7" s="131">
        <v>1.2</v>
      </c>
      <c r="B7" s="132" t="s">
        <v>12</v>
      </c>
      <c r="C7" s="236" t="s">
        <v>13</v>
      </c>
      <c r="D7" s="134">
        <f>6*4</f>
        <v>24</v>
      </c>
      <c r="E7" s="135">
        <v>200</v>
      </c>
      <c r="F7" s="466">
        <f aca="true" t="shared" si="0" ref="F7:F15">E7*D7</f>
        <v>4800</v>
      </c>
      <c r="G7" s="483">
        <v>20</v>
      </c>
      <c r="H7" s="422">
        <v>0.05</v>
      </c>
      <c r="I7" s="466">
        <f aca="true" t="shared" si="1" ref="I7:I15">F7*H7</f>
        <v>240</v>
      </c>
      <c r="J7" s="464">
        <f>(F7-I7)/G7</f>
        <v>228</v>
      </c>
      <c r="K7" s="258">
        <f aca="true" t="shared" si="2" ref="K7:K15">J7/12</f>
        <v>19</v>
      </c>
    </row>
    <row r="8" spans="1:11" ht="12.75">
      <c r="A8" s="126">
        <v>1.3</v>
      </c>
      <c r="B8" s="132" t="s">
        <v>14</v>
      </c>
      <c r="C8" s="236" t="s">
        <v>13</v>
      </c>
      <c r="D8" s="134">
        <f>23*16</f>
        <v>368</v>
      </c>
      <c r="E8" s="135">
        <v>140</v>
      </c>
      <c r="F8" s="466">
        <f t="shared" si="0"/>
        <v>51520</v>
      </c>
      <c r="G8" s="483">
        <v>20</v>
      </c>
      <c r="H8" s="422">
        <v>0.05</v>
      </c>
      <c r="I8" s="466">
        <f t="shared" si="1"/>
        <v>2576</v>
      </c>
      <c r="J8" s="463">
        <f>(F8-I8)/G8</f>
        <v>2447.2</v>
      </c>
      <c r="K8" s="256">
        <f t="shared" si="2"/>
        <v>203.9333333333333</v>
      </c>
    </row>
    <row r="9" spans="1:11" ht="13.5" thickBot="1">
      <c r="A9" s="131">
        <v>1.4</v>
      </c>
      <c r="B9" s="132" t="s">
        <v>15</v>
      </c>
      <c r="C9" s="236" t="s">
        <v>13</v>
      </c>
      <c r="D9" s="134">
        <f>5*4</f>
        <v>20</v>
      </c>
      <c r="E9" s="135">
        <v>200</v>
      </c>
      <c r="F9" s="466">
        <f t="shared" si="0"/>
        <v>4000</v>
      </c>
      <c r="G9" s="483">
        <v>20</v>
      </c>
      <c r="H9" s="422">
        <v>0.05</v>
      </c>
      <c r="I9" s="466">
        <f t="shared" si="1"/>
        <v>200</v>
      </c>
      <c r="J9" s="464">
        <f aca="true" t="shared" si="3" ref="J9:J14">(F9-I9)/G9</f>
        <v>190</v>
      </c>
      <c r="K9" s="258">
        <f t="shared" si="2"/>
        <v>15.833333333333334</v>
      </c>
    </row>
    <row r="10" spans="1:11" ht="12.75">
      <c r="A10" s="126">
        <v>1.5</v>
      </c>
      <c r="B10" s="132" t="s">
        <v>16</v>
      </c>
      <c r="C10" s="236" t="s">
        <v>13</v>
      </c>
      <c r="D10" s="134">
        <f>16*6</f>
        <v>96</v>
      </c>
      <c r="E10" s="135">
        <v>140</v>
      </c>
      <c r="F10" s="466">
        <f t="shared" si="0"/>
        <v>13440</v>
      </c>
      <c r="G10" s="483">
        <v>20</v>
      </c>
      <c r="H10" s="422">
        <v>0.05</v>
      </c>
      <c r="I10" s="466">
        <f t="shared" si="1"/>
        <v>672</v>
      </c>
      <c r="J10" s="463">
        <f t="shared" si="3"/>
        <v>638.4</v>
      </c>
      <c r="K10" s="256">
        <f t="shared" si="2"/>
        <v>53.199999999999996</v>
      </c>
    </row>
    <row r="11" spans="1:11" ht="13.5" thickBot="1">
      <c r="A11" s="131">
        <v>1.6</v>
      </c>
      <c r="B11" s="132" t="s">
        <v>17</v>
      </c>
      <c r="C11" s="236" t="s">
        <v>13</v>
      </c>
      <c r="D11" s="134">
        <v>9</v>
      </c>
      <c r="E11" s="135">
        <v>50</v>
      </c>
      <c r="F11" s="466">
        <f t="shared" si="0"/>
        <v>450</v>
      </c>
      <c r="G11" s="483">
        <v>20</v>
      </c>
      <c r="H11" s="422">
        <v>0.05</v>
      </c>
      <c r="I11" s="466">
        <f t="shared" si="1"/>
        <v>22.5</v>
      </c>
      <c r="J11" s="464">
        <f t="shared" si="3"/>
        <v>21.375</v>
      </c>
      <c r="K11" s="258">
        <f t="shared" si="2"/>
        <v>1.78125</v>
      </c>
    </row>
    <row r="12" spans="1:11" ht="13.5" thickBot="1">
      <c r="A12" s="126">
        <v>1.7</v>
      </c>
      <c r="B12" s="136" t="s">
        <v>126</v>
      </c>
      <c r="C12" s="237" t="s">
        <v>23</v>
      </c>
      <c r="D12" s="137">
        <v>1</v>
      </c>
      <c r="E12" s="138">
        <f>+INVER!G17+INVER!G18+INVER!G19+INVER!G20+INVER!G21+INVER!G22</f>
        <v>16800</v>
      </c>
      <c r="F12" s="467">
        <f t="shared" si="0"/>
        <v>16800</v>
      </c>
      <c r="G12" s="484">
        <v>20</v>
      </c>
      <c r="H12" s="425">
        <v>0.05</v>
      </c>
      <c r="I12" s="467">
        <f t="shared" si="1"/>
        <v>840</v>
      </c>
      <c r="J12" s="463">
        <f t="shared" si="3"/>
        <v>798</v>
      </c>
      <c r="K12" s="256">
        <f t="shared" si="2"/>
        <v>66.5</v>
      </c>
    </row>
    <row r="13" spans="1:11" ht="13.5" thickBot="1">
      <c r="A13" s="131">
        <v>1.8</v>
      </c>
      <c r="B13" s="230" t="s">
        <v>249</v>
      </c>
      <c r="C13" s="238" t="s">
        <v>102</v>
      </c>
      <c r="D13" s="231">
        <v>27</v>
      </c>
      <c r="E13" s="232">
        <f>+INVER!F25</f>
        <v>133</v>
      </c>
      <c r="F13" s="468">
        <f t="shared" si="0"/>
        <v>3591</v>
      </c>
      <c r="G13" s="485">
        <v>3</v>
      </c>
      <c r="H13" s="425">
        <v>0.05</v>
      </c>
      <c r="I13" s="467">
        <f t="shared" si="1"/>
        <v>179.55</v>
      </c>
      <c r="J13" s="464">
        <f t="shared" si="3"/>
        <v>1137.1499999999999</v>
      </c>
      <c r="K13" s="258">
        <f t="shared" si="2"/>
        <v>94.76249999999999</v>
      </c>
    </row>
    <row r="14" spans="1:11" ht="13.5" thickBot="1">
      <c r="A14" s="161"/>
      <c r="B14" s="230" t="s">
        <v>256</v>
      </c>
      <c r="C14" s="238" t="s">
        <v>251</v>
      </c>
      <c r="D14" s="231">
        <v>21</v>
      </c>
      <c r="E14" s="232">
        <v>1200</v>
      </c>
      <c r="F14" s="468">
        <f t="shared" si="0"/>
        <v>25200</v>
      </c>
      <c r="G14" s="485">
        <v>3</v>
      </c>
      <c r="H14" s="425">
        <v>0.05</v>
      </c>
      <c r="I14" s="467">
        <f t="shared" si="1"/>
        <v>1260</v>
      </c>
      <c r="J14" s="463">
        <f t="shared" si="3"/>
        <v>7980</v>
      </c>
      <c r="K14" s="256">
        <f t="shared" si="2"/>
        <v>665</v>
      </c>
    </row>
    <row r="15" spans="1:11" ht="13.5" thickBot="1">
      <c r="A15" s="174"/>
      <c r="B15" s="230" t="s">
        <v>26</v>
      </c>
      <c r="C15" s="238" t="s">
        <v>23</v>
      </c>
      <c r="D15" s="231">
        <v>1</v>
      </c>
      <c r="E15" s="232">
        <f>+INVER!F23</f>
        <v>16616</v>
      </c>
      <c r="F15" s="468">
        <f t="shared" si="0"/>
        <v>16616</v>
      </c>
      <c r="G15" s="485">
        <v>0</v>
      </c>
      <c r="H15" s="426">
        <v>0</v>
      </c>
      <c r="I15" s="467">
        <f t="shared" si="1"/>
        <v>0</v>
      </c>
      <c r="J15" s="469">
        <v>0</v>
      </c>
      <c r="K15" s="259">
        <f t="shared" si="2"/>
        <v>0</v>
      </c>
    </row>
    <row r="16" spans="1:11" ht="13.5" thickBot="1">
      <c r="A16" s="545" t="s">
        <v>127</v>
      </c>
      <c r="B16" s="546"/>
      <c r="C16" s="546"/>
      <c r="D16" s="546"/>
      <c r="E16" s="547"/>
      <c r="F16" s="490">
        <f>SUM(F6:F15)</f>
        <v>143917</v>
      </c>
      <c r="G16" s="486"/>
      <c r="H16" s="416"/>
      <c r="I16" s="261">
        <f>SUM(I6:I15)</f>
        <v>6365.05</v>
      </c>
      <c r="J16" s="261">
        <f>SUM(J6:J15)</f>
        <v>13796.375</v>
      </c>
      <c r="K16" s="262">
        <f>SUM(K6:K15)</f>
        <v>1149.6979166666665</v>
      </c>
    </row>
    <row r="17" spans="1:11" ht="12.75">
      <c r="A17" s="140">
        <v>2</v>
      </c>
      <c r="B17" s="548" t="s">
        <v>28</v>
      </c>
      <c r="C17" s="548"/>
      <c r="D17" s="128"/>
      <c r="E17" s="128"/>
      <c r="F17" s="420" t="s">
        <v>125</v>
      </c>
      <c r="G17" s="482"/>
      <c r="H17" s="420"/>
      <c r="I17" s="420"/>
      <c r="J17" s="420"/>
      <c r="K17" s="421"/>
    </row>
    <row r="18" spans="1:11" ht="12.75">
      <c r="A18" s="74">
        <v>2.1</v>
      </c>
      <c r="B18" s="13" t="s">
        <v>29</v>
      </c>
      <c r="C18" s="239" t="s">
        <v>30</v>
      </c>
      <c r="D18" s="22">
        <v>1</v>
      </c>
      <c r="E18" s="15">
        <v>3024</v>
      </c>
      <c r="F18" s="487">
        <f>+E18*D18</f>
        <v>3024</v>
      </c>
      <c r="G18" s="483">
        <v>10</v>
      </c>
      <c r="H18" s="423">
        <v>0.1</v>
      </c>
      <c r="I18" s="257">
        <f>F18*H18</f>
        <v>302.40000000000003</v>
      </c>
      <c r="J18" s="257">
        <f>(F18-I18)/G18</f>
        <v>272.15999999999997</v>
      </c>
      <c r="K18" s="258">
        <f>J18/12</f>
        <v>22.679999999999996</v>
      </c>
    </row>
    <row r="19" spans="1:11" ht="12.75">
      <c r="A19" s="74">
        <v>2.2</v>
      </c>
      <c r="B19" s="13" t="s">
        <v>31</v>
      </c>
      <c r="C19" s="239" t="s">
        <v>32</v>
      </c>
      <c r="D19" s="22">
        <v>1</v>
      </c>
      <c r="E19" s="15">
        <v>8400</v>
      </c>
      <c r="F19" s="487">
        <f aca="true" t="shared" si="4" ref="F19:F36">+E19*D19</f>
        <v>8400</v>
      </c>
      <c r="G19" s="483">
        <v>10</v>
      </c>
      <c r="H19" s="423">
        <v>0.1</v>
      </c>
      <c r="I19" s="257">
        <f aca="true" t="shared" si="5" ref="I19:I36">F19*H19</f>
        <v>840</v>
      </c>
      <c r="J19" s="257">
        <f aca="true" t="shared" si="6" ref="J19:J36">(F19-I19)/G19</f>
        <v>756</v>
      </c>
      <c r="K19" s="258">
        <f aca="true" t="shared" si="7" ref="K19:K36">J19/12</f>
        <v>63</v>
      </c>
    </row>
    <row r="20" spans="1:11" ht="12.75">
      <c r="A20" s="74">
        <v>2.3</v>
      </c>
      <c r="B20" s="13" t="s">
        <v>29</v>
      </c>
      <c r="C20" s="239" t="s">
        <v>30</v>
      </c>
      <c r="D20" s="22">
        <v>1</v>
      </c>
      <c r="E20" s="15">
        <v>3024</v>
      </c>
      <c r="F20" s="487">
        <f t="shared" si="4"/>
        <v>3024</v>
      </c>
      <c r="G20" s="483">
        <v>10</v>
      </c>
      <c r="H20" s="423">
        <v>0.1</v>
      </c>
      <c r="I20" s="257">
        <f t="shared" si="5"/>
        <v>302.40000000000003</v>
      </c>
      <c r="J20" s="257">
        <f t="shared" si="6"/>
        <v>272.15999999999997</v>
      </c>
      <c r="K20" s="258">
        <f t="shared" si="7"/>
        <v>22.679999999999996</v>
      </c>
    </row>
    <row r="21" spans="1:11" ht="12.75">
      <c r="A21" s="74">
        <v>2.4</v>
      </c>
      <c r="B21" s="13" t="s">
        <v>33</v>
      </c>
      <c r="C21" s="239" t="s">
        <v>34</v>
      </c>
      <c r="D21" s="22">
        <v>1</v>
      </c>
      <c r="E21" s="15">
        <v>2352</v>
      </c>
      <c r="F21" s="487">
        <f t="shared" si="4"/>
        <v>2352</v>
      </c>
      <c r="G21" s="483">
        <v>10</v>
      </c>
      <c r="H21" s="423">
        <v>0.1</v>
      </c>
      <c r="I21" s="257">
        <f t="shared" si="5"/>
        <v>235.20000000000002</v>
      </c>
      <c r="J21" s="257">
        <f t="shared" si="6"/>
        <v>211.68</v>
      </c>
      <c r="K21" s="258">
        <f t="shared" si="7"/>
        <v>17.64</v>
      </c>
    </row>
    <row r="22" spans="1:11" ht="12.75">
      <c r="A22" s="74">
        <v>2.5</v>
      </c>
      <c r="B22" s="13" t="s">
        <v>35</v>
      </c>
      <c r="C22" s="239" t="s">
        <v>36</v>
      </c>
      <c r="D22" s="22">
        <v>1</v>
      </c>
      <c r="E22" s="15">
        <v>1680</v>
      </c>
      <c r="F22" s="487">
        <f t="shared" si="4"/>
        <v>1680</v>
      </c>
      <c r="G22" s="483">
        <v>10</v>
      </c>
      <c r="H22" s="423">
        <v>0.1</v>
      </c>
      <c r="I22" s="257">
        <f t="shared" si="5"/>
        <v>168</v>
      </c>
      <c r="J22" s="257">
        <f t="shared" si="6"/>
        <v>151.2</v>
      </c>
      <c r="K22" s="258">
        <f t="shared" si="7"/>
        <v>12.6</v>
      </c>
    </row>
    <row r="23" spans="1:11" ht="12.75">
      <c r="A23" s="74">
        <v>2.6</v>
      </c>
      <c r="B23" s="13" t="s">
        <v>37</v>
      </c>
      <c r="C23" s="239" t="s">
        <v>38</v>
      </c>
      <c r="D23" s="22">
        <v>1</v>
      </c>
      <c r="E23" s="15">
        <v>2685.76</v>
      </c>
      <c r="F23" s="487">
        <f t="shared" si="4"/>
        <v>2685.76</v>
      </c>
      <c r="G23" s="483">
        <v>10</v>
      </c>
      <c r="H23" s="423">
        <v>0.1</v>
      </c>
      <c r="I23" s="257">
        <f t="shared" si="5"/>
        <v>268.576</v>
      </c>
      <c r="J23" s="257">
        <f t="shared" si="6"/>
        <v>241.71840000000003</v>
      </c>
      <c r="K23" s="258">
        <f t="shared" si="7"/>
        <v>20.143200000000004</v>
      </c>
    </row>
    <row r="24" spans="1:11" ht="12.75">
      <c r="A24" s="74">
        <v>2.7</v>
      </c>
      <c r="B24" s="13" t="s">
        <v>35</v>
      </c>
      <c r="C24" s="239" t="s">
        <v>36</v>
      </c>
      <c r="D24" s="22">
        <v>1</v>
      </c>
      <c r="E24" s="15">
        <v>1680</v>
      </c>
      <c r="F24" s="487">
        <f t="shared" si="4"/>
        <v>1680</v>
      </c>
      <c r="G24" s="483">
        <v>10</v>
      </c>
      <c r="H24" s="423">
        <v>0.1</v>
      </c>
      <c r="I24" s="257">
        <f t="shared" si="5"/>
        <v>168</v>
      </c>
      <c r="J24" s="257">
        <f t="shared" si="6"/>
        <v>151.2</v>
      </c>
      <c r="K24" s="258">
        <f t="shared" si="7"/>
        <v>12.6</v>
      </c>
    </row>
    <row r="25" spans="1:11" ht="12.75">
      <c r="A25" s="74">
        <v>2.8</v>
      </c>
      <c r="B25" s="13" t="s">
        <v>39</v>
      </c>
      <c r="C25" s="239" t="s">
        <v>40</v>
      </c>
      <c r="D25" s="22">
        <v>1</v>
      </c>
      <c r="E25" s="15">
        <v>9576</v>
      </c>
      <c r="F25" s="487">
        <f t="shared" si="4"/>
        <v>9576</v>
      </c>
      <c r="G25" s="483">
        <v>10</v>
      </c>
      <c r="H25" s="423">
        <v>0.1</v>
      </c>
      <c r="I25" s="257">
        <f t="shared" si="5"/>
        <v>957.6</v>
      </c>
      <c r="J25" s="257">
        <f t="shared" si="6"/>
        <v>861.8399999999999</v>
      </c>
      <c r="K25" s="258">
        <f t="shared" si="7"/>
        <v>71.82</v>
      </c>
    </row>
    <row r="26" spans="1:11" ht="12.75">
      <c r="A26" s="74">
        <v>2.9</v>
      </c>
      <c r="B26" s="13" t="s">
        <v>35</v>
      </c>
      <c r="C26" s="239" t="s">
        <v>36</v>
      </c>
      <c r="D26" s="22">
        <v>1</v>
      </c>
      <c r="E26" s="15">
        <v>1680</v>
      </c>
      <c r="F26" s="487">
        <f t="shared" si="4"/>
        <v>1680</v>
      </c>
      <c r="G26" s="483">
        <v>10</v>
      </c>
      <c r="H26" s="423">
        <v>0.1</v>
      </c>
      <c r="I26" s="257">
        <f t="shared" si="5"/>
        <v>168</v>
      </c>
      <c r="J26" s="257">
        <f t="shared" si="6"/>
        <v>151.2</v>
      </c>
      <c r="K26" s="258">
        <f t="shared" si="7"/>
        <v>12.6</v>
      </c>
    </row>
    <row r="27" spans="1:11" ht="18" customHeight="1">
      <c r="A27" s="74">
        <v>2.1</v>
      </c>
      <c r="B27" s="13" t="s">
        <v>41</v>
      </c>
      <c r="C27" s="239" t="s">
        <v>42</v>
      </c>
      <c r="D27" s="22">
        <v>1</v>
      </c>
      <c r="E27" s="15">
        <v>1797.6</v>
      </c>
      <c r="F27" s="487">
        <f t="shared" si="4"/>
        <v>1797.6</v>
      </c>
      <c r="G27" s="483">
        <v>10</v>
      </c>
      <c r="H27" s="423">
        <v>0.1</v>
      </c>
      <c r="I27" s="257">
        <f t="shared" si="5"/>
        <v>179.76</v>
      </c>
      <c r="J27" s="257">
        <f t="shared" si="6"/>
        <v>161.784</v>
      </c>
      <c r="K27" s="258">
        <f t="shared" si="7"/>
        <v>13.482</v>
      </c>
    </row>
    <row r="28" spans="1:11" ht="12.75">
      <c r="A28" s="74">
        <v>2.11</v>
      </c>
      <c r="B28" s="13" t="s">
        <v>35</v>
      </c>
      <c r="C28" s="239" t="s">
        <v>36</v>
      </c>
      <c r="D28" s="22">
        <v>1</v>
      </c>
      <c r="E28" s="15">
        <v>1680</v>
      </c>
      <c r="F28" s="487">
        <f t="shared" si="4"/>
        <v>1680</v>
      </c>
      <c r="G28" s="483">
        <v>10</v>
      </c>
      <c r="H28" s="423">
        <v>0.1</v>
      </c>
      <c r="I28" s="257">
        <f t="shared" si="5"/>
        <v>168</v>
      </c>
      <c r="J28" s="257">
        <f t="shared" si="6"/>
        <v>151.2</v>
      </c>
      <c r="K28" s="258">
        <f t="shared" si="7"/>
        <v>12.6</v>
      </c>
    </row>
    <row r="29" spans="1:11" ht="25.5">
      <c r="A29" s="74">
        <v>2.12</v>
      </c>
      <c r="B29" s="13" t="s">
        <v>43</v>
      </c>
      <c r="C29" s="239" t="s">
        <v>44</v>
      </c>
      <c r="D29" s="22">
        <v>1</v>
      </c>
      <c r="E29" s="15">
        <v>1680</v>
      </c>
      <c r="F29" s="487">
        <f t="shared" si="4"/>
        <v>1680</v>
      </c>
      <c r="G29" s="483">
        <v>10</v>
      </c>
      <c r="H29" s="423">
        <v>0.1</v>
      </c>
      <c r="I29" s="257">
        <f t="shared" si="5"/>
        <v>168</v>
      </c>
      <c r="J29" s="257">
        <f t="shared" si="6"/>
        <v>151.2</v>
      </c>
      <c r="K29" s="258">
        <f t="shared" si="7"/>
        <v>12.6</v>
      </c>
    </row>
    <row r="30" spans="1:11" ht="12.75">
      <c r="A30" s="74">
        <v>2.13</v>
      </c>
      <c r="B30" s="13" t="s">
        <v>35</v>
      </c>
      <c r="C30" s="239" t="s">
        <v>36</v>
      </c>
      <c r="D30" s="22">
        <v>1</v>
      </c>
      <c r="E30" s="15">
        <v>1680</v>
      </c>
      <c r="F30" s="487">
        <f t="shared" si="4"/>
        <v>1680</v>
      </c>
      <c r="G30" s="483">
        <v>10</v>
      </c>
      <c r="H30" s="423">
        <v>0.1</v>
      </c>
      <c r="I30" s="257">
        <f t="shared" si="5"/>
        <v>168</v>
      </c>
      <c r="J30" s="257">
        <f t="shared" si="6"/>
        <v>151.2</v>
      </c>
      <c r="K30" s="258">
        <f t="shared" si="7"/>
        <v>12.6</v>
      </c>
    </row>
    <row r="31" spans="1:11" ht="12.75">
      <c r="A31" s="74">
        <v>2.14</v>
      </c>
      <c r="B31" s="13" t="s">
        <v>45</v>
      </c>
      <c r="C31" s="239" t="s">
        <v>46</v>
      </c>
      <c r="D31" s="22">
        <v>1</v>
      </c>
      <c r="E31" s="15">
        <v>2408</v>
      </c>
      <c r="F31" s="487">
        <f t="shared" si="4"/>
        <v>2408</v>
      </c>
      <c r="G31" s="483">
        <v>10</v>
      </c>
      <c r="H31" s="423">
        <v>0.1</v>
      </c>
      <c r="I31" s="257">
        <f t="shared" si="5"/>
        <v>240.8</v>
      </c>
      <c r="J31" s="257">
        <f t="shared" si="6"/>
        <v>216.71999999999997</v>
      </c>
      <c r="K31" s="258">
        <f t="shared" si="7"/>
        <v>18.06</v>
      </c>
    </row>
    <row r="32" spans="1:11" ht="12.75">
      <c r="A32" s="74">
        <v>2.15</v>
      </c>
      <c r="B32" s="13" t="s">
        <v>47</v>
      </c>
      <c r="C32" s="239" t="s">
        <v>46</v>
      </c>
      <c r="D32" s="22">
        <v>6</v>
      </c>
      <c r="E32" s="15">
        <v>792.96</v>
      </c>
      <c r="F32" s="487">
        <f t="shared" si="4"/>
        <v>4757.76</v>
      </c>
      <c r="G32" s="483">
        <v>10</v>
      </c>
      <c r="H32" s="423">
        <v>0.1</v>
      </c>
      <c r="I32" s="257">
        <f t="shared" si="5"/>
        <v>475.77600000000007</v>
      </c>
      <c r="J32" s="257">
        <f t="shared" si="6"/>
        <v>428.19840000000005</v>
      </c>
      <c r="K32" s="258">
        <f t="shared" si="7"/>
        <v>35.68320000000001</v>
      </c>
    </row>
    <row r="33" spans="1:11" ht="12.75">
      <c r="A33" s="74">
        <v>2.16</v>
      </c>
      <c r="B33" s="13" t="s">
        <v>48</v>
      </c>
      <c r="C33" s="239" t="s">
        <v>49</v>
      </c>
      <c r="D33" s="22">
        <v>2</v>
      </c>
      <c r="E33" s="15">
        <v>2912</v>
      </c>
      <c r="F33" s="487">
        <f t="shared" si="4"/>
        <v>5824</v>
      </c>
      <c r="G33" s="483">
        <v>10</v>
      </c>
      <c r="H33" s="423">
        <v>0.1</v>
      </c>
      <c r="I33" s="257">
        <f t="shared" si="5"/>
        <v>582.4</v>
      </c>
      <c r="J33" s="257">
        <f t="shared" si="6"/>
        <v>524.1600000000001</v>
      </c>
      <c r="K33" s="258">
        <f t="shared" si="7"/>
        <v>43.68000000000001</v>
      </c>
    </row>
    <row r="34" spans="1:11" ht="12.75">
      <c r="A34" s="74">
        <v>2.17</v>
      </c>
      <c r="B34" s="13" t="s">
        <v>50</v>
      </c>
      <c r="C34" s="239" t="s">
        <v>51</v>
      </c>
      <c r="D34" s="22">
        <v>100</v>
      </c>
      <c r="E34" s="15">
        <v>10.64</v>
      </c>
      <c r="F34" s="487">
        <f t="shared" si="4"/>
        <v>1064</v>
      </c>
      <c r="G34" s="483">
        <v>10</v>
      </c>
      <c r="H34" s="423">
        <v>0.1</v>
      </c>
      <c r="I34" s="257">
        <f t="shared" si="5"/>
        <v>106.4</v>
      </c>
      <c r="J34" s="257">
        <f t="shared" si="6"/>
        <v>95.76</v>
      </c>
      <c r="K34" s="258">
        <f t="shared" si="7"/>
        <v>7.98</v>
      </c>
    </row>
    <row r="35" spans="1:11" ht="12.75">
      <c r="A35" s="74">
        <v>2.18</v>
      </c>
      <c r="B35" s="13" t="s">
        <v>52</v>
      </c>
      <c r="C35" s="239" t="s">
        <v>53</v>
      </c>
      <c r="D35" s="22">
        <v>3</v>
      </c>
      <c r="E35" s="15">
        <v>634.67</v>
      </c>
      <c r="F35" s="487">
        <f t="shared" si="4"/>
        <v>1904.0099999999998</v>
      </c>
      <c r="G35" s="483">
        <v>10</v>
      </c>
      <c r="H35" s="423">
        <v>0.1</v>
      </c>
      <c r="I35" s="257">
        <f t="shared" si="5"/>
        <v>190.40099999999998</v>
      </c>
      <c r="J35" s="257">
        <f t="shared" si="6"/>
        <v>171.36089999999996</v>
      </c>
      <c r="K35" s="258">
        <f t="shared" si="7"/>
        <v>14.280074999999997</v>
      </c>
    </row>
    <row r="36" spans="1:11" ht="12.75">
      <c r="A36" s="74">
        <v>2.19</v>
      </c>
      <c r="B36" s="13" t="s">
        <v>54</v>
      </c>
      <c r="C36" s="239" t="s">
        <v>55</v>
      </c>
      <c r="D36" s="22">
        <v>1</v>
      </c>
      <c r="E36" s="15">
        <v>1848</v>
      </c>
      <c r="F36" s="487">
        <f t="shared" si="4"/>
        <v>1848</v>
      </c>
      <c r="G36" s="483">
        <v>3</v>
      </c>
      <c r="H36" s="423">
        <v>0.33</v>
      </c>
      <c r="I36" s="257">
        <f t="shared" si="5"/>
        <v>609.84</v>
      </c>
      <c r="J36" s="257">
        <f t="shared" si="6"/>
        <v>412.71999999999997</v>
      </c>
      <c r="K36" s="258">
        <f t="shared" si="7"/>
        <v>34.39333333333333</v>
      </c>
    </row>
    <row r="37" spans="1:11" ht="13.5" thickBot="1">
      <c r="A37" s="549" t="s">
        <v>129</v>
      </c>
      <c r="B37" s="550"/>
      <c r="C37" s="550"/>
      <c r="D37" s="550"/>
      <c r="E37" s="550"/>
      <c r="F37" s="263">
        <f>SUM(F18:F36)</f>
        <v>58745.130000000005</v>
      </c>
      <c r="G37" s="424"/>
      <c r="H37" s="424"/>
      <c r="I37" s="263">
        <f>SUM(I18:I36)</f>
        <v>6299.552999999999</v>
      </c>
      <c r="J37" s="263">
        <f>SUM(J18:J36)</f>
        <v>5533.461699999999</v>
      </c>
      <c r="K37" s="264">
        <f>SUM(K18:K36)</f>
        <v>461.1218083333334</v>
      </c>
    </row>
    <row r="38" spans="1:11" s="170" customFormat="1" ht="13.5" thickBot="1">
      <c r="A38" s="260"/>
      <c r="B38" s="260"/>
      <c r="C38" s="260"/>
      <c r="D38" s="260"/>
      <c r="E38" s="260"/>
      <c r="F38" s="488"/>
      <c r="G38" s="429"/>
      <c r="H38" s="429"/>
      <c r="I38" s="428"/>
      <c r="J38" s="428"/>
      <c r="K38" s="428"/>
    </row>
    <row r="39" spans="1:11" s="233" customFormat="1" ht="26.25" thickBot="1">
      <c r="A39" s="410" t="s">
        <v>72</v>
      </c>
      <c r="B39" s="121" t="s">
        <v>118</v>
      </c>
      <c r="C39" s="121" t="s">
        <v>119</v>
      </c>
      <c r="D39" s="121" t="s">
        <v>120</v>
      </c>
      <c r="E39" s="551" t="s">
        <v>121</v>
      </c>
      <c r="F39" s="551"/>
      <c r="G39" s="412" t="s">
        <v>122</v>
      </c>
      <c r="H39" s="413" t="s">
        <v>123</v>
      </c>
      <c r="I39" s="414" t="s">
        <v>124</v>
      </c>
      <c r="J39" s="414" t="s">
        <v>241</v>
      </c>
      <c r="K39" s="415" t="s">
        <v>242</v>
      </c>
    </row>
    <row r="40" spans="1:11" ht="12.75">
      <c r="A40" s="140">
        <v>3</v>
      </c>
      <c r="B40" s="141" t="s">
        <v>130</v>
      </c>
      <c r="C40" s="240"/>
      <c r="D40" s="128"/>
      <c r="E40" s="142"/>
      <c r="F40" s="419"/>
      <c r="G40" s="419"/>
      <c r="H40" s="419"/>
      <c r="I40" s="419"/>
      <c r="J40" s="419"/>
      <c r="K40" s="421"/>
    </row>
    <row r="41" spans="1:11" ht="25.5">
      <c r="A41" s="143">
        <v>1</v>
      </c>
      <c r="B41" s="144" t="s">
        <v>131</v>
      </c>
      <c r="C41" s="241" t="s">
        <v>23</v>
      </c>
      <c r="D41" s="145">
        <v>2</v>
      </c>
      <c r="E41" s="146">
        <v>200</v>
      </c>
      <c r="F41" s="257">
        <f>E41*D41</f>
        <v>400</v>
      </c>
      <c r="G41" s="257">
        <v>3</v>
      </c>
      <c r="H41" s="422">
        <v>0.33</v>
      </c>
      <c r="I41" s="257">
        <f>F41*H41</f>
        <v>132</v>
      </c>
      <c r="J41" s="257">
        <f>(F41-I41)/G41</f>
        <v>89.33333333333333</v>
      </c>
      <c r="K41" s="258">
        <f>J41/12</f>
        <v>7.444444444444444</v>
      </c>
    </row>
    <row r="42" spans="1:11" ht="12.75">
      <c r="A42" s="147">
        <v>3</v>
      </c>
      <c r="B42" s="148" t="s">
        <v>59</v>
      </c>
      <c r="C42" s="242" t="s">
        <v>23</v>
      </c>
      <c r="D42" s="149">
        <v>2</v>
      </c>
      <c r="E42" s="150">
        <v>150</v>
      </c>
      <c r="F42" s="257">
        <f>E42*D42</f>
        <v>300</v>
      </c>
      <c r="G42" s="257">
        <v>3</v>
      </c>
      <c r="H42" s="422">
        <v>0.33</v>
      </c>
      <c r="I42" s="257">
        <f>F42*H42</f>
        <v>99</v>
      </c>
      <c r="J42" s="257">
        <f>(F42-I42)/G42</f>
        <v>67</v>
      </c>
      <c r="K42" s="258">
        <f>J42/12</f>
        <v>5.583333333333333</v>
      </c>
    </row>
    <row r="43" spans="1:11" ht="13.5" thickBot="1">
      <c r="A43" s="147">
        <v>4</v>
      </c>
      <c r="B43" s="148" t="s">
        <v>132</v>
      </c>
      <c r="C43" s="242" t="s">
        <v>23</v>
      </c>
      <c r="D43" s="149">
        <v>4</v>
      </c>
      <c r="E43" s="150">
        <v>75</v>
      </c>
      <c r="F43" s="257">
        <f>E43*D43</f>
        <v>300</v>
      </c>
      <c r="G43" s="257">
        <v>3</v>
      </c>
      <c r="H43" s="422">
        <v>0.33</v>
      </c>
      <c r="I43" s="257">
        <f>F43*H43</f>
        <v>99</v>
      </c>
      <c r="J43" s="257">
        <f>(F43-I43)/G43</f>
        <v>67</v>
      </c>
      <c r="K43" s="258">
        <f>J43/12</f>
        <v>5.583333333333333</v>
      </c>
    </row>
    <row r="44" spans="1:11" ht="13.5" thickBot="1">
      <c r="A44" s="542" t="s">
        <v>133</v>
      </c>
      <c r="B44" s="543"/>
      <c r="C44" s="543"/>
      <c r="D44" s="543"/>
      <c r="E44" s="544"/>
      <c r="F44" s="265">
        <f>SUM(F41:F43)</f>
        <v>1000</v>
      </c>
      <c r="G44" s="430" t="s">
        <v>125</v>
      </c>
      <c r="H44" s="430" t="s">
        <v>125</v>
      </c>
      <c r="I44" s="265">
        <f>SUM(I41:I43)</f>
        <v>330</v>
      </c>
      <c r="J44" s="265">
        <f>SUM(J41:J43)</f>
        <v>223.33333333333331</v>
      </c>
      <c r="K44" s="266">
        <f>SUM(K41:K43)</f>
        <v>18.61111111111111</v>
      </c>
    </row>
    <row r="45" spans="1:11" ht="13.5" thickBot="1">
      <c r="A45" s="60">
        <v>4</v>
      </c>
      <c r="B45" s="151" t="s">
        <v>134</v>
      </c>
      <c r="C45" s="243"/>
      <c r="D45" s="152"/>
      <c r="E45" s="153"/>
      <c r="F45" s="489"/>
      <c r="G45" s="431" t="s">
        <v>125</v>
      </c>
      <c r="H45" s="431" t="s">
        <v>125</v>
      </c>
      <c r="I45" s="431" t="s">
        <v>125</v>
      </c>
      <c r="J45" s="431" t="s">
        <v>135</v>
      </c>
      <c r="K45" s="432"/>
    </row>
    <row r="46" spans="1:11" ht="13.5" thickBot="1">
      <c r="A46" s="542" t="s">
        <v>136</v>
      </c>
      <c r="B46" s="543"/>
      <c r="C46" s="543"/>
      <c r="D46" s="543"/>
      <c r="E46" s="544"/>
      <c r="F46" s="267">
        <f>+F44+F37+F16</f>
        <v>203662.13</v>
      </c>
      <c r="G46" s="433"/>
      <c r="H46" s="433"/>
      <c r="I46" s="267">
        <f>+I44+I37+I16</f>
        <v>12994.603</v>
      </c>
      <c r="J46" s="267">
        <f>+J44+J37+J16</f>
        <v>19553.170033333332</v>
      </c>
      <c r="K46" s="267">
        <f>+K44+K37+K16</f>
        <v>1629.430836111111</v>
      </c>
    </row>
    <row r="47" spans="2:10" ht="13.5" customHeight="1">
      <c r="B47" s="154"/>
      <c r="C47" s="244"/>
      <c r="D47" s="155"/>
      <c r="E47" s="156"/>
      <c r="F47" s="491">
        <f>+F46-INVER!G54</f>
        <v>0</v>
      </c>
      <c r="J47" s="411" t="s">
        <v>125</v>
      </c>
    </row>
    <row r="48" spans="2:6" ht="12.75">
      <c r="B48" s="154"/>
      <c r="C48" s="244"/>
      <c r="D48" s="155"/>
      <c r="E48" s="156"/>
      <c r="F48" s="434"/>
    </row>
    <row r="49" spans="2:6" ht="12.75">
      <c r="B49" s="154"/>
      <c r="C49" s="244"/>
      <c r="D49" s="155"/>
      <c r="E49" s="156"/>
      <c r="F49" s="434"/>
    </row>
    <row r="50" spans="2:6" ht="12.75">
      <c r="B50" s="154"/>
      <c r="C50" s="244"/>
      <c r="D50" s="155"/>
      <c r="E50" s="156"/>
      <c r="F50" s="434"/>
    </row>
    <row r="51" spans="2:6" ht="12.75">
      <c r="B51" s="154"/>
      <c r="C51" s="244"/>
      <c r="D51" s="155"/>
      <c r="E51" s="156"/>
      <c r="F51" s="434"/>
    </row>
    <row r="52" spans="2:6" ht="12.75">
      <c r="B52" s="154"/>
      <c r="C52" s="244"/>
      <c r="D52" s="155"/>
      <c r="E52" s="156"/>
      <c r="F52" s="434"/>
    </row>
    <row r="53" spans="2:6" ht="12.75">
      <c r="B53" s="154"/>
      <c r="C53" s="244"/>
      <c r="D53" s="155"/>
      <c r="E53" s="156"/>
      <c r="F53" s="434"/>
    </row>
    <row r="54" spans="2:6" ht="12.75">
      <c r="B54" s="154"/>
      <c r="C54" s="244"/>
      <c r="D54" s="155"/>
      <c r="E54" s="156"/>
      <c r="F54" s="434"/>
    </row>
    <row r="55" spans="2:6" ht="12.75">
      <c r="B55" s="154"/>
      <c r="C55" s="244"/>
      <c r="D55" s="155"/>
      <c r="E55" s="156"/>
      <c r="F55" s="434"/>
    </row>
    <row r="56" spans="2:6" ht="12.75">
      <c r="B56" s="154"/>
      <c r="C56" s="244"/>
      <c r="D56" s="155"/>
      <c r="E56" s="156"/>
      <c r="F56" s="434"/>
    </row>
    <row r="57" spans="2:6" ht="12.75">
      <c r="B57" s="154"/>
      <c r="C57" s="244"/>
      <c r="D57" s="155"/>
      <c r="E57" s="156"/>
      <c r="F57" s="434"/>
    </row>
    <row r="58" spans="2:6" ht="12.75">
      <c r="B58" s="154"/>
      <c r="C58" s="244"/>
      <c r="D58" s="155"/>
      <c r="E58" s="156"/>
      <c r="F58" s="434"/>
    </row>
    <row r="59" spans="2:6" ht="12.75">
      <c r="B59" s="154"/>
      <c r="C59" s="244"/>
      <c r="D59" s="155"/>
      <c r="E59" s="156"/>
      <c r="F59" s="434"/>
    </row>
    <row r="60" spans="2:6" ht="12.75">
      <c r="B60" s="154"/>
      <c r="C60" s="244"/>
      <c r="D60" s="155"/>
      <c r="E60" s="156"/>
      <c r="F60" s="434"/>
    </row>
    <row r="61" spans="2:6" ht="12.75">
      <c r="B61" s="154"/>
      <c r="C61" s="244"/>
      <c r="D61" s="155"/>
      <c r="E61" s="156"/>
      <c r="F61" s="434"/>
    </row>
    <row r="62" spans="2:6" ht="12.75">
      <c r="B62" s="154"/>
      <c r="C62" s="244"/>
      <c r="D62" s="155"/>
      <c r="E62" s="156"/>
      <c r="F62" s="434"/>
    </row>
    <row r="63" spans="2:6" ht="12.75">
      <c r="B63" s="154"/>
      <c r="C63" s="244"/>
      <c r="D63" s="155"/>
      <c r="E63" s="156"/>
      <c r="F63" s="434"/>
    </row>
    <row r="64" spans="2:6" ht="12.75">
      <c r="B64" s="154"/>
      <c r="C64" s="244"/>
      <c r="D64" s="155"/>
      <c r="E64" s="156"/>
      <c r="F64" s="434"/>
    </row>
    <row r="65" spans="2:6" ht="12.75">
      <c r="B65" s="154"/>
      <c r="C65" s="244"/>
      <c r="D65" s="155"/>
      <c r="E65" s="156"/>
      <c r="F65" s="434"/>
    </row>
    <row r="66" spans="2:6" ht="12.75">
      <c r="B66" s="154"/>
      <c r="C66" s="244"/>
      <c r="D66" s="155"/>
      <c r="E66" s="156"/>
      <c r="F66" s="434"/>
    </row>
    <row r="67" spans="2:6" ht="13.5" thickBot="1">
      <c r="B67" s="154"/>
      <c r="C67" s="244"/>
      <c r="D67" s="155"/>
      <c r="E67" s="156"/>
      <c r="F67" s="434"/>
    </row>
    <row r="68" spans="1:6" ht="13.5" thickBot="1">
      <c r="A68" s="139">
        <v>1</v>
      </c>
      <c r="B68" s="157" t="s">
        <v>9</v>
      </c>
      <c r="C68" s="244"/>
      <c r="D68" s="155"/>
      <c r="E68" s="156"/>
      <c r="F68" s="434"/>
    </row>
    <row r="69" spans="2:6" ht="13.5" thickBot="1">
      <c r="B69" s="154"/>
      <c r="C69" s="244"/>
      <c r="D69" s="155"/>
      <c r="E69" s="156"/>
      <c r="F69" s="434"/>
    </row>
    <row r="70" spans="1:8" ht="51.75" thickBot="1">
      <c r="A70" s="158" t="s">
        <v>137</v>
      </c>
      <c r="B70" s="159">
        <f>SUM(A6)</f>
        <v>1.1</v>
      </c>
      <c r="C70" s="245"/>
      <c r="D70" s="155"/>
      <c r="E70" s="160" t="s">
        <v>138</v>
      </c>
      <c r="F70" s="435" t="s">
        <v>139</v>
      </c>
      <c r="G70" s="414" t="s">
        <v>140</v>
      </c>
      <c r="H70" s="436" t="s">
        <v>141</v>
      </c>
    </row>
    <row r="71" spans="1:8" ht="12.75">
      <c r="A71" s="161" t="s">
        <v>118</v>
      </c>
      <c r="B71" s="162" t="s">
        <v>10</v>
      </c>
      <c r="C71" s="245"/>
      <c r="D71" s="155"/>
      <c r="E71" s="163">
        <v>0</v>
      </c>
      <c r="F71" s="437"/>
      <c r="G71" s="438"/>
      <c r="H71" s="439">
        <f>SUM(B73)</f>
        <v>7500</v>
      </c>
    </row>
    <row r="72" spans="1:8" ht="12.75">
      <c r="A72" s="161" t="s">
        <v>142</v>
      </c>
      <c r="B72" s="164" t="s">
        <v>143</v>
      </c>
      <c r="C72" s="246"/>
      <c r="D72" s="155"/>
      <c r="E72" s="166">
        <v>1</v>
      </c>
      <c r="F72" s="440">
        <f>SUM(J6)</f>
        <v>356.25</v>
      </c>
      <c r="G72" s="423">
        <f>F72</f>
        <v>356.25</v>
      </c>
      <c r="H72" s="441">
        <f>H71-F72</f>
        <v>7143.75</v>
      </c>
    </row>
    <row r="73" spans="1:8" ht="12.75">
      <c r="A73" s="161" t="s">
        <v>144</v>
      </c>
      <c r="B73" s="167">
        <f>SUM(F6)</f>
        <v>7500</v>
      </c>
      <c r="C73" s="247"/>
      <c r="D73" s="81"/>
      <c r="E73" s="168">
        <v>2</v>
      </c>
      <c r="F73" s="440">
        <f>+F72</f>
        <v>356.25</v>
      </c>
      <c r="G73" s="423">
        <f>G72+F73</f>
        <v>712.5</v>
      </c>
      <c r="H73" s="441">
        <f>H72-F73</f>
        <v>6787.5</v>
      </c>
    </row>
    <row r="74" spans="1:8" ht="12.75">
      <c r="A74" s="161" t="s">
        <v>145</v>
      </c>
      <c r="B74" s="169">
        <v>20</v>
      </c>
      <c r="C74" s="248"/>
      <c r="E74" s="171">
        <v>3</v>
      </c>
      <c r="F74" s="440">
        <f aca="true" t="shared" si="8" ref="F74:F91">+F73</f>
        <v>356.25</v>
      </c>
      <c r="G74" s="423">
        <f>G73+F74</f>
        <v>1068.75</v>
      </c>
      <c r="H74" s="441">
        <f aca="true" t="shared" si="9" ref="H74:H91">H73-F74</f>
        <v>6431.25</v>
      </c>
    </row>
    <row r="75" spans="1:8" ht="12.75">
      <c r="A75" s="161" t="s">
        <v>146</v>
      </c>
      <c r="B75" s="172">
        <v>0.05</v>
      </c>
      <c r="C75" s="249"/>
      <c r="E75" s="171">
        <v>4</v>
      </c>
      <c r="F75" s="440">
        <f t="shared" si="8"/>
        <v>356.25</v>
      </c>
      <c r="G75" s="423">
        <f aca="true" t="shared" si="10" ref="G75:G91">G74+F75</f>
        <v>1425</v>
      </c>
      <c r="H75" s="441">
        <f t="shared" si="9"/>
        <v>6075</v>
      </c>
    </row>
    <row r="76" spans="1:8" ht="12.75">
      <c r="A76" s="161" t="s">
        <v>147</v>
      </c>
      <c r="B76" s="173">
        <f>B73*5%</f>
        <v>375</v>
      </c>
      <c r="C76" s="250"/>
      <c r="E76" s="171">
        <v>5</v>
      </c>
      <c r="F76" s="440">
        <f t="shared" si="8"/>
        <v>356.25</v>
      </c>
      <c r="G76" s="423">
        <f t="shared" si="10"/>
        <v>1781.25</v>
      </c>
      <c r="H76" s="441">
        <f t="shared" si="9"/>
        <v>5718.75</v>
      </c>
    </row>
    <row r="77" spans="1:8" ht="13.5" thickBot="1">
      <c r="A77" s="174"/>
      <c r="B77" s="175"/>
      <c r="C77" s="248"/>
      <c r="E77" s="171">
        <v>6</v>
      </c>
      <c r="F77" s="440">
        <f t="shared" si="8"/>
        <v>356.25</v>
      </c>
      <c r="G77" s="423">
        <f t="shared" si="10"/>
        <v>2137.5</v>
      </c>
      <c r="H77" s="441">
        <f t="shared" si="9"/>
        <v>5362.5</v>
      </c>
    </row>
    <row r="78" spans="1:8" ht="13.5" thickBot="1">
      <c r="A78" s="119" t="s">
        <v>125</v>
      </c>
      <c r="E78" s="171">
        <v>7</v>
      </c>
      <c r="F78" s="440">
        <f t="shared" si="8"/>
        <v>356.25</v>
      </c>
      <c r="G78" s="423">
        <f t="shared" si="10"/>
        <v>2493.75</v>
      </c>
      <c r="H78" s="441">
        <f t="shared" si="9"/>
        <v>5006.25</v>
      </c>
    </row>
    <row r="79" spans="1:8" ht="12.75">
      <c r="A79" s="176" t="s">
        <v>148</v>
      </c>
      <c r="B79" s="177"/>
      <c r="C79" s="248"/>
      <c r="E79" s="171">
        <v>8</v>
      </c>
      <c r="F79" s="440">
        <f t="shared" si="8"/>
        <v>356.25</v>
      </c>
      <c r="G79" s="423">
        <f t="shared" si="10"/>
        <v>2850</v>
      </c>
      <c r="H79" s="441">
        <f t="shared" si="9"/>
        <v>4650</v>
      </c>
    </row>
    <row r="80" spans="1:8" ht="12.75">
      <c r="A80" s="161"/>
      <c r="B80" s="169" t="s">
        <v>125</v>
      </c>
      <c r="C80" s="248"/>
      <c r="E80" s="171">
        <v>9</v>
      </c>
      <c r="F80" s="440">
        <f t="shared" si="8"/>
        <v>356.25</v>
      </c>
      <c r="G80" s="423">
        <f t="shared" si="10"/>
        <v>3206.25</v>
      </c>
      <c r="H80" s="441">
        <f t="shared" si="9"/>
        <v>4293.75</v>
      </c>
    </row>
    <row r="81" spans="1:8" ht="13.5" thickBot="1">
      <c r="A81" s="174"/>
      <c r="B81" s="178">
        <f>(B73-B76)/B74</f>
        <v>356.25</v>
      </c>
      <c r="C81" s="251"/>
      <c r="E81" s="171">
        <v>10</v>
      </c>
      <c r="F81" s="440">
        <f t="shared" si="8"/>
        <v>356.25</v>
      </c>
      <c r="G81" s="423">
        <f t="shared" si="10"/>
        <v>3562.5</v>
      </c>
      <c r="H81" s="441">
        <f t="shared" si="9"/>
        <v>3937.5</v>
      </c>
    </row>
    <row r="82" spans="2:8" ht="12.75">
      <c r="B82" s="154"/>
      <c r="C82" s="244"/>
      <c r="D82" s="155"/>
      <c r="E82" s="168">
        <v>11</v>
      </c>
      <c r="F82" s="440">
        <f t="shared" si="8"/>
        <v>356.25</v>
      </c>
      <c r="G82" s="423">
        <f t="shared" si="10"/>
        <v>3918.75</v>
      </c>
      <c r="H82" s="441">
        <f t="shared" si="9"/>
        <v>3581.25</v>
      </c>
    </row>
    <row r="83" spans="2:8" ht="12.75">
      <c r="B83" s="154"/>
      <c r="C83" s="244"/>
      <c r="D83" s="155"/>
      <c r="E83" s="168">
        <v>12</v>
      </c>
      <c r="F83" s="440">
        <f t="shared" si="8"/>
        <v>356.25</v>
      </c>
      <c r="G83" s="423">
        <f t="shared" si="10"/>
        <v>4275</v>
      </c>
      <c r="H83" s="441">
        <f t="shared" si="9"/>
        <v>3225</v>
      </c>
    </row>
    <row r="84" spans="2:8" ht="12.75">
      <c r="B84" s="154"/>
      <c r="C84" s="244"/>
      <c r="D84" s="155"/>
      <c r="E84" s="168">
        <v>13</v>
      </c>
      <c r="F84" s="440">
        <f t="shared" si="8"/>
        <v>356.25</v>
      </c>
      <c r="G84" s="423">
        <f t="shared" si="10"/>
        <v>4631.25</v>
      </c>
      <c r="H84" s="441">
        <f t="shared" si="9"/>
        <v>2868.75</v>
      </c>
    </row>
    <row r="85" spans="2:8" ht="12.75">
      <c r="B85" s="154"/>
      <c r="C85" s="244"/>
      <c r="D85" s="155"/>
      <c r="E85" s="168">
        <v>14</v>
      </c>
      <c r="F85" s="440">
        <f t="shared" si="8"/>
        <v>356.25</v>
      </c>
      <c r="G85" s="423">
        <f t="shared" si="10"/>
        <v>4987.5</v>
      </c>
      <c r="H85" s="441">
        <f t="shared" si="9"/>
        <v>2512.5</v>
      </c>
    </row>
    <row r="86" spans="2:8" ht="12.75">
      <c r="B86" s="154"/>
      <c r="C86" s="244"/>
      <c r="D86" s="155"/>
      <c r="E86" s="168">
        <v>15</v>
      </c>
      <c r="F86" s="440">
        <f t="shared" si="8"/>
        <v>356.25</v>
      </c>
      <c r="G86" s="423">
        <f t="shared" si="10"/>
        <v>5343.75</v>
      </c>
      <c r="H86" s="441">
        <f t="shared" si="9"/>
        <v>2156.25</v>
      </c>
    </row>
    <row r="87" spans="2:8" ht="12.75">
      <c r="B87" s="154"/>
      <c r="C87" s="244"/>
      <c r="D87" s="155"/>
      <c r="E87" s="168">
        <v>16</v>
      </c>
      <c r="F87" s="440">
        <f t="shared" si="8"/>
        <v>356.25</v>
      </c>
      <c r="G87" s="423">
        <f t="shared" si="10"/>
        <v>5700</v>
      </c>
      <c r="H87" s="441">
        <f t="shared" si="9"/>
        <v>1800</v>
      </c>
    </row>
    <row r="88" spans="2:8" ht="12.75">
      <c r="B88" s="154"/>
      <c r="C88" s="244"/>
      <c r="D88" s="155"/>
      <c r="E88" s="168">
        <v>17</v>
      </c>
      <c r="F88" s="440">
        <f t="shared" si="8"/>
        <v>356.25</v>
      </c>
      <c r="G88" s="423">
        <f t="shared" si="10"/>
        <v>6056.25</v>
      </c>
      <c r="H88" s="441">
        <f t="shared" si="9"/>
        <v>1443.75</v>
      </c>
    </row>
    <row r="89" spans="2:8" ht="12.75">
      <c r="B89" s="154"/>
      <c r="C89" s="244"/>
      <c r="D89" s="155"/>
      <c r="E89" s="168">
        <v>18</v>
      </c>
      <c r="F89" s="440">
        <f t="shared" si="8"/>
        <v>356.25</v>
      </c>
      <c r="G89" s="423">
        <f t="shared" si="10"/>
        <v>6412.5</v>
      </c>
      <c r="H89" s="441">
        <f t="shared" si="9"/>
        <v>1087.5</v>
      </c>
    </row>
    <row r="90" spans="2:8" ht="12.75">
      <c r="B90" s="154"/>
      <c r="C90" s="244"/>
      <c r="D90" s="155"/>
      <c r="E90" s="168">
        <v>19</v>
      </c>
      <c r="F90" s="440">
        <f t="shared" si="8"/>
        <v>356.25</v>
      </c>
      <c r="G90" s="423">
        <f t="shared" si="10"/>
        <v>6768.75</v>
      </c>
      <c r="H90" s="441">
        <f t="shared" si="9"/>
        <v>731.25</v>
      </c>
    </row>
    <row r="91" spans="2:8" ht="13.5" thickBot="1">
      <c r="B91" s="154"/>
      <c r="C91" s="244"/>
      <c r="D91" s="155"/>
      <c r="E91" s="179">
        <v>20</v>
      </c>
      <c r="F91" s="442">
        <f t="shared" si="8"/>
        <v>356.25</v>
      </c>
      <c r="G91" s="424">
        <f t="shared" si="10"/>
        <v>7125</v>
      </c>
      <c r="H91" s="427">
        <f t="shared" si="9"/>
        <v>375</v>
      </c>
    </row>
    <row r="92" spans="2:8" ht="12.75">
      <c r="B92" s="154"/>
      <c r="C92" s="244"/>
      <c r="D92" s="155"/>
      <c r="E92" s="180"/>
      <c r="F92" s="443"/>
      <c r="G92" s="429"/>
      <c r="H92" s="428"/>
    </row>
    <row r="93" spans="2:8" ht="12.75">
      <c r="B93" s="154"/>
      <c r="C93" s="244"/>
      <c r="D93" s="155"/>
      <c r="E93" s="180"/>
      <c r="F93" s="443"/>
      <c r="G93" s="429"/>
      <c r="H93" s="428"/>
    </row>
    <row r="94" spans="2:8" ht="12.75">
      <c r="B94" s="154"/>
      <c r="C94" s="244"/>
      <c r="D94" s="155"/>
      <c r="E94" s="180"/>
      <c r="F94" s="443"/>
      <c r="G94" s="429"/>
      <c r="H94" s="428"/>
    </row>
    <row r="95" spans="2:6" ht="27" customHeight="1">
      <c r="B95" s="154"/>
      <c r="C95" s="244"/>
      <c r="D95" s="155"/>
      <c r="E95" s="156"/>
      <c r="F95" s="434"/>
    </row>
    <row r="96" spans="2:6" ht="27" customHeight="1">
      <c r="B96" s="154"/>
      <c r="C96" s="244"/>
      <c r="D96" s="155"/>
      <c r="E96" s="156"/>
      <c r="F96" s="434"/>
    </row>
    <row r="97" spans="2:6" ht="27" customHeight="1">
      <c r="B97" s="154"/>
      <c r="C97" s="244"/>
      <c r="D97" s="155"/>
      <c r="E97" s="156"/>
      <c r="F97" s="434"/>
    </row>
    <row r="98" spans="2:6" ht="27" customHeight="1" thickBot="1">
      <c r="B98" s="154"/>
      <c r="C98" s="244"/>
      <c r="D98" s="155"/>
      <c r="E98" s="156"/>
      <c r="F98" s="434"/>
    </row>
    <row r="99" spans="1:8" ht="51.75" thickBot="1">
      <c r="A99" s="158" t="s">
        <v>137</v>
      </c>
      <c r="B99" s="159">
        <f>SUM(A7)</f>
        <v>1.2</v>
      </c>
      <c r="C99" s="245"/>
      <c r="D99" s="155"/>
      <c r="E99" s="160" t="s">
        <v>138</v>
      </c>
      <c r="F99" s="435" t="s">
        <v>139</v>
      </c>
      <c r="G99" s="414" t="s">
        <v>140</v>
      </c>
      <c r="H99" s="436" t="s">
        <v>141</v>
      </c>
    </row>
    <row r="100" spans="1:8" ht="12.75">
      <c r="A100" s="161" t="s">
        <v>118</v>
      </c>
      <c r="B100" s="162" t="s">
        <v>12</v>
      </c>
      <c r="C100" s="245"/>
      <c r="D100" s="155"/>
      <c r="E100" s="163">
        <v>0</v>
      </c>
      <c r="F100" s="437"/>
      <c r="G100" s="438"/>
      <c r="H100" s="439">
        <f>SUM(B102)</f>
        <v>4800</v>
      </c>
    </row>
    <row r="101" spans="1:8" ht="12.75">
      <c r="A101" s="161" t="s">
        <v>142</v>
      </c>
      <c r="B101" s="164" t="s">
        <v>149</v>
      </c>
      <c r="C101" s="246"/>
      <c r="D101" s="155"/>
      <c r="E101" s="166">
        <v>1</v>
      </c>
      <c r="F101" s="440">
        <f>SUM(B110)</f>
        <v>228</v>
      </c>
      <c r="G101" s="423">
        <f>F101</f>
        <v>228</v>
      </c>
      <c r="H101" s="441">
        <f>H100-F101</f>
        <v>4572</v>
      </c>
    </row>
    <row r="102" spans="1:8" ht="12.75">
      <c r="A102" s="161" t="s">
        <v>144</v>
      </c>
      <c r="B102" s="167">
        <f>SUM(F7)</f>
        <v>4800</v>
      </c>
      <c r="C102" s="247"/>
      <c r="D102" s="81"/>
      <c r="E102" s="168">
        <v>2</v>
      </c>
      <c r="F102" s="440">
        <f>+F101</f>
        <v>228</v>
      </c>
      <c r="G102" s="423">
        <f>G101+F102</f>
        <v>456</v>
      </c>
      <c r="H102" s="441">
        <f>H101-F102</f>
        <v>4344</v>
      </c>
    </row>
    <row r="103" spans="1:8" ht="12.75">
      <c r="A103" s="161" t="s">
        <v>145</v>
      </c>
      <c r="B103" s="169">
        <v>20</v>
      </c>
      <c r="C103" s="248"/>
      <c r="E103" s="171">
        <v>3</v>
      </c>
      <c r="F103" s="440">
        <f aca="true" t="shared" si="11" ref="F103:F120">+F102</f>
        <v>228</v>
      </c>
      <c r="G103" s="423">
        <f>G102+F103</f>
        <v>684</v>
      </c>
      <c r="H103" s="441">
        <f aca="true" t="shared" si="12" ref="H103:H120">H102-F103</f>
        <v>4116</v>
      </c>
    </row>
    <row r="104" spans="1:8" ht="12.75">
      <c r="A104" s="161" t="s">
        <v>146</v>
      </c>
      <c r="B104" s="172">
        <v>0.05</v>
      </c>
      <c r="C104" s="249"/>
      <c r="E104" s="171">
        <v>4</v>
      </c>
      <c r="F104" s="440">
        <f t="shared" si="11"/>
        <v>228</v>
      </c>
      <c r="G104" s="423">
        <f aca="true" t="shared" si="13" ref="G104:G120">G103+F104</f>
        <v>912</v>
      </c>
      <c r="H104" s="441">
        <f t="shared" si="12"/>
        <v>3888</v>
      </c>
    </row>
    <row r="105" spans="1:8" ht="12.75">
      <c r="A105" s="161" t="s">
        <v>147</v>
      </c>
      <c r="B105" s="173">
        <f>B102*5%</f>
        <v>240</v>
      </c>
      <c r="C105" s="250"/>
      <c r="E105" s="171">
        <v>5</v>
      </c>
      <c r="F105" s="440">
        <f t="shared" si="11"/>
        <v>228</v>
      </c>
      <c r="G105" s="423">
        <f t="shared" si="13"/>
        <v>1140</v>
      </c>
      <c r="H105" s="441">
        <f t="shared" si="12"/>
        <v>3660</v>
      </c>
    </row>
    <row r="106" spans="1:8" ht="13.5" thickBot="1">
      <c r="A106" s="174"/>
      <c r="B106" s="175"/>
      <c r="C106" s="248"/>
      <c r="E106" s="171">
        <v>6</v>
      </c>
      <c r="F106" s="440">
        <f t="shared" si="11"/>
        <v>228</v>
      </c>
      <c r="G106" s="423">
        <f t="shared" si="13"/>
        <v>1368</v>
      </c>
      <c r="H106" s="441">
        <f t="shared" si="12"/>
        <v>3432</v>
      </c>
    </row>
    <row r="107" spans="1:8" ht="13.5" thickBot="1">
      <c r="A107" s="119" t="s">
        <v>125</v>
      </c>
      <c r="E107" s="171">
        <v>7</v>
      </c>
      <c r="F107" s="440">
        <f t="shared" si="11"/>
        <v>228</v>
      </c>
      <c r="G107" s="423">
        <f t="shared" si="13"/>
        <v>1596</v>
      </c>
      <c r="H107" s="441">
        <f t="shared" si="12"/>
        <v>3204</v>
      </c>
    </row>
    <row r="108" spans="1:8" ht="12.75">
      <c r="A108" s="176" t="s">
        <v>148</v>
      </c>
      <c r="B108" s="177"/>
      <c r="C108" s="248"/>
      <c r="E108" s="171">
        <v>8</v>
      </c>
      <c r="F108" s="440">
        <f t="shared" si="11"/>
        <v>228</v>
      </c>
      <c r="G108" s="423">
        <f t="shared" si="13"/>
        <v>1824</v>
      </c>
      <c r="H108" s="441">
        <f t="shared" si="12"/>
        <v>2976</v>
      </c>
    </row>
    <row r="109" spans="1:8" ht="12.75">
      <c r="A109" s="161"/>
      <c r="B109" s="169" t="s">
        <v>125</v>
      </c>
      <c r="C109" s="248"/>
      <c r="E109" s="171">
        <v>9</v>
      </c>
      <c r="F109" s="440">
        <f t="shared" si="11"/>
        <v>228</v>
      </c>
      <c r="G109" s="423">
        <f t="shared" si="13"/>
        <v>2052</v>
      </c>
      <c r="H109" s="441">
        <f t="shared" si="12"/>
        <v>2748</v>
      </c>
    </row>
    <row r="110" spans="1:8" ht="13.5" thickBot="1">
      <c r="A110" s="174"/>
      <c r="B110" s="178">
        <f>(B102-B105)/B103</f>
        <v>228</v>
      </c>
      <c r="C110" s="251"/>
      <c r="E110" s="171">
        <v>10</v>
      </c>
      <c r="F110" s="440">
        <f t="shared" si="11"/>
        <v>228</v>
      </c>
      <c r="G110" s="423">
        <f t="shared" si="13"/>
        <v>2280</v>
      </c>
      <c r="H110" s="441">
        <f t="shared" si="12"/>
        <v>2520</v>
      </c>
    </row>
    <row r="111" spans="2:8" ht="12.75">
      <c r="B111" s="154"/>
      <c r="C111" s="244"/>
      <c r="D111" s="155"/>
      <c r="E111" s="168">
        <v>11</v>
      </c>
      <c r="F111" s="440">
        <f t="shared" si="11"/>
        <v>228</v>
      </c>
      <c r="G111" s="423">
        <f t="shared" si="13"/>
        <v>2508</v>
      </c>
      <c r="H111" s="441">
        <f t="shared" si="12"/>
        <v>2292</v>
      </c>
    </row>
    <row r="112" spans="2:8" ht="12.75">
      <c r="B112" s="154"/>
      <c r="C112" s="244"/>
      <c r="D112" s="155"/>
      <c r="E112" s="168">
        <v>12</v>
      </c>
      <c r="F112" s="440">
        <f t="shared" si="11"/>
        <v>228</v>
      </c>
      <c r="G112" s="423">
        <f t="shared" si="13"/>
        <v>2736</v>
      </c>
      <c r="H112" s="441">
        <f t="shared" si="12"/>
        <v>2064</v>
      </c>
    </row>
    <row r="113" spans="2:8" ht="12.75">
      <c r="B113" s="154"/>
      <c r="C113" s="244"/>
      <c r="D113" s="155"/>
      <c r="E113" s="168">
        <v>13</v>
      </c>
      <c r="F113" s="440">
        <f t="shared" si="11"/>
        <v>228</v>
      </c>
      <c r="G113" s="423">
        <f t="shared" si="13"/>
        <v>2964</v>
      </c>
      <c r="H113" s="441">
        <f t="shared" si="12"/>
        <v>1836</v>
      </c>
    </row>
    <row r="114" spans="2:8" ht="12.75">
      <c r="B114" s="154"/>
      <c r="C114" s="244"/>
      <c r="D114" s="155"/>
      <c r="E114" s="168">
        <v>14</v>
      </c>
      <c r="F114" s="440">
        <f t="shared" si="11"/>
        <v>228</v>
      </c>
      <c r="G114" s="423">
        <f t="shared" si="13"/>
        <v>3192</v>
      </c>
      <c r="H114" s="441">
        <f t="shared" si="12"/>
        <v>1608</v>
      </c>
    </row>
    <row r="115" spans="2:8" ht="12.75">
      <c r="B115" s="154"/>
      <c r="C115" s="244"/>
      <c r="D115" s="155"/>
      <c r="E115" s="168">
        <v>15</v>
      </c>
      <c r="F115" s="440">
        <f t="shared" si="11"/>
        <v>228</v>
      </c>
      <c r="G115" s="423">
        <f t="shared" si="13"/>
        <v>3420</v>
      </c>
      <c r="H115" s="441">
        <f t="shared" si="12"/>
        <v>1380</v>
      </c>
    </row>
    <row r="116" spans="2:8" ht="12.75">
      <c r="B116" s="154"/>
      <c r="C116" s="244"/>
      <c r="D116" s="155"/>
      <c r="E116" s="168">
        <v>16</v>
      </c>
      <c r="F116" s="440">
        <f t="shared" si="11"/>
        <v>228</v>
      </c>
      <c r="G116" s="423">
        <f t="shared" si="13"/>
        <v>3648</v>
      </c>
      <c r="H116" s="441">
        <f t="shared" si="12"/>
        <v>1152</v>
      </c>
    </row>
    <row r="117" spans="2:8" ht="12.75">
      <c r="B117" s="154"/>
      <c r="C117" s="244"/>
      <c r="D117" s="155"/>
      <c r="E117" s="168">
        <v>17</v>
      </c>
      <c r="F117" s="440">
        <f t="shared" si="11"/>
        <v>228</v>
      </c>
      <c r="G117" s="423">
        <f t="shared" si="13"/>
        <v>3876</v>
      </c>
      <c r="H117" s="441">
        <f t="shared" si="12"/>
        <v>924</v>
      </c>
    </row>
    <row r="118" spans="2:8" ht="12.75">
      <c r="B118" s="154"/>
      <c r="C118" s="244"/>
      <c r="D118" s="155"/>
      <c r="E118" s="168">
        <v>18</v>
      </c>
      <c r="F118" s="440">
        <f t="shared" si="11"/>
        <v>228</v>
      </c>
      <c r="G118" s="423">
        <f t="shared" si="13"/>
        <v>4104</v>
      </c>
      <c r="H118" s="441">
        <f t="shared" si="12"/>
        <v>696</v>
      </c>
    </row>
    <row r="119" spans="2:8" ht="12.75">
      <c r="B119" s="154"/>
      <c r="C119" s="244"/>
      <c r="D119" s="155"/>
      <c r="E119" s="168">
        <v>19</v>
      </c>
      <c r="F119" s="440">
        <f t="shared" si="11"/>
        <v>228</v>
      </c>
      <c r="G119" s="423">
        <f t="shared" si="13"/>
        <v>4332</v>
      </c>
      <c r="H119" s="441">
        <f t="shared" si="12"/>
        <v>468</v>
      </c>
    </row>
    <row r="120" spans="2:8" ht="13.5" thickBot="1">
      <c r="B120" s="154"/>
      <c r="C120" s="244"/>
      <c r="D120" s="155"/>
      <c r="E120" s="179">
        <v>20</v>
      </c>
      <c r="F120" s="442">
        <f t="shared" si="11"/>
        <v>228</v>
      </c>
      <c r="G120" s="424">
        <f t="shared" si="13"/>
        <v>4560</v>
      </c>
      <c r="H120" s="427">
        <f t="shared" si="12"/>
        <v>240</v>
      </c>
    </row>
    <row r="121" spans="2:6" ht="12.75">
      <c r="B121" s="154"/>
      <c r="C121" s="244"/>
      <c r="D121" s="155"/>
      <c r="E121" s="156"/>
      <c r="F121" s="434"/>
    </row>
    <row r="122" spans="2:6" ht="12.75">
      <c r="B122" s="154"/>
      <c r="C122" s="244"/>
      <c r="D122" s="155"/>
      <c r="E122" s="156"/>
      <c r="F122" s="434"/>
    </row>
    <row r="123" spans="2:6" ht="12.75">
      <c r="B123" s="154"/>
      <c r="C123" s="244"/>
      <c r="D123" s="155"/>
      <c r="E123" s="156"/>
      <c r="F123" s="434"/>
    </row>
    <row r="124" spans="2:6" ht="12.75">
      <c r="B124" s="154"/>
      <c r="C124" s="244"/>
      <c r="D124" s="155"/>
      <c r="E124" s="156"/>
      <c r="F124" s="434"/>
    </row>
    <row r="125" spans="2:6" ht="12.75">
      <c r="B125" s="154"/>
      <c r="C125" s="244"/>
      <c r="D125" s="155"/>
      <c r="E125" s="156"/>
      <c r="F125" s="434"/>
    </row>
    <row r="126" spans="2:6" ht="12.75">
      <c r="B126" s="154"/>
      <c r="C126" s="244"/>
      <c r="D126" s="155"/>
      <c r="E126" s="156"/>
      <c r="F126" s="434"/>
    </row>
    <row r="127" spans="2:6" ht="12.75">
      <c r="B127" s="154"/>
      <c r="C127" s="244"/>
      <c r="D127" s="155"/>
      <c r="E127" s="156"/>
      <c r="F127" s="434"/>
    </row>
    <row r="128" spans="2:6" ht="12.75">
      <c r="B128" s="154"/>
      <c r="C128" s="244"/>
      <c r="D128" s="155"/>
      <c r="E128" s="156"/>
      <c r="F128" s="434"/>
    </row>
    <row r="129" spans="2:6" ht="12.75">
      <c r="B129" s="154"/>
      <c r="C129" s="244"/>
      <c r="D129" s="155"/>
      <c r="E129" s="156"/>
      <c r="F129" s="434"/>
    </row>
    <row r="130" spans="2:6" ht="12.75">
      <c r="B130" s="154"/>
      <c r="C130" s="244"/>
      <c r="D130" s="155"/>
      <c r="E130" s="156"/>
      <c r="F130" s="434"/>
    </row>
    <row r="131" spans="2:6" ht="12.75">
      <c r="B131" s="154"/>
      <c r="C131" s="244"/>
      <c r="D131" s="155"/>
      <c r="E131" s="156"/>
      <c r="F131" s="434"/>
    </row>
    <row r="132" spans="2:6" ht="12.75">
      <c r="B132" s="154"/>
      <c r="C132" s="244"/>
      <c r="D132" s="155"/>
      <c r="E132" s="156"/>
      <c r="F132" s="434"/>
    </row>
    <row r="133" spans="2:6" ht="12.75">
      <c r="B133" s="154"/>
      <c r="C133" s="244"/>
      <c r="D133" s="155"/>
      <c r="E133" s="156"/>
      <c r="F133" s="434"/>
    </row>
    <row r="134" spans="2:6" ht="13.5" thickBot="1">
      <c r="B134" s="154"/>
      <c r="C134" s="244"/>
      <c r="D134" s="155"/>
      <c r="E134" s="156"/>
      <c r="F134" s="434"/>
    </row>
    <row r="135" spans="1:8" ht="51.75" thickBot="1">
      <c r="A135" s="158" t="s">
        <v>137</v>
      </c>
      <c r="B135" s="159">
        <f>SUM(A8)</f>
        <v>1.3</v>
      </c>
      <c r="C135" s="245"/>
      <c r="D135" s="155"/>
      <c r="E135" s="160" t="s">
        <v>138</v>
      </c>
      <c r="F135" s="435" t="s">
        <v>139</v>
      </c>
      <c r="G135" s="414" t="s">
        <v>140</v>
      </c>
      <c r="H135" s="436" t="s">
        <v>141</v>
      </c>
    </row>
    <row r="136" spans="1:8" ht="12.75">
      <c r="A136" s="161" t="s">
        <v>118</v>
      </c>
      <c r="B136" s="162" t="s">
        <v>150</v>
      </c>
      <c r="C136" s="245"/>
      <c r="D136" s="155"/>
      <c r="E136" s="163">
        <v>0</v>
      </c>
      <c r="F136" s="437"/>
      <c r="G136" s="438"/>
      <c r="H136" s="439">
        <f>SUM(B138)</f>
        <v>51520</v>
      </c>
    </row>
    <row r="137" spans="1:8" ht="12.75">
      <c r="A137" s="161" t="s">
        <v>142</v>
      </c>
      <c r="B137" s="164" t="s">
        <v>151</v>
      </c>
      <c r="C137" s="246"/>
      <c r="D137" s="155"/>
      <c r="E137" s="166">
        <v>1</v>
      </c>
      <c r="F137" s="440">
        <f>SUM(B146)</f>
        <v>2447.2</v>
      </c>
      <c r="G137" s="423">
        <f>F137</f>
        <v>2447.2</v>
      </c>
      <c r="H137" s="441">
        <f>H136-F137</f>
        <v>49072.8</v>
      </c>
    </row>
    <row r="138" spans="1:8" ht="12.75">
      <c r="A138" s="161" t="s">
        <v>144</v>
      </c>
      <c r="B138" s="167">
        <f>SUM(F8)</f>
        <v>51520</v>
      </c>
      <c r="C138" s="247"/>
      <c r="D138" s="81"/>
      <c r="E138" s="168">
        <v>2</v>
      </c>
      <c r="F138" s="440">
        <f>+F137</f>
        <v>2447.2</v>
      </c>
      <c r="G138" s="423">
        <f>G137+F138</f>
        <v>4894.4</v>
      </c>
      <c r="H138" s="441">
        <f>H137-F138</f>
        <v>46625.600000000006</v>
      </c>
    </row>
    <row r="139" spans="1:8" ht="12.75">
      <c r="A139" s="161" t="s">
        <v>145</v>
      </c>
      <c r="B139" s="169">
        <v>20</v>
      </c>
      <c r="C139" s="248"/>
      <c r="E139" s="171">
        <v>3</v>
      </c>
      <c r="F139" s="440">
        <f aca="true" t="shared" si="14" ref="F139:F156">+F138</f>
        <v>2447.2</v>
      </c>
      <c r="G139" s="423">
        <f>G138+F139</f>
        <v>7341.599999999999</v>
      </c>
      <c r="H139" s="441">
        <f aca="true" t="shared" si="15" ref="H139:H156">H138-F139</f>
        <v>44178.40000000001</v>
      </c>
    </row>
    <row r="140" spans="1:8" ht="12.75">
      <c r="A140" s="161" t="s">
        <v>146</v>
      </c>
      <c r="B140" s="172">
        <v>0.05</v>
      </c>
      <c r="C140" s="249"/>
      <c r="E140" s="171">
        <v>4</v>
      </c>
      <c r="F140" s="440">
        <f t="shared" si="14"/>
        <v>2447.2</v>
      </c>
      <c r="G140" s="423">
        <f aca="true" t="shared" si="16" ref="G140:G156">G139+F140</f>
        <v>9788.8</v>
      </c>
      <c r="H140" s="441">
        <f t="shared" si="15"/>
        <v>41731.20000000001</v>
      </c>
    </row>
    <row r="141" spans="1:8" ht="12.75">
      <c r="A141" s="161" t="s">
        <v>147</v>
      </c>
      <c r="B141" s="173">
        <f>B138*5%</f>
        <v>2576</v>
      </c>
      <c r="C141" s="250"/>
      <c r="E141" s="171">
        <v>5</v>
      </c>
      <c r="F141" s="440">
        <f t="shared" si="14"/>
        <v>2447.2</v>
      </c>
      <c r="G141" s="423">
        <f t="shared" si="16"/>
        <v>12236</v>
      </c>
      <c r="H141" s="441">
        <f t="shared" si="15"/>
        <v>39284.000000000015</v>
      </c>
    </row>
    <row r="142" spans="1:8" ht="13.5" thickBot="1">
      <c r="A142" s="174"/>
      <c r="B142" s="175"/>
      <c r="C142" s="248"/>
      <c r="E142" s="171">
        <v>6</v>
      </c>
      <c r="F142" s="440">
        <f t="shared" si="14"/>
        <v>2447.2</v>
      </c>
      <c r="G142" s="423">
        <f t="shared" si="16"/>
        <v>14683.2</v>
      </c>
      <c r="H142" s="441">
        <f t="shared" si="15"/>
        <v>36836.80000000002</v>
      </c>
    </row>
    <row r="143" spans="1:8" ht="13.5" thickBot="1">
      <c r="A143" s="119" t="s">
        <v>125</v>
      </c>
      <c r="E143" s="171">
        <v>7</v>
      </c>
      <c r="F143" s="440">
        <f t="shared" si="14"/>
        <v>2447.2</v>
      </c>
      <c r="G143" s="423">
        <f t="shared" si="16"/>
        <v>17130.4</v>
      </c>
      <c r="H143" s="441">
        <f t="shared" si="15"/>
        <v>34389.60000000002</v>
      </c>
    </row>
    <row r="144" spans="1:8" ht="12.75">
      <c r="A144" s="176" t="s">
        <v>148</v>
      </c>
      <c r="B144" s="177"/>
      <c r="C144" s="248"/>
      <c r="E144" s="171">
        <v>8</v>
      </c>
      <c r="F144" s="440">
        <f t="shared" si="14"/>
        <v>2447.2</v>
      </c>
      <c r="G144" s="423">
        <f t="shared" si="16"/>
        <v>19577.600000000002</v>
      </c>
      <c r="H144" s="441">
        <f t="shared" si="15"/>
        <v>31942.40000000002</v>
      </c>
    </row>
    <row r="145" spans="1:8" ht="12.75">
      <c r="A145" s="161"/>
      <c r="B145" s="169" t="s">
        <v>125</v>
      </c>
      <c r="C145" s="248"/>
      <c r="E145" s="171">
        <v>9</v>
      </c>
      <c r="F145" s="440">
        <f t="shared" si="14"/>
        <v>2447.2</v>
      </c>
      <c r="G145" s="423">
        <f t="shared" si="16"/>
        <v>22024.800000000003</v>
      </c>
      <c r="H145" s="441">
        <f t="shared" si="15"/>
        <v>29495.20000000002</v>
      </c>
    </row>
    <row r="146" spans="1:8" ht="13.5" thickBot="1">
      <c r="A146" s="174"/>
      <c r="B146" s="178">
        <f>(B138-B141)/B139</f>
        <v>2447.2</v>
      </c>
      <c r="C146" s="251"/>
      <c r="E146" s="171">
        <v>10</v>
      </c>
      <c r="F146" s="440">
        <f t="shared" si="14"/>
        <v>2447.2</v>
      </c>
      <c r="G146" s="423">
        <f t="shared" si="16"/>
        <v>24472.000000000004</v>
      </c>
      <c r="H146" s="441">
        <f t="shared" si="15"/>
        <v>27048.00000000002</v>
      </c>
    </row>
    <row r="147" spans="2:8" ht="12.75">
      <c r="B147" s="154"/>
      <c r="C147" s="244"/>
      <c r="D147" s="155"/>
      <c r="E147" s="168">
        <v>11</v>
      </c>
      <c r="F147" s="440">
        <f t="shared" si="14"/>
        <v>2447.2</v>
      </c>
      <c r="G147" s="423">
        <f t="shared" si="16"/>
        <v>26919.200000000004</v>
      </c>
      <c r="H147" s="441">
        <f t="shared" si="15"/>
        <v>24600.800000000017</v>
      </c>
    </row>
    <row r="148" spans="2:8" ht="12.75">
      <c r="B148" s="154"/>
      <c r="C148" s="244"/>
      <c r="D148" s="155"/>
      <c r="E148" s="168">
        <v>12</v>
      </c>
      <c r="F148" s="440">
        <f t="shared" si="14"/>
        <v>2447.2</v>
      </c>
      <c r="G148" s="423">
        <f t="shared" si="16"/>
        <v>29366.400000000005</v>
      </c>
      <c r="H148" s="441">
        <f t="shared" si="15"/>
        <v>22153.600000000017</v>
      </c>
    </row>
    <row r="149" spans="2:8" ht="12.75">
      <c r="B149" s="154"/>
      <c r="C149" s="244"/>
      <c r="D149" s="155"/>
      <c r="E149" s="168">
        <v>13</v>
      </c>
      <c r="F149" s="440">
        <f t="shared" si="14"/>
        <v>2447.2</v>
      </c>
      <c r="G149" s="423">
        <f t="shared" si="16"/>
        <v>31813.600000000006</v>
      </c>
      <c r="H149" s="441">
        <f t="shared" si="15"/>
        <v>19706.400000000016</v>
      </c>
    </row>
    <row r="150" spans="2:8" ht="12.75">
      <c r="B150" s="154"/>
      <c r="C150" s="244"/>
      <c r="D150" s="155"/>
      <c r="E150" s="168">
        <v>14</v>
      </c>
      <c r="F150" s="440">
        <f t="shared" si="14"/>
        <v>2447.2</v>
      </c>
      <c r="G150" s="423">
        <f t="shared" si="16"/>
        <v>34260.8</v>
      </c>
      <c r="H150" s="441">
        <f t="shared" si="15"/>
        <v>17259.200000000015</v>
      </c>
    </row>
    <row r="151" spans="2:8" ht="12.75">
      <c r="B151" s="154"/>
      <c r="C151" s="244"/>
      <c r="D151" s="155"/>
      <c r="E151" s="168">
        <v>15</v>
      </c>
      <c r="F151" s="440">
        <f t="shared" si="14"/>
        <v>2447.2</v>
      </c>
      <c r="G151" s="423">
        <f t="shared" si="16"/>
        <v>36708</v>
      </c>
      <c r="H151" s="441">
        <f t="shared" si="15"/>
        <v>14812.000000000015</v>
      </c>
    </row>
    <row r="152" spans="2:8" ht="12.75">
      <c r="B152" s="154"/>
      <c r="C152" s="244"/>
      <c r="D152" s="155"/>
      <c r="E152" s="168">
        <v>16</v>
      </c>
      <c r="F152" s="440">
        <f t="shared" si="14"/>
        <v>2447.2</v>
      </c>
      <c r="G152" s="423">
        <f t="shared" si="16"/>
        <v>39155.2</v>
      </c>
      <c r="H152" s="441">
        <f t="shared" si="15"/>
        <v>12364.800000000014</v>
      </c>
    </row>
    <row r="153" spans="2:8" ht="12.75">
      <c r="B153" s="154"/>
      <c r="C153" s="244"/>
      <c r="D153" s="155"/>
      <c r="E153" s="168">
        <v>17</v>
      </c>
      <c r="F153" s="440">
        <f t="shared" si="14"/>
        <v>2447.2</v>
      </c>
      <c r="G153" s="423">
        <f t="shared" si="16"/>
        <v>41602.399999999994</v>
      </c>
      <c r="H153" s="441">
        <f t="shared" si="15"/>
        <v>9917.600000000013</v>
      </c>
    </row>
    <row r="154" spans="2:8" ht="12.75">
      <c r="B154" s="154"/>
      <c r="C154" s="244"/>
      <c r="D154" s="155"/>
      <c r="E154" s="168">
        <v>18</v>
      </c>
      <c r="F154" s="440">
        <f t="shared" si="14"/>
        <v>2447.2</v>
      </c>
      <c r="G154" s="423">
        <f t="shared" si="16"/>
        <v>44049.59999999999</v>
      </c>
      <c r="H154" s="441">
        <f t="shared" si="15"/>
        <v>7470.400000000013</v>
      </c>
    </row>
    <row r="155" spans="2:8" ht="12.75">
      <c r="B155" s="154"/>
      <c r="C155" s="244"/>
      <c r="D155" s="155"/>
      <c r="E155" s="168">
        <v>19</v>
      </c>
      <c r="F155" s="440">
        <f t="shared" si="14"/>
        <v>2447.2</v>
      </c>
      <c r="G155" s="423">
        <f t="shared" si="16"/>
        <v>46496.79999999999</v>
      </c>
      <c r="H155" s="441">
        <f t="shared" si="15"/>
        <v>5023.2000000000135</v>
      </c>
    </row>
    <row r="156" spans="2:8" ht="13.5" thickBot="1">
      <c r="B156" s="154"/>
      <c r="C156" s="244"/>
      <c r="D156" s="155"/>
      <c r="E156" s="179">
        <v>20</v>
      </c>
      <c r="F156" s="442">
        <f t="shared" si="14"/>
        <v>2447.2</v>
      </c>
      <c r="G156" s="424">
        <f t="shared" si="16"/>
        <v>48943.999999999985</v>
      </c>
      <c r="H156" s="444">
        <f t="shared" si="15"/>
        <v>2576.0000000000136</v>
      </c>
    </row>
    <row r="157" spans="2:6" ht="12.75">
      <c r="B157" s="154"/>
      <c r="C157" s="244"/>
      <c r="D157" s="155"/>
      <c r="E157" s="156"/>
      <c r="F157" s="434"/>
    </row>
    <row r="158" spans="2:6" ht="12.75">
      <c r="B158" s="154"/>
      <c r="C158" s="244"/>
      <c r="D158" s="155"/>
      <c r="E158" s="156"/>
      <c r="F158" s="434"/>
    </row>
    <row r="159" spans="2:6" ht="12.75">
      <c r="B159" s="154"/>
      <c r="C159" s="244"/>
      <c r="D159" s="155"/>
      <c r="E159" s="156"/>
      <c r="F159" s="434"/>
    </row>
    <row r="160" spans="2:6" ht="12.75">
      <c r="B160" s="154"/>
      <c r="C160" s="244"/>
      <c r="D160" s="155"/>
      <c r="E160" s="156"/>
      <c r="F160" s="434"/>
    </row>
    <row r="161" spans="2:6" ht="12.75">
      <c r="B161" s="154"/>
      <c r="C161" s="244"/>
      <c r="D161" s="155"/>
      <c r="E161" s="156"/>
      <c r="F161" s="434"/>
    </row>
    <row r="162" spans="2:6" ht="12.75">
      <c r="B162" s="154"/>
      <c r="C162" s="244"/>
      <c r="D162" s="155"/>
      <c r="E162" s="156"/>
      <c r="F162" s="434"/>
    </row>
    <row r="163" spans="2:6" ht="12.75">
      <c r="B163" s="154"/>
      <c r="C163" s="244"/>
      <c r="D163" s="155"/>
      <c r="E163" s="156"/>
      <c r="F163" s="434"/>
    </row>
    <row r="164" spans="2:6" ht="12.75">
      <c r="B164" s="154"/>
      <c r="C164" s="244"/>
      <c r="D164" s="155"/>
      <c r="E164" s="156"/>
      <c r="F164" s="434"/>
    </row>
    <row r="165" spans="2:6" ht="12.75">
      <c r="B165" s="154"/>
      <c r="C165" s="244"/>
      <c r="D165" s="155"/>
      <c r="E165" s="156"/>
      <c r="F165" s="434"/>
    </row>
    <row r="166" spans="2:6" ht="12.75">
      <c r="B166" s="154"/>
      <c r="C166" s="244"/>
      <c r="D166" s="155"/>
      <c r="E166" s="156"/>
      <c r="F166" s="434"/>
    </row>
    <row r="167" spans="2:6" ht="12.75">
      <c r="B167" s="154"/>
      <c r="C167" s="244"/>
      <c r="D167" s="155"/>
      <c r="E167" s="156"/>
      <c r="F167" s="434"/>
    </row>
    <row r="168" spans="2:6" ht="12.75">
      <c r="B168" s="154"/>
      <c r="C168" s="244"/>
      <c r="D168" s="155"/>
      <c r="E168" s="156"/>
      <c r="F168" s="434"/>
    </row>
    <row r="169" spans="2:6" ht="13.5" thickBot="1">
      <c r="B169" s="154"/>
      <c r="C169" s="244"/>
      <c r="D169" s="155"/>
      <c r="E169" s="156"/>
      <c r="F169" s="434"/>
    </row>
    <row r="170" spans="1:8" ht="51.75" thickBot="1">
      <c r="A170" s="158" t="s">
        <v>137</v>
      </c>
      <c r="B170" s="159">
        <f>SUM(A9)</f>
        <v>1.4</v>
      </c>
      <c r="C170" s="245"/>
      <c r="D170" s="155"/>
      <c r="E170" s="160" t="s">
        <v>138</v>
      </c>
      <c r="F170" s="435" t="s">
        <v>139</v>
      </c>
      <c r="G170" s="414" t="s">
        <v>140</v>
      </c>
      <c r="H170" s="436" t="s">
        <v>141</v>
      </c>
    </row>
    <row r="171" spans="1:8" ht="12.75">
      <c r="A171" s="161" t="s">
        <v>118</v>
      </c>
      <c r="B171" s="162" t="s">
        <v>152</v>
      </c>
      <c r="C171" s="245"/>
      <c r="D171" s="155"/>
      <c r="E171" s="163">
        <v>0</v>
      </c>
      <c r="F171" s="437"/>
      <c r="G171" s="438"/>
      <c r="H171" s="439">
        <f>SUM(B173)</f>
        <v>4000</v>
      </c>
    </row>
    <row r="172" spans="1:8" ht="12.75">
      <c r="A172" s="161" t="s">
        <v>125</v>
      </c>
      <c r="B172" s="164" t="s">
        <v>153</v>
      </c>
      <c r="C172" s="246"/>
      <c r="D172" s="155"/>
      <c r="E172" s="166">
        <v>1</v>
      </c>
      <c r="F172" s="440">
        <f>SUM(B181)</f>
        <v>190</v>
      </c>
      <c r="G172" s="423">
        <f>F172</f>
        <v>190</v>
      </c>
      <c r="H172" s="441">
        <f>H171-F172</f>
        <v>3810</v>
      </c>
    </row>
    <row r="173" spans="1:8" ht="12.75">
      <c r="A173" s="161" t="s">
        <v>144</v>
      </c>
      <c r="B173" s="167">
        <f>SUM(F9)</f>
        <v>4000</v>
      </c>
      <c r="C173" s="247"/>
      <c r="D173" s="81"/>
      <c r="E173" s="168">
        <v>2</v>
      </c>
      <c r="F173" s="440">
        <f>+F172</f>
        <v>190</v>
      </c>
      <c r="G173" s="423">
        <f>G172+F173</f>
        <v>380</v>
      </c>
      <c r="H173" s="441">
        <f>H172-F173</f>
        <v>3620</v>
      </c>
    </row>
    <row r="174" spans="1:8" ht="12.75">
      <c r="A174" s="161" t="s">
        <v>145</v>
      </c>
      <c r="B174" s="169">
        <v>20</v>
      </c>
      <c r="C174" s="248"/>
      <c r="E174" s="171">
        <v>3</v>
      </c>
      <c r="F174" s="440">
        <f aca="true" t="shared" si="17" ref="F174:F191">+F173</f>
        <v>190</v>
      </c>
      <c r="G174" s="423">
        <f>G173+F174</f>
        <v>570</v>
      </c>
      <c r="H174" s="441">
        <f aca="true" t="shared" si="18" ref="H174:H191">H173-F174</f>
        <v>3430</v>
      </c>
    </row>
    <row r="175" spans="1:8" ht="12.75">
      <c r="A175" s="161" t="s">
        <v>146</v>
      </c>
      <c r="B175" s="172">
        <v>0.05</v>
      </c>
      <c r="C175" s="249"/>
      <c r="E175" s="171">
        <v>4</v>
      </c>
      <c r="F175" s="440">
        <f t="shared" si="17"/>
        <v>190</v>
      </c>
      <c r="G175" s="423">
        <f aca="true" t="shared" si="19" ref="G175:G191">G174+F175</f>
        <v>760</v>
      </c>
      <c r="H175" s="441">
        <f t="shared" si="18"/>
        <v>3240</v>
      </c>
    </row>
    <row r="176" spans="1:8" ht="12.75">
      <c r="A176" s="161" t="s">
        <v>147</v>
      </c>
      <c r="B176" s="173">
        <f>B173*5%</f>
        <v>200</v>
      </c>
      <c r="C176" s="250"/>
      <c r="E176" s="171">
        <v>5</v>
      </c>
      <c r="F176" s="440">
        <f t="shared" si="17"/>
        <v>190</v>
      </c>
      <c r="G176" s="423">
        <f t="shared" si="19"/>
        <v>950</v>
      </c>
      <c r="H176" s="441">
        <f t="shared" si="18"/>
        <v>3050</v>
      </c>
    </row>
    <row r="177" spans="1:8" ht="13.5" thickBot="1">
      <c r="A177" s="174"/>
      <c r="B177" s="175"/>
      <c r="C177" s="248"/>
      <c r="E177" s="171">
        <v>6</v>
      </c>
      <c r="F177" s="440">
        <f t="shared" si="17"/>
        <v>190</v>
      </c>
      <c r="G177" s="423">
        <f t="shared" si="19"/>
        <v>1140</v>
      </c>
      <c r="H177" s="441">
        <f t="shared" si="18"/>
        <v>2860</v>
      </c>
    </row>
    <row r="178" spans="1:8" ht="13.5" thickBot="1">
      <c r="A178" s="119" t="s">
        <v>125</v>
      </c>
      <c r="E178" s="171">
        <v>7</v>
      </c>
      <c r="F178" s="440">
        <f t="shared" si="17"/>
        <v>190</v>
      </c>
      <c r="G178" s="423">
        <f t="shared" si="19"/>
        <v>1330</v>
      </c>
      <c r="H178" s="441">
        <f t="shared" si="18"/>
        <v>2670</v>
      </c>
    </row>
    <row r="179" spans="1:8" ht="12.75">
      <c r="A179" s="176" t="s">
        <v>148</v>
      </c>
      <c r="B179" s="177"/>
      <c r="C179" s="248"/>
      <c r="E179" s="171">
        <v>8</v>
      </c>
      <c r="F179" s="440">
        <f t="shared" si="17"/>
        <v>190</v>
      </c>
      <c r="G179" s="423">
        <f t="shared" si="19"/>
        <v>1520</v>
      </c>
      <c r="H179" s="441">
        <f t="shared" si="18"/>
        <v>2480</v>
      </c>
    </row>
    <row r="180" spans="1:8" ht="12.75">
      <c r="A180" s="161"/>
      <c r="B180" s="169" t="s">
        <v>125</v>
      </c>
      <c r="C180" s="248"/>
      <c r="E180" s="171">
        <v>9</v>
      </c>
      <c r="F180" s="440">
        <f t="shared" si="17"/>
        <v>190</v>
      </c>
      <c r="G180" s="423">
        <f t="shared" si="19"/>
        <v>1710</v>
      </c>
      <c r="H180" s="441">
        <f t="shared" si="18"/>
        <v>2290</v>
      </c>
    </row>
    <row r="181" spans="1:8" ht="13.5" thickBot="1">
      <c r="A181" s="174"/>
      <c r="B181" s="178">
        <f>(B173-B176)/B174</f>
        <v>190</v>
      </c>
      <c r="C181" s="251"/>
      <c r="E181" s="171">
        <v>10</v>
      </c>
      <c r="F181" s="440">
        <f t="shared" si="17"/>
        <v>190</v>
      </c>
      <c r="G181" s="423">
        <f t="shared" si="19"/>
        <v>1900</v>
      </c>
      <c r="H181" s="441">
        <f t="shared" si="18"/>
        <v>2100</v>
      </c>
    </row>
    <row r="182" spans="2:8" ht="12.75">
      <c r="B182" s="154"/>
      <c r="C182" s="244"/>
      <c r="D182" s="155"/>
      <c r="E182" s="168">
        <v>11</v>
      </c>
      <c r="F182" s="440">
        <f t="shared" si="17"/>
        <v>190</v>
      </c>
      <c r="G182" s="423">
        <f t="shared" si="19"/>
        <v>2090</v>
      </c>
      <c r="H182" s="441">
        <f t="shared" si="18"/>
        <v>1910</v>
      </c>
    </row>
    <row r="183" spans="2:8" ht="12.75">
      <c r="B183" s="154"/>
      <c r="C183" s="244"/>
      <c r="D183" s="155"/>
      <c r="E183" s="168">
        <v>12</v>
      </c>
      <c r="F183" s="440">
        <f t="shared" si="17"/>
        <v>190</v>
      </c>
      <c r="G183" s="423">
        <f t="shared" si="19"/>
        <v>2280</v>
      </c>
      <c r="H183" s="441">
        <f t="shared" si="18"/>
        <v>1720</v>
      </c>
    </row>
    <row r="184" spans="2:8" ht="12.75">
      <c r="B184" s="154"/>
      <c r="C184" s="244"/>
      <c r="D184" s="155"/>
      <c r="E184" s="168">
        <v>13</v>
      </c>
      <c r="F184" s="440">
        <f t="shared" si="17"/>
        <v>190</v>
      </c>
      <c r="G184" s="423">
        <f t="shared" si="19"/>
        <v>2470</v>
      </c>
      <c r="H184" s="441">
        <f t="shared" si="18"/>
        <v>1530</v>
      </c>
    </row>
    <row r="185" spans="2:8" ht="12.75">
      <c r="B185" s="154"/>
      <c r="C185" s="244"/>
      <c r="D185" s="155"/>
      <c r="E185" s="168">
        <v>14</v>
      </c>
      <c r="F185" s="440">
        <f t="shared" si="17"/>
        <v>190</v>
      </c>
      <c r="G185" s="423">
        <f t="shared" si="19"/>
        <v>2660</v>
      </c>
      <c r="H185" s="441">
        <f t="shared" si="18"/>
        <v>1340</v>
      </c>
    </row>
    <row r="186" spans="2:8" ht="12.75">
      <c r="B186" s="154"/>
      <c r="C186" s="244"/>
      <c r="D186" s="155"/>
      <c r="E186" s="168">
        <v>15</v>
      </c>
      <c r="F186" s="440">
        <f t="shared" si="17"/>
        <v>190</v>
      </c>
      <c r="G186" s="423">
        <f t="shared" si="19"/>
        <v>2850</v>
      </c>
      <c r="H186" s="441">
        <f t="shared" si="18"/>
        <v>1150</v>
      </c>
    </row>
    <row r="187" spans="2:8" ht="12.75">
      <c r="B187" s="154"/>
      <c r="C187" s="244"/>
      <c r="D187" s="155"/>
      <c r="E187" s="168">
        <v>16</v>
      </c>
      <c r="F187" s="440">
        <f t="shared" si="17"/>
        <v>190</v>
      </c>
      <c r="G187" s="423">
        <f t="shared" si="19"/>
        <v>3040</v>
      </c>
      <c r="H187" s="441">
        <f t="shared" si="18"/>
        <v>960</v>
      </c>
    </row>
    <row r="188" spans="2:8" ht="12.75">
      <c r="B188" s="154"/>
      <c r="C188" s="244"/>
      <c r="D188" s="155"/>
      <c r="E188" s="168">
        <v>17</v>
      </c>
      <c r="F188" s="440">
        <f t="shared" si="17"/>
        <v>190</v>
      </c>
      <c r="G188" s="423">
        <f t="shared" si="19"/>
        <v>3230</v>
      </c>
      <c r="H188" s="441">
        <f t="shared" si="18"/>
        <v>770</v>
      </c>
    </row>
    <row r="189" spans="2:8" ht="12.75">
      <c r="B189" s="154"/>
      <c r="C189" s="244"/>
      <c r="D189" s="155"/>
      <c r="E189" s="168">
        <v>18</v>
      </c>
      <c r="F189" s="440">
        <f t="shared" si="17"/>
        <v>190</v>
      </c>
      <c r="G189" s="423">
        <f t="shared" si="19"/>
        <v>3420</v>
      </c>
      <c r="H189" s="441">
        <f t="shared" si="18"/>
        <v>580</v>
      </c>
    </row>
    <row r="190" spans="2:8" ht="12.75">
      <c r="B190" s="154"/>
      <c r="C190" s="244"/>
      <c r="D190" s="155"/>
      <c r="E190" s="168">
        <v>19</v>
      </c>
      <c r="F190" s="440">
        <f t="shared" si="17"/>
        <v>190</v>
      </c>
      <c r="G190" s="423">
        <f t="shared" si="19"/>
        <v>3610</v>
      </c>
      <c r="H190" s="441">
        <f t="shared" si="18"/>
        <v>390</v>
      </c>
    </row>
    <row r="191" spans="2:8" ht="13.5" thickBot="1">
      <c r="B191" s="154"/>
      <c r="C191" s="244"/>
      <c r="D191" s="155"/>
      <c r="E191" s="179">
        <v>20</v>
      </c>
      <c r="F191" s="442">
        <f t="shared" si="17"/>
        <v>190</v>
      </c>
      <c r="G191" s="424">
        <f t="shared" si="19"/>
        <v>3800</v>
      </c>
      <c r="H191" s="427">
        <f t="shared" si="18"/>
        <v>200</v>
      </c>
    </row>
    <row r="192" spans="2:6" ht="12.75">
      <c r="B192" s="154"/>
      <c r="C192" s="244"/>
      <c r="D192" s="155"/>
      <c r="E192" s="156"/>
      <c r="F192" s="434"/>
    </row>
    <row r="193" spans="2:6" ht="12.75">
      <c r="B193" s="154"/>
      <c r="C193" s="244"/>
      <c r="D193" s="155"/>
      <c r="E193" s="156"/>
      <c r="F193" s="434"/>
    </row>
    <row r="194" spans="2:6" ht="12.75">
      <c r="B194" s="154"/>
      <c r="C194" s="244"/>
      <c r="D194" s="155"/>
      <c r="E194" s="156"/>
      <c r="F194" s="434"/>
    </row>
    <row r="195" spans="2:6" ht="12.75">
      <c r="B195" s="154"/>
      <c r="C195" s="244"/>
      <c r="D195" s="155"/>
      <c r="E195" s="156"/>
      <c r="F195" s="434"/>
    </row>
    <row r="196" spans="2:6" ht="12.75">
      <c r="B196" s="154"/>
      <c r="C196" s="244"/>
      <c r="D196" s="155"/>
      <c r="E196" s="156"/>
      <c r="F196" s="434"/>
    </row>
    <row r="197" spans="2:6" ht="12.75">
      <c r="B197" s="154"/>
      <c r="C197" s="244"/>
      <c r="D197" s="155"/>
      <c r="E197" s="156"/>
      <c r="F197" s="434"/>
    </row>
    <row r="198" spans="2:6" ht="12.75">
      <c r="B198" s="154"/>
      <c r="C198" s="244"/>
      <c r="D198" s="155"/>
      <c r="E198" s="156"/>
      <c r="F198" s="434"/>
    </row>
    <row r="199" spans="2:6" ht="12.75">
      <c r="B199" s="154"/>
      <c r="C199" s="244"/>
      <c r="D199" s="155"/>
      <c r="E199" s="156"/>
      <c r="F199" s="434"/>
    </row>
    <row r="200" spans="2:6" ht="12.75">
      <c r="B200" s="154"/>
      <c r="C200" s="244"/>
      <c r="D200" s="155"/>
      <c r="E200" s="156"/>
      <c r="F200" s="434"/>
    </row>
    <row r="201" spans="2:6" ht="12.75">
      <c r="B201" s="154"/>
      <c r="C201" s="244"/>
      <c r="D201" s="155"/>
      <c r="E201" s="156"/>
      <c r="F201" s="434"/>
    </row>
    <row r="202" spans="2:6" ht="12.75">
      <c r="B202" s="154"/>
      <c r="C202" s="244"/>
      <c r="D202" s="155"/>
      <c r="E202" s="156"/>
      <c r="F202" s="434"/>
    </row>
    <row r="203" spans="2:6" ht="13.5" thickBot="1">
      <c r="B203" s="154"/>
      <c r="C203" s="244"/>
      <c r="D203" s="155"/>
      <c r="E203" s="156"/>
      <c r="F203" s="434"/>
    </row>
    <row r="204" spans="1:8" ht="51.75" thickBot="1">
      <c r="A204" s="158" t="s">
        <v>137</v>
      </c>
      <c r="B204" s="159">
        <f>SUM(A10)</f>
        <v>1.5</v>
      </c>
      <c r="C204" s="245"/>
      <c r="D204" s="155"/>
      <c r="E204" s="160" t="s">
        <v>138</v>
      </c>
      <c r="F204" s="435" t="s">
        <v>139</v>
      </c>
      <c r="G204" s="414" t="s">
        <v>140</v>
      </c>
      <c r="H204" s="436" t="s">
        <v>141</v>
      </c>
    </row>
    <row r="205" spans="1:8" ht="12.75">
      <c r="A205" s="161" t="s">
        <v>118</v>
      </c>
      <c r="B205" s="162" t="s">
        <v>154</v>
      </c>
      <c r="C205" s="245"/>
      <c r="D205" s="155"/>
      <c r="E205" s="163">
        <v>0</v>
      </c>
      <c r="F205" s="437"/>
      <c r="G205" s="438"/>
      <c r="H205" s="439">
        <f>SUM(B207)</f>
        <v>13440</v>
      </c>
    </row>
    <row r="206" spans="1:8" ht="12.75">
      <c r="A206" s="161" t="s">
        <v>142</v>
      </c>
      <c r="B206" s="164" t="s">
        <v>155</v>
      </c>
      <c r="C206" s="246"/>
      <c r="D206" s="155"/>
      <c r="E206" s="166">
        <v>1</v>
      </c>
      <c r="F206" s="440">
        <f>SUM(B215)</f>
        <v>638.4</v>
      </c>
      <c r="G206" s="423">
        <f>F206</f>
        <v>638.4</v>
      </c>
      <c r="H206" s="441">
        <f>H205-F206</f>
        <v>12801.6</v>
      </c>
    </row>
    <row r="207" spans="1:8" ht="12.75">
      <c r="A207" s="161" t="s">
        <v>144</v>
      </c>
      <c r="B207" s="167">
        <f>SUM(F10)</f>
        <v>13440</v>
      </c>
      <c r="C207" s="247"/>
      <c r="D207" s="81"/>
      <c r="E207" s="168">
        <v>2</v>
      </c>
      <c r="F207" s="440">
        <f>+F206</f>
        <v>638.4</v>
      </c>
      <c r="G207" s="423">
        <f>G206+F207</f>
        <v>1276.8</v>
      </c>
      <c r="H207" s="441">
        <f>H206-F207</f>
        <v>12163.2</v>
      </c>
    </row>
    <row r="208" spans="1:8" ht="12.75">
      <c r="A208" s="161" t="s">
        <v>145</v>
      </c>
      <c r="B208" s="169">
        <v>20</v>
      </c>
      <c r="C208" s="248"/>
      <c r="E208" s="171">
        <v>3</v>
      </c>
      <c r="F208" s="440">
        <f aca="true" t="shared" si="20" ref="F208:F225">+F207</f>
        <v>638.4</v>
      </c>
      <c r="G208" s="423">
        <f>G207+F208</f>
        <v>1915.1999999999998</v>
      </c>
      <c r="H208" s="441">
        <f aca="true" t="shared" si="21" ref="H208:H225">H207-F208</f>
        <v>11524.800000000001</v>
      </c>
    </row>
    <row r="209" spans="1:8" ht="12.75">
      <c r="A209" s="161" t="s">
        <v>146</v>
      </c>
      <c r="B209" s="172">
        <v>0.05</v>
      </c>
      <c r="C209" s="249"/>
      <c r="E209" s="171">
        <v>4</v>
      </c>
      <c r="F209" s="440">
        <f t="shared" si="20"/>
        <v>638.4</v>
      </c>
      <c r="G209" s="423">
        <f aca="true" t="shared" si="22" ref="G209:G225">G208+F209</f>
        <v>2553.6</v>
      </c>
      <c r="H209" s="441">
        <f t="shared" si="21"/>
        <v>10886.400000000001</v>
      </c>
    </row>
    <row r="210" spans="1:8" ht="12.75">
      <c r="A210" s="161" t="s">
        <v>147</v>
      </c>
      <c r="B210" s="173">
        <f>B207*5%</f>
        <v>672</v>
      </c>
      <c r="C210" s="250"/>
      <c r="E210" s="171">
        <v>5</v>
      </c>
      <c r="F210" s="440">
        <f t="shared" si="20"/>
        <v>638.4</v>
      </c>
      <c r="G210" s="423">
        <f t="shared" si="22"/>
        <v>3192</v>
      </c>
      <c r="H210" s="441">
        <f t="shared" si="21"/>
        <v>10248.000000000002</v>
      </c>
    </row>
    <row r="211" spans="1:8" ht="13.5" thickBot="1">
      <c r="A211" s="174"/>
      <c r="B211" s="175"/>
      <c r="C211" s="248"/>
      <c r="E211" s="171">
        <v>6</v>
      </c>
      <c r="F211" s="440">
        <f t="shared" si="20"/>
        <v>638.4</v>
      </c>
      <c r="G211" s="423">
        <f t="shared" si="22"/>
        <v>3830.4</v>
      </c>
      <c r="H211" s="441">
        <f t="shared" si="21"/>
        <v>9609.600000000002</v>
      </c>
    </row>
    <row r="212" spans="1:8" ht="13.5" thickBot="1">
      <c r="A212" s="119" t="s">
        <v>125</v>
      </c>
      <c r="E212" s="171">
        <v>7</v>
      </c>
      <c r="F212" s="440">
        <f t="shared" si="20"/>
        <v>638.4</v>
      </c>
      <c r="G212" s="423">
        <f t="shared" si="22"/>
        <v>4468.8</v>
      </c>
      <c r="H212" s="441">
        <f t="shared" si="21"/>
        <v>8971.200000000003</v>
      </c>
    </row>
    <row r="213" spans="1:8" ht="12.75">
      <c r="A213" s="176" t="s">
        <v>148</v>
      </c>
      <c r="B213" s="177"/>
      <c r="C213" s="248"/>
      <c r="E213" s="171">
        <v>8</v>
      </c>
      <c r="F213" s="440">
        <f t="shared" si="20"/>
        <v>638.4</v>
      </c>
      <c r="G213" s="423">
        <f t="shared" si="22"/>
        <v>5107.2</v>
      </c>
      <c r="H213" s="441">
        <f t="shared" si="21"/>
        <v>8332.800000000003</v>
      </c>
    </row>
    <row r="214" spans="1:8" ht="12.75">
      <c r="A214" s="161"/>
      <c r="B214" s="169" t="s">
        <v>125</v>
      </c>
      <c r="C214" s="248"/>
      <c r="E214" s="171">
        <v>9</v>
      </c>
      <c r="F214" s="440">
        <f t="shared" si="20"/>
        <v>638.4</v>
      </c>
      <c r="G214" s="423">
        <f t="shared" si="22"/>
        <v>5745.599999999999</v>
      </c>
      <c r="H214" s="441">
        <f t="shared" si="21"/>
        <v>7694.400000000003</v>
      </c>
    </row>
    <row r="215" spans="1:8" ht="13.5" thickBot="1">
      <c r="A215" s="174"/>
      <c r="B215" s="178">
        <f>(B207-B210)/B208</f>
        <v>638.4</v>
      </c>
      <c r="C215" s="251"/>
      <c r="E215" s="171">
        <v>10</v>
      </c>
      <c r="F215" s="440">
        <f t="shared" si="20"/>
        <v>638.4</v>
      </c>
      <c r="G215" s="423">
        <f t="shared" si="22"/>
        <v>6383.999999999999</v>
      </c>
      <c r="H215" s="441">
        <f t="shared" si="21"/>
        <v>7056.000000000004</v>
      </c>
    </row>
    <row r="216" spans="2:8" ht="12.75">
      <c r="B216" s="154"/>
      <c r="C216" s="244"/>
      <c r="D216" s="155"/>
      <c r="E216" s="168">
        <v>11</v>
      </c>
      <c r="F216" s="440">
        <f t="shared" si="20"/>
        <v>638.4</v>
      </c>
      <c r="G216" s="423">
        <f t="shared" si="22"/>
        <v>7022.399999999999</v>
      </c>
      <c r="H216" s="441">
        <f t="shared" si="21"/>
        <v>6417.600000000004</v>
      </c>
    </row>
    <row r="217" spans="2:8" ht="12.75">
      <c r="B217" s="154"/>
      <c r="C217" s="244"/>
      <c r="D217" s="155"/>
      <c r="E217" s="168">
        <v>12</v>
      </c>
      <c r="F217" s="440">
        <f t="shared" si="20"/>
        <v>638.4</v>
      </c>
      <c r="G217" s="423">
        <f t="shared" si="22"/>
        <v>7660.799999999998</v>
      </c>
      <c r="H217" s="441">
        <f t="shared" si="21"/>
        <v>5779.200000000004</v>
      </c>
    </row>
    <row r="218" spans="2:8" ht="12.75">
      <c r="B218" s="154"/>
      <c r="C218" s="244"/>
      <c r="D218" s="155"/>
      <c r="E218" s="168">
        <v>13</v>
      </c>
      <c r="F218" s="440">
        <f t="shared" si="20"/>
        <v>638.4</v>
      </c>
      <c r="G218" s="423">
        <f t="shared" si="22"/>
        <v>8299.199999999999</v>
      </c>
      <c r="H218" s="441">
        <f t="shared" si="21"/>
        <v>5140.800000000005</v>
      </c>
    </row>
    <row r="219" spans="2:8" ht="12.75">
      <c r="B219" s="154"/>
      <c r="C219" s="244"/>
      <c r="D219" s="155"/>
      <c r="E219" s="168">
        <v>14</v>
      </c>
      <c r="F219" s="440">
        <f t="shared" si="20"/>
        <v>638.4</v>
      </c>
      <c r="G219" s="423">
        <f t="shared" si="22"/>
        <v>8937.599999999999</v>
      </c>
      <c r="H219" s="441">
        <f t="shared" si="21"/>
        <v>4502.400000000005</v>
      </c>
    </row>
    <row r="220" spans="2:8" ht="12.75">
      <c r="B220" s="154"/>
      <c r="C220" s="244"/>
      <c r="D220" s="155"/>
      <c r="E220" s="168">
        <v>15</v>
      </c>
      <c r="F220" s="440">
        <f t="shared" si="20"/>
        <v>638.4</v>
      </c>
      <c r="G220" s="423">
        <f t="shared" si="22"/>
        <v>9575.999999999998</v>
      </c>
      <c r="H220" s="441">
        <f t="shared" si="21"/>
        <v>3864.000000000005</v>
      </c>
    </row>
    <row r="221" spans="2:8" ht="12.75">
      <c r="B221" s="154"/>
      <c r="C221" s="244"/>
      <c r="D221" s="155"/>
      <c r="E221" s="168">
        <v>16</v>
      </c>
      <c r="F221" s="440">
        <f t="shared" si="20"/>
        <v>638.4</v>
      </c>
      <c r="G221" s="423">
        <f t="shared" si="22"/>
        <v>10214.399999999998</v>
      </c>
      <c r="H221" s="441">
        <f t="shared" si="21"/>
        <v>3225.600000000005</v>
      </c>
    </row>
    <row r="222" spans="2:8" ht="12.75">
      <c r="B222" s="154"/>
      <c r="C222" s="244"/>
      <c r="D222" s="155"/>
      <c r="E222" s="168">
        <v>17</v>
      </c>
      <c r="F222" s="440">
        <f t="shared" si="20"/>
        <v>638.4</v>
      </c>
      <c r="G222" s="423">
        <f t="shared" si="22"/>
        <v>10852.799999999997</v>
      </c>
      <c r="H222" s="441">
        <f t="shared" si="21"/>
        <v>2587.200000000005</v>
      </c>
    </row>
    <row r="223" spans="2:8" ht="12.75">
      <c r="B223" s="154"/>
      <c r="C223" s="244"/>
      <c r="D223" s="155"/>
      <c r="E223" s="168">
        <v>18</v>
      </c>
      <c r="F223" s="440">
        <f t="shared" si="20"/>
        <v>638.4</v>
      </c>
      <c r="G223" s="423">
        <f t="shared" si="22"/>
        <v>11491.199999999997</v>
      </c>
      <c r="H223" s="441">
        <f t="shared" si="21"/>
        <v>1948.8000000000047</v>
      </c>
    </row>
    <row r="224" spans="2:8" ht="12.75">
      <c r="B224" s="154"/>
      <c r="C224" s="244"/>
      <c r="D224" s="155"/>
      <c r="E224" s="168">
        <v>19</v>
      </c>
      <c r="F224" s="440">
        <f t="shared" si="20"/>
        <v>638.4</v>
      </c>
      <c r="G224" s="423">
        <f t="shared" si="22"/>
        <v>12129.599999999997</v>
      </c>
      <c r="H224" s="441">
        <f t="shared" si="21"/>
        <v>1310.4000000000046</v>
      </c>
    </row>
    <row r="225" spans="2:8" ht="13.5" thickBot="1">
      <c r="B225" s="154"/>
      <c r="C225" s="244"/>
      <c r="D225" s="155"/>
      <c r="E225" s="179">
        <v>20</v>
      </c>
      <c r="F225" s="442">
        <f t="shared" si="20"/>
        <v>638.4</v>
      </c>
      <c r="G225" s="424">
        <f t="shared" si="22"/>
        <v>12767.999999999996</v>
      </c>
      <c r="H225" s="444">
        <f t="shared" si="21"/>
        <v>672.0000000000047</v>
      </c>
    </row>
    <row r="226" spans="2:8" ht="12.75">
      <c r="B226" s="154"/>
      <c r="C226" s="244"/>
      <c r="D226" s="155"/>
      <c r="E226" s="180"/>
      <c r="F226" s="443"/>
      <c r="G226" s="429"/>
      <c r="H226" s="429"/>
    </row>
    <row r="227" spans="2:8" ht="12.75">
      <c r="B227" s="154"/>
      <c r="C227" s="244"/>
      <c r="D227" s="155"/>
      <c r="E227" s="180"/>
      <c r="F227" s="443"/>
      <c r="G227" s="429"/>
      <c r="H227" s="429"/>
    </row>
    <row r="228" spans="2:8" ht="12.75">
      <c r="B228" s="154"/>
      <c r="C228" s="244"/>
      <c r="D228" s="155"/>
      <c r="E228" s="180"/>
      <c r="F228" s="443"/>
      <c r="G228" s="429"/>
      <c r="H228" s="429"/>
    </row>
    <row r="229" spans="2:8" ht="12.75">
      <c r="B229" s="154"/>
      <c r="C229" s="244"/>
      <c r="D229" s="155"/>
      <c r="E229" s="180"/>
      <c r="F229" s="443"/>
      <c r="G229" s="429"/>
      <c r="H229" s="429"/>
    </row>
    <row r="230" spans="2:8" ht="12.75">
      <c r="B230" s="154"/>
      <c r="C230" s="244"/>
      <c r="D230" s="155"/>
      <c r="E230" s="180"/>
      <c r="F230" s="443"/>
      <c r="G230" s="429"/>
      <c r="H230" s="429"/>
    </row>
    <row r="231" spans="2:8" ht="12.75">
      <c r="B231" s="154"/>
      <c r="C231" s="244"/>
      <c r="D231" s="155"/>
      <c r="E231" s="180"/>
      <c r="F231" s="443"/>
      <c r="G231" s="429"/>
      <c r="H231" s="429"/>
    </row>
    <row r="232" spans="2:8" ht="12.75">
      <c r="B232" s="154"/>
      <c r="C232" s="244"/>
      <c r="D232" s="155"/>
      <c r="E232" s="180"/>
      <c r="F232" s="443"/>
      <c r="G232" s="429"/>
      <c r="H232" s="429"/>
    </row>
    <row r="233" spans="2:8" ht="12.75">
      <c r="B233" s="154"/>
      <c r="C233" s="244"/>
      <c r="D233" s="155"/>
      <c r="E233" s="180"/>
      <c r="F233" s="443"/>
      <c r="G233" s="429"/>
      <c r="H233" s="429"/>
    </row>
    <row r="234" spans="2:6" ht="12.75">
      <c r="B234" s="154"/>
      <c r="C234" s="244"/>
      <c r="D234" s="155"/>
      <c r="E234" s="156"/>
      <c r="F234" s="434"/>
    </row>
    <row r="235" spans="2:6" ht="12.75">
      <c r="B235" s="154"/>
      <c r="C235" s="244"/>
      <c r="D235" s="155"/>
      <c r="E235" s="156"/>
      <c r="F235" s="434"/>
    </row>
    <row r="236" spans="2:6" ht="12.75">
      <c r="B236" s="154"/>
      <c r="C236" s="244"/>
      <c r="D236" s="155"/>
      <c r="E236" s="156"/>
      <c r="F236" s="434"/>
    </row>
    <row r="237" spans="2:6" ht="13.5" thickBot="1">
      <c r="B237" s="154"/>
      <c r="C237" s="244"/>
      <c r="D237" s="155"/>
      <c r="E237" s="156"/>
      <c r="F237" s="434"/>
    </row>
    <row r="238" spans="1:8" ht="51.75" thickBot="1">
      <c r="A238" s="158" t="s">
        <v>137</v>
      </c>
      <c r="B238" s="159">
        <f>SUM(A11)</f>
        <v>1.6</v>
      </c>
      <c r="C238" s="245"/>
      <c r="D238" s="155"/>
      <c r="E238" s="160" t="s">
        <v>138</v>
      </c>
      <c r="F238" s="435" t="s">
        <v>139</v>
      </c>
      <c r="G238" s="414" t="s">
        <v>140</v>
      </c>
      <c r="H238" s="436" t="s">
        <v>141</v>
      </c>
    </row>
    <row r="239" spans="1:8" ht="12.75">
      <c r="A239" s="161" t="s">
        <v>118</v>
      </c>
      <c r="B239" s="162" t="s">
        <v>156</v>
      </c>
      <c r="C239" s="245"/>
      <c r="D239" s="155"/>
      <c r="E239" s="163">
        <v>0</v>
      </c>
      <c r="F239" s="437"/>
      <c r="G239" s="438"/>
      <c r="H239" s="439">
        <f>SUM(B241)</f>
        <v>450</v>
      </c>
    </row>
    <row r="240" spans="1:8" ht="12.75">
      <c r="A240" s="161" t="s">
        <v>142</v>
      </c>
      <c r="B240" s="164" t="s">
        <v>157</v>
      </c>
      <c r="C240" s="246"/>
      <c r="D240" s="155"/>
      <c r="E240" s="166">
        <v>1</v>
      </c>
      <c r="F240" s="440">
        <f>SUM(B249)</f>
        <v>21.375</v>
      </c>
      <c r="G240" s="423">
        <f>F240</f>
        <v>21.375</v>
      </c>
      <c r="H240" s="441">
        <f>H239-F240</f>
        <v>428.625</v>
      </c>
    </row>
    <row r="241" spans="1:8" ht="12.75">
      <c r="A241" s="161" t="s">
        <v>144</v>
      </c>
      <c r="B241" s="167">
        <f>SUM(F11)</f>
        <v>450</v>
      </c>
      <c r="C241" s="247"/>
      <c r="D241" s="81"/>
      <c r="E241" s="168">
        <v>2</v>
      </c>
      <c r="F241" s="440">
        <f>+F240</f>
        <v>21.375</v>
      </c>
      <c r="G241" s="423">
        <f>G240+F241</f>
        <v>42.75</v>
      </c>
      <c r="H241" s="441">
        <f>H240-F241</f>
        <v>407.25</v>
      </c>
    </row>
    <row r="242" spans="1:8" ht="12.75">
      <c r="A242" s="161" t="s">
        <v>145</v>
      </c>
      <c r="B242" s="169">
        <v>20</v>
      </c>
      <c r="C242" s="248"/>
      <c r="E242" s="171">
        <v>3</v>
      </c>
      <c r="F242" s="440">
        <f aca="true" t="shared" si="23" ref="F242:F259">+F241</f>
        <v>21.375</v>
      </c>
      <c r="G242" s="423">
        <f>G241+F242</f>
        <v>64.125</v>
      </c>
      <c r="H242" s="441">
        <f aca="true" t="shared" si="24" ref="H242:H259">H241-F242</f>
        <v>385.875</v>
      </c>
    </row>
    <row r="243" spans="1:8" ht="12.75">
      <c r="A243" s="161" t="s">
        <v>146</v>
      </c>
      <c r="B243" s="172">
        <v>0.05</v>
      </c>
      <c r="C243" s="249"/>
      <c r="E243" s="171">
        <v>4</v>
      </c>
      <c r="F243" s="440">
        <f t="shared" si="23"/>
        <v>21.375</v>
      </c>
      <c r="G243" s="423">
        <f aca="true" t="shared" si="25" ref="G243:G259">G242+F243</f>
        <v>85.5</v>
      </c>
      <c r="H243" s="441">
        <f t="shared" si="24"/>
        <v>364.5</v>
      </c>
    </row>
    <row r="244" spans="1:8" ht="12.75">
      <c r="A244" s="161" t="s">
        <v>147</v>
      </c>
      <c r="B244" s="173">
        <f>B241*5%</f>
        <v>22.5</v>
      </c>
      <c r="C244" s="250"/>
      <c r="E244" s="171">
        <v>5</v>
      </c>
      <c r="F244" s="440">
        <f t="shared" si="23"/>
        <v>21.375</v>
      </c>
      <c r="G244" s="423">
        <f t="shared" si="25"/>
        <v>106.875</v>
      </c>
      <c r="H244" s="441">
        <f t="shared" si="24"/>
        <v>343.125</v>
      </c>
    </row>
    <row r="245" spans="1:8" ht="13.5" thickBot="1">
      <c r="A245" s="174"/>
      <c r="B245" s="175"/>
      <c r="C245" s="248"/>
      <c r="E245" s="171">
        <v>6</v>
      </c>
      <c r="F245" s="440">
        <f t="shared" si="23"/>
        <v>21.375</v>
      </c>
      <c r="G245" s="423">
        <f t="shared" si="25"/>
        <v>128.25</v>
      </c>
      <c r="H245" s="441">
        <f t="shared" si="24"/>
        <v>321.75</v>
      </c>
    </row>
    <row r="246" spans="1:8" ht="13.5" thickBot="1">
      <c r="A246" s="119" t="s">
        <v>125</v>
      </c>
      <c r="E246" s="171">
        <v>7</v>
      </c>
      <c r="F246" s="440">
        <f t="shared" si="23"/>
        <v>21.375</v>
      </c>
      <c r="G246" s="423">
        <f t="shared" si="25"/>
        <v>149.625</v>
      </c>
      <c r="H246" s="441">
        <f t="shared" si="24"/>
        <v>300.375</v>
      </c>
    </row>
    <row r="247" spans="1:8" ht="12.75">
      <c r="A247" s="176" t="s">
        <v>148</v>
      </c>
      <c r="B247" s="177"/>
      <c r="C247" s="248"/>
      <c r="E247" s="171">
        <v>8</v>
      </c>
      <c r="F247" s="440">
        <f t="shared" si="23"/>
        <v>21.375</v>
      </c>
      <c r="G247" s="423">
        <f t="shared" si="25"/>
        <v>171</v>
      </c>
      <c r="H247" s="441">
        <f t="shared" si="24"/>
        <v>279</v>
      </c>
    </row>
    <row r="248" spans="1:8" ht="12.75">
      <c r="A248" s="161"/>
      <c r="B248" s="169" t="s">
        <v>125</v>
      </c>
      <c r="C248" s="248"/>
      <c r="E248" s="171">
        <v>9</v>
      </c>
      <c r="F248" s="440">
        <f t="shared" si="23"/>
        <v>21.375</v>
      </c>
      <c r="G248" s="423">
        <f t="shared" si="25"/>
        <v>192.375</v>
      </c>
      <c r="H248" s="441">
        <f t="shared" si="24"/>
        <v>257.625</v>
      </c>
    </row>
    <row r="249" spans="1:8" ht="13.5" thickBot="1">
      <c r="A249" s="174"/>
      <c r="B249" s="178">
        <f>(B241-B244)/B242</f>
        <v>21.375</v>
      </c>
      <c r="C249" s="251"/>
      <c r="E249" s="171">
        <v>10</v>
      </c>
      <c r="F249" s="440">
        <f t="shared" si="23"/>
        <v>21.375</v>
      </c>
      <c r="G249" s="423">
        <f t="shared" si="25"/>
        <v>213.75</v>
      </c>
      <c r="H249" s="441">
        <f t="shared" si="24"/>
        <v>236.25</v>
      </c>
    </row>
    <row r="250" spans="2:8" ht="12.75">
      <c r="B250" s="154"/>
      <c r="C250" s="244"/>
      <c r="D250" s="155"/>
      <c r="E250" s="168">
        <v>11</v>
      </c>
      <c r="F250" s="440">
        <f t="shared" si="23"/>
        <v>21.375</v>
      </c>
      <c r="G250" s="423">
        <f t="shared" si="25"/>
        <v>235.125</v>
      </c>
      <c r="H250" s="441">
        <f t="shared" si="24"/>
        <v>214.875</v>
      </c>
    </row>
    <row r="251" spans="2:8" ht="12.75">
      <c r="B251" s="154"/>
      <c r="C251" s="244"/>
      <c r="D251" s="155"/>
      <c r="E251" s="168">
        <v>12</v>
      </c>
      <c r="F251" s="440">
        <f t="shared" si="23"/>
        <v>21.375</v>
      </c>
      <c r="G251" s="423">
        <f t="shared" si="25"/>
        <v>256.5</v>
      </c>
      <c r="H251" s="441">
        <f t="shared" si="24"/>
        <v>193.5</v>
      </c>
    </row>
    <row r="252" spans="2:8" ht="12.75">
      <c r="B252" s="154"/>
      <c r="C252" s="244"/>
      <c r="D252" s="155"/>
      <c r="E252" s="168">
        <v>13</v>
      </c>
      <c r="F252" s="440">
        <f t="shared" si="23"/>
        <v>21.375</v>
      </c>
      <c r="G252" s="423">
        <f t="shared" si="25"/>
        <v>277.875</v>
      </c>
      <c r="H252" s="441">
        <f t="shared" si="24"/>
        <v>172.125</v>
      </c>
    </row>
    <row r="253" spans="2:8" ht="12.75">
      <c r="B253" s="154"/>
      <c r="C253" s="244"/>
      <c r="D253" s="155"/>
      <c r="E253" s="168">
        <v>14</v>
      </c>
      <c r="F253" s="440">
        <f t="shared" si="23"/>
        <v>21.375</v>
      </c>
      <c r="G253" s="423">
        <f t="shared" si="25"/>
        <v>299.25</v>
      </c>
      <c r="H253" s="441">
        <f t="shared" si="24"/>
        <v>150.75</v>
      </c>
    </row>
    <row r="254" spans="2:8" ht="12.75">
      <c r="B254" s="154"/>
      <c r="C254" s="244"/>
      <c r="D254" s="155"/>
      <c r="E254" s="168">
        <v>15</v>
      </c>
      <c r="F254" s="440">
        <f t="shared" si="23"/>
        <v>21.375</v>
      </c>
      <c r="G254" s="423">
        <f t="shared" si="25"/>
        <v>320.625</v>
      </c>
      <c r="H254" s="441">
        <f t="shared" si="24"/>
        <v>129.375</v>
      </c>
    </row>
    <row r="255" spans="2:8" ht="12.75">
      <c r="B255" s="154"/>
      <c r="C255" s="244"/>
      <c r="D255" s="155"/>
      <c r="E255" s="168">
        <v>16</v>
      </c>
      <c r="F255" s="440">
        <f t="shared" si="23"/>
        <v>21.375</v>
      </c>
      <c r="G255" s="423">
        <f t="shared" si="25"/>
        <v>342</v>
      </c>
      <c r="H255" s="441">
        <f t="shared" si="24"/>
        <v>108</v>
      </c>
    </row>
    <row r="256" spans="2:8" ht="12.75">
      <c r="B256" s="154"/>
      <c r="C256" s="244"/>
      <c r="D256" s="155"/>
      <c r="E256" s="168">
        <v>17</v>
      </c>
      <c r="F256" s="440">
        <f t="shared" si="23"/>
        <v>21.375</v>
      </c>
      <c r="G256" s="423">
        <f t="shared" si="25"/>
        <v>363.375</v>
      </c>
      <c r="H256" s="441">
        <f t="shared" si="24"/>
        <v>86.625</v>
      </c>
    </row>
    <row r="257" spans="2:8" ht="12.75">
      <c r="B257" s="154"/>
      <c r="C257" s="244"/>
      <c r="D257" s="155"/>
      <c r="E257" s="168">
        <v>18</v>
      </c>
      <c r="F257" s="440">
        <f t="shared" si="23"/>
        <v>21.375</v>
      </c>
      <c r="G257" s="423">
        <f t="shared" si="25"/>
        <v>384.75</v>
      </c>
      <c r="H257" s="441">
        <f t="shared" si="24"/>
        <v>65.25</v>
      </c>
    </row>
    <row r="258" spans="2:8" ht="12.75">
      <c r="B258" s="154"/>
      <c r="C258" s="244"/>
      <c r="D258" s="155"/>
      <c r="E258" s="168">
        <v>19</v>
      </c>
      <c r="F258" s="440">
        <f t="shared" si="23"/>
        <v>21.375</v>
      </c>
      <c r="G258" s="423">
        <f t="shared" si="25"/>
        <v>406.125</v>
      </c>
      <c r="H258" s="441">
        <f t="shared" si="24"/>
        <v>43.875</v>
      </c>
    </row>
    <row r="259" spans="2:8" ht="13.5" thickBot="1">
      <c r="B259" s="154"/>
      <c r="C259" s="244"/>
      <c r="D259" s="155"/>
      <c r="E259" s="179">
        <v>20</v>
      </c>
      <c r="F259" s="442">
        <f t="shared" si="23"/>
        <v>21.375</v>
      </c>
      <c r="G259" s="424">
        <f t="shared" si="25"/>
        <v>427.5</v>
      </c>
      <c r="H259" s="427">
        <f t="shared" si="24"/>
        <v>22.5</v>
      </c>
    </row>
    <row r="260" spans="2:6" ht="12.75">
      <c r="B260" s="154"/>
      <c r="C260" s="244"/>
      <c r="D260" s="155"/>
      <c r="E260" s="156"/>
      <c r="F260" s="434"/>
    </row>
    <row r="261" spans="2:6" ht="12.75">
      <c r="B261" s="154"/>
      <c r="C261" s="244"/>
      <c r="D261" s="155"/>
      <c r="E261" s="156"/>
      <c r="F261" s="434"/>
    </row>
    <row r="262" spans="2:6" ht="12.75">
      <c r="B262" s="154"/>
      <c r="C262" s="244"/>
      <c r="D262" s="155"/>
      <c r="E262" s="156"/>
      <c r="F262" s="434"/>
    </row>
    <row r="263" spans="2:6" ht="12.75">
      <c r="B263" s="154"/>
      <c r="C263" s="244"/>
      <c r="D263" s="155"/>
      <c r="E263" s="156"/>
      <c r="F263" s="434"/>
    </row>
    <row r="264" spans="2:6" ht="12.75">
      <c r="B264" s="154"/>
      <c r="C264" s="244"/>
      <c r="D264" s="155"/>
      <c r="E264" s="156"/>
      <c r="F264" s="434"/>
    </row>
    <row r="265" spans="2:6" ht="12.75">
      <c r="B265" s="154"/>
      <c r="C265" s="244"/>
      <c r="D265" s="155"/>
      <c r="E265" s="156"/>
      <c r="F265" s="434"/>
    </row>
    <row r="266" spans="2:6" ht="12.75">
      <c r="B266" s="154"/>
      <c r="C266" s="244"/>
      <c r="D266" s="155"/>
      <c r="E266" s="156"/>
      <c r="F266" s="434"/>
    </row>
    <row r="267" spans="2:6" ht="12.75">
      <c r="B267" s="154"/>
      <c r="C267" s="244"/>
      <c r="D267" s="155"/>
      <c r="E267" s="156"/>
      <c r="F267" s="434"/>
    </row>
    <row r="268" spans="2:6" ht="12.75">
      <c r="B268" s="154"/>
      <c r="C268" s="244"/>
      <c r="D268" s="155"/>
      <c r="E268" s="156"/>
      <c r="F268" s="434"/>
    </row>
    <row r="269" spans="2:6" ht="12.75">
      <c r="B269" s="154"/>
      <c r="C269" s="244"/>
      <c r="D269" s="155"/>
      <c r="E269" s="156"/>
      <c r="F269" s="434"/>
    </row>
    <row r="270" spans="2:6" ht="12.75">
      <c r="B270" s="154"/>
      <c r="C270" s="244"/>
      <c r="D270" s="155"/>
      <c r="E270" s="156"/>
      <c r="F270" s="434"/>
    </row>
    <row r="271" spans="2:6" ht="12.75">
      <c r="B271" s="154"/>
      <c r="C271" s="244"/>
      <c r="D271" s="155"/>
      <c r="E271" s="156"/>
      <c r="F271" s="434"/>
    </row>
    <row r="272" spans="2:6" ht="13.5" thickBot="1">
      <c r="B272" s="154"/>
      <c r="C272" s="244"/>
      <c r="D272" s="155"/>
      <c r="E272" s="156"/>
      <c r="F272" s="434"/>
    </row>
    <row r="273" spans="1:8" ht="51.75" thickBot="1">
      <c r="A273" s="158" t="s">
        <v>137</v>
      </c>
      <c r="B273" s="159">
        <f>SUM(A12)</f>
        <v>1.7</v>
      </c>
      <c r="C273" s="245"/>
      <c r="D273" s="155"/>
      <c r="E273" s="160" t="s">
        <v>138</v>
      </c>
      <c r="F273" s="435" t="s">
        <v>139</v>
      </c>
      <c r="G273" s="414" t="s">
        <v>140</v>
      </c>
      <c r="H273" s="436" t="s">
        <v>141</v>
      </c>
    </row>
    <row r="274" spans="1:8" ht="12.75">
      <c r="A274" s="161" t="s">
        <v>118</v>
      </c>
      <c r="B274" s="169" t="s">
        <v>126</v>
      </c>
      <c r="C274" s="245"/>
      <c r="D274" s="155"/>
      <c r="E274" s="163">
        <v>0</v>
      </c>
      <c r="F274" s="437"/>
      <c r="G274" s="438"/>
      <c r="H274" s="445">
        <f>SUM(B276)</f>
        <v>16800</v>
      </c>
    </row>
    <row r="275" spans="1:8" ht="12.75">
      <c r="A275" s="161" t="s">
        <v>142</v>
      </c>
      <c r="B275" s="164">
        <v>1</v>
      </c>
      <c r="C275" s="246"/>
      <c r="D275" s="155"/>
      <c r="E275" s="166">
        <v>1</v>
      </c>
      <c r="F275" s="440">
        <f>B$284</f>
        <v>798</v>
      </c>
      <c r="G275" s="423">
        <f>F275</f>
        <v>798</v>
      </c>
      <c r="H275" s="441">
        <f>H274-F275</f>
        <v>16002</v>
      </c>
    </row>
    <row r="276" spans="1:8" ht="12.75">
      <c r="A276" s="161" t="s">
        <v>144</v>
      </c>
      <c r="B276" s="167">
        <f>F12</f>
        <v>16800</v>
      </c>
      <c r="C276" s="247"/>
      <c r="D276" s="81"/>
      <c r="E276" s="168">
        <v>2</v>
      </c>
      <c r="F276" s="440">
        <f aca="true" t="shared" si="26" ref="F276:F294">B$284</f>
        <v>798</v>
      </c>
      <c r="G276" s="423">
        <f>G275+F276</f>
        <v>1596</v>
      </c>
      <c r="H276" s="441">
        <f>H275-F276</f>
        <v>15204</v>
      </c>
    </row>
    <row r="277" spans="1:8" ht="12.75">
      <c r="A277" s="161" t="s">
        <v>145</v>
      </c>
      <c r="B277" s="169">
        <v>20</v>
      </c>
      <c r="C277" s="248"/>
      <c r="E277" s="171">
        <v>3</v>
      </c>
      <c r="F277" s="440">
        <f t="shared" si="26"/>
        <v>798</v>
      </c>
      <c r="G277" s="423">
        <f>G276+F277</f>
        <v>2394</v>
      </c>
      <c r="H277" s="441">
        <f aca="true" t="shared" si="27" ref="H277:H294">H276-F277</f>
        <v>14406</v>
      </c>
    </row>
    <row r="278" spans="1:8" ht="12.75">
      <c r="A278" s="161" t="s">
        <v>146</v>
      </c>
      <c r="B278" s="172">
        <v>0.05</v>
      </c>
      <c r="C278" s="249"/>
      <c r="E278" s="171">
        <v>4</v>
      </c>
      <c r="F278" s="440">
        <f t="shared" si="26"/>
        <v>798</v>
      </c>
      <c r="G278" s="423">
        <f aca="true" t="shared" si="28" ref="G278:G294">G277+F278</f>
        <v>3192</v>
      </c>
      <c r="H278" s="441">
        <f t="shared" si="27"/>
        <v>13608</v>
      </c>
    </row>
    <row r="279" spans="1:8" ht="12.75">
      <c r="A279" s="161" t="s">
        <v>147</v>
      </c>
      <c r="B279" s="173">
        <f>B276*5%</f>
        <v>840</v>
      </c>
      <c r="C279" s="250"/>
      <c r="E279" s="171">
        <v>5</v>
      </c>
      <c r="F279" s="440">
        <f t="shared" si="26"/>
        <v>798</v>
      </c>
      <c r="G279" s="423">
        <f t="shared" si="28"/>
        <v>3990</v>
      </c>
      <c r="H279" s="441">
        <f t="shared" si="27"/>
        <v>12810</v>
      </c>
    </row>
    <row r="280" spans="1:8" ht="13.5" thickBot="1">
      <c r="A280" s="174"/>
      <c r="B280" s="175"/>
      <c r="C280" s="248"/>
      <c r="E280" s="171">
        <v>6</v>
      </c>
      <c r="F280" s="440">
        <f t="shared" si="26"/>
        <v>798</v>
      </c>
      <c r="G280" s="423">
        <f t="shared" si="28"/>
        <v>4788</v>
      </c>
      <c r="H280" s="441">
        <f t="shared" si="27"/>
        <v>12012</v>
      </c>
    </row>
    <row r="281" spans="1:8" ht="13.5" thickBot="1">
      <c r="A281" s="119" t="s">
        <v>125</v>
      </c>
      <c r="E281" s="171">
        <v>7</v>
      </c>
      <c r="F281" s="440">
        <f t="shared" si="26"/>
        <v>798</v>
      </c>
      <c r="G281" s="423">
        <f t="shared" si="28"/>
        <v>5586</v>
      </c>
      <c r="H281" s="441">
        <f t="shared" si="27"/>
        <v>11214</v>
      </c>
    </row>
    <row r="282" spans="1:8" ht="12.75">
      <c r="A282" s="176" t="s">
        <v>148</v>
      </c>
      <c r="B282" s="177"/>
      <c r="C282" s="248"/>
      <c r="E282" s="171">
        <v>8</v>
      </c>
      <c r="F282" s="440">
        <f t="shared" si="26"/>
        <v>798</v>
      </c>
      <c r="G282" s="423">
        <f t="shared" si="28"/>
        <v>6384</v>
      </c>
      <c r="H282" s="441">
        <f t="shared" si="27"/>
        <v>10416</v>
      </c>
    </row>
    <row r="283" spans="1:8" ht="12.75">
      <c r="A283" s="161"/>
      <c r="B283" s="169" t="s">
        <v>125</v>
      </c>
      <c r="C283" s="248"/>
      <c r="E283" s="171">
        <v>9</v>
      </c>
      <c r="F283" s="440">
        <f t="shared" si="26"/>
        <v>798</v>
      </c>
      <c r="G283" s="423">
        <f t="shared" si="28"/>
        <v>7182</v>
      </c>
      <c r="H283" s="441">
        <f t="shared" si="27"/>
        <v>9618</v>
      </c>
    </row>
    <row r="284" spans="1:8" ht="13.5" thickBot="1">
      <c r="A284" s="174"/>
      <c r="B284" s="178">
        <f>(B276-B279)/B277</f>
        <v>798</v>
      </c>
      <c r="C284" s="251"/>
      <c r="E284" s="171">
        <v>10</v>
      </c>
      <c r="F284" s="440">
        <f t="shared" si="26"/>
        <v>798</v>
      </c>
      <c r="G284" s="423">
        <f t="shared" si="28"/>
        <v>7980</v>
      </c>
      <c r="H284" s="441">
        <f t="shared" si="27"/>
        <v>8820</v>
      </c>
    </row>
    <row r="285" spans="2:8" ht="12.75">
      <c r="B285" s="154"/>
      <c r="C285" s="244"/>
      <c r="D285" s="155"/>
      <c r="E285" s="181">
        <v>11</v>
      </c>
      <c r="F285" s="440">
        <f t="shared" si="26"/>
        <v>798</v>
      </c>
      <c r="G285" s="423">
        <f t="shared" si="28"/>
        <v>8778</v>
      </c>
      <c r="H285" s="441">
        <f t="shared" si="27"/>
        <v>8022</v>
      </c>
    </row>
    <row r="286" spans="2:8" ht="12.75">
      <c r="B286" s="154"/>
      <c r="C286" s="244"/>
      <c r="D286" s="155"/>
      <c r="E286" s="181">
        <v>12</v>
      </c>
      <c r="F286" s="440">
        <f t="shared" si="26"/>
        <v>798</v>
      </c>
      <c r="G286" s="423">
        <f t="shared" si="28"/>
        <v>9576</v>
      </c>
      <c r="H286" s="441">
        <f t="shared" si="27"/>
        <v>7224</v>
      </c>
    </row>
    <row r="287" spans="2:8" ht="12.75">
      <c r="B287" s="154"/>
      <c r="C287" s="244"/>
      <c r="D287" s="155"/>
      <c r="E287" s="181">
        <v>13</v>
      </c>
      <c r="F287" s="440">
        <f t="shared" si="26"/>
        <v>798</v>
      </c>
      <c r="G287" s="423">
        <f t="shared" si="28"/>
        <v>10374</v>
      </c>
      <c r="H287" s="441">
        <f t="shared" si="27"/>
        <v>6426</v>
      </c>
    </row>
    <row r="288" spans="2:8" ht="12.75">
      <c r="B288" s="154"/>
      <c r="C288" s="244"/>
      <c r="D288" s="155"/>
      <c r="E288" s="181">
        <v>14</v>
      </c>
      <c r="F288" s="440">
        <f t="shared" si="26"/>
        <v>798</v>
      </c>
      <c r="G288" s="423">
        <f t="shared" si="28"/>
        <v>11172</v>
      </c>
      <c r="H288" s="441">
        <f t="shared" si="27"/>
        <v>5628</v>
      </c>
    </row>
    <row r="289" spans="2:8" ht="12.75">
      <c r="B289" s="154"/>
      <c r="C289" s="244"/>
      <c r="D289" s="155"/>
      <c r="E289" s="181">
        <v>15</v>
      </c>
      <c r="F289" s="440">
        <f t="shared" si="26"/>
        <v>798</v>
      </c>
      <c r="G289" s="423">
        <f t="shared" si="28"/>
        <v>11970</v>
      </c>
      <c r="H289" s="441">
        <f t="shared" si="27"/>
        <v>4830</v>
      </c>
    </row>
    <row r="290" spans="2:8" ht="12.75">
      <c r="B290" s="154"/>
      <c r="C290" s="244"/>
      <c r="D290" s="155"/>
      <c r="E290" s="181">
        <v>16</v>
      </c>
      <c r="F290" s="440">
        <f t="shared" si="26"/>
        <v>798</v>
      </c>
      <c r="G290" s="423">
        <f t="shared" si="28"/>
        <v>12768</v>
      </c>
      <c r="H290" s="441">
        <f t="shared" si="27"/>
        <v>4032</v>
      </c>
    </row>
    <row r="291" spans="2:8" ht="12.75">
      <c r="B291" s="154"/>
      <c r="C291" s="244"/>
      <c r="D291" s="155"/>
      <c r="E291" s="181">
        <v>17</v>
      </c>
      <c r="F291" s="440">
        <f t="shared" si="26"/>
        <v>798</v>
      </c>
      <c r="G291" s="423">
        <f t="shared" si="28"/>
        <v>13566</v>
      </c>
      <c r="H291" s="441">
        <f t="shared" si="27"/>
        <v>3234</v>
      </c>
    </row>
    <row r="292" spans="2:8" ht="12.75">
      <c r="B292" s="154"/>
      <c r="C292" s="244"/>
      <c r="D292" s="155"/>
      <c r="E292" s="181">
        <v>18</v>
      </c>
      <c r="F292" s="440">
        <f t="shared" si="26"/>
        <v>798</v>
      </c>
      <c r="G292" s="423">
        <f t="shared" si="28"/>
        <v>14364</v>
      </c>
      <c r="H292" s="441">
        <f t="shared" si="27"/>
        <v>2436</v>
      </c>
    </row>
    <row r="293" spans="2:8" ht="12.75">
      <c r="B293" s="154"/>
      <c r="C293" s="244"/>
      <c r="D293" s="155"/>
      <c r="E293" s="181">
        <v>19</v>
      </c>
      <c r="F293" s="440">
        <f t="shared" si="26"/>
        <v>798</v>
      </c>
      <c r="G293" s="423">
        <f t="shared" si="28"/>
        <v>15162</v>
      </c>
      <c r="H293" s="441">
        <f t="shared" si="27"/>
        <v>1638</v>
      </c>
    </row>
    <row r="294" spans="2:8" ht="13.5" thickBot="1">
      <c r="B294" s="154"/>
      <c r="C294" s="244"/>
      <c r="D294" s="155"/>
      <c r="E294" s="182">
        <v>20</v>
      </c>
      <c r="F294" s="442">
        <f t="shared" si="26"/>
        <v>798</v>
      </c>
      <c r="G294" s="424">
        <f t="shared" si="28"/>
        <v>15960</v>
      </c>
      <c r="H294" s="427">
        <f t="shared" si="27"/>
        <v>840</v>
      </c>
    </row>
    <row r="295" spans="2:8" ht="12.75">
      <c r="B295" s="154"/>
      <c r="C295" s="244"/>
      <c r="D295" s="155"/>
      <c r="E295" s="165"/>
      <c r="F295" s="443"/>
      <c r="G295" s="429"/>
      <c r="H295" s="429"/>
    </row>
    <row r="296" spans="2:8" ht="12.75">
      <c r="B296" s="154"/>
      <c r="C296" s="244"/>
      <c r="D296" s="155"/>
      <c r="E296" s="165"/>
      <c r="F296" s="443"/>
      <c r="G296" s="429"/>
      <c r="H296" s="429"/>
    </row>
    <row r="297" spans="2:8" ht="12.75">
      <c r="B297" s="154"/>
      <c r="C297" s="244"/>
      <c r="D297" s="155"/>
      <c r="E297" s="165"/>
      <c r="F297" s="443"/>
      <c r="G297" s="429"/>
      <c r="H297" s="429"/>
    </row>
    <row r="298" spans="2:8" ht="12.75">
      <c r="B298" s="154"/>
      <c r="C298" s="244"/>
      <c r="D298" s="155"/>
      <c r="E298" s="165"/>
      <c r="F298" s="443"/>
      <c r="G298" s="429"/>
      <c r="H298" s="429"/>
    </row>
    <row r="299" spans="2:8" ht="12.75">
      <c r="B299" s="154"/>
      <c r="C299" s="244"/>
      <c r="D299" s="155"/>
      <c r="E299" s="165"/>
      <c r="F299" s="443"/>
      <c r="G299" s="429"/>
      <c r="H299" s="429"/>
    </row>
    <row r="300" spans="2:8" ht="12.75">
      <c r="B300" s="154"/>
      <c r="C300" s="244"/>
      <c r="D300" s="155"/>
      <c r="E300" s="165"/>
      <c r="F300" s="443"/>
      <c r="G300" s="429"/>
      <c r="H300" s="429"/>
    </row>
    <row r="301" spans="2:8" ht="12.75">
      <c r="B301" s="154"/>
      <c r="C301" s="244"/>
      <c r="D301" s="155"/>
      <c r="E301" s="165"/>
      <c r="F301" s="443"/>
      <c r="G301" s="429"/>
      <c r="H301" s="429"/>
    </row>
    <row r="302" spans="2:8" ht="12.75">
      <c r="B302" s="154"/>
      <c r="C302" s="244"/>
      <c r="D302" s="155"/>
      <c r="E302" s="165"/>
      <c r="F302" s="443"/>
      <c r="G302" s="429"/>
      <c r="H302" s="429"/>
    </row>
    <row r="303" spans="2:8" ht="12.75">
      <c r="B303" s="154"/>
      <c r="C303" s="244"/>
      <c r="D303" s="155"/>
      <c r="E303" s="165"/>
      <c r="F303" s="443"/>
      <c r="G303" s="429"/>
      <c r="H303" s="429"/>
    </row>
    <row r="304" spans="2:8" ht="12.75">
      <c r="B304" s="154"/>
      <c r="C304" s="244"/>
      <c r="D304" s="155"/>
      <c r="E304" s="165"/>
      <c r="F304" s="443"/>
      <c r="G304" s="429"/>
      <c r="H304" s="429"/>
    </row>
    <row r="305" spans="2:8" ht="12.75">
      <c r="B305" s="154"/>
      <c r="C305" s="244"/>
      <c r="D305" s="155"/>
      <c r="E305" s="165"/>
      <c r="F305" s="443"/>
      <c r="G305" s="429"/>
      <c r="H305" s="429"/>
    </row>
    <row r="306" spans="2:8" ht="12.75">
      <c r="B306" s="154"/>
      <c r="C306" s="244"/>
      <c r="D306" s="155"/>
      <c r="E306" s="165"/>
      <c r="F306" s="443"/>
      <c r="G306" s="429"/>
      <c r="H306" s="429"/>
    </row>
    <row r="307" spans="2:8" ht="13.5" thickBot="1">
      <c r="B307" s="154"/>
      <c r="C307" s="244"/>
      <c r="D307" s="155"/>
      <c r="E307" s="165"/>
      <c r="F307" s="443"/>
      <c r="G307" s="429"/>
      <c r="H307" s="429"/>
    </row>
    <row r="308" spans="1:8" ht="26.25" thickBot="1">
      <c r="A308" s="183">
        <v>2</v>
      </c>
      <c r="B308" s="184" t="s">
        <v>28</v>
      </c>
      <c r="C308" s="185"/>
      <c r="D308" s="155"/>
      <c r="E308" s="165"/>
      <c r="F308" s="443"/>
      <c r="G308" s="429"/>
      <c r="H308" s="429"/>
    </row>
    <row r="309" spans="2:8" ht="13.5" thickBot="1">
      <c r="B309" s="154"/>
      <c r="C309" s="244"/>
      <c r="D309" s="155"/>
      <c r="E309" s="165"/>
      <c r="F309" s="443"/>
      <c r="G309" s="429"/>
      <c r="H309" s="429"/>
    </row>
    <row r="310" spans="1:8" ht="51">
      <c r="A310" s="158" t="s">
        <v>137</v>
      </c>
      <c r="B310" s="159" t="e">
        <f>SUM(#REF!)</f>
        <v>#REF!</v>
      </c>
      <c r="C310" s="245"/>
      <c r="D310" s="155"/>
      <c r="E310" s="186" t="s">
        <v>138</v>
      </c>
      <c r="F310" s="446" t="s">
        <v>139</v>
      </c>
      <c r="G310" s="447" t="s">
        <v>140</v>
      </c>
      <c r="H310" s="448" t="s">
        <v>141</v>
      </c>
    </row>
    <row r="311" spans="1:8" ht="12.75">
      <c r="A311" s="161" t="s">
        <v>118</v>
      </c>
      <c r="B311" s="162" t="s">
        <v>158</v>
      </c>
      <c r="C311" s="245"/>
      <c r="D311" s="155"/>
      <c r="E311" s="166">
        <v>0</v>
      </c>
      <c r="F311" s="440"/>
      <c r="G311" s="423"/>
      <c r="H311" s="441" t="e">
        <f>SUM(B313)</f>
        <v>#REF!</v>
      </c>
    </row>
    <row r="312" spans="1:8" ht="12.75">
      <c r="A312" s="161" t="s">
        <v>142</v>
      </c>
      <c r="B312" s="164">
        <v>2</v>
      </c>
      <c r="C312" s="246"/>
      <c r="D312" s="155"/>
      <c r="E312" s="166">
        <v>1</v>
      </c>
      <c r="F312" s="440">
        <f>B$334</f>
        <v>387</v>
      </c>
      <c r="G312" s="423">
        <f>F312</f>
        <v>387</v>
      </c>
      <c r="H312" s="441" t="e">
        <f>H311-F312</f>
        <v>#REF!</v>
      </c>
    </row>
    <row r="313" spans="1:8" ht="12.75">
      <c r="A313" s="161" t="s">
        <v>144</v>
      </c>
      <c r="B313" s="167" t="e">
        <f>SUM(#REF!)</f>
        <v>#REF!</v>
      </c>
      <c r="C313" s="247"/>
      <c r="D313" s="81"/>
      <c r="E313" s="168">
        <v>2</v>
      </c>
      <c r="F313" s="440">
        <f>B$334</f>
        <v>387</v>
      </c>
      <c r="G313" s="423">
        <f>G312+F313</f>
        <v>774</v>
      </c>
      <c r="H313" s="441" t="e">
        <f aca="true" t="shared" si="29" ref="H313:H321">H312-F313</f>
        <v>#REF!</v>
      </c>
    </row>
    <row r="314" spans="1:8" ht="12.75">
      <c r="A314" s="161" t="s">
        <v>145</v>
      </c>
      <c r="B314" s="169">
        <f>G2</f>
        <v>0</v>
      </c>
      <c r="C314" s="248"/>
      <c r="E314" s="171">
        <v>3</v>
      </c>
      <c r="F314" s="440">
        <f aca="true" t="shared" si="30" ref="F314:F321">B$334</f>
        <v>387</v>
      </c>
      <c r="G314" s="423">
        <f>G313+F314</f>
        <v>1161</v>
      </c>
      <c r="H314" s="441" t="e">
        <f t="shared" si="29"/>
        <v>#REF!</v>
      </c>
    </row>
    <row r="315" spans="1:8" ht="12.75">
      <c r="A315" s="161" t="s">
        <v>146</v>
      </c>
      <c r="B315" s="172">
        <v>0.1</v>
      </c>
      <c r="C315" s="249"/>
      <c r="E315" s="171">
        <v>4</v>
      </c>
      <c r="F315" s="440">
        <f t="shared" si="30"/>
        <v>387</v>
      </c>
      <c r="G315" s="423">
        <f aca="true" t="shared" si="31" ref="G315:G321">G314+F315</f>
        <v>1548</v>
      </c>
      <c r="H315" s="441" t="e">
        <f t="shared" si="29"/>
        <v>#REF!</v>
      </c>
    </row>
    <row r="316" spans="1:8" ht="12.75">
      <c r="A316" s="161" t="s">
        <v>147</v>
      </c>
      <c r="B316" s="173" t="e">
        <f>B313*10%</f>
        <v>#REF!</v>
      </c>
      <c r="C316" s="250"/>
      <c r="E316" s="171">
        <v>5</v>
      </c>
      <c r="F316" s="440">
        <f t="shared" si="30"/>
        <v>387</v>
      </c>
      <c r="G316" s="423">
        <f t="shared" si="31"/>
        <v>1935</v>
      </c>
      <c r="H316" s="441" t="e">
        <f t="shared" si="29"/>
        <v>#REF!</v>
      </c>
    </row>
    <row r="317" spans="1:8" ht="13.5" thickBot="1">
      <c r="A317" s="174"/>
      <c r="B317" s="175"/>
      <c r="C317" s="248"/>
      <c r="E317" s="171">
        <v>6</v>
      </c>
      <c r="F317" s="440">
        <f t="shared" si="30"/>
        <v>387</v>
      </c>
      <c r="G317" s="423">
        <f t="shared" si="31"/>
        <v>2322</v>
      </c>
      <c r="H317" s="441" t="e">
        <f t="shared" si="29"/>
        <v>#REF!</v>
      </c>
    </row>
    <row r="318" spans="1:8" ht="13.5" thickBot="1">
      <c r="A318" s="119" t="s">
        <v>125</v>
      </c>
      <c r="E318" s="171">
        <v>7</v>
      </c>
      <c r="F318" s="440">
        <f t="shared" si="30"/>
        <v>387</v>
      </c>
      <c r="G318" s="423">
        <f t="shared" si="31"/>
        <v>2709</v>
      </c>
      <c r="H318" s="441" t="e">
        <f t="shared" si="29"/>
        <v>#REF!</v>
      </c>
    </row>
    <row r="319" spans="1:8" ht="12.75">
      <c r="A319" s="176" t="s">
        <v>148</v>
      </c>
      <c r="B319" s="177"/>
      <c r="C319" s="248"/>
      <c r="E319" s="171">
        <v>8</v>
      </c>
      <c r="F319" s="440">
        <f t="shared" si="30"/>
        <v>387</v>
      </c>
      <c r="G319" s="423">
        <f t="shared" si="31"/>
        <v>3096</v>
      </c>
      <c r="H319" s="441" t="e">
        <f t="shared" si="29"/>
        <v>#REF!</v>
      </c>
    </row>
    <row r="320" spans="1:8" ht="12.75">
      <c r="A320" s="161"/>
      <c r="B320" s="169" t="s">
        <v>159</v>
      </c>
      <c r="C320" s="248"/>
      <c r="E320" s="171">
        <v>9</v>
      </c>
      <c r="F320" s="440">
        <f t="shared" si="30"/>
        <v>387</v>
      </c>
      <c r="G320" s="423">
        <f t="shared" si="31"/>
        <v>3483</v>
      </c>
      <c r="H320" s="441" t="e">
        <f t="shared" si="29"/>
        <v>#REF!</v>
      </c>
    </row>
    <row r="321" spans="1:8" ht="13.5" thickBot="1">
      <c r="A321" s="174"/>
      <c r="B321" s="178">
        <f>(4300-430)/10</f>
        <v>387</v>
      </c>
      <c r="C321" s="251"/>
      <c r="E321" s="187">
        <v>10</v>
      </c>
      <c r="F321" s="442">
        <f t="shared" si="30"/>
        <v>387</v>
      </c>
      <c r="G321" s="424">
        <f t="shared" si="31"/>
        <v>3870</v>
      </c>
      <c r="H321" s="444" t="e">
        <f t="shared" si="29"/>
        <v>#REF!</v>
      </c>
    </row>
    <row r="322" spans="2:6" ht="13.5" thickBot="1">
      <c r="B322" s="156"/>
      <c r="C322" s="252"/>
      <c r="D322" s="155"/>
      <c r="E322" s="188"/>
      <c r="F322" s="434"/>
    </row>
    <row r="323" spans="1:8" ht="51">
      <c r="A323" s="158" t="s">
        <v>137</v>
      </c>
      <c r="B323" s="159" t="e">
        <f>#REF!</f>
        <v>#REF!</v>
      </c>
      <c r="C323" s="245"/>
      <c r="D323" s="155"/>
      <c r="E323" s="186" t="s">
        <v>138</v>
      </c>
      <c r="F323" s="446" t="s">
        <v>139</v>
      </c>
      <c r="G323" s="447" t="s">
        <v>140</v>
      </c>
      <c r="H323" s="448" t="s">
        <v>141</v>
      </c>
    </row>
    <row r="324" spans="1:8" ht="12.75">
      <c r="A324" s="161" t="s">
        <v>118</v>
      </c>
      <c r="B324" s="162" t="e">
        <f>#REF!</f>
        <v>#REF!</v>
      </c>
      <c r="C324" s="245"/>
      <c r="D324" s="155"/>
      <c r="E324" s="166">
        <v>0</v>
      </c>
      <c r="F324" s="440"/>
      <c r="G324" s="423"/>
      <c r="H324" s="441">
        <v>4300</v>
      </c>
    </row>
    <row r="325" spans="1:8" ht="12.75">
      <c r="A325" s="161" t="s">
        <v>142</v>
      </c>
      <c r="B325" s="164" t="e">
        <f>#REF!</f>
        <v>#REF!</v>
      </c>
      <c r="C325" s="246"/>
      <c r="D325" s="155"/>
      <c r="E325" s="166">
        <v>1</v>
      </c>
      <c r="F325" s="440">
        <f>B$334</f>
        <v>387</v>
      </c>
      <c r="G325" s="423">
        <f>F325</f>
        <v>387</v>
      </c>
      <c r="H325" s="441">
        <f>H324-F325</f>
        <v>3913</v>
      </c>
    </row>
    <row r="326" spans="1:8" ht="12.75">
      <c r="A326" s="161" t="s">
        <v>144</v>
      </c>
      <c r="B326" s="167" t="e">
        <f>#REF!</f>
        <v>#REF!</v>
      </c>
      <c r="C326" s="247"/>
      <c r="D326" s="81"/>
      <c r="E326" s="168">
        <v>2</v>
      </c>
      <c r="F326" s="440">
        <f>B$334</f>
        <v>387</v>
      </c>
      <c r="G326" s="423">
        <f>G325+F326</f>
        <v>774</v>
      </c>
      <c r="H326" s="441">
        <f aca="true" t="shared" si="32" ref="H326:H334">H325-F326</f>
        <v>3526</v>
      </c>
    </row>
    <row r="327" spans="1:8" ht="12.75">
      <c r="A327" s="161" t="s">
        <v>145</v>
      </c>
      <c r="B327" s="169" t="e">
        <f>#REF!</f>
        <v>#REF!</v>
      </c>
      <c r="C327" s="248"/>
      <c r="E327" s="171">
        <v>3</v>
      </c>
      <c r="F327" s="440">
        <f aca="true" t="shared" si="33" ref="F327:F334">B$334</f>
        <v>387</v>
      </c>
      <c r="G327" s="423">
        <f>G326+F327</f>
        <v>1161</v>
      </c>
      <c r="H327" s="441">
        <f t="shared" si="32"/>
        <v>3139</v>
      </c>
    </row>
    <row r="328" spans="1:8" ht="12.75">
      <c r="A328" s="161" t="s">
        <v>146</v>
      </c>
      <c r="B328" s="172">
        <v>0.1</v>
      </c>
      <c r="C328" s="249"/>
      <c r="E328" s="171">
        <v>4</v>
      </c>
      <c r="F328" s="440">
        <f t="shared" si="33"/>
        <v>387</v>
      </c>
      <c r="G328" s="423">
        <f aca="true" t="shared" si="34" ref="G328:G334">G327+F328</f>
        <v>1548</v>
      </c>
      <c r="H328" s="441">
        <f t="shared" si="32"/>
        <v>2752</v>
      </c>
    </row>
    <row r="329" spans="1:8" ht="12.75">
      <c r="A329" s="161" t="s">
        <v>147</v>
      </c>
      <c r="B329" s="173" t="e">
        <f>B326*10%</f>
        <v>#REF!</v>
      </c>
      <c r="C329" s="250"/>
      <c r="E329" s="171">
        <v>5</v>
      </c>
      <c r="F329" s="440">
        <f t="shared" si="33"/>
        <v>387</v>
      </c>
      <c r="G329" s="423">
        <f t="shared" si="34"/>
        <v>1935</v>
      </c>
      <c r="H329" s="441">
        <f t="shared" si="32"/>
        <v>2365</v>
      </c>
    </row>
    <row r="330" spans="1:8" ht="13.5" thickBot="1">
      <c r="A330" s="174"/>
      <c r="B330" s="175"/>
      <c r="C330" s="248"/>
      <c r="E330" s="171">
        <v>6</v>
      </c>
      <c r="F330" s="440">
        <f t="shared" si="33"/>
        <v>387</v>
      </c>
      <c r="G330" s="423">
        <f t="shared" si="34"/>
        <v>2322</v>
      </c>
      <c r="H330" s="441">
        <f t="shared" si="32"/>
        <v>1978</v>
      </c>
    </row>
    <row r="331" spans="1:8" ht="12.75">
      <c r="A331" s="119" t="s">
        <v>125</v>
      </c>
      <c r="E331" s="171">
        <v>7</v>
      </c>
      <c r="F331" s="440">
        <f t="shared" si="33"/>
        <v>387</v>
      </c>
      <c r="G331" s="423">
        <f t="shared" si="34"/>
        <v>2709</v>
      </c>
      <c r="H331" s="441">
        <f t="shared" si="32"/>
        <v>1591</v>
      </c>
    </row>
    <row r="332" spans="1:8" ht="12.75">
      <c r="A332" s="189" t="s">
        <v>148</v>
      </c>
      <c r="B332" s="190"/>
      <c r="C332" s="248"/>
      <c r="E332" s="171">
        <v>8</v>
      </c>
      <c r="F332" s="440">
        <f t="shared" si="33"/>
        <v>387</v>
      </c>
      <c r="G332" s="423">
        <f t="shared" si="34"/>
        <v>3096</v>
      </c>
      <c r="H332" s="441">
        <f t="shared" si="32"/>
        <v>1204</v>
      </c>
    </row>
    <row r="333" spans="1:8" ht="12.75">
      <c r="A333" s="191"/>
      <c r="B333" s="192" t="s">
        <v>159</v>
      </c>
      <c r="C333" s="248"/>
      <c r="E333" s="171">
        <v>9</v>
      </c>
      <c r="F333" s="440">
        <f t="shared" si="33"/>
        <v>387</v>
      </c>
      <c r="G333" s="423">
        <f t="shared" si="34"/>
        <v>3483</v>
      </c>
      <c r="H333" s="441">
        <f t="shared" si="32"/>
        <v>817</v>
      </c>
    </row>
    <row r="334" spans="1:8" ht="13.5" thickBot="1">
      <c r="A334" s="193"/>
      <c r="B334" s="194">
        <f>(4300-430)/10</f>
        <v>387</v>
      </c>
      <c r="C334" s="251"/>
      <c r="E334" s="187">
        <v>10</v>
      </c>
      <c r="F334" s="442">
        <f t="shared" si="33"/>
        <v>387</v>
      </c>
      <c r="G334" s="424">
        <f t="shared" si="34"/>
        <v>3870</v>
      </c>
      <c r="H334" s="444">
        <f t="shared" si="32"/>
        <v>430</v>
      </c>
    </row>
    <row r="335" ht="13.5" thickBot="1"/>
    <row r="336" spans="1:8" ht="51">
      <c r="A336" s="158" t="s">
        <v>137</v>
      </c>
      <c r="B336" s="159" t="e">
        <f>#REF!</f>
        <v>#REF!</v>
      </c>
      <c r="C336" s="245"/>
      <c r="D336" s="155"/>
      <c r="E336" s="186" t="s">
        <v>138</v>
      </c>
      <c r="F336" s="446" t="s">
        <v>139</v>
      </c>
      <c r="G336" s="447" t="s">
        <v>140</v>
      </c>
      <c r="H336" s="448" t="s">
        <v>141</v>
      </c>
    </row>
    <row r="337" spans="1:8" ht="12.75">
      <c r="A337" s="161" t="s">
        <v>118</v>
      </c>
      <c r="B337" s="162" t="e">
        <f>#REF!</f>
        <v>#REF!</v>
      </c>
      <c r="C337" s="245"/>
      <c r="D337" s="155"/>
      <c r="E337" s="166">
        <v>0</v>
      </c>
      <c r="F337" s="440"/>
      <c r="G337" s="423"/>
      <c r="H337" s="441" t="e">
        <f>B339</f>
        <v>#REF!</v>
      </c>
    </row>
    <row r="338" spans="1:8" ht="12.75">
      <c r="A338" s="161" t="s">
        <v>142</v>
      </c>
      <c r="B338" s="164">
        <v>1</v>
      </c>
      <c r="C338" s="246"/>
      <c r="D338" s="155"/>
      <c r="E338" s="166">
        <v>1</v>
      </c>
      <c r="F338" s="440" t="e">
        <f>B347</f>
        <v>#REF!</v>
      </c>
      <c r="G338" s="423" t="e">
        <f>F338</f>
        <v>#REF!</v>
      </c>
      <c r="H338" s="441" t="e">
        <f>H337-F338</f>
        <v>#REF!</v>
      </c>
    </row>
    <row r="339" spans="1:8" ht="12.75">
      <c r="A339" s="161" t="s">
        <v>144</v>
      </c>
      <c r="B339" s="167" t="e">
        <f>#REF!</f>
        <v>#REF!</v>
      </c>
      <c r="C339" s="247"/>
      <c r="D339" s="81"/>
      <c r="E339" s="168">
        <v>2</v>
      </c>
      <c r="F339" s="440" t="e">
        <f>B$347</f>
        <v>#REF!</v>
      </c>
      <c r="G339" s="423" t="e">
        <f>G338+F339</f>
        <v>#REF!</v>
      </c>
      <c r="H339" s="441" t="e">
        <f aca="true" t="shared" si="35" ref="H339:H347">H338-F339</f>
        <v>#REF!</v>
      </c>
    </row>
    <row r="340" spans="1:8" ht="12.75">
      <c r="A340" s="161" t="s">
        <v>145</v>
      </c>
      <c r="B340" s="169">
        <v>10</v>
      </c>
      <c r="C340" s="248"/>
      <c r="E340" s="171">
        <v>3</v>
      </c>
      <c r="F340" s="440" t="e">
        <f aca="true" t="shared" si="36" ref="F340:F347">B$347</f>
        <v>#REF!</v>
      </c>
      <c r="G340" s="423" t="e">
        <f>G339+F340</f>
        <v>#REF!</v>
      </c>
      <c r="H340" s="441" t="e">
        <f t="shared" si="35"/>
        <v>#REF!</v>
      </c>
    </row>
    <row r="341" spans="1:8" ht="12.75">
      <c r="A341" s="161" t="s">
        <v>146</v>
      </c>
      <c r="B341" s="172">
        <v>0.1</v>
      </c>
      <c r="C341" s="249"/>
      <c r="E341" s="171">
        <v>4</v>
      </c>
      <c r="F341" s="440" t="e">
        <f t="shared" si="36"/>
        <v>#REF!</v>
      </c>
      <c r="G341" s="423" t="e">
        <f aca="true" t="shared" si="37" ref="G341:G347">G340+F341</f>
        <v>#REF!</v>
      </c>
      <c r="H341" s="441" t="e">
        <f t="shared" si="35"/>
        <v>#REF!</v>
      </c>
    </row>
    <row r="342" spans="1:8" ht="12.75">
      <c r="A342" s="161" t="s">
        <v>147</v>
      </c>
      <c r="B342" s="173" t="e">
        <f>B339*10%</f>
        <v>#REF!</v>
      </c>
      <c r="C342" s="250"/>
      <c r="E342" s="171">
        <v>5</v>
      </c>
      <c r="F342" s="440" t="e">
        <f t="shared" si="36"/>
        <v>#REF!</v>
      </c>
      <c r="G342" s="423" t="e">
        <f t="shared" si="37"/>
        <v>#REF!</v>
      </c>
      <c r="H342" s="441" t="e">
        <f t="shared" si="35"/>
        <v>#REF!</v>
      </c>
    </row>
    <row r="343" spans="1:8" ht="13.5" thickBot="1">
      <c r="A343" s="174"/>
      <c r="B343" s="175"/>
      <c r="C343" s="248"/>
      <c r="E343" s="171">
        <v>6</v>
      </c>
      <c r="F343" s="440" t="e">
        <f t="shared" si="36"/>
        <v>#REF!</v>
      </c>
      <c r="G343" s="423" t="e">
        <f t="shared" si="37"/>
        <v>#REF!</v>
      </c>
      <c r="H343" s="441" t="e">
        <f t="shared" si="35"/>
        <v>#REF!</v>
      </c>
    </row>
    <row r="344" spans="1:8" ht="13.5" thickBot="1">
      <c r="A344" s="119" t="s">
        <v>125</v>
      </c>
      <c r="E344" s="171">
        <v>7</v>
      </c>
      <c r="F344" s="440" t="e">
        <f t="shared" si="36"/>
        <v>#REF!</v>
      </c>
      <c r="G344" s="423" t="e">
        <f t="shared" si="37"/>
        <v>#REF!</v>
      </c>
      <c r="H344" s="441" t="e">
        <f t="shared" si="35"/>
        <v>#REF!</v>
      </c>
    </row>
    <row r="345" spans="1:8" ht="12.75">
      <c r="A345" s="176" t="s">
        <v>148</v>
      </c>
      <c r="B345" s="177"/>
      <c r="C345" s="248"/>
      <c r="E345" s="171">
        <v>8</v>
      </c>
      <c r="F345" s="440" t="e">
        <f t="shared" si="36"/>
        <v>#REF!</v>
      </c>
      <c r="G345" s="423" t="e">
        <f t="shared" si="37"/>
        <v>#REF!</v>
      </c>
      <c r="H345" s="441" t="e">
        <f t="shared" si="35"/>
        <v>#REF!</v>
      </c>
    </row>
    <row r="346" spans="1:8" ht="12.75">
      <c r="A346" s="161"/>
      <c r="B346" s="169" t="s">
        <v>125</v>
      </c>
      <c r="C346" s="248"/>
      <c r="E346" s="171">
        <v>9</v>
      </c>
      <c r="F346" s="440" t="e">
        <f t="shared" si="36"/>
        <v>#REF!</v>
      </c>
      <c r="G346" s="423" t="e">
        <f t="shared" si="37"/>
        <v>#REF!</v>
      </c>
      <c r="H346" s="441" t="e">
        <f t="shared" si="35"/>
        <v>#REF!</v>
      </c>
    </row>
    <row r="347" spans="1:8" ht="13.5" thickBot="1">
      <c r="A347" s="174"/>
      <c r="B347" s="178" t="e">
        <f>(B339-B342)/B340</f>
        <v>#REF!</v>
      </c>
      <c r="C347" s="251"/>
      <c r="E347" s="187">
        <v>10</v>
      </c>
      <c r="F347" s="442" t="e">
        <f t="shared" si="36"/>
        <v>#REF!</v>
      </c>
      <c r="G347" s="424" t="e">
        <f t="shared" si="37"/>
        <v>#REF!</v>
      </c>
      <c r="H347" s="444" t="e">
        <f t="shared" si="35"/>
        <v>#REF!</v>
      </c>
    </row>
    <row r="350" ht="13.5" thickBot="1"/>
    <row r="351" spans="1:8" ht="51.75" thickBot="1">
      <c r="A351" s="158" t="s">
        <v>137</v>
      </c>
      <c r="B351" s="159" t="e">
        <f>#REF!</f>
        <v>#REF!</v>
      </c>
      <c r="C351" s="245"/>
      <c r="D351" s="155"/>
      <c r="E351" s="160" t="s">
        <v>138</v>
      </c>
      <c r="F351" s="435" t="s">
        <v>139</v>
      </c>
      <c r="G351" s="414" t="s">
        <v>140</v>
      </c>
      <c r="H351" s="436" t="s">
        <v>141</v>
      </c>
    </row>
    <row r="352" spans="1:8" ht="12.75">
      <c r="A352" s="161" t="s">
        <v>118</v>
      </c>
      <c r="B352" s="162" t="e">
        <f>#REF!</f>
        <v>#REF!</v>
      </c>
      <c r="C352" s="245"/>
      <c r="D352" s="155"/>
      <c r="E352" s="163">
        <v>0</v>
      </c>
      <c r="F352" s="437"/>
      <c r="G352" s="438"/>
      <c r="H352" s="445" t="e">
        <f>B354</f>
        <v>#REF!</v>
      </c>
    </row>
    <row r="353" spans="1:8" ht="12.75">
      <c r="A353" s="161" t="s">
        <v>142</v>
      </c>
      <c r="B353" s="164">
        <v>5</v>
      </c>
      <c r="C353" s="246"/>
      <c r="D353" s="155"/>
      <c r="E353" s="166">
        <v>1</v>
      </c>
      <c r="F353" s="440" t="e">
        <f>B362</f>
        <v>#REF!</v>
      </c>
      <c r="G353" s="423" t="e">
        <f>F353</f>
        <v>#REF!</v>
      </c>
      <c r="H353" s="441" t="e">
        <f>H352-F353</f>
        <v>#REF!</v>
      </c>
    </row>
    <row r="354" spans="1:8" ht="12.75">
      <c r="A354" s="161" t="s">
        <v>144</v>
      </c>
      <c r="B354" s="167" t="e">
        <f>#REF!</f>
        <v>#REF!</v>
      </c>
      <c r="C354" s="247"/>
      <c r="D354" s="81"/>
      <c r="E354" s="168">
        <v>2</v>
      </c>
      <c r="F354" s="440" t="e">
        <f>B$362</f>
        <v>#REF!</v>
      </c>
      <c r="G354" s="423" t="e">
        <f>G353+F354</f>
        <v>#REF!</v>
      </c>
      <c r="H354" s="441" t="e">
        <f aca="true" t="shared" si="38" ref="H354:H362">H353-F354</f>
        <v>#REF!</v>
      </c>
    </row>
    <row r="355" spans="1:8" ht="12.75">
      <c r="A355" s="161" t="s">
        <v>145</v>
      </c>
      <c r="B355" s="169">
        <v>10</v>
      </c>
      <c r="C355" s="248"/>
      <c r="E355" s="171">
        <v>3</v>
      </c>
      <c r="F355" s="440" t="e">
        <f aca="true" t="shared" si="39" ref="F355:F362">B$362</f>
        <v>#REF!</v>
      </c>
      <c r="G355" s="423" t="e">
        <f>G354+F355</f>
        <v>#REF!</v>
      </c>
      <c r="H355" s="441" t="e">
        <f t="shared" si="38"/>
        <v>#REF!</v>
      </c>
    </row>
    <row r="356" spans="1:8" ht="12.75">
      <c r="A356" s="161" t="s">
        <v>146</v>
      </c>
      <c r="B356" s="172">
        <v>0.1</v>
      </c>
      <c r="C356" s="249"/>
      <c r="E356" s="171">
        <v>4</v>
      </c>
      <c r="F356" s="440" t="e">
        <f t="shared" si="39"/>
        <v>#REF!</v>
      </c>
      <c r="G356" s="423" t="e">
        <f aca="true" t="shared" si="40" ref="G356:G362">G355+F356</f>
        <v>#REF!</v>
      </c>
      <c r="H356" s="441" t="e">
        <f t="shared" si="38"/>
        <v>#REF!</v>
      </c>
    </row>
    <row r="357" spans="1:8" ht="12.75">
      <c r="A357" s="161" t="s">
        <v>147</v>
      </c>
      <c r="B357" s="173" t="e">
        <f>B354*10%</f>
        <v>#REF!</v>
      </c>
      <c r="C357" s="250"/>
      <c r="E357" s="171">
        <v>5</v>
      </c>
      <c r="F357" s="440" t="e">
        <f t="shared" si="39"/>
        <v>#REF!</v>
      </c>
      <c r="G357" s="423" t="e">
        <f t="shared" si="40"/>
        <v>#REF!</v>
      </c>
      <c r="H357" s="441" t="e">
        <f t="shared" si="38"/>
        <v>#REF!</v>
      </c>
    </row>
    <row r="358" spans="1:8" ht="13.5" thickBot="1">
      <c r="A358" s="174"/>
      <c r="B358" s="175"/>
      <c r="C358" s="248"/>
      <c r="E358" s="171">
        <v>6</v>
      </c>
      <c r="F358" s="440" t="e">
        <f t="shared" si="39"/>
        <v>#REF!</v>
      </c>
      <c r="G358" s="423" t="e">
        <f t="shared" si="40"/>
        <v>#REF!</v>
      </c>
      <c r="H358" s="441" t="e">
        <f t="shared" si="38"/>
        <v>#REF!</v>
      </c>
    </row>
    <row r="359" spans="1:8" ht="13.5" thickBot="1">
      <c r="A359" s="119" t="s">
        <v>125</v>
      </c>
      <c r="E359" s="171">
        <v>7</v>
      </c>
      <c r="F359" s="440" t="e">
        <f t="shared" si="39"/>
        <v>#REF!</v>
      </c>
      <c r="G359" s="423" t="e">
        <f t="shared" si="40"/>
        <v>#REF!</v>
      </c>
      <c r="H359" s="441" t="e">
        <f t="shared" si="38"/>
        <v>#REF!</v>
      </c>
    </row>
    <row r="360" spans="1:8" ht="12.75">
      <c r="A360" s="176" t="s">
        <v>148</v>
      </c>
      <c r="B360" s="177"/>
      <c r="C360" s="248"/>
      <c r="E360" s="171">
        <v>8</v>
      </c>
      <c r="F360" s="440" t="e">
        <f t="shared" si="39"/>
        <v>#REF!</v>
      </c>
      <c r="G360" s="423" t="e">
        <f t="shared" si="40"/>
        <v>#REF!</v>
      </c>
      <c r="H360" s="441" t="e">
        <f t="shared" si="38"/>
        <v>#REF!</v>
      </c>
    </row>
    <row r="361" spans="1:8" ht="12.75">
      <c r="A361" s="161"/>
      <c r="B361" s="169" t="s">
        <v>125</v>
      </c>
      <c r="C361" s="248"/>
      <c r="E361" s="171">
        <v>9</v>
      </c>
      <c r="F361" s="440" t="e">
        <f t="shared" si="39"/>
        <v>#REF!</v>
      </c>
      <c r="G361" s="423" t="e">
        <f t="shared" si="40"/>
        <v>#REF!</v>
      </c>
      <c r="H361" s="441" t="e">
        <f t="shared" si="38"/>
        <v>#REF!</v>
      </c>
    </row>
    <row r="362" spans="1:8" ht="13.5" thickBot="1">
      <c r="A362" s="174"/>
      <c r="B362" s="178" t="e">
        <f>(B354-B357)/B355</f>
        <v>#REF!</v>
      </c>
      <c r="C362" s="251"/>
      <c r="E362" s="187">
        <v>10</v>
      </c>
      <c r="F362" s="442" t="e">
        <f t="shared" si="39"/>
        <v>#REF!</v>
      </c>
      <c r="G362" s="424" t="e">
        <f t="shared" si="40"/>
        <v>#REF!</v>
      </c>
      <c r="H362" s="444" t="e">
        <f t="shared" si="38"/>
        <v>#REF!</v>
      </c>
    </row>
    <row r="366" ht="13.5" thickBot="1"/>
    <row r="367" spans="1:8" ht="51.75" thickBot="1">
      <c r="A367" s="158" t="s">
        <v>137</v>
      </c>
      <c r="B367" s="159" t="e">
        <f>#REF!</f>
        <v>#REF!</v>
      </c>
      <c r="C367" s="245"/>
      <c r="D367" s="155"/>
      <c r="E367" s="160" t="s">
        <v>138</v>
      </c>
      <c r="F367" s="435" t="s">
        <v>139</v>
      </c>
      <c r="G367" s="414" t="s">
        <v>140</v>
      </c>
      <c r="H367" s="436" t="s">
        <v>141</v>
      </c>
    </row>
    <row r="368" spans="1:8" ht="12.75">
      <c r="A368" s="161" t="s">
        <v>118</v>
      </c>
      <c r="B368" s="162" t="e">
        <f>#REF!</f>
        <v>#REF!</v>
      </c>
      <c r="C368" s="245"/>
      <c r="D368" s="155"/>
      <c r="E368" s="163">
        <v>0</v>
      </c>
      <c r="F368" s="437"/>
      <c r="G368" s="438"/>
      <c r="H368" s="445" t="e">
        <f>B370</f>
        <v>#REF!</v>
      </c>
    </row>
    <row r="369" spans="1:8" ht="12.75">
      <c r="A369" s="161" t="s">
        <v>142</v>
      </c>
      <c r="B369" s="164">
        <v>1</v>
      </c>
      <c r="C369" s="246"/>
      <c r="D369" s="155"/>
      <c r="E369" s="166">
        <v>1</v>
      </c>
      <c r="F369" s="440" t="e">
        <f>B378</f>
        <v>#REF!</v>
      </c>
      <c r="G369" s="423" t="e">
        <f>F369</f>
        <v>#REF!</v>
      </c>
      <c r="H369" s="441" t="e">
        <f>H368-F369</f>
        <v>#REF!</v>
      </c>
    </row>
    <row r="370" spans="1:8" ht="12.75">
      <c r="A370" s="161" t="s">
        <v>144</v>
      </c>
      <c r="B370" s="167" t="e">
        <f>#REF!</f>
        <v>#REF!</v>
      </c>
      <c r="C370" s="247"/>
      <c r="D370" s="81"/>
      <c r="E370" s="168">
        <v>2</v>
      </c>
      <c r="F370" s="440" t="e">
        <f>B$378</f>
        <v>#REF!</v>
      </c>
      <c r="G370" s="423" t="e">
        <f>G369+F370</f>
        <v>#REF!</v>
      </c>
      <c r="H370" s="441" t="e">
        <f aca="true" t="shared" si="41" ref="H370:H378">H369-F370</f>
        <v>#REF!</v>
      </c>
    </row>
    <row r="371" spans="1:8" ht="12.75">
      <c r="A371" s="161" t="s">
        <v>145</v>
      </c>
      <c r="B371" s="169">
        <v>10</v>
      </c>
      <c r="C371" s="248"/>
      <c r="E371" s="171">
        <v>3</v>
      </c>
      <c r="F371" s="440" t="e">
        <f aca="true" t="shared" si="42" ref="F371:F378">B$378</f>
        <v>#REF!</v>
      </c>
      <c r="G371" s="423" t="e">
        <f>G370+F371</f>
        <v>#REF!</v>
      </c>
      <c r="H371" s="441" t="e">
        <f t="shared" si="41"/>
        <v>#REF!</v>
      </c>
    </row>
    <row r="372" spans="1:8" ht="12.75">
      <c r="A372" s="161" t="s">
        <v>146</v>
      </c>
      <c r="B372" s="172">
        <v>0.1</v>
      </c>
      <c r="C372" s="249"/>
      <c r="E372" s="171">
        <v>4</v>
      </c>
      <c r="F372" s="440" t="e">
        <f t="shared" si="42"/>
        <v>#REF!</v>
      </c>
      <c r="G372" s="423" t="e">
        <f aca="true" t="shared" si="43" ref="G372:G378">G371+F372</f>
        <v>#REF!</v>
      </c>
      <c r="H372" s="441" t="e">
        <f t="shared" si="41"/>
        <v>#REF!</v>
      </c>
    </row>
    <row r="373" spans="1:8" ht="12.75">
      <c r="A373" s="161" t="s">
        <v>147</v>
      </c>
      <c r="B373" s="173" t="e">
        <f>B370*10%</f>
        <v>#REF!</v>
      </c>
      <c r="C373" s="250"/>
      <c r="E373" s="171">
        <v>5</v>
      </c>
      <c r="F373" s="440" t="e">
        <f t="shared" si="42"/>
        <v>#REF!</v>
      </c>
      <c r="G373" s="423" t="e">
        <f t="shared" si="43"/>
        <v>#REF!</v>
      </c>
      <c r="H373" s="441" t="e">
        <f t="shared" si="41"/>
        <v>#REF!</v>
      </c>
    </row>
    <row r="374" spans="1:8" ht="13.5" thickBot="1">
      <c r="A374" s="174"/>
      <c r="B374" s="175"/>
      <c r="C374" s="248"/>
      <c r="E374" s="171">
        <v>6</v>
      </c>
      <c r="F374" s="440" t="e">
        <f t="shared" si="42"/>
        <v>#REF!</v>
      </c>
      <c r="G374" s="423" t="e">
        <f t="shared" si="43"/>
        <v>#REF!</v>
      </c>
      <c r="H374" s="441" t="e">
        <f t="shared" si="41"/>
        <v>#REF!</v>
      </c>
    </row>
    <row r="375" spans="1:8" ht="13.5" thickBot="1">
      <c r="A375" s="119" t="s">
        <v>125</v>
      </c>
      <c r="E375" s="171">
        <v>7</v>
      </c>
      <c r="F375" s="440" t="e">
        <f t="shared" si="42"/>
        <v>#REF!</v>
      </c>
      <c r="G375" s="423" t="e">
        <f t="shared" si="43"/>
        <v>#REF!</v>
      </c>
      <c r="H375" s="441" t="e">
        <f t="shared" si="41"/>
        <v>#REF!</v>
      </c>
    </row>
    <row r="376" spans="1:8" ht="12.75">
      <c r="A376" s="176" t="s">
        <v>148</v>
      </c>
      <c r="B376" s="177"/>
      <c r="C376" s="248"/>
      <c r="E376" s="171">
        <v>8</v>
      </c>
      <c r="F376" s="440" t="e">
        <f t="shared" si="42"/>
        <v>#REF!</v>
      </c>
      <c r="G376" s="423" t="e">
        <f t="shared" si="43"/>
        <v>#REF!</v>
      </c>
      <c r="H376" s="441" t="e">
        <f t="shared" si="41"/>
        <v>#REF!</v>
      </c>
    </row>
    <row r="377" spans="1:8" ht="12.75">
      <c r="A377" s="161"/>
      <c r="B377" s="169" t="s">
        <v>125</v>
      </c>
      <c r="C377" s="248"/>
      <c r="E377" s="171">
        <v>9</v>
      </c>
      <c r="F377" s="440" t="e">
        <f t="shared" si="42"/>
        <v>#REF!</v>
      </c>
      <c r="G377" s="423" t="e">
        <f t="shared" si="43"/>
        <v>#REF!</v>
      </c>
      <c r="H377" s="441" t="e">
        <f t="shared" si="41"/>
        <v>#REF!</v>
      </c>
    </row>
    <row r="378" spans="1:8" ht="13.5" thickBot="1">
      <c r="A378" s="174"/>
      <c r="B378" s="178" t="e">
        <f>(B370-B373)/B371</f>
        <v>#REF!</v>
      </c>
      <c r="C378" s="251"/>
      <c r="E378" s="187">
        <v>10</v>
      </c>
      <c r="F378" s="442" t="e">
        <f t="shared" si="42"/>
        <v>#REF!</v>
      </c>
      <c r="G378" s="424" t="e">
        <f t="shared" si="43"/>
        <v>#REF!</v>
      </c>
      <c r="H378" s="444" t="e">
        <f t="shared" si="41"/>
        <v>#REF!</v>
      </c>
    </row>
    <row r="380" ht="13.5" thickBot="1"/>
    <row r="381" spans="1:8" ht="51.75" thickBot="1">
      <c r="A381" s="158" t="s">
        <v>137</v>
      </c>
      <c r="B381" s="159" t="e">
        <f>SUM(#REF!)</f>
        <v>#REF!</v>
      </c>
      <c r="C381" s="245"/>
      <c r="D381" s="155"/>
      <c r="E381" s="160" t="s">
        <v>138</v>
      </c>
      <c r="F381" s="435" t="s">
        <v>139</v>
      </c>
      <c r="G381" s="414" t="s">
        <v>140</v>
      </c>
      <c r="H381" s="436" t="s">
        <v>141</v>
      </c>
    </row>
    <row r="382" spans="1:8" ht="12.75">
      <c r="A382" s="161" t="s">
        <v>118</v>
      </c>
      <c r="B382" s="162" t="s">
        <v>40</v>
      </c>
      <c r="C382" s="245"/>
      <c r="D382" s="155"/>
      <c r="E382" s="163">
        <v>0</v>
      </c>
      <c r="F382" s="437"/>
      <c r="G382" s="438"/>
      <c r="H382" s="445" t="e">
        <f>B384</f>
        <v>#REF!</v>
      </c>
    </row>
    <row r="383" spans="1:8" ht="12.75">
      <c r="A383" s="161" t="s">
        <v>142</v>
      </c>
      <c r="B383" s="164">
        <v>1</v>
      </c>
      <c r="C383" s="246"/>
      <c r="D383" s="155"/>
      <c r="E383" s="166">
        <v>1</v>
      </c>
      <c r="F383" s="440" t="e">
        <f>B392</f>
        <v>#REF!</v>
      </c>
      <c r="G383" s="423" t="e">
        <f>F383</f>
        <v>#REF!</v>
      </c>
      <c r="H383" s="441" t="e">
        <f>H382-F383</f>
        <v>#REF!</v>
      </c>
    </row>
    <row r="384" spans="1:8" ht="12.75">
      <c r="A384" s="161" t="s">
        <v>144</v>
      </c>
      <c r="B384" s="167" t="e">
        <f>SUM(#REF!)</f>
        <v>#REF!</v>
      </c>
      <c r="C384" s="247"/>
      <c r="D384" s="81"/>
      <c r="E384" s="168">
        <v>2</v>
      </c>
      <c r="F384" s="440" t="e">
        <f>B$378</f>
        <v>#REF!</v>
      </c>
      <c r="G384" s="423" t="e">
        <f>G383+F384</f>
        <v>#REF!</v>
      </c>
      <c r="H384" s="441" t="e">
        <f aca="true" t="shared" si="44" ref="H384:H392">H383-F384</f>
        <v>#REF!</v>
      </c>
    </row>
    <row r="385" spans="1:8" ht="12.75">
      <c r="A385" s="161" t="s">
        <v>145</v>
      </c>
      <c r="B385" s="169">
        <v>10</v>
      </c>
      <c r="C385" s="248"/>
      <c r="E385" s="171">
        <v>3</v>
      </c>
      <c r="F385" s="440" t="e">
        <f aca="true" t="shared" si="45" ref="F385:F392">B$378</f>
        <v>#REF!</v>
      </c>
      <c r="G385" s="423" t="e">
        <f>G384+F385</f>
        <v>#REF!</v>
      </c>
      <c r="H385" s="441" t="e">
        <f t="shared" si="44"/>
        <v>#REF!</v>
      </c>
    </row>
    <row r="386" spans="1:8" ht="12.75">
      <c r="A386" s="161" t="s">
        <v>146</v>
      </c>
      <c r="B386" s="172">
        <v>0.1</v>
      </c>
      <c r="C386" s="249"/>
      <c r="E386" s="171">
        <v>4</v>
      </c>
      <c r="F386" s="440" t="e">
        <f t="shared" si="45"/>
        <v>#REF!</v>
      </c>
      <c r="G386" s="423" t="e">
        <f aca="true" t="shared" si="46" ref="G386:G392">G385+F386</f>
        <v>#REF!</v>
      </c>
      <c r="H386" s="441" t="e">
        <f t="shared" si="44"/>
        <v>#REF!</v>
      </c>
    </row>
    <row r="387" spans="1:8" ht="12.75">
      <c r="A387" s="161" t="s">
        <v>147</v>
      </c>
      <c r="B387" s="173" t="e">
        <f>B384*10%</f>
        <v>#REF!</v>
      </c>
      <c r="C387" s="250"/>
      <c r="E387" s="171">
        <v>5</v>
      </c>
      <c r="F387" s="440" t="e">
        <f t="shared" si="45"/>
        <v>#REF!</v>
      </c>
      <c r="G387" s="423" t="e">
        <f t="shared" si="46"/>
        <v>#REF!</v>
      </c>
      <c r="H387" s="441" t="e">
        <f t="shared" si="44"/>
        <v>#REF!</v>
      </c>
    </row>
    <row r="388" spans="1:8" ht="13.5" thickBot="1">
      <c r="A388" s="174"/>
      <c r="B388" s="175"/>
      <c r="C388" s="248"/>
      <c r="E388" s="171">
        <v>6</v>
      </c>
      <c r="F388" s="440" t="e">
        <f t="shared" si="45"/>
        <v>#REF!</v>
      </c>
      <c r="G388" s="423" t="e">
        <f t="shared" si="46"/>
        <v>#REF!</v>
      </c>
      <c r="H388" s="441" t="e">
        <f t="shared" si="44"/>
        <v>#REF!</v>
      </c>
    </row>
    <row r="389" spans="1:8" ht="13.5" thickBot="1">
      <c r="A389" s="119" t="s">
        <v>125</v>
      </c>
      <c r="E389" s="171">
        <v>7</v>
      </c>
      <c r="F389" s="440" t="e">
        <f t="shared" si="45"/>
        <v>#REF!</v>
      </c>
      <c r="G389" s="423" t="e">
        <f t="shared" si="46"/>
        <v>#REF!</v>
      </c>
      <c r="H389" s="441" t="e">
        <f t="shared" si="44"/>
        <v>#REF!</v>
      </c>
    </row>
    <row r="390" spans="1:8" ht="12.75">
      <c r="A390" s="176" t="s">
        <v>148</v>
      </c>
      <c r="B390" s="177"/>
      <c r="C390" s="248"/>
      <c r="E390" s="171">
        <v>8</v>
      </c>
      <c r="F390" s="440" t="e">
        <f t="shared" si="45"/>
        <v>#REF!</v>
      </c>
      <c r="G390" s="423" t="e">
        <f t="shared" si="46"/>
        <v>#REF!</v>
      </c>
      <c r="H390" s="441" t="e">
        <f t="shared" si="44"/>
        <v>#REF!</v>
      </c>
    </row>
    <row r="391" spans="1:8" ht="12.75">
      <c r="A391" s="161"/>
      <c r="B391" s="169" t="s">
        <v>125</v>
      </c>
      <c r="C391" s="248"/>
      <c r="E391" s="171">
        <v>9</v>
      </c>
      <c r="F391" s="440" t="e">
        <f t="shared" si="45"/>
        <v>#REF!</v>
      </c>
      <c r="G391" s="423" t="e">
        <f t="shared" si="46"/>
        <v>#REF!</v>
      </c>
      <c r="H391" s="441" t="e">
        <f t="shared" si="44"/>
        <v>#REF!</v>
      </c>
    </row>
    <row r="392" spans="1:8" ht="13.5" thickBot="1">
      <c r="A392" s="174"/>
      <c r="B392" s="178" t="e">
        <f>(B384-B387)/B385</f>
        <v>#REF!</v>
      </c>
      <c r="C392" s="251"/>
      <c r="E392" s="187">
        <v>10</v>
      </c>
      <c r="F392" s="442" t="e">
        <f t="shared" si="45"/>
        <v>#REF!</v>
      </c>
      <c r="G392" s="424" t="e">
        <f t="shared" si="46"/>
        <v>#REF!</v>
      </c>
      <c r="H392" s="444" t="e">
        <f t="shared" si="44"/>
        <v>#REF!</v>
      </c>
    </row>
    <row r="396" ht="13.5" thickBot="1"/>
    <row r="397" spans="1:8" ht="51">
      <c r="A397" s="158" t="s">
        <v>137</v>
      </c>
      <c r="B397" s="159" t="e">
        <f>SUM(#REF!)</f>
        <v>#REF!</v>
      </c>
      <c r="C397" s="245"/>
      <c r="D397" s="155"/>
      <c r="E397" s="195" t="s">
        <v>138</v>
      </c>
      <c r="F397" s="449" t="s">
        <v>139</v>
      </c>
      <c r="G397" s="450" t="s">
        <v>140</v>
      </c>
      <c r="H397" s="451" t="s">
        <v>141</v>
      </c>
    </row>
    <row r="398" spans="1:8" ht="12.75">
      <c r="A398" s="161" t="s">
        <v>118</v>
      </c>
      <c r="B398" s="162" t="s">
        <v>160</v>
      </c>
      <c r="C398" s="245"/>
      <c r="D398" s="155"/>
      <c r="E398" s="196">
        <v>0</v>
      </c>
      <c r="F398" s="440"/>
      <c r="G398" s="423"/>
      <c r="H398" s="423" t="e">
        <f>B400</f>
        <v>#REF!</v>
      </c>
    </row>
    <row r="399" spans="1:8" ht="12.75">
      <c r="A399" s="161" t="s">
        <v>142</v>
      </c>
      <c r="B399" s="164">
        <v>1</v>
      </c>
      <c r="C399" s="246"/>
      <c r="D399" s="155"/>
      <c r="E399" s="196">
        <v>1</v>
      </c>
      <c r="F399" s="440" t="e">
        <f>B408</f>
        <v>#REF!</v>
      </c>
      <c r="G399" s="423" t="e">
        <f>F399</f>
        <v>#REF!</v>
      </c>
      <c r="H399" s="423" t="e">
        <f>H398-F399</f>
        <v>#REF!</v>
      </c>
    </row>
    <row r="400" spans="1:8" ht="12.75">
      <c r="A400" s="161" t="s">
        <v>144</v>
      </c>
      <c r="B400" s="167" t="e">
        <f>SUM(#REF!)</f>
        <v>#REF!</v>
      </c>
      <c r="C400" s="247"/>
      <c r="D400" s="81"/>
      <c r="E400" s="197">
        <v>2</v>
      </c>
      <c r="F400" s="440" t="e">
        <f>SUM(F399)</f>
        <v>#REF!</v>
      </c>
      <c r="G400" s="423" t="e">
        <f>G399+F400</f>
        <v>#REF!</v>
      </c>
      <c r="H400" s="423" t="e">
        <f aca="true" t="shared" si="47" ref="H400:H408">H399-F400</f>
        <v>#REF!</v>
      </c>
    </row>
    <row r="401" spans="1:8" ht="12.75">
      <c r="A401" s="161" t="s">
        <v>145</v>
      </c>
      <c r="B401" s="169">
        <v>10</v>
      </c>
      <c r="C401" s="248"/>
      <c r="E401" s="133">
        <v>3</v>
      </c>
      <c r="F401" s="440" t="e">
        <f aca="true" t="shared" si="48" ref="F401:F408">SUM(F400)</f>
        <v>#REF!</v>
      </c>
      <c r="G401" s="423" t="e">
        <f>G400+F401</f>
        <v>#REF!</v>
      </c>
      <c r="H401" s="423" t="e">
        <f t="shared" si="47"/>
        <v>#REF!</v>
      </c>
    </row>
    <row r="402" spans="1:8" ht="12.75">
      <c r="A402" s="161" t="s">
        <v>146</v>
      </c>
      <c r="B402" s="172">
        <v>0.1</v>
      </c>
      <c r="C402" s="249"/>
      <c r="E402" s="133">
        <v>4</v>
      </c>
      <c r="F402" s="440" t="e">
        <f t="shared" si="48"/>
        <v>#REF!</v>
      </c>
      <c r="G402" s="423" t="e">
        <f aca="true" t="shared" si="49" ref="G402:G408">G401+F402</f>
        <v>#REF!</v>
      </c>
      <c r="H402" s="423" t="e">
        <f t="shared" si="47"/>
        <v>#REF!</v>
      </c>
    </row>
    <row r="403" spans="1:8" ht="12.75">
      <c r="A403" s="161" t="s">
        <v>147</v>
      </c>
      <c r="B403" s="173" t="e">
        <f>B400*10%</f>
        <v>#REF!</v>
      </c>
      <c r="C403" s="250"/>
      <c r="E403" s="133">
        <v>5</v>
      </c>
      <c r="F403" s="440" t="e">
        <f t="shared" si="48"/>
        <v>#REF!</v>
      </c>
      <c r="G403" s="423" t="e">
        <f t="shared" si="49"/>
        <v>#REF!</v>
      </c>
      <c r="H403" s="423" t="e">
        <f t="shared" si="47"/>
        <v>#REF!</v>
      </c>
    </row>
    <row r="404" spans="1:8" ht="13.5" thickBot="1">
      <c r="A404" s="174"/>
      <c r="B404" s="175"/>
      <c r="C404" s="248"/>
      <c r="E404" s="133">
        <v>6</v>
      </c>
      <c r="F404" s="440" t="e">
        <f t="shared" si="48"/>
        <v>#REF!</v>
      </c>
      <c r="G404" s="423" t="e">
        <f t="shared" si="49"/>
        <v>#REF!</v>
      </c>
      <c r="H404" s="423" t="e">
        <f t="shared" si="47"/>
        <v>#REF!</v>
      </c>
    </row>
    <row r="405" spans="1:8" ht="12.75">
      <c r="A405" s="119" t="s">
        <v>125</v>
      </c>
      <c r="E405" s="133">
        <v>7</v>
      </c>
      <c r="F405" s="440" t="e">
        <f t="shared" si="48"/>
        <v>#REF!</v>
      </c>
      <c r="G405" s="423" t="e">
        <f t="shared" si="49"/>
        <v>#REF!</v>
      </c>
      <c r="H405" s="423" t="e">
        <f t="shared" si="47"/>
        <v>#REF!</v>
      </c>
    </row>
    <row r="406" spans="1:8" ht="12.75">
      <c r="A406" s="189" t="s">
        <v>148</v>
      </c>
      <c r="B406" s="190"/>
      <c r="C406" s="248"/>
      <c r="E406" s="133">
        <v>8</v>
      </c>
      <c r="F406" s="440" t="e">
        <f t="shared" si="48"/>
        <v>#REF!</v>
      </c>
      <c r="G406" s="423" t="e">
        <f t="shared" si="49"/>
        <v>#REF!</v>
      </c>
      <c r="H406" s="423" t="e">
        <f t="shared" si="47"/>
        <v>#REF!</v>
      </c>
    </row>
    <row r="407" spans="1:8" ht="12.75">
      <c r="A407" s="191"/>
      <c r="B407" s="192" t="s">
        <v>125</v>
      </c>
      <c r="C407" s="248"/>
      <c r="E407" s="133">
        <v>9</v>
      </c>
      <c r="F407" s="440" t="e">
        <f t="shared" si="48"/>
        <v>#REF!</v>
      </c>
      <c r="G407" s="423" t="e">
        <f t="shared" si="49"/>
        <v>#REF!</v>
      </c>
      <c r="H407" s="423" t="e">
        <f t="shared" si="47"/>
        <v>#REF!</v>
      </c>
    </row>
    <row r="408" spans="1:8" ht="12.75">
      <c r="A408" s="193"/>
      <c r="B408" s="194" t="e">
        <f>(B400-B403)/B401</f>
        <v>#REF!</v>
      </c>
      <c r="C408" s="251"/>
      <c r="E408" s="133">
        <v>10</v>
      </c>
      <c r="F408" s="440" t="e">
        <f t="shared" si="48"/>
        <v>#REF!</v>
      </c>
      <c r="G408" s="423" t="e">
        <f t="shared" si="49"/>
        <v>#REF!</v>
      </c>
      <c r="H408" s="423" t="e">
        <f t="shared" si="47"/>
        <v>#REF!</v>
      </c>
    </row>
    <row r="410" ht="13.5" thickBot="1"/>
    <row r="411" spans="1:8" ht="51">
      <c r="A411" s="158" t="s">
        <v>137</v>
      </c>
      <c r="B411" s="159" t="e">
        <f>SUM(#REF!)</f>
        <v>#REF!</v>
      </c>
      <c r="C411" s="245"/>
      <c r="D411" s="155"/>
      <c r="E411" s="186" t="s">
        <v>138</v>
      </c>
      <c r="F411" s="446" t="s">
        <v>139</v>
      </c>
      <c r="G411" s="447" t="s">
        <v>140</v>
      </c>
      <c r="H411" s="448" t="s">
        <v>141</v>
      </c>
    </row>
    <row r="412" spans="1:8" ht="12.75">
      <c r="A412" s="161" t="s">
        <v>118</v>
      </c>
      <c r="B412" s="162" t="s">
        <v>161</v>
      </c>
      <c r="C412" s="245"/>
      <c r="D412" s="155"/>
      <c r="E412" s="166">
        <v>0</v>
      </c>
      <c r="F412" s="440"/>
      <c r="G412" s="423"/>
      <c r="H412" s="441" t="e">
        <f>B414</f>
        <v>#REF!</v>
      </c>
    </row>
    <row r="413" spans="1:8" ht="12.75">
      <c r="A413" s="161" t="s">
        <v>142</v>
      </c>
      <c r="B413" s="164">
        <v>1</v>
      </c>
      <c r="C413" s="246"/>
      <c r="D413" s="155"/>
      <c r="E413" s="166">
        <v>1</v>
      </c>
      <c r="F413" s="440" t="e">
        <f>B422</f>
        <v>#REF!</v>
      </c>
      <c r="G413" s="423" t="e">
        <f>F413</f>
        <v>#REF!</v>
      </c>
      <c r="H413" s="441" t="e">
        <f>H412-F413</f>
        <v>#REF!</v>
      </c>
    </row>
    <row r="414" spans="1:8" ht="12.75">
      <c r="A414" s="161" t="s">
        <v>144</v>
      </c>
      <c r="B414" s="167" t="e">
        <f>SUM(#REF!)</f>
        <v>#REF!</v>
      </c>
      <c r="C414" s="247"/>
      <c r="D414" s="81"/>
      <c r="E414" s="168">
        <v>2</v>
      </c>
      <c r="F414" s="440" t="e">
        <f>SUM(F413)</f>
        <v>#REF!</v>
      </c>
      <c r="G414" s="423" t="e">
        <f>G413+F414</f>
        <v>#REF!</v>
      </c>
      <c r="H414" s="441" t="e">
        <f aca="true" t="shared" si="50" ref="H414:H422">H413-F414</f>
        <v>#REF!</v>
      </c>
    </row>
    <row r="415" spans="1:8" ht="12.75">
      <c r="A415" s="161" t="s">
        <v>145</v>
      </c>
      <c r="B415" s="169">
        <v>10</v>
      </c>
      <c r="C415" s="248"/>
      <c r="E415" s="171">
        <v>3</v>
      </c>
      <c r="F415" s="440" t="e">
        <f aca="true" t="shared" si="51" ref="F415:F422">SUM(F414)</f>
        <v>#REF!</v>
      </c>
      <c r="G415" s="423" t="e">
        <f>G414+F415</f>
        <v>#REF!</v>
      </c>
      <c r="H415" s="441" t="e">
        <f t="shared" si="50"/>
        <v>#REF!</v>
      </c>
    </row>
    <row r="416" spans="1:8" ht="12.75">
      <c r="A416" s="161" t="s">
        <v>146</v>
      </c>
      <c r="B416" s="172">
        <v>0.1</v>
      </c>
      <c r="C416" s="249"/>
      <c r="E416" s="171">
        <v>4</v>
      </c>
      <c r="F416" s="440" t="e">
        <f t="shared" si="51"/>
        <v>#REF!</v>
      </c>
      <c r="G416" s="423" t="e">
        <f aca="true" t="shared" si="52" ref="G416:G422">G415+F416</f>
        <v>#REF!</v>
      </c>
      <c r="H416" s="441" t="e">
        <f t="shared" si="50"/>
        <v>#REF!</v>
      </c>
    </row>
    <row r="417" spans="1:8" ht="12.75">
      <c r="A417" s="161" t="s">
        <v>147</v>
      </c>
      <c r="B417" s="173" t="e">
        <f>B414*10%</f>
        <v>#REF!</v>
      </c>
      <c r="C417" s="250"/>
      <c r="E417" s="171">
        <v>5</v>
      </c>
      <c r="F417" s="440" t="e">
        <f t="shared" si="51"/>
        <v>#REF!</v>
      </c>
      <c r="G417" s="423" t="e">
        <f t="shared" si="52"/>
        <v>#REF!</v>
      </c>
      <c r="H417" s="441" t="e">
        <f t="shared" si="50"/>
        <v>#REF!</v>
      </c>
    </row>
    <row r="418" spans="1:8" ht="13.5" thickBot="1">
      <c r="A418" s="174"/>
      <c r="B418" s="175"/>
      <c r="C418" s="248"/>
      <c r="E418" s="171">
        <v>6</v>
      </c>
      <c r="F418" s="440" t="e">
        <f t="shared" si="51"/>
        <v>#REF!</v>
      </c>
      <c r="G418" s="423" t="e">
        <f t="shared" si="52"/>
        <v>#REF!</v>
      </c>
      <c r="H418" s="441" t="e">
        <f t="shared" si="50"/>
        <v>#REF!</v>
      </c>
    </row>
    <row r="419" spans="1:8" ht="13.5" thickBot="1">
      <c r="A419" s="119" t="s">
        <v>125</v>
      </c>
      <c r="E419" s="171">
        <v>7</v>
      </c>
      <c r="F419" s="440" t="e">
        <f t="shared" si="51"/>
        <v>#REF!</v>
      </c>
      <c r="G419" s="423" t="e">
        <f t="shared" si="52"/>
        <v>#REF!</v>
      </c>
      <c r="H419" s="441" t="e">
        <f t="shared" si="50"/>
        <v>#REF!</v>
      </c>
    </row>
    <row r="420" spans="1:8" ht="12.75">
      <c r="A420" s="176" t="s">
        <v>148</v>
      </c>
      <c r="B420" s="177"/>
      <c r="C420" s="248"/>
      <c r="E420" s="171">
        <v>8</v>
      </c>
      <c r="F420" s="440" t="e">
        <f t="shared" si="51"/>
        <v>#REF!</v>
      </c>
      <c r="G420" s="423" t="e">
        <f t="shared" si="52"/>
        <v>#REF!</v>
      </c>
      <c r="H420" s="441" t="e">
        <f t="shared" si="50"/>
        <v>#REF!</v>
      </c>
    </row>
    <row r="421" spans="1:8" ht="12.75">
      <c r="A421" s="161"/>
      <c r="B421" s="169" t="s">
        <v>125</v>
      </c>
      <c r="C421" s="248"/>
      <c r="E421" s="171">
        <v>9</v>
      </c>
      <c r="F421" s="440" t="e">
        <f t="shared" si="51"/>
        <v>#REF!</v>
      </c>
      <c r="G421" s="423" t="e">
        <f t="shared" si="52"/>
        <v>#REF!</v>
      </c>
      <c r="H421" s="441" t="e">
        <f t="shared" si="50"/>
        <v>#REF!</v>
      </c>
    </row>
    <row r="422" spans="1:8" ht="13.5" thickBot="1">
      <c r="A422" s="174"/>
      <c r="B422" s="178" t="e">
        <f>(B414-B417)/B415</f>
        <v>#REF!</v>
      </c>
      <c r="C422" s="251"/>
      <c r="E422" s="187">
        <v>10</v>
      </c>
      <c r="F422" s="442" t="e">
        <f t="shared" si="51"/>
        <v>#REF!</v>
      </c>
      <c r="G422" s="424" t="e">
        <f t="shared" si="52"/>
        <v>#REF!</v>
      </c>
      <c r="H422" s="444" t="e">
        <f t="shared" si="50"/>
        <v>#REF!</v>
      </c>
    </row>
    <row r="423" ht="15" customHeight="1"/>
    <row r="424" ht="15" customHeight="1"/>
    <row r="425" ht="15" customHeight="1"/>
    <row r="426" ht="13.5" thickBot="1"/>
    <row r="427" spans="1:8" ht="51">
      <c r="A427" s="158" t="s">
        <v>137</v>
      </c>
      <c r="B427" s="159" t="e">
        <f>SUM(#REF!)</f>
        <v>#REF!</v>
      </c>
      <c r="C427" s="245"/>
      <c r="D427" s="155"/>
      <c r="E427" s="186" t="s">
        <v>138</v>
      </c>
      <c r="F427" s="446" t="s">
        <v>139</v>
      </c>
      <c r="G427" s="447" t="s">
        <v>140</v>
      </c>
      <c r="H427" s="448" t="s">
        <v>141</v>
      </c>
    </row>
    <row r="428" spans="1:8" ht="12.75">
      <c r="A428" s="161" t="s">
        <v>118</v>
      </c>
      <c r="B428" s="162" t="s">
        <v>162</v>
      </c>
      <c r="C428" s="245"/>
      <c r="D428" s="155"/>
      <c r="E428" s="166">
        <v>0</v>
      </c>
      <c r="F428" s="440"/>
      <c r="G428" s="423"/>
      <c r="H428" s="452" t="e">
        <f>B430</f>
        <v>#REF!</v>
      </c>
    </row>
    <row r="429" spans="1:8" ht="12.75">
      <c r="A429" s="161" t="s">
        <v>142</v>
      </c>
      <c r="B429" s="164">
        <v>1</v>
      </c>
      <c r="C429" s="246"/>
      <c r="D429" s="155"/>
      <c r="E429" s="166">
        <v>1</v>
      </c>
      <c r="F429" s="440" t="e">
        <f>B438</f>
        <v>#REF!</v>
      </c>
      <c r="G429" s="423" t="e">
        <f>F429</f>
        <v>#REF!</v>
      </c>
      <c r="H429" s="441" t="e">
        <f>H428-F429</f>
        <v>#REF!</v>
      </c>
    </row>
    <row r="430" spans="1:8" ht="12.75">
      <c r="A430" s="161" t="s">
        <v>144</v>
      </c>
      <c r="B430" s="167" t="e">
        <f>SUM(#REF!)</f>
        <v>#REF!</v>
      </c>
      <c r="C430" s="247"/>
      <c r="D430" s="81"/>
      <c r="E430" s="168">
        <v>2</v>
      </c>
      <c r="F430" s="440" t="e">
        <f>B$378</f>
        <v>#REF!</v>
      </c>
      <c r="G430" s="423" t="e">
        <f>G429+F430</f>
        <v>#REF!</v>
      </c>
      <c r="H430" s="441" t="e">
        <f aca="true" t="shared" si="53" ref="H430:H438">H429-F430</f>
        <v>#REF!</v>
      </c>
    </row>
    <row r="431" spans="1:8" ht="12.75">
      <c r="A431" s="161" t="s">
        <v>145</v>
      </c>
      <c r="B431" s="169">
        <v>10</v>
      </c>
      <c r="C431" s="248"/>
      <c r="E431" s="171">
        <v>3</v>
      </c>
      <c r="F431" s="440" t="e">
        <f aca="true" t="shared" si="54" ref="F431:F438">B$378</f>
        <v>#REF!</v>
      </c>
      <c r="G431" s="423" t="e">
        <f>G430+F431</f>
        <v>#REF!</v>
      </c>
      <c r="H431" s="441" t="e">
        <f t="shared" si="53"/>
        <v>#REF!</v>
      </c>
    </row>
    <row r="432" spans="1:8" ht="12.75">
      <c r="A432" s="161" t="s">
        <v>146</v>
      </c>
      <c r="B432" s="172">
        <v>0.1</v>
      </c>
      <c r="C432" s="249"/>
      <c r="E432" s="171">
        <v>4</v>
      </c>
      <c r="F432" s="440" t="e">
        <f t="shared" si="54"/>
        <v>#REF!</v>
      </c>
      <c r="G432" s="423" t="e">
        <f aca="true" t="shared" si="55" ref="G432:G438">G431+F432</f>
        <v>#REF!</v>
      </c>
      <c r="H432" s="441" t="e">
        <f t="shared" si="53"/>
        <v>#REF!</v>
      </c>
    </row>
    <row r="433" spans="1:8" ht="12.75">
      <c r="A433" s="161" t="s">
        <v>147</v>
      </c>
      <c r="B433" s="173" t="e">
        <f>B430*10%</f>
        <v>#REF!</v>
      </c>
      <c r="C433" s="250"/>
      <c r="E433" s="171">
        <v>5</v>
      </c>
      <c r="F433" s="440" t="e">
        <f t="shared" si="54"/>
        <v>#REF!</v>
      </c>
      <c r="G433" s="423" t="e">
        <f t="shared" si="55"/>
        <v>#REF!</v>
      </c>
      <c r="H433" s="441" t="e">
        <f t="shared" si="53"/>
        <v>#REF!</v>
      </c>
    </row>
    <row r="434" spans="1:8" ht="13.5" thickBot="1">
      <c r="A434" s="174"/>
      <c r="B434" s="175"/>
      <c r="C434" s="248"/>
      <c r="E434" s="171">
        <v>6</v>
      </c>
      <c r="F434" s="440" t="e">
        <f t="shared" si="54"/>
        <v>#REF!</v>
      </c>
      <c r="G434" s="423" t="e">
        <f t="shared" si="55"/>
        <v>#REF!</v>
      </c>
      <c r="H434" s="441" t="e">
        <f t="shared" si="53"/>
        <v>#REF!</v>
      </c>
    </row>
    <row r="435" spans="1:8" ht="13.5" thickBot="1">
      <c r="A435" s="119" t="s">
        <v>125</v>
      </c>
      <c r="E435" s="171">
        <v>7</v>
      </c>
      <c r="F435" s="440" t="e">
        <f t="shared" si="54"/>
        <v>#REF!</v>
      </c>
      <c r="G435" s="423" t="e">
        <f t="shared" si="55"/>
        <v>#REF!</v>
      </c>
      <c r="H435" s="441" t="e">
        <f t="shared" si="53"/>
        <v>#REF!</v>
      </c>
    </row>
    <row r="436" spans="1:8" ht="12.75">
      <c r="A436" s="176" t="s">
        <v>148</v>
      </c>
      <c r="B436" s="177"/>
      <c r="C436" s="248"/>
      <c r="E436" s="171">
        <v>8</v>
      </c>
      <c r="F436" s="440" t="e">
        <f t="shared" si="54"/>
        <v>#REF!</v>
      </c>
      <c r="G436" s="423" t="e">
        <f t="shared" si="55"/>
        <v>#REF!</v>
      </c>
      <c r="H436" s="441" t="e">
        <f t="shared" si="53"/>
        <v>#REF!</v>
      </c>
    </row>
    <row r="437" spans="1:8" ht="12.75">
      <c r="A437" s="161"/>
      <c r="B437" s="169" t="s">
        <v>125</v>
      </c>
      <c r="C437" s="248"/>
      <c r="E437" s="171">
        <v>9</v>
      </c>
      <c r="F437" s="440" t="e">
        <f t="shared" si="54"/>
        <v>#REF!</v>
      </c>
      <c r="G437" s="423" t="e">
        <f t="shared" si="55"/>
        <v>#REF!</v>
      </c>
      <c r="H437" s="441" t="e">
        <f t="shared" si="53"/>
        <v>#REF!</v>
      </c>
    </row>
    <row r="438" spans="1:8" ht="13.5" thickBot="1">
      <c r="A438" s="174"/>
      <c r="B438" s="178" t="e">
        <f>(B430-B433)/B431</f>
        <v>#REF!</v>
      </c>
      <c r="C438" s="251"/>
      <c r="E438" s="187">
        <v>10</v>
      </c>
      <c r="F438" s="442" t="e">
        <f t="shared" si="54"/>
        <v>#REF!</v>
      </c>
      <c r="G438" s="424" t="e">
        <f t="shared" si="55"/>
        <v>#REF!</v>
      </c>
      <c r="H438" s="444" t="e">
        <f t="shared" si="53"/>
        <v>#REF!</v>
      </c>
    </row>
    <row r="440" ht="13.5" thickBot="1"/>
    <row r="441" spans="1:8" ht="51">
      <c r="A441" s="158" t="s">
        <v>137</v>
      </c>
      <c r="B441" s="198" t="e">
        <f>SUM(#REF!)</f>
        <v>#REF!</v>
      </c>
      <c r="C441" s="245"/>
      <c r="D441" s="155"/>
      <c r="E441" s="186" t="s">
        <v>138</v>
      </c>
      <c r="F441" s="446" t="s">
        <v>139</v>
      </c>
      <c r="G441" s="447" t="s">
        <v>140</v>
      </c>
      <c r="H441" s="448" t="s">
        <v>141</v>
      </c>
    </row>
    <row r="442" spans="1:8" ht="12.75">
      <c r="A442" s="161" t="s">
        <v>118</v>
      </c>
      <c r="B442" s="162" t="s">
        <v>163</v>
      </c>
      <c r="C442" s="245"/>
      <c r="D442" s="155"/>
      <c r="E442" s="166">
        <v>0</v>
      </c>
      <c r="F442" s="440"/>
      <c r="G442" s="423"/>
      <c r="H442" s="452" t="e">
        <f>B444</f>
        <v>#REF!</v>
      </c>
    </row>
    <row r="443" spans="1:8" ht="12.75">
      <c r="A443" s="161" t="s">
        <v>142</v>
      </c>
      <c r="B443" s="164">
        <v>6</v>
      </c>
      <c r="C443" s="246"/>
      <c r="D443" s="155"/>
      <c r="E443" s="166">
        <v>1</v>
      </c>
      <c r="F443" s="440" t="e">
        <f>B452</f>
        <v>#REF!</v>
      </c>
      <c r="G443" s="423" t="e">
        <f>F443</f>
        <v>#REF!</v>
      </c>
      <c r="H443" s="441" t="e">
        <f>H442-F443</f>
        <v>#REF!</v>
      </c>
    </row>
    <row r="444" spans="1:8" ht="12.75">
      <c r="A444" s="161" t="s">
        <v>144</v>
      </c>
      <c r="B444" s="167" t="e">
        <f>SUM(#REF!)</f>
        <v>#REF!</v>
      </c>
      <c r="C444" s="247"/>
      <c r="D444" s="81"/>
      <c r="E444" s="168">
        <v>2</v>
      </c>
      <c r="F444" s="440" t="e">
        <f>B$378</f>
        <v>#REF!</v>
      </c>
      <c r="G444" s="423" t="e">
        <f>G443+F444</f>
        <v>#REF!</v>
      </c>
      <c r="H444" s="441" t="e">
        <f aca="true" t="shared" si="56" ref="H444:H452">H443-F444</f>
        <v>#REF!</v>
      </c>
    </row>
    <row r="445" spans="1:8" ht="12.75">
      <c r="A445" s="161" t="s">
        <v>145</v>
      </c>
      <c r="B445" s="169">
        <v>10</v>
      </c>
      <c r="C445" s="248"/>
      <c r="E445" s="171">
        <v>3</v>
      </c>
      <c r="F445" s="440" t="e">
        <f aca="true" t="shared" si="57" ref="F445:F452">B$378</f>
        <v>#REF!</v>
      </c>
      <c r="G445" s="423" t="e">
        <f>G444+F445</f>
        <v>#REF!</v>
      </c>
      <c r="H445" s="441" t="e">
        <f t="shared" si="56"/>
        <v>#REF!</v>
      </c>
    </row>
    <row r="446" spans="1:8" ht="12.75">
      <c r="A446" s="161" t="s">
        <v>146</v>
      </c>
      <c r="B446" s="172">
        <v>0.1</v>
      </c>
      <c r="C446" s="249"/>
      <c r="E446" s="171">
        <v>4</v>
      </c>
      <c r="F446" s="440" t="e">
        <f t="shared" si="57"/>
        <v>#REF!</v>
      </c>
      <c r="G446" s="423" t="e">
        <f aca="true" t="shared" si="58" ref="G446:G452">G445+F446</f>
        <v>#REF!</v>
      </c>
      <c r="H446" s="441" t="e">
        <f t="shared" si="56"/>
        <v>#REF!</v>
      </c>
    </row>
    <row r="447" spans="1:8" ht="12.75">
      <c r="A447" s="161" t="s">
        <v>147</v>
      </c>
      <c r="B447" s="173" t="e">
        <f>B444*10%</f>
        <v>#REF!</v>
      </c>
      <c r="C447" s="250"/>
      <c r="E447" s="171">
        <v>5</v>
      </c>
      <c r="F447" s="440" t="e">
        <f t="shared" si="57"/>
        <v>#REF!</v>
      </c>
      <c r="G447" s="423" t="e">
        <f t="shared" si="58"/>
        <v>#REF!</v>
      </c>
      <c r="H447" s="441" t="e">
        <f t="shared" si="56"/>
        <v>#REF!</v>
      </c>
    </row>
    <row r="448" spans="1:8" ht="13.5" thickBot="1">
      <c r="A448" s="174"/>
      <c r="B448" s="175"/>
      <c r="C448" s="248"/>
      <c r="E448" s="171">
        <v>6</v>
      </c>
      <c r="F448" s="440" t="e">
        <f t="shared" si="57"/>
        <v>#REF!</v>
      </c>
      <c r="G448" s="423" t="e">
        <f t="shared" si="58"/>
        <v>#REF!</v>
      </c>
      <c r="H448" s="441" t="e">
        <f t="shared" si="56"/>
        <v>#REF!</v>
      </c>
    </row>
    <row r="449" spans="1:8" ht="13.5" thickBot="1">
      <c r="A449" s="119" t="s">
        <v>125</v>
      </c>
      <c r="E449" s="171">
        <v>7</v>
      </c>
      <c r="F449" s="440" t="e">
        <f t="shared" si="57"/>
        <v>#REF!</v>
      </c>
      <c r="G449" s="423" t="e">
        <f t="shared" si="58"/>
        <v>#REF!</v>
      </c>
      <c r="H449" s="441" t="e">
        <f t="shared" si="56"/>
        <v>#REF!</v>
      </c>
    </row>
    <row r="450" spans="1:8" ht="12.75">
      <c r="A450" s="176" t="s">
        <v>148</v>
      </c>
      <c r="B450" s="177"/>
      <c r="C450" s="248"/>
      <c r="E450" s="171">
        <v>8</v>
      </c>
      <c r="F450" s="440" t="e">
        <f t="shared" si="57"/>
        <v>#REF!</v>
      </c>
      <c r="G450" s="423" t="e">
        <f t="shared" si="58"/>
        <v>#REF!</v>
      </c>
      <c r="H450" s="441" t="e">
        <f t="shared" si="56"/>
        <v>#REF!</v>
      </c>
    </row>
    <row r="451" spans="1:8" ht="12.75">
      <c r="A451" s="161"/>
      <c r="B451" s="169" t="s">
        <v>125</v>
      </c>
      <c r="C451" s="248"/>
      <c r="E451" s="171">
        <v>9</v>
      </c>
      <c r="F451" s="440" t="e">
        <f t="shared" si="57"/>
        <v>#REF!</v>
      </c>
      <c r="G451" s="423" t="e">
        <f t="shared" si="58"/>
        <v>#REF!</v>
      </c>
      <c r="H451" s="441" t="e">
        <f t="shared" si="56"/>
        <v>#REF!</v>
      </c>
    </row>
    <row r="452" spans="1:8" ht="13.5" thickBot="1">
      <c r="A452" s="174"/>
      <c r="B452" s="178" t="e">
        <f>(B444-B447)/B445</f>
        <v>#REF!</v>
      </c>
      <c r="C452" s="251"/>
      <c r="E452" s="187">
        <v>10</v>
      </c>
      <c r="F452" s="442" t="e">
        <f t="shared" si="57"/>
        <v>#REF!</v>
      </c>
      <c r="G452" s="424" t="e">
        <f t="shared" si="58"/>
        <v>#REF!</v>
      </c>
      <c r="H452" s="444" t="e">
        <f t="shared" si="56"/>
        <v>#REF!</v>
      </c>
    </row>
    <row r="456" ht="13.5" thickBot="1"/>
    <row r="457" spans="1:8" ht="51">
      <c r="A457" s="158" t="s">
        <v>137</v>
      </c>
      <c r="B457" s="159" t="e">
        <f>SUM(#REF!)</f>
        <v>#REF!</v>
      </c>
      <c r="C457" s="245"/>
      <c r="D457" s="155"/>
      <c r="E457" s="186" t="s">
        <v>138</v>
      </c>
      <c r="F457" s="446" t="s">
        <v>139</v>
      </c>
      <c r="G457" s="447" t="s">
        <v>140</v>
      </c>
      <c r="H457" s="448" t="s">
        <v>141</v>
      </c>
    </row>
    <row r="458" spans="1:8" ht="12.75">
      <c r="A458" s="161" t="s">
        <v>118</v>
      </c>
      <c r="B458" s="162" t="s">
        <v>164</v>
      </c>
      <c r="C458" s="245"/>
      <c r="D458" s="155"/>
      <c r="E458" s="166">
        <v>0</v>
      </c>
      <c r="F458" s="440"/>
      <c r="G458" s="423"/>
      <c r="H458" s="452" t="e">
        <f>B460</f>
        <v>#REF!</v>
      </c>
    </row>
    <row r="459" spans="1:8" ht="12.75">
      <c r="A459" s="161" t="s">
        <v>142</v>
      </c>
      <c r="B459" s="164">
        <v>2</v>
      </c>
      <c r="C459" s="246"/>
      <c r="D459" s="155"/>
      <c r="E459" s="166">
        <v>1</v>
      </c>
      <c r="F459" s="440" t="e">
        <f>B468</f>
        <v>#REF!</v>
      </c>
      <c r="G459" s="423" t="e">
        <f>F459</f>
        <v>#REF!</v>
      </c>
      <c r="H459" s="441" t="e">
        <f>H458-F459</f>
        <v>#REF!</v>
      </c>
    </row>
    <row r="460" spans="1:8" ht="12.75">
      <c r="A460" s="161" t="s">
        <v>144</v>
      </c>
      <c r="B460" s="167" t="e">
        <f>SUM(#REF!)</f>
        <v>#REF!</v>
      </c>
      <c r="C460" s="247"/>
      <c r="D460" s="81"/>
      <c r="E460" s="168">
        <v>2</v>
      </c>
      <c r="F460" s="440" t="e">
        <f>B$468</f>
        <v>#REF!</v>
      </c>
      <c r="G460" s="423" t="e">
        <f>G459+F460</f>
        <v>#REF!</v>
      </c>
      <c r="H460" s="441" t="e">
        <f aca="true" t="shared" si="59" ref="H460:H468">H459-F460</f>
        <v>#REF!</v>
      </c>
    </row>
    <row r="461" spans="1:8" ht="12.75">
      <c r="A461" s="161" t="s">
        <v>145</v>
      </c>
      <c r="B461" s="169">
        <v>10</v>
      </c>
      <c r="C461" s="248"/>
      <c r="E461" s="171">
        <v>3</v>
      </c>
      <c r="F461" s="440" t="e">
        <f aca="true" t="shared" si="60" ref="F461:F468">B$468</f>
        <v>#REF!</v>
      </c>
      <c r="G461" s="423" t="e">
        <f>G460+F461</f>
        <v>#REF!</v>
      </c>
      <c r="H461" s="441" t="e">
        <f t="shared" si="59"/>
        <v>#REF!</v>
      </c>
    </row>
    <row r="462" spans="1:8" ht="12.75">
      <c r="A462" s="161" t="s">
        <v>146</v>
      </c>
      <c r="B462" s="172">
        <v>0.1</v>
      </c>
      <c r="C462" s="249"/>
      <c r="E462" s="171">
        <v>4</v>
      </c>
      <c r="F462" s="440" t="e">
        <f t="shared" si="60"/>
        <v>#REF!</v>
      </c>
      <c r="G462" s="423" t="e">
        <f aca="true" t="shared" si="61" ref="G462:G468">G461+F462</f>
        <v>#REF!</v>
      </c>
      <c r="H462" s="441" t="e">
        <f t="shared" si="59"/>
        <v>#REF!</v>
      </c>
    </row>
    <row r="463" spans="1:8" ht="12.75">
      <c r="A463" s="161" t="s">
        <v>147</v>
      </c>
      <c r="B463" s="173" t="e">
        <f>B460*10%</f>
        <v>#REF!</v>
      </c>
      <c r="C463" s="250"/>
      <c r="E463" s="171">
        <v>5</v>
      </c>
      <c r="F463" s="440" t="e">
        <f t="shared" si="60"/>
        <v>#REF!</v>
      </c>
      <c r="G463" s="423" t="e">
        <f t="shared" si="61"/>
        <v>#REF!</v>
      </c>
      <c r="H463" s="441" t="e">
        <f t="shared" si="59"/>
        <v>#REF!</v>
      </c>
    </row>
    <row r="464" spans="1:8" ht="13.5" thickBot="1">
      <c r="A464" s="174"/>
      <c r="B464" s="175"/>
      <c r="C464" s="248"/>
      <c r="E464" s="171">
        <v>6</v>
      </c>
      <c r="F464" s="440" t="e">
        <f t="shared" si="60"/>
        <v>#REF!</v>
      </c>
      <c r="G464" s="423" t="e">
        <f t="shared" si="61"/>
        <v>#REF!</v>
      </c>
      <c r="H464" s="441" t="e">
        <f t="shared" si="59"/>
        <v>#REF!</v>
      </c>
    </row>
    <row r="465" spans="1:8" ht="13.5" thickBot="1">
      <c r="A465" s="119" t="s">
        <v>125</v>
      </c>
      <c r="E465" s="171">
        <v>7</v>
      </c>
      <c r="F465" s="440" t="e">
        <f t="shared" si="60"/>
        <v>#REF!</v>
      </c>
      <c r="G465" s="423" t="e">
        <f t="shared" si="61"/>
        <v>#REF!</v>
      </c>
      <c r="H465" s="441" t="e">
        <f t="shared" si="59"/>
        <v>#REF!</v>
      </c>
    </row>
    <row r="466" spans="1:8" ht="12.75">
      <c r="A466" s="176" t="s">
        <v>148</v>
      </c>
      <c r="B466" s="177"/>
      <c r="C466" s="248"/>
      <c r="E466" s="171">
        <v>8</v>
      </c>
      <c r="F466" s="440" t="e">
        <f t="shared" si="60"/>
        <v>#REF!</v>
      </c>
      <c r="G466" s="423" t="e">
        <f t="shared" si="61"/>
        <v>#REF!</v>
      </c>
      <c r="H466" s="441" t="e">
        <f t="shared" si="59"/>
        <v>#REF!</v>
      </c>
    </row>
    <row r="467" spans="1:8" ht="12.75">
      <c r="A467" s="161"/>
      <c r="B467" s="169" t="s">
        <v>125</v>
      </c>
      <c r="C467" s="248"/>
      <c r="E467" s="171">
        <v>9</v>
      </c>
      <c r="F467" s="440" t="e">
        <f t="shared" si="60"/>
        <v>#REF!</v>
      </c>
      <c r="G467" s="423" t="e">
        <f t="shared" si="61"/>
        <v>#REF!</v>
      </c>
      <c r="H467" s="441" t="e">
        <f t="shared" si="59"/>
        <v>#REF!</v>
      </c>
    </row>
    <row r="468" spans="1:8" ht="13.5" thickBot="1">
      <c r="A468" s="174"/>
      <c r="B468" s="178" t="e">
        <f>(B460-B463)/B461</f>
        <v>#REF!</v>
      </c>
      <c r="C468" s="251"/>
      <c r="E468" s="187">
        <v>10</v>
      </c>
      <c r="F468" s="442" t="e">
        <f t="shared" si="60"/>
        <v>#REF!</v>
      </c>
      <c r="G468" s="424" t="e">
        <f t="shared" si="61"/>
        <v>#REF!</v>
      </c>
      <c r="H468" s="444" t="e">
        <f t="shared" si="59"/>
        <v>#REF!</v>
      </c>
    </row>
    <row r="470" ht="13.5" thickBot="1"/>
    <row r="471" spans="1:8" ht="51.75" thickBot="1">
      <c r="A471" s="158" t="s">
        <v>137</v>
      </c>
      <c r="B471" s="159" t="e">
        <f>SUM(#REF!)</f>
        <v>#REF!</v>
      </c>
      <c r="C471" s="245"/>
      <c r="D471" s="155"/>
      <c r="E471" s="160" t="s">
        <v>138</v>
      </c>
      <c r="F471" s="435" t="s">
        <v>139</v>
      </c>
      <c r="G471" s="414" t="s">
        <v>140</v>
      </c>
      <c r="H471" s="436" t="s">
        <v>141</v>
      </c>
    </row>
    <row r="472" spans="1:8" ht="12.75">
      <c r="A472" s="161" t="s">
        <v>118</v>
      </c>
      <c r="B472" s="162" t="s">
        <v>165</v>
      </c>
      <c r="C472" s="245"/>
      <c r="D472" s="155"/>
      <c r="E472" s="163">
        <v>0</v>
      </c>
      <c r="F472" s="437"/>
      <c r="G472" s="438"/>
      <c r="H472" s="439" t="e">
        <f>B474</f>
        <v>#REF!</v>
      </c>
    </row>
    <row r="473" spans="1:8" ht="12.75">
      <c r="A473" s="161" t="s">
        <v>142</v>
      </c>
      <c r="B473" s="164">
        <v>100</v>
      </c>
      <c r="C473" s="246"/>
      <c r="D473" s="155"/>
      <c r="E473" s="166">
        <v>1</v>
      </c>
      <c r="F473" s="440" t="e">
        <f>B482</f>
        <v>#REF!</v>
      </c>
      <c r="G473" s="423" t="e">
        <f>F473</f>
        <v>#REF!</v>
      </c>
      <c r="H473" s="441" t="e">
        <f>H472-F473</f>
        <v>#REF!</v>
      </c>
    </row>
    <row r="474" spans="1:8" ht="12.75">
      <c r="A474" s="161" t="s">
        <v>144</v>
      </c>
      <c r="B474" s="167" t="e">
        <f>SUM(#REF!)</f>
        <v>#REF!</v>
      </c>
      <c r="C474" s="247"/>
      <c r="D474" s="81"/>
      <c r="E474" s="168">
        <v>2</v>
      </c>
      <c r="F474" s="440" t="e">
        <f>B$482</f>
        <v>#REF!</v>
      </c>
      <c r="G474" s="423" t="e">
        <f>G473+F474</f>
        <v>#REF!</v>
      </c>
      <c r="H474" s="441" t="e">
        <f aca="true" t="shared" si="62" ref="H474:H482">H473-F474</f>
        <v>#REF!</v>
      </c>
    </row>
    <row r="475" spans="1:8" ht="12.75">
      <c r="A475" s="161" t="s">
        <v>145</v>
      </c>
      <c r="B475" s="169">
        <v>10</v>
      </c>
      <c r="C475" s="248"/>
      <c r="E475" s="171">
        <v>3</v>
      </c>
      <c r="F475" s="440" t="e">
        <f aca="true" t="shared" si="63" ref="F475:F482">B$482</f>
        <v>#REF!</v>
      </c>
      <c r="G475" s="423" t="e">
        <f>G474+F475</f>
        <v>#REF!</v>
      </c>
      <c r="H475" s="441" t="e">
        <f t="shared" si="62"/>
        <v>#REF!</v>
      </c>
    </row>
    <row r="476" spans="1:8" ht="12.75">
      <c r="A476" s="161" t="s">
        <v>146</v>
      </c>
      <c r="B476" s="172">
        <v>0.1</v>
      </c>
      <c r="C476" s="249"/>
      <c r="E476" s="171">
        <v>4</v>
      </c>
      <c r="F476" s="440" t="e">
        <f t="shared" si="63"/>
        <v>#REF!</v>
      </c>
      <c r="G476" s="423" t="e">
        <f aca="true" t="shared" si="64" ref="G476:G482">G475+F476</f>
        <v>#REF!</v>
      </c>
      <c r="H476" s="441" t="e">
        <f t="shared" si="62"/>
        <v>#REF!</v>
      </c>
    </row>
    <row r="477" spans="1:8" ht="12.75">
      <c r="A477" s="161" t="s">
        <v>147</v>
      </c>
      <c r="B477" s="173" t="e">
        <f>B474*10%</f>
        <v>#REF!</v>
      </c>
      <c r="C477" s="250"/>
      <c r="E477" s="171">
        <v>5</v>
      </c>
      <c r="F477" s="440" t="e">
        <f t="shared" si="63"/>
        <v>#REF!</v>
      </c>
      <c r="G477" s="423" t="e">
        <f t="shared" si="64"/>
        <v>#REF!</v>
      </c>
      <c r="H477" s="441" t="e">
        <f t="shared" si="62"/>
        <v>#REF!</v>
      </c>
    </row>
    <row r="478" spans="1:8" ht="13.5" thickBot="1">
      <c r="A478" s="174"/>
      <c r="B478" s="175"/>
      <c r="C478" s="248"/>
      <c r="E478" s="171">
        <v>6</v>
      </c>
      <c r="F478" s="440" t="e">
        <f t="shared" si="63"/>
        <v>#REF!</v>
      </c>
      <c r="G478" s="423" t="e">
        <f t="shared" si="64"/>
        <v>#REF!</v>
      </c>
      <c r="H478" s="441" t="e">
        <f t="shared" si="62"/>
        <v>#REF!</v>
      </c>
    </row>
    <row r="479" spans="1:8" ht="13.5" thickBot="1">
      <c r="A479" s="119" t="s">
        <v>125</v>
      </c>
      <c r="E479" s="171">
        <v>7</v>
      </c>
      <c r="F479" s="440" t="e">
        <f t="shared" si="63"/>
        <v>#REF!</v>
      </c>
      <c r="G479" s="423" t="e">
        <f t="shared" si="64"/>
        <v>#REF!</v>
      </c>
      <c r="H479" s="441" t="e">
        <f t="shared" si="62"/>
        <v>#REF!</v>
      </c>
    </row>
    <row r="480" spans="1:8" ht="12.75">
      <c r="A480" s="176" t="s">
        <v>148</v>
      </c>
      <c r="B480" s="177"/>
      <c r="C480" s="248"/>
      <c r="E480" s="171">
        <v>8</v>
      </c>
      <c r="F480" s="440" t="e">
        <f t="shared" si="63"/>
        <v>#REF!</v>
      </c>
      <c r="G480" s="423" t="e">
        <f t="shared" si="64"/>
        <v>#REF!</v>
      </c>
      <c r="H480" s="441" t="e">
        <f t="shared" si="62"/>
        <v>#REF!</v>
      </c>
    </row>
    <row r="481" spans="1:8" ht="12.75">
      <c r="A481" s="161"/>
      <c r="B481" s="169" t="s">
        <v>125</v>
      </c>
      <c r="C481" s="248"/>
      <c r="E481" s="171">
        <v>9</v>
      </c>
      <c r="F481" s="440" t="e">
        <f t="shared" si="63"/>
        <v>#REF!</v>
      </c>
      <c r="G481" s="423" t="e">
        <f t="shared" si="64"/>
        <v>#REF!</v>
      </c>
      <c r="H481" s="441" t="e">
        <f t="shared" si="62"/>
        <v>#REF!</v>
      </c>
    </row>
    <row r="482" spans="1:8" ht="13.5" thickBot="1">
      <c r="A482" s="174"/>
      <c r="B482" s="178" t="e">
        <f>(B474-B477)/B475</f>
        <v>#REF!</v>
      </c>
      <c r="C482" s="251"/>
      <c r="E482" s="187">
        <v>10</v>
      </c>
      <c r="F482" s="442" t="e">
        <f t="shared" si="63"/>
        <v>#REF!</v>
      </c>
      <c r="G482" s="424" t="e">
        <f t="shared" si="64"/>
        <v>#REF!</v>
      </c>
      <c r="H482" s="444" t="e">
        <f t="shared" si="62"/>
        <v>#REF!</v>
      </c>
    </row>
    <row r="486" ht="13.5" thickBot="1"/>
    <row r="487" spans="1:8" ht="51.75" thickBot="1">
      <c r="A487" s="158" t="s">
        <v>137</v>
      </c>
      <c r="B487" s="159" t="e">
        <f>SUM(#REF!)</f>
        <v>#REF!</v>
      </c>
      <c r="C487" s="245"/>
      <c r="D487" s="155"/>
      <c r="E487" s="160" t="s">
        <v>138</v>
      </c>
      <c r="F487" s="435" t="s">
        <v>139</v>
      </c>
      <c r="G487" s="414" t="s">
        <v>140</v>
      </c>
      <c r="H487" s="436" t="s">
        <v>141</v>
      </c>
    </row>
    <row r="488" spans="1:8" ht="12.75">
      <c r="A488" s="161" t="s">
        <v>118</v>
      </c>
      <c r="B488" s="162" t="s">
        <v>166</v>
      </c>
      <c r="C488" s="245"/>
      <c r="D488" s="155"/>
      <c r="E488" s="163">
        <v>0</v>
      </c>
      <c r="F488" s="437"/>
      <c r="G488" s="438"/>
      <c r="H488" s="439" t="e">
        <f>B490</f>
        <v>#REF!</v>
      </c>
    </row>
    <row r="489" spans="1:8" ht="12.75">
      <c r="A489" s="161" t="s">
        <v>142</v>
      </c>
      <c r="B489" s="164">
        <v>3</v>
      </c>
      <c r="C489" s="246"/>
      <c r="D489" s="155"/>
      <c r="E489" s="166">
        <v>1</v>
      </c>
      <c r="F489" s="440" t="e">
        <f>B498</f>
        <v>#REF!</v>
      </c>
      <c r="G489" s="423" t="e">
        <f>F489</f>
        <v>#REF!</v>
      </c>
      <c r="H489" s="441" t="e">
        <f>H488-F489</f>
        <v>#REF!</v>
      </c>
    </row>
    <row r="490" spans="1:8" ht="12.75">
      <c r="A490" s="161" t="s">
        <v>144</v>
      </c>
      <c r="B490" s="167" t="e">
        <f>SUM(#REF!)</f>
        <v>#REF!</v>
      </c>
      <c r="C490" s="247"/>
      <c r="D490" s="81"/>
      <c r="E490" s="168">
        <v>2</v>
      </c>
      <c r="F490" s="440" t="e">
        <f>B$482</f>
        <v>#REF!</v>
      </c>
      <c r="G490" s="423" t="e">
        <f>G489+F490</f>
        <v>#REF!</v>
      </c>
      <c r="H490" s="441" t="e">
        <f aca="true" t="shared" si="65" ref="H490:H498">H489-F490</f>
        <v>#REF!</v>
      </c>
    </row>
    <row r="491" spans="1:8" ht="12.75">
      <c r="A491" s="161" t="s">
        <v>145</v>
      </c>
      <c r="B491" s="169">
        <v>10</v>
      </c>
      <c r="C491" s="248"/>
      <c r="E491" s="171">
        <v>3</v>
      </c>
      <c r="F491" s="440" t="e">
        <f aca="true" t="shared" si="66" ref="F491:F498">B$482</f>
        <v>#REF!</v>
      </c>
      <c r="G491" s="423" t="e">
        <f>G490+F491</f>
        <v>#REF!</v>
      </c>
      <c r="H491" s="441" t="e">
        <f t="shared" si="65"/>
        <v>#REF!</v>
      </c>
    </row>
    <row r="492" spans="1:8" ht="12.75">
      <c r="A492" s="161" t="s">
        <v>146</v>
      </c>
      <c r="B492" s="172">
        <v>0.1</v>
      </c>
      <c r="C492" s="249"/>
      <c r="E492" s="171">
        <v>4</v>
      </c>
      <c r="F492" s="440" t="e">
        <f t="shared" si="66"/>
        <v>#REF!</v>
      </c>
      <c r="G492" s="423" t="e">
        <f aca="true" t="shared" si="67" ref="G492:G498">G491+F492</f>
        <v>#REF!</v>
      </c>
      <c r="H492" s="441" t="e">
        <f t="shared" si="65"/>
        <v>#REF!</v>
      </c>
    </row>
    <row r="493" spans="1:8" ht="12.75">
      <c r="A493" s="161" t="s">
        <v>147</v>
      </c>
      <c r="B493" s="173" t="e">
        <f>B490*10%</f>
        <v>#REF!</v>
      </c>
      <c r="C493" s="250"/>
      <c r="E493" s="171">
        <v>5</v>
      </c>
      <c r="F493" s="440" t="e">
        <f t="shared" si="66"/>
        <v>#REF!</v>
      </c>
      <c r="G493" s="423" t="e">
        <f t="shared" si="67"/>
        <v>#REF!</v>
      </c>
      <c r="H493" s="441" t="e">
        <f t="shared" si="65"/>
        <v>#REF!</v>
      </c>
    </row>
    <row r="494" spans="1:8" ht="13.5" thickBot="1">
      <c r="A494" s="174"/>
      <c r="B494" s="175"/>
      <c r="C494" s="248"/>
      <c r="E494" s="171">
        <v>6</v>
      </c>
      <c r="F494" s="440" t="e">
        <f t="shared" si="66"/>
        <v>#REF!</v>
      </c>
      <c r="G494" s="423" t="e">
        <f t="shared" si="67"/>
        <v>#REF!</v>
      </c>
      <c r="H494" s="441" t="e">
        <f t="shared" si="65"/>
        <v>#REF!</v>
      </c>
    </row>
    <row r="495" spans="1:8" ht="13.5" thickBot="1">
      <c r="A495" s="119" t="s">
        <v>125</v>
      </c>
      <c r="E495" s="171">
        <v>7</v>
      </c>
      <c r="F495" s="440" t="e">
        <f t="shared" si="66"/>
        <v>#REF!</v>
      </c>
      <c r="G495" s="423" t="e">
        <f t="shared" si="67"/>
        <v>#REF!</v>
      </c>
      <c r="H495" s="441" t="e">
        <f t="shared" si="65"/>
        <v>#REF!</v>
      </c>
    </row>
    <row r="496" spans="1:8" ht="12.75">
      <c r="A496" s="176" t="s">
        <v>148</v>
      </c>
      <c r="B496" s="177"/>
      <c r="C496" s="248"/>
      <c r="E496" s="171">
        <v>8</v>
      </c>
      <c r="F496" s="440" t="e">
        <f t="shared" si="66"/>
        <v>#REF!</v>
      </c>
      <c r="G496" s="423" t="e">
        <f t="shared" si="67"/>
        <v>#REF!</v>
      </c>
      <c r="H496" s="441" t="e">
        <f t="shared" si="65"/>
        <v>#REF!</v>
      </c>
    </row>
    <row r="497" spans="1:8" ht="12.75">
      <c r="A497" s="161"/>
      <c r="B497" s="169" t="s">
        <v>125</v>
      </c>
      <c r="C497" s="248"/>
      <c r="E497" s="171">
        <v>9</v>
      </c>
      <c r="F497" s="440" t="e">
        <f t="shared" si="66"/>
        <v>#REF!</v>
      </c>
      <c r="G497" s="423" t="e">
        <f t="shared" si="67"/>
        <v>#REF!</v>
      </c>
      <c r="H497" s="441" t="e">
        <f t="shared" si="65"/>
        <v>#REF!</v>
      </c>
    </row>
    <row r="498" spans="1:8" ht="13.5" thickBot="1">
      <c r="A498" s="174"/>
      <c r="B498" s="178" t="e">
        <f>(B490-B493)/B491</f>
        <v>#REF!</v>
      </c>
      <c r="C498" s="251"/>
      <c r="E498" s="187">
        <v>10</v>
      </c>
      <c r="F498" s="442" t="e">
        <f t="shared" si="66"/>
        <v>#REF!</v>
      </c>
      <c r="G498" s="424" t="e">
        <f t="shared" si="67"/>
        <v>#REF!</v>
      </c>
      <c r="H498" s="444" t="e">
        <f t="shared" si="65"/>
        <v>#REF!</v>
      </c>
    </row>
    <row r="500" ht="13.5" thickBot="1"/>
    <row r="501" spans="1:8" ht="51.75" thickBot="1">
      <c r="A501" s="158" t="s">
        <v>137</v>
      </c>
      <c r="B501" s="159" t="e">
        <f>SUM(#REF!)</f>
        <v>#REF!</v>
      </c>
      <c r="C501" s="245"/>
      <c r="D501" s="155"/>
      <c r="E501" s="160" t="s">
        <v>138</v>
      </c>
      <c r="F501" s="435" t="s">
        <v>139</v>
      </c>
      <c r="G501" s="414" t="s">
        <v>140</v>
      </c>
      <c r="H501" s="436" t="s">
        <v>141</v>
      </c>
    </row>
    <row r="502" spans="1:8" ht="12.75">
      <c r="A502" s="161" t="s">
        <v>118</v>
      </c>
      <c r="B502" s="162" t="s">
        <v>128</v>
      </c>
      <c r="C502" s="245"/>
      <c r="D502" s="155"/>
      <c r="E502" s="163">
        <v>0</v>
      </c>
      <c r="F502" s="437"/>
      <c r="G502" s="438"/>
      <c r="H502" s="439" t="e">
        <f>B504</f>
        <v>#REF!</v>
      </c>
    </row>
    <row r="503" spans="1:8" ht="12.75">
      <c r="A503" s="161" t="s">
        <v>142</v>
      </c>
      <c r="B503" s="164">
        <v>1</v>
      </c>
      <c r="C503" s="246"/>
      <c r="D503" s="155"/>
      <c r="E503" s="166">
        <v>1</v>
      </c>
      <c r="F503" s="440" t="e">
        <f>B512</f>
        <v>#REF!</v>
      </c>
      <c r="G503" s="423" t="e">
        <f>F503</f>
        <v>#REF!</v>
      </c>
      <c r="H503" s="441" t="e">
        <f>H502-F503</f>
        <v>#REF!</v>
      </c>
    </row>
    <row r="504" spans="1:8" ht="12.75">
      <c r="A504" s="161" t="s">
        <v>144</v>
      </c>
      <c r="B504" s="167" t="e">
        <f>SUM(#REF!)</f>
        <v>#REF!</v>
      </c>
      <c r="C504" s="247"/>
      <c r="D504" s="81"/>
      <c r="E504" s="168">
        <v>2</v>
      </c>
      <c r="F504" s="440" t="e">
        <f>SUM(F503)</f>
        <v>#REF!</v>
      </c>
      <c r="G504" s="423" t="e">
        <f>G503+F504</f>
        <v>#REF!</v>
      </c>
      <c r="H504" s="441" t="e">
        <f aca="true" t="shared" si="68" ref="H504:H512">H503-F504</f>
        <v>#REF!</v>
      </c>
    </row>
    <row r="505" spans="1:8" ht="12.75">
      <c r="A505" s="161" t="s">
        <v>145</v>
      </c>
      <c r="B505" s="169">
        <v>10</v>
      </c>
      <c r="C505" s="248"/>
      <c r="E505" s="171">
        <v>3</v>
      </c>
      <c r="F505" s="440" t="e">
        <f aca="true" t="shared" si="69" ref="F505:F512">SUM(F504)</f>
        <v>#REF!</v>
      </c>
      <c r="G505" s="423" t="e">
        <f>G504+F505</f>
        <v>#REF!</v>
      </c>
      <c r="H505" s="441" t="e">
        <f t="shared" si="68"/>
        <v>#REF!</v>
      </c>
    </row>
    <row r="506" spans="1:8" ht="12.75">
      <c r="A506" s="161" t="s">
        <v>146</v>
      </c>
      <c r="B506" s="172">
        <v>0.1</v>
      </c>
      <c r="C506" s="249"/>
      <c r="E506" s="171">
        <v>4</v>
      </c>
      <c r="F506" s="440" t="e">
        <f t="shared" si="69"/>
        <v>#REF!</v>
      </c>
      <c r="G506" s="423" t="e">
        <f aca="true" t="shared" si="70" ref="G506:G512">G505+F506</f>
        <v>#REF!</v>
      </c>
      <c r="H506" s="441" t="e">
        <f t="shared" si="68"/>
        <v>#REF!</v>
      </c>
    </row>
    <row r="507" spans="1:8" ht="12.75">
      <c r="A507" s="161" t="s">
        <v>147</v>
      </c>
      <c r="B507" s="173" t="e">
        <f>B504*10%</f>
        <v>#REF!</v>
      </c>
      <c r="C507" s="250"/>
      <c r="E507" s="171">
        <v>5</v>
      </c>
      <c r="F507" s="440" t="e">
        <f t="shared" si="69"/>
        <v>#REF!</v>
      </c>
      <c r="G507" s="423" t="e">
        <f t="shared" si="70"/>
        <v>#REF!</v>
      </c>
      <c r="H507" s="441" t="e">
        <f t="shared" si="68"/>
        <v>#REF!</v>
      </c>
    </row>
    <row r="508" spans="1:8" ht="13.5" thickBot="1">
      <c r="A508" s="174"/>
      <c r="B508" s="175"/>
      <c r="C508" s="248"/>
      <c r="E508" s="171">
        <v>6</v>
      </c>
      <c r="F508" s="440" t="e">
        <f t="shared" si="69"/>
        <v>#REF!</v>
      </c>
      <c r="G508" s="423" t="e">
        <f t="shared" si="70"/>
        <v>#REF!</v>
      </c>
      <c r="H508" s="441" t="e">
        <f t="shared" si="68"/>
        <v>#REF!</v>
      </c>
    </row>
    <row r="509" spans="1:8" ht="13.5" thickBot="1">
      <c r="A509" s="119" t="s">
        <v>125</v>
      </c>
      <c r="E509" s="171">
        <v>7</v>
      </c>
      <c r="F509" s="440" t="e">
        <f t="shared" si="69"/>
        <v>#REF!</v>
      </c>
      <c r="G509" s="423" t="e">
        <f t="shared" si="70"/>
        <v>#REF!</v>
      </c>
      <c r="H509" s="441" t="e">
        <f t="shared" si="68"/>
        <v>#REF!</v>
      </c>
    </row>
    <row r="510" spans="1:8" ht="12.75">
      <c r="A510" s="176" t="s">
        <v>148</v>
      </c>
      <c r="B510" s="177"/>
      <c r="C510" s="248"/>
      <c r="E510" s="171">
        <v>8</v>
      </c>
      <c r="F510" s="440" t="e">
        <f t="shared" si="69"/>
        <v>#REF!</v>
      </c>
      <c r="G510" s="423" t="e">
        <f t="shared" si="70"/>
        <v>#REF!</v>
      </c>
      <c r="H510" s="441" t="e">
        <f t="shared" si="68"/>
        <v>#REF!</v>
      </c>
    </row>
    <row r="511" spans="1:8" ht="12.75">
      <c r="A511" s="161"/>
      <c r="B511" s="169" t="s">
        <v>125</v>
      </c>
      <c r="C511" s="248"/>
      <c r="E511" s="171">
        <v>9</v>
      </c>
      <c r="F511" s="440" t="e">
        <f t="shared" si="69"/>
        <v>#REF!</v>
      </c>
      <c r="G511" s="423" t="e">
        <f t="shared" si="70"/>
        <v>#REF!</v>
      </c>
      <c r="H511" s="441" t="e">
        <f t="shared" si="68"/>
        <v>#REF!</v>
      </c>
    </row>
    <row r="512" spans="1:8" ht="13.5" thickBot="1">
      <c r="A512" s="174"/>
      <c r="B512" s="178" t="e">
        <f>(B504-B507)/B505</f>
        <v>#REF!</v>
      </c>
      <c r="C512" s="251"/>
      <c r="E512" s="187">
        <v>10</v>
      </c>
      <c r="F512" s="442" t="e">
        <f t="shared" si="69"/>
        <v>#REF!</v>
      </c>
      <c r="G512" s="424" t="e">
        <f t="shared" si="70"/>
        <v>#REF!</v>
      </c>
      <c r="H512" s="444" t="e">
        <f t="shared" si="68"/>
        <v>#REF!</v>
      </c>
    </row>
    <row r="518" ht="13.5" thickBot="1"/>
    <row r="519" spans="1:3" ht="13.5" thickBot="1">
      <c r="A519" s="199">
        <v>2</v>
      </c>
      <c r="B519" s="184" t="s">
        <v>167</v>
      </c>
      <c r="C519" s="185"/>
    </row>
    <row r="520" ht="13.5" thickBot="1"/>
    <row r="521" spans="1:11" ht="23.25" thickBot="1">
      <c r="A521" s="200" t="s">
        <v>137</v>
      </c>
      <c r="B521" s="201">
        <f>SUM(A40)</f>
        <v>3</v>
      </c>
      <c r="C521" s="253"/>
      <c r="D521" s="202" t="s">
        <v>138</v>
      </c>
      <c r="E521" s="203" t="s">
        <v>139</v>
      </c>
      <c r="F521" s="453" t="s">
        <v>140</v>
      </c>
      <c r="G521" s="454" t="s">
        <v>141</v>
      </c>
      <c r="H521" s="455"/>
      <c r="I521" s="455"/>
      <c r="J521" s="456"/>
      <c r="K521" s="456"/>
    </row>
    <row r="522" spans="1:11" ht="12.75">
      <c r="A522" s="205" t="s">
        <v>118</v>
      </c>
      <c r="B522" s="206" t="s">
        <v>168</v>
      </c>
      <c r="C522" s="253"/>
      <c r="D522" s="207">
        <v>0</v>
      </c>
      <c r="E522" s="208"/>
      <c r="F522" s="457"/>
      <c r="G522" s="458">
        <f>B524</f>
        <v>1000</v>
      </c>
      <c r="H522" s="455"/>
      <c r="I522" s="455"/>
      <c r="J522" s="456"/>
      <c r="K522" s="456"/>
    </row>
    <row r="523" spans="1:11" ht="12.75">
      <c r="A523" s="205" t="s">
        <v>142</v>
      </c>
      <c r="B523" s="209">
        <v>1</v>
      </c>
      <c r="C523" s="253"/>
      <c r="D523" s="210">
        <v>1</v>
      </c>
      <c r="E523" s="211">
        <f>B532</f>
        <v>90</v>
      </c>
      <c r="F523" s="459">
        <f>E523</f>
        <v>90</v>
      </c>
      <c r="G523" s="460">
        <f>G522-E523</f>
        <v>910</v>
      </c>
      <c r="H523" s="455"/>
      <c r="I523" s="455"/>
      <c r="J523" s="456"/>
      <c r="K523" s="456"/>
    </row>
    <row r="524" spans="1:11" ht="12.75">
      <c r="A524" s="205" t="s">
        <v>144</v>
      </c>
      <c r="B524" s="212">
        <f>SUM(F44)</f>
        <v>1000</v>
      </c>
      <c r="C524" s="254"/>
      <c r="D524" s="213">
        <v>2</v>
      </c>
      <c r="E524" s="211">
        <f>SUM(E523)</f>
        <v>90</v>
      </c>
      <c r="F524" s="459">
        <f>F523+E524</f>
        <v>180</v>
      </c>
      <c r="G524" s="460">
        <f aca="true" t="shared" si="71" ref="G524:G532">G523-E524</f>
        <v>820</v>
      </c>
      <c r="H524" s="455"/>
      <c r="I524" s="455"/>
      <c r="J524" s="456"/>
      <c r="K524" s="456"/>
    </row>
    <row r="525" spans="1:11" ht="12.75">
      <c r="A525" s="205" t="s">
        <v>145</v>
      </c>
      <c r="B525" s="214">
        <v>10</v>
      </c>
      <c r="C525" s="255"/>
      <c r="D525" s="215">
        <v>3</v>
      </c>
      <c r="E525" s="211">
        <f aca="true" t="shared" si="72" ref="E525:E532">SUM(E524)</f>
        <v>90</v>
      </c>
      <c r="F525" s="459">
        <f>F524+E525</f>
        <v>270</v>
      </c>
      <c r="G525" s="460">
        <f t="shared" si="71"/>
        <v>730</v>
      </c>
      <c r="H525" s="455"/>
      <c r="I525" s="455"/>
      <c r="J525" s="456"/>
      <c r="K525" s="456"/>
    </row>
    <row r="526" spans="1:11" ht="12.75">
      <c r="A526" s="205" t="s">
        <v>146</v>
      </c>
      <c r="B526" s="216">
        <v>0.1</v>
      </c>
      <c r="C526" s="255"/>
      <c r="D526" s="215">
        <v>4</v>
      </c>
      <c r="E526" s="211">
        <f t="shared" si="72"/>
        <v>90</v>
      </c>
      <c r="F526" s="459">
        <f aca="true" t="shared" si="73" ref="F526:F532">F525+E526</f>
        <v>360</v>
      </c>
      <c r="G526" s="460">
        <f t="shared" si="71"/>
        <v>640</v>
      </c>
      <c r="H526" s="455"/>
      <c r="I526" s="455"/>
      <c r="J526" s="456"/>
      <c r="K526" s="456"/>
    </row>
    <row r="527" spans="1:11" ht="12.75">
      <c r="A527" s="205" t="s">
        <v>147</v>
      </c>
      <c r="B527" s="217">
        <f>B524*10%</f>
        <v>100</v>
      </c>
      <c r="C527" s="255"/>
      <c r="D527" s="215">
        <v>5</v>
      </c>
      <c r="E527" s="211">
        <f t="shared" si="72"/>
        <v>90</v>
      </c>
      <c r="F527" s="459">
        <f t="shared" si="73"/>
        <v>450</v>
      </c>
      <c r="G527" s="460">
        <f t="shared" si="71"/>
        <v>550</v>
      </c>
      <c r="H527" s="455"/>
      <c r="I527" s="455"/>
      <c r="J527" s="456"/>
      <c r="K527" s="456"/>
    </row>
    <row r="528" spans="1:11" ht="13.5" thickBot="1">
      <c r="A528" s="218"/>
      <c r="B528" s="219"/>
      <c r="C528" s="255"/>
      <c r="D528" s="215">
        <v>6</v>
      </c>
      <c r="E528" s="211">
        <f t="shared" si="72"/>
        <v>90</v>
      </c>
      <c r="F528" s="459">
        <f t="shared" si="73"/>
        <v>540</v>
      </c>
      <c r="G528" s="460">
        <f t="shared" si="71"/>
        <v>460</v>
      </c>
      <c r="H528" s="455"/>
      <c r="I528" s="455"/>
      <c r="J528" s="456"/>
      <c r="K528" s="456"/>
    </row>
    <row r="529" spans="1:11" ht="13.5" thickBot="1">
      <c r="A529" t="s">
        <v>125</v>
      </c>
      <c r="B529" s="204"/>
      <c r="C529" s="255"/>
      <c r="D529" s="215">
        <v>7</v>
      </c>
      <c r="E529" s="211">
        <f t="shared" si="72"/>
        <v>90</v>
      </c>
      <c r="F529" s="459">
        <f t="shared" si="73"/>
        <v>630</v>
      </c>
      <c r="G529" s="460">
        <f t="shared" si="71"/>
        <v>370</v>
      </c>
      <c r="H529" s="455"/>
      <c r="I529" s="455"/>
      <c r="J529" s="456"/>
      <c r="K529" s="456"/>
    </row>
    <row r="530" spans="1:11" ht="12.75">
      <c r="A530" s="220" t="s">
        <v>148</v>
      </c>
      <c r="B530" s="221"/>
      <c r="C530" s="255"/>
      <c r="D530" s="215">
        <v>8</v>
      </c>
      <c r="E530" s="211">
        <f t="shared" si="72"/>
        <v>90</v>
      </c>
      <c r="F530" s="459">
        <f t="shared" si="73"/>
        <v>720</v>
      </c>
      <c r="G530" s="460">
        <f t="shared" si="71"/>
        <v>280</v>
      </c>
      <c r="H530" s="455"/>
      <c r="I530" s="455"/>
      <c r="J530" s="456"/>
      <c r="K530" s="456"/>
    </row>
    <row r="531" spans="1:11" ht="12.75">
      <c r="A531" s="205"/>
      <c r="B531" s="214" t="s">
        <v>125</v>
      </c>
      <c r="C531" s="255"/>
      <c r="D531" s="215">
        <v>9</v>
      </c>
      <c r="E531" s="211">
        <f t="shared" si="72"/>
        <v>90</v>
      </c>
      <c r="F531" s="459">
        <f t="shared" si="73"/>
        <v>810</v>
      </c>
      <c r="G531" s="460">
        <f t="shared" si="71"/>
        <v>190</v>
      </c>
      <c r="H531" s="455"/>
      <c r="I531" s="455"/>
      <c r="J531" s="456"/>
      <c r="K531" s="456"/>
    </row>
    <row r="532" spans="1:11" ht="13.5" thickBot="1">
      <c r="A532" s="218"/>
      <c r="B532" s="222">
        <f>(B524-B527)/B525</f>
        <v>90</v>
      </c>
      <c r="C532" s="255"/>
      <c r="D532" s="223">
        <v>10</v>
      </c>
      <c r="E532" s="224">
        <f t="shared" si="72"/>
        <v>90</v>
      </c>
      <c r="F532" s="461">
        <f t="shared" si="73"/>
        <v>900</v>
      </c>
      <c r="G532" s="462">
        <f t="shared" si="71"/>
        <v>100</v>
      </c>
      <c r="H532" s="455"/>
      <c r="I532" s="455"/>
      <c r="J532" s="456"/>
      <c r="K532" s="456"/>
    </row>
    <row r="533" spans="2:11" ht="12.75">
      <c r="B533" s="204"/>
      <c r="C533" s="255"/>
      <c r="D533" s="204"/>
      <c r="E533" s="204"/>
      <c r="F533" s="455"/>
      <c r="G533" s="455"/>
      <c r="H533" s="455"/>
      <c r="I533" s="455"/>
      <c r="J533" s="456"/>
      <c r="K533" s="456"/>
    </row>
    <row r="534" spans="2:11" ht="13.5" thickBot="1">
      <c r="B534" s="204"/>
      <c r="C534" s="255"/>
      <c r="D534" s="204"/>
      <c r="E534" s="204"/>
      <c r="F534" s="455"/>
      <c r="G534" s="455"/>
      <c r="H534" s="455"/>
      <c r="I534" s="455"/>
      <c r="J534" s="456"/>
      <c r="K534" s="456"/>
    </row>
    <row r="535" spans="1:11" ht="13.5" thickBot="1">
      <c r="A535" s="183">
        <v>2</v>
      </c>
      <c r="B535" s="225" t="s">
        <v>169</v>
      </c>
      <c r="C535" s="185"/>
      <c r="D535" s="204"/>
      <c r="E535" s="204"/>
      <c r="F535" s="455"/>
      <c r="G535" s="455"/>
      <c r="H535" s="455"/>
      <c r="I535" s="455"/>
      <c r="J535" s="456"/>
      <c r="K535" s="456"/>
    </row>
    <row r="536" spans="2:11" ht="13.5" thickBot="1">
      <c r="B536" s="204"/>
      <c r="C536" s="255"/>
      <c r="D536" s="204"/>
      <c r="E536" s="204"/>
      <c r="F536" s="455"/>
      <c r="G536" s="455"/>
      <c r="H536" s="455"/>
      <c r="I536" s="455"/>
      <c r="J536" s="456"/>
      <c r="K536" s="456"/>
    </row>
    <row r="537" spans="1:11" ht="23.25" thickBot="1">
      <c r="A537" s="200" t="s">
        <v>137</v>
      </c>
      <c r="B537" s="201">
        <f>SUM(A45)</f>
        <v>4</v>
      </c>
      <c r="C537" s="253"/>
      <c r="D537" s="226" t="s">
        <v>138</v>
      </c>
      <c r="E537" s="227" t="s">
        <v>139</v>
      </c>
      <c r="F537" s="453" t="s">
        <v>140</v>
      </c>
      <c r="G537" s="454" t="s">
        <v>141</v>
      </c>
      <c r="H537" s="455"/>
      <c r="I537" s="455"/>
      <c r="J537" s="456"/>
      <c r="K537" s="456"/>
    </row>
    <row r="538" spans="1:11" ht="12.75">
      <c r="A538" s="205" t="s">
        <v>118</v>
      </c>
      <c r="B538" s="206" t="str">
        <f>B391</f>
        <v> </v>
      </c>
      <c r="C538" s="253"/>
      <c r="D538" s="207">
        <v>0</v>
      </c>
      <c r="E538" s="208"/>
      <c r="F538" s="457"/>
      <c r="G538" s="458" t="e">
        <f>B540</f>
        <v>#REF!</v>
      </c>
      <c r="H538" s="455"/>
      <c r="I538" s="455"/>
      <c r="J538" s="456"/>
      <c r="K538" s="456"/>
    </row>
    <row r="539" spans="1:11" ht="12.75">
      <c r="A539" s="205" t="s">
        <v>142</v>
      </c>
      <c r="B539" s="209">
        <v>1</v>
      </c>
      <c r="C539" s="253"/>
      <c r="D539" s="210">
        <v>1</v>
      </c>
      <c r="E539" s="211" t="e">
        <f>B548</f>
        <v>#REF!</v>
      </c>
      <c r="F539" s="459" t="e">
        <f>E539</f>
        <v>#REF!</v>
      </c>
      <c r="G539" s="460" t="e">
        <f>G538-E539</f>
        <v>#REF!</v>
      </c>
      <c r="H539" s="455"/>
      <c r="I539" s="455"/>
      <c r="J539" s="456"/>
      <c r="K539" s="456"/>
    </row>
    <row r="540" spans="1:11" ht="12.75">
      <c r="A540" s="205" t="s">
        <v>144</v>
      </c>
      <c r="B540" s="212" t="e">
        <f>SUM(#REF!)</f>
        <v>#REF!</v>
      </c>
      <c r="C540" s="254"/>
      <c r="D540" s="213">
        <v>2</v>
      </c>
      <c r="E540" s="211">
        <f>B$244</f>
        <v>22.5</v>
      </c>
      <c r="F540" s="459" t="e">
        <f>F539+E540</f>
        <v>#REF!</v>
      </c>
      <c r="G540" s="460" t="e">
        <f>G539-E540</f>
        <v>#REF!</v>
      </c>
      <c r="H540" s="455"/>
      <c r="I540" s="455"/>
      <c r="J540" s="456"/>
      <c r="K540" s="456"/>
    </row>
    <row r="541" spans="1:11" ht="13.5" thickBot="1">
      <c r="A541" s="205" t="s">
        <v>145</v>
      </c>
      <c r="B541" s="214">
        <v>3</v>
      </c>
      <c r="C541" s="255"/>
      <c r="D541" s="223">
        <v>3</v>
      </c>
      <c r="E541" s="224">
        <f>B$244</f>
        <v>22.5</v>
      </c>
      <c r="F541" s="461" t="e">
        <f>F540+E541</f>
        <v>#REF!</v>
      </c>
      <c r="G541" s="462" t="e">
        <f>G540-E541</f>
        <v>#REF!</v>
      </c>
      <c r="H541" s="455"/>
      <c r="I541" s="455"/>
      <c r="J541" s="456"/>
      <c r="K541" s="456"/>
    </row>
    <row r="542" spans="1:11" ht="12.75">
      <c r="A542" s="205" t="s">
        <v>146</v>
      </c>
      <c r="B542" s="228" t="s">
        <v>170</v>
      </c>
      <c r="C542" s="255"/>
      <c r="F542" s="456"/>
      <c r="G542" s="456"/>
      <c r="H542" s="455"/>
      <c r="I542" s="455"/>
      <c r="J542" s="456"/>
      <c r="K542" s="456"/>
    </row>
    <row r="543" spans="1:11" ht="12.75">
      <c r="A543" s="205" t="s">
        <v>147</v>
      </c>
      <c r="B543" s="217" t="e">
        <f>B540*33.33%</f>
        <v>#REF!</v>
      </c>
      <c r="C543" s="255"/>
      <c r="F543" s="456"/>
      <c r="G543" s="456"/>
      <c r="H543" s="455"/>
      <c r="I543" s="455"/>
      <c r="J543" s="456"/>
      <c r="K543" s="456"/>
    </row>
    <row r="544" spans="1:11" ht="13.5" thickBot="1">
      <c r="A544" s="218"/>
      <c r="B544" s="219"/>
      <c r="C544" s="255"/>
      <c r="F544" s="456"/>
      <c r="G544" s="456"/>
      <c r="H544" s="455"/>
      <c r="I544" s="455"/>
      <c r="J544" s="456"/>
      <c r="K544" s="456"/>
    </row>
    <row r="545" spans="1:11" ht="13.5" thickBot="1">
      <c r="A545" t="s">
        <v>125</v>
      </c>
      <c r="B545" s="204"/>
      <c r="C545" s="255"/>
      <c r="F545" s="456"/>
      <c r="G545" s="456"/>
      <c r="H545" s="455"/>
      <c r="I545" s="455"/>
      <c r="J545" s="456"/>
      <c r="K545" s="456"/>
    </row>
    <row r="546" spans="1:11" ht="12.75">
      <c r="A546" s="220" t="s">
        <v>148</v>
      </c>
      <c r="B546" s="221"/>
      <c r="C546" s="255"/>
      <c r="F546" s="456"/>
      <c r="G546" s="456"/>
      <c r="H546" s="455"/>
      <c r="I546" s="455"/>
      <c r="J546" s="456"/>
      <c r="K546" s="456"/>
    </row>
    <row r="547" spans="1:11" ht="12.75">
      <c r="A547" s="205"/>
      <c r="B547" s="214" t="s">
        <v>125</v>
      </c>
      <c r="C547" s="255"/>
      <c r="F547" s="456"/>
      <c r="G547" s="456"/>
      <c r="H547" s="455"/>
      <c r="I547" s="455"/>
      <c r="J547" s="456"/>
      <c r="K547" s="456"/>
    </row>
    <row r="548" spans="1:11" ht="13.5" thickBot="1">
      <c r="A548" s="218"/>
      <c r="B548" s="229" t="e">
        <f>(B540-B543)/B541</f>
        <v>#REF!</v>
      </c>
      <c r="C548" s="255"/>
      <c r="F548" s="456"/>
      <c r="G548" s="456"/>
      <c r="H548" s="455"/>
      <c r="I548" s="455"/>
      <c r="J548" s="456"/>
      <c r="K548" s="456"/>
    </row>
  </sheetData>
  <mergeCells count="10">
    <mergeCell ref="A1:K1"/>
    <mergeCell ref="A2:K2"/>
    <mergeCell ref="A3:K3"/>
    <mergeCell ref="E4:F4"/>
    <mergeCell ref="A44:E44"/>
    <mergeCell ref="A46:E46"/>
    <mergeCell ref="A16:E16"/>
    <mergeCell ref="B17:C17"/>
    <mergeCell ref="A37:E37"/>
    <mergeCell ref="E39:F39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20">
      <selection activeCell="E28" sqref="E28"/>
    </sheetView>
  </sheetViews>
  <sheetFormatPr defaultColWidth="11.421875" defaultRowHeight="12.75"/>
  <cols>
    <col min="1" max="1" width="28.140625" style="0" customWidth="1"/>
    <col min="6" max="6" width="15.28125" style="0" customWidth="1"/>
    <col min="7" max="7" width="16.57421875" style="0" customWidth="1"/>
  </cols>
  <sheetData>
    <row r="1" spans="1:7" ht="12.75">
      <c r="A1" s="506" t="s">
        <v>234</v>
      </c>
      <c r="B1" s="506"/>
      <c r="C1" s="506"/>
      <c r="D1" s="506"/>
      <c r="E1" s="506"/>
      <c r="F1" s="470"/>
      <c r="G1" s="470"/>
    </row>
    <row r="2" spans="1:7" ht="12.75">
      <c r="A2" s="507" t="s">
        <v>235</v>
      </c>
      <c r="B2" s="507"/>
      <c r="C2" s="507"/>
      <c r="D2" s="507"/>
      <c r="E2" s="507"/>
      <c r="F2" s="471"/>
      <c r="G2" s="471"/>
    </row>
    <row r="3" ht="13.5" thickBot="1"/>
    <row r="4" spans="1:5" ht="13.5" thickBot="1">
      <c r="A4" s="552" t="s">
        <v>186</v>
      </c>
      <c r="B4" s="553"/>
      <c r="C4" s="553"/>
      <c r="D4" s="553"/>
      <c r="E4" s="554"/>
    </row>
    <row r="5" spans="1:5" ht="12.75">
      <c r="A5" s="313"/>
      <c r="B5" s="314" t="s">
        <v>190</v>
      </c>
      <c r="C5" s="314" t="s">
        <v>189</v>
      </c>
      <c r="D5" s="314" t="s">
        <v>191</v>
      </c>
      <c r="E5" s="315" t="s">
        <v>192</v>
      </c>
    </row>
    <row r="6" spans="1:5" ht="12.75">
      <c r="A6" s="20"/>
      <c r="B6" s="312">
        <v>0.2</v>
      </c>
      <c r="C6" s="312">
        <v>0.4</v>
      </c>
      <c r="D6" s="312">
        <v>0.6</v>
      </c>
      <c r="E6" s="316">
        <v>0.8</v>
      </c>
    </row>
    <row r="7" spans="1:5" ht="12.75">
      <c r="A7" s="20" t="s">
        <v>187</v>
      </c>
      <c r="B7" s="22">
        <v>640</v>
      </c>
      <c r="C7" s="22">
        <v>1280</v>
      </c>
      <c r="D7" s="22">
        <v>1920</v>
      </c>
      <c r="E7" s="317">
        <v>2560</v>
      </c>
    </row>
    <row r="8" spans="1:5" ht="25.5">
      <c r="A8" s="318" t="s">
        <v>188</v>
      </c>
      <c r="B8" s="22">
        <v>7680</v>
      </c>
      <c r="C8" s="22">
        <v>15360</v>
      </c>
      <c r="D8" s="22">
        <v>23040</v>
      </c>
      <c r="E8" s="317">
        <v>30720</v>
      </c>
    </row>
    <row r="9" spans="1:7" ht="25.5">
      <c r="A9" s="319" t="s">
        <v>243</v>
      </c>
      <c r="B9" s="310">
        <v>0.3</v>
      </c>
      <c r="C9" s="310">
        <v>0.3</v>
      </c>
      <c r="D9" s="310">
        <v>0.3</v>
      </c>
      <c r="E9" s="310">
        <v>0.3</v>
      </c>
      <c r="G9">
        <f>465*1/180</f>
        <v>2.5833333333333335</v>
      </c>
    </row>
    <row r="10" spans="1:7" ht="12.75">
      <c r="A10" s="321" t="s">
        <v>193</v>
      </c>
      <c r="B10" s="311">
        <f>+B8*B9</f>
        <v>2304</v>
      </c>
      <c r="C10" s="311">
        <f>+C8*C9</f>
        <v>4608</v>
      </c>
      <c r="D10" s="311">
        <f>+D8*D9</f>
        <v>6912</v>
      </c>
      <c r="E10" s="311">
        <f>+E8*E9</f>
        <v>9216</v>
      </c>
      <c r="F10" s="268"/>
      <c r="G10" s="481"/>
    </row>
    <row r="11" spans="1:6" ht="13.5" thickBot="1">
      <c r="A11" s="322" t="s">
        <v>194</v>
      </c>
      <c r="B11" s="323">
        <f>+B8-B10</f>
        <v>5376</v>
      </c>
      <c r="C11" s="323">
        <f>+C8-C10</f>
        <v>10752</v>
      </c>
      <c r="D11" s="323">
        <f>+D8-D10</f>
        <v>16128</v>
      </c>
      <c r="E11" s="323">
        <f>+E8-E10</f>
        <v>21504</v>
      </c>
      <c r="F11" s="268"/>
    </row>
    <row r="12" spans="1:6" ht="12.75">
      <c r="A12" s="324"/>
      <c r="B12" s="480"/>
      <c r="C12" s="324"/>
      <c r="D12" s="324"/>
      <c r="E12" s="268"/>
      <c r="F12" s="268"/>
    </row>
    <row r="13" spans="1:6" ht="12.75">
      <c r="A13" s="325"/>
      <c r="B13" s="326"/>
      <c r="C13" s="326"/>
      <c r="D13" s="326"/>
      <c r="E13" s="268"/>
      <c r="F13" s="268"/>
    </row>
    <row r="14" spans="1:7" ht="12.75">
      <c r="A14" s="327"/>
      <c r="B14" s="327"/>
      <c r="C14" s="327"/>
      <c r="D14" s="327"/>
      <c r="E14" s="268"/>
      <c r="F14" s="268"/>
      <c r="G14" t="s">
        <v>248</v>
      </c>
    </row>
    <row r="15" spans="1:6" ht="12.75">
      <c r="A15" s="270"/>
      <c r="B15" s="270"/>
      <c r="C15" s="270"/>
      <c r="D15" s="270"/>
      <c r="E15" s="268"/>
      <c r="F15" s="269"/>
    </row>
    <row r="16" spans="1:7" ht="12.75">
      <c r="A16" s="271" t="s">
        <v>171</v>
      </c>
      <c r="B16" s="271"/>
      <c r="C16" s="271"/>
      <c r="D16" s="272">
        <v>0.02</v>
      </c>
      <c r="E16" s="268"/>
      <c r="F16" s="268"/>
      <c r="G16" t="s">
        <v>247</v>
      </c>
    </row>
    <row r="17" spans="1:6" ht="13.5" thickBot="1">
      <c r="A17" s="273"/>
      <c r="B17" s="273"/>
      <c r="C17" s="273"/>
      <c r="D17" s="273"/>
      <c r="E17" s="268"/>
      <c r="F17" s="268"/>
    </row>
    <row r="18" spans="1:6" ht="13.5" thickBot="1">
      <c r="A18" s="557" t="s">
        <v>172</v>
      </c>
      <c r="B18" s="558"/>
      <c r="C18" s="558"/>
      <c r="D18" s="558"/>
      <c r="E18" s="558"/>
      <c r="F18" s="559"/>
    </row>
    <row r="19" spans="1:6" ht="13.5" thickBot="1">
      <c r="A19" s="274"/>
      <c r="B19" s="275"/>
      <c r="C19" s="275"/>
      <c r="D19" s="275"/>
      <c r="E19" s="276"/>
      <c r="F19" s="277"/>
    </row>
    <row r="20" spans="1:6" ht="12.75">
      <c r="A20" s="274"/>
      <c r="B20" s="275"/>
      <c r="C20" s="278"/>
      <c r="D20" s="277"/>
      <c r="E20" s="276"/>
      <c r="F20" s="277"/>
    </row>
    <row r="21" spans="1:6" ht="12.75">
      <c r="A21" s="279"/>
      <c r="B21" s="280"/>
      <c r="C21" s="281"/>
      <c r="D21" s="282"/>
      <c r="E21" s="283"/>
      <c r="F21" s="282"/>
    </row>
    <row r="22" spans="1:6" ht="12.75">
      <c r="A22" s="284" t="s">
        <v>173</v>
      </c>
      <c r="B22" s="268"/>
      <c r="C22" s="560" t="s">
        <v>174</v>
      </c>
      <c r="D22" s="285" t="s">
        <v>175</v>
      </c>
      <c r="E22" s="562" t="s">
        <v>176</v>
      </c>
      <c r="F22" s="286">
        <v>1</v>
      </c>
    </row>
    <row r="23" spans="1:6" ht="13.5" thickBot="1">
      <c r="A23" s="287"/>
      <c r="B23" s="288"/>
      <c r="C23" s="561"/>
      <c r="D23" s="289"/>
      <c r="E23" s="563"/>
      <c r="F23" s="289"/>
    </row>
    <row r="24" spans="1:6" ht="13.5" thickBot="1">
      <c r="A24" s="290"/>
      <c r="B24" s="291"/>
      <c r="C24" s="291"/>
      <c r="D24" s="291"/>
      <c r="E24" s="291"/>
      <c r="F24" s="291"/>
    </row>
    <row r="25" spans="1:6" ht="12.75">
      <c r="A25" s="569" t="s">
        <v>177</v>
      </c>
      <c r="B25" s="571" t="s">
        <v>178</v>
      </c>
      <c r="C25" s="555" t="s">
        <v>179</v>
      </c>
      <c r="D25" s="555" t="s">
        <v>180</v>
      </c>
      <c r="E25" s="555" t="s">
        <v>181</v>
      </c>
      <c r="F25" s="564" t="s">
        <v>182</v>
      </c>
    </row>
    <row r="26" spans="1:6" ht="13.5" thickBot="1">
      <c r="A26" s="570"/>
      <c r="B26" s="572"/>
      <c r="C26" s="556"/>
      <c r="D26" s="556"/>
      <c r="E26" s="556"/>
      <c r="F26" s="565"/>
    </row>
    <row r="27" spans="1:6" ht="12.75">
      <c r="A27" s="292">
        <v>1</v>
      </c>
      <c r="B27" s="293" t="s">
        <v>183</v>
      </c>
      <c r="C27" s="294" t="s">
        <v>184</v>
      </c>
      <c r="D27" s="295">
        <f>+B11</f>
        <v>5376</v>
      </c>
      <c r="E27" s="296">
        <v>95</v>
      </c>
      <c r="F27" s="297">
        <f aca="true" t="shared" si="0" ref="F27:F36">+D27*E27</f>
        <v>510720</v>
      </c>
    </row>
    <row r="28" spans="1:6" ht="12.75">
      <c r="A28" s="298">
        <v>2</v>
      </c>
      <c r="B28" s="299" t="s">
        <v>183</v>
      </c>
      <c r="C28" s="300" t="s">
        <v>184</v>
      </c>
      <c r="D28" s="301">
        <f>+D27</f>
        <v>5376</v>
      </c>
      <c r="E28" s="302">
        <f>SUM(E27*D16)+E27</f>
        <v>96.9</v>
      </c>
      <c r="F28" s="303">
        <f t="shared" si="0"/>
        <v>520934.4</v>
      </c>
    </row>
    <row r="29" spans="1:6" ht="12.75">
      <c r="A29" s="298">
        <v>3</v>
      </c>
      <c r="B29" s="299" t="s">
        <v>183</v>
      </c>
      <c r="C29" s="300" t="s">
        <v>184</v>
      </c>
      <c r="D29" s="301">
        <f>+C11</f>
        <v>10752</v>
      </c>
      <c r="E29" s="302">
        <f>SUM(E28*D16)+E28</f>
        <v>98.83800000000001</v>
      </c>
      <c r="F29" s="303">
        <f t="shared" si="0"/>
        <v>1062706.176</v>
      </c>
    </row>
    <row r="30" spans="1:6" ht="12.75">
      <c r="A30" s="298">
        <v>4</v>
      </c>
      <c r="B30" s="299" t="s">
        <v>183</v>
      </c>
      <c r="C30" s="300" t="s">
        <v>184</v>
      </c>
      <c r="D30" s="301">
        <f>+D29</f>
        <v>10752</v>
      </c>
      <c r="E30" s="302">
        <f>SUM(E29*D16)+E29</f>
        <v>100.81476</v>
      </c>
      <c r="F30" s="303">
        <f t="shared" si="0"/>
        <v>1083960.2995200001</v>
      </c>
    </row>
    <row r="31" spans="1:6" ht="12.75">
      <c r="A31" s="298">
        <v>5</v>
      </c>
      <c r="B31" s="299" t="s">
        <v>183</v>
      </c>
      <c r="C31" s="300" t="s">
        <v>184</v>
      </c>
      <c r="D31" s="301">
        <f>+D30</f>
        <v>10752</v>
      </c>
      <c r="E31" s="302">
        <f>SUM(E30*D16)+E30</f>
        <v>102.83105520000001</v>
      </c>
      <c r="F31" s="303">
        <f t="shared" si="0"/>
        <v>1105639.5055104</v>
      </c>
    </row>
    <row r="32" spans="1:6" ht="12.75">
      <c r="A32" s="298">
        <v>6</v>
      </c>
      <c r="B32" s="299" t="s">
        <v>183</v>
      </c>
      <c r="C32" s="300" t="s">
        <v>184</v>
      </c>
      <c r="D32" s="301">
        <f>+D11</f>
        <v>16128</v>
      </c>
      <c r="E32" s="302">
        <f>SUM(E31*D16)+E31</f>
        <v>104.88767630400001</v>
      </c>
      <c r="F32" s="303">
        <f t="shared" si="0"/>
        <v>1691628.4434309122</v>
      </c>
    </row>
    <row r="33" spans="1:6" ht="12.75">
      <c r="A33" s="298">
        <v>7</v>
      </c>
      <c r="B33" s="299" t="s">
        <v>183</v>
      </c>
      <c r="C33" s="300" t="s">
        <v>184</v>
      </c>
      <c r="D33" s="301">
        <f>+D11</f>
        <v>16128</v>
      </c>
      <c r="E33" s="302">
        <f>SUM(E32*D16)+E32</f>
        <v>106.98542983008001</v>
      </c>
      <c r="F33" s="303">
        <f t="shared" si="0"/>
        <v>1725461.0122995304</v>
      </c>
    </row>
    <row r="34" spans="1:6" ht="12.75">
      <c r="A34" s="298">
        <v>8</v>
      </c>
      <c r="B34" s="299" t="s">
        <v>183</v>
      </c>
      <c r="C34" s="300" t="s">
        <v>184</v>
      </c>
      <c r="D34" s="301">
        <f>+D11</f>
        <v>16128</v>
      </c>
      <c r="E34" s="302">
        <f>SUM(E33*D16)+E33</f>
        <v>109.1251384266816</v>
      </c>
      <c r="F34" s="303">
        <f t="shared" si="0"/>
        <v>1759970.2325455209</v>
      </c>
    </row>
    <row r="35" spans="1:6" ht="12.75">
      <c r="A35" s="298">
        <v>9</v>
      </c>
      <c r="B35" s="299" t="s">
        <v>183</v>
      </c>
      <c r="C35" s="300" t="s">
        <v>184</v>
      </c>
      <c r="D35" s="301">
        <f>+E11</f>
        <v>21504</v>
      </c>
      <c r="E35" s="302">
        <f>SUM(E34*D16)+E34</f>
        <v>111.30764119521524</v>
      </c>
      <c r="F35" s="303">
        <f t="shared" si="0"/>
        <v>2393559.5162619087</v>
      </c>
    </row>
    <row r="36" spans="1:6" ht="13.5" thickBot="1">
      <c r="A36" s="304">
        <v>10</v>
      </c>
      <c r="B36" s="305" t="s">
        <v>183</v>
      </c>
      <c r="C36" s="306" t="s">
        <v>184</v>
      </c>
      <c r="D36" s="301">
        <f>SUM(D35*$I$31)+D35</f>
        <v>21504</v>
      </c>
      <c r="E36" s="302">
        <f>SUM(E35*D16)+E35</f>
        <v>113.53379401911954</v>
      </c>
      <c r="F36" s="307">
        <f t="shared" si="0"/>
        <v>2441430.7065871465</v>
      </c>
    </row>
    <row r="37" spans="1:6" ht="13.5" thickBot="1">
      <c r="A37" s="566" t="s">
        <v>185</v>
      </c>
      <c r="B37" s="567"/>
      <c r="C37" s="567"/>
      <c r="D37" s="567"/>
      <c r="E37" s="568"/>
      <c r="F37" s="308">
        <f>SUM(F27:F36)</f>
        <v>14296010.29215542</v>
      </c>
    </row>
    <row r="38" spans="1:6" ht="12.75">
      <c r="A38" s="309"/>
      <c r="B38" s="309"/>
      <c r="C38" s="309"/>
      <c r="D38" s="309"/>
      <c r="E38" s="309"/>
      <c r="F38" s="309"/>
    </row>
    <row r="39" spans="1:6" ht="12.75">
      <c r="A39" s="309"/>
      <c r="B39" s="309"/>
      <c r="C39" s="309"/>
      <c r="D39" s="309"/>
      <c r="E39" s="309"/>
      <c r="F39" s="309"/>
    </row>
    <row r="40" spans="1:6" ht="12.75">
      <c r="A40" s="309"/>
      <c r="B40" s="309"/>
      <c r="C40" s="309"/>
      <c r="D40" s="309"/>
      <c r="E40" s="309"/>
      <c r="F40" s="309"/>
    </row>
    <row r="41" spans="1:6" ht="12.75">
      <c r="A41" s="309"/>
      <c r="B41" s="309"/>
      <c r="C41" s="309"/>
      <c r="D41" s="309"/>
      <c r="E41" s="309"/>
      <c r="F41" s="309"/>
    </row>
    <row r="42" spans="1:6" ht="12.75">
      <c r="A42" s="309"/>
      <c r="B42" s="309"/>
      <c r="C42" s="309"/>
      <c r="D42" s="309"/>
      <c r="E42" s="309"/>
      <c r="F42" s="309"/>
    </row>
    <row r="43" spans="1:6" ht="12.75">
      <c r="A43" s="309"/>
      <c r="B43" s="309"/>
      <c r="C43" s="309"/>
      <c r="D43" s="309"/>
      <c r="E43" s="309"/>
      <c r="F43" s="309"/>
    </row>
    <row r="44" spans="1:6" ht="12.75">
      <c r="A44" s="309"/>
      <c r="B44" s="309"/>
      <c r="C44" s="309"/>
      <c r="D44" s="309"/>
      <c r="E44" s="309"/>
      <c r="F44" s="309"/>
    </row>
    <row r="45" spans="1:6" ht="12.75">
      <c r="A45" s="309"/>
      <c r="B45" s="309"/>
      <c r="C45" s="309"/>
      <c r="D45" s="309"/>
      <c r="E45" s="309"/>
      <c r="F45" s="309"/>
    </row>
    <row r="46" spans="1:6" ht="12.75">
      <c r="A46" s="309"/>
      <c r="B46" s="309"/>
      <c r="C46" s="309"/>
      <c r="D46" s="309"/>
      <c r="E46" s="309"/>
      <c r="F46" s="309"/>
    </row>
    <row r="47" spans="1:6" ht="12.75">
      <c r="A47" s="309"/>
      <c r="B47" s="309"/>
      <c r="C47" s="309"/>
      <c r="D47" s="309"/>
      <c r="E47" s="309"/>
      <c r="F47" s="309"/>
    </row>
    <row r="48" spans="1:6" ht="12.75">
      <c r="A48" s="309"/>
      <c r="B48" s="309"/>
      <c r="C48" s="309"/>
      <c r="D48" s="309"/>
      <c r="E48" s="309"/>
      <c r="F48" s="309"/>
    </row>
    <row r="49" spans="1:6" ht="12.75">
      <c r="A49" s="309"/>
      <c r="B49" s="309"/>
      <c r="C49" s="309"/>
      <c r="D49" s="309"/>
      <c r="E49" s="309"/>
      <c r="F49" s="309"/>
    </row>
    <row r="50" spans="1:6" ht="12.75">
      <c r="A50" s="309"/>
      <c r="B50" s="309"/>
      <c r="C50" s="309"/>
      <c r="D50" s="309"/>
      <c r="E50" s="309"/>
      <c r="F50" s="309"/>
    </row>
    <row r="51" spans="1:6" ht="12.75">
      <c r="A51" s="309"/>
      <c r="B51" s="309"/>
      <c r="C51" s="309"/>
      <c r="D51" s="309"/>
      <c r="E51" s="309"/>
      <c r="F51" s="309"/>
    </row>
    <row r="52" spans="1:6" ht="12.75">
      <c r="A52" s="309"/>
      <c r="B52" s="309"/>
      <c r="C52" s="309"/>
      <c r="D52" s="309"/>
      <c r="E52" s="309"/>
      <c r="F52" s="309"/>
    </row>
    <row r="53" spans="1:6" ht="12.75">
      <c r="A53" s="309"/>
      <c r="B53" s="309"/>
      <c r="C53" s="309"/>
      <c r="D53" s="309"/>
      <c r="E53" s="309"/>
      <c r="F53" s="309"/>
    </row>
    <row r="54" spans="1:6" ht="12.75">
      <c r="A54" s="309"/>
      <c r="B54" s="309"/>
      <c r="C54" s="309"/>
      <c r="D54" s="309"/>
      <c r="E54" s="309"/>
      <c r="F54" s="309"/>
    </row>
    <row r="55" spans="1:6" ht="12.75">
      <c r="A55" s="309"/>
      <c r="B55" s="309"/>
      <c r="C55" s="309"/>
      <c r="D55" s="309"/>
      <c r="E55" s="309"/>
      <c r="F55" s="309"/>
    </row>
    <row r="56" spans="1:6" ht="12.75">
      <c r="A56" s="309"/>
      <c r="B56" s="309"/>
      <c r="C56" s="309"/>
      <c r="D56" s="309"/>
      <c r="E56" s="309"/>
      <c r="F56" s="309"/>
    </row>
    <row r="57" spans="1:6" ht="12.75">
      <c r="A57" s="309"/>
      <c r="B57" s="309"/>
      <c r="C57" s="309"/>
      <c r="D57" s="309"/>
      <c r="E57" s="309"/>
      <c r="F57" s="309"/>
    </row>
    <row r="58" spans="1:6" ht="12.75">
      <c r="A58" s="309"/>
      <c r="B58" s="309"/>
      <c r="C58" s="309"/>
      <c r="D58" s="309"/>
      <c r="E58" s="309"/>
      <c r="F58" s="309"/>
    </row>
    <row r="59" spans="1:6" ht="12.75">
      <c r="A59" s="309"/>
      <c r="B59" s="309"/>
      <c r="C59" s="309"/>
      <c r="D59" s="309"/>
      <c r="E59" s="309"/>
      <c r="F59" s="309"/>
    </row>
    <row r="60" spans="1:6" ht="12.75">
      <c r="A60" s="309"/>
      <c r="B60" s="309"/>
      <c r="C60" s="309"/>
      <c r="D60" s="309"/>
      <c r="E60" s="309"/>
      <c r="F60" s="309"/>
    </row>
    <row r="61" spans="1:6" ht="12.75">
      <c r="A61" s="309"/>
      <c r="B61" s="309"/>
      <c r="C61" s="309"/>
      <c r="D61" s="309"/>
      <c r="E61" s="309"/>
      <c r="F61" s="309"/>
    </row>
    <row r="62" spans="1:6" ht="12.75">
      <c r="A62" s="309"/>
      <c r="B62" s="309"/>
      <c r="C62" s="309"/>
      <c r="D62" s="309"/>
      <c r="E62" s="309"/>
      <c r="F62" s="309"/>
    </row>
    <row r="63" spans="1:6" ht="12.75">
      <c r="A63" s="309"/>
      <c r="B63" s="309"/>
      <c r="C63" s="309"/>
      <c r="D63" s="309"/>
      <c r="E63" s="309"/>
      <c r="F63" s="309"/>
    </row>
    <row r="64" spans="1:6" ht="12.75">
      <c r="A64" s="309"/>
      <c r="B64" s="309"/>
      <c r="C64" s="309"/>
      <c r="D64" s="309"/>
      <c r="E64" s="309"/>
      <c r="F64" s="309"/>
    </row>
    <row r="65" spans="1:6" ht="12.75">
      <c r="A65" s="309"/>
      <c r="B65" s="309"/>
      <c r="C65" s="309"/>
      <c r="D65" s="309"/>
      <c r="E65" s="309"/>
      <c r="F65" s="309"/>
    </row>
    <row r="66" spans="1:6" ht="12.75">
      <c r="A66" s="309"/>
      <c r="B66" s="309"/>
      <c r="C66" s="309"/>
      <c r="D66" s="309"/>
      <c r="E66" s="309"/>
      <c r="F66" s="309"/>
    </row>
    <row r="67" spans="1:6" ht="12.75">
      <c r="A67" s="309"/>
      <c r="B67" s="309"/>
      <c r="C67" s="309"/>
      <c r="D67" s="309"/>
      <c r="E67" s="309"/>
      <c r="F67" s="309"/>
    </row>
    <row r="68" spans="1:6" ht="12.75">
      <c r="A68" s="309"/>
      <c r="B68" s="309"/>
      <c r="C68" s="309"/>
      <c r="D68" s="309"/>
      <c r="E68" s="309"/>
      <c r="F68" s="309"/>
    </row>
    <row r="69" spans="1:6" ht="12.75">
      <c r="A69" s="309"/>
      <c r="B69" s="309"/>
      <c r="C69" s="309"/>
      <c r="D69" s="309"/>
      <c r="E69" s="309"/>
      <c r="F69" s="309"/>
    </row>
    <row r="70" spans="1:6" ht="12.75">
      <c r="A70" s="309"/>
      <c r="B70" s="309"/>
      <c r="C70" s="309"/>
      <c r="D70" s="309"/>
      <c r="E70" s="309"/>
      <c r="F70" s="309"/>
    </row>
    <row r="71" spans="1:6" ht="12.75">
      <c r="A71" s="309"/>
      <c r="B71" s="309"/>
      <c r="C71" s="309"/>
      <c r="D71" s="309"/>
      <c r="E71" s="309"/>
      <c r="F71" s="309"/>
    </row>
    <row r="72" spans="1:6" ht="12.75">
      <c r="A72" s="309"/>
      <c r="B72" s="309"/>
      <c r="C72" s="309"/>
      <c r="D72" s="309"/>
      <c r="E72" s="309"/>
      <c r="F72" s="309"/>
    </row>
    <row r="73" spans="1:6" ht="12.75">
      <c r="A73" s="309"/>
      <c r="B73" s="309"/>
      <c r="C73" s="309"/>
      <c r="D73" s="309"/>
      <c r="E73" s="309"/>
      <c r="F73" s="309"/>
    </row>
    <row r="74" spans="1:6" ht="12.75">
      <c r="A74" s="309"/>
      <c r="B74" s="309"/>
      <c r="C74" s="309"/>
      <c r="D74" s="309"/>
      <c r="E74" s="309"/>
      <c r="F74" s="309"/>
    </row>
    <row r="75" spans="1:6" ht="12.75">
      <c r="A75" s="309"/>
      <c r="B75" s="309"/>
      <c r="C75" s="309"/>
      <c r="D75" s="309"/>
      <c r="E75" s="309"/>
      <c r="F75" s="309"/>
    </row>
    <row r="76" spans="1:6" ht="12.75">
      <c r="A76" s="309"/>
      <c r="B76" s="309"/>
      <c r="C76" s="309"/>
      <c r="D76" s="309"/>
      <c r="E76" s="309"/>
      <c r="F76" s="309"/>
    </row>
    <row r="77" spans="1:6" ht="12.75">
      <c r="A77" s="309"/>
      <c r="B77" s="309"/>
      <c r="C77" s="309"/>
      <c r="D77" s="309"/>
      <c r="E77" s="309"/>
      <c r="F77" s="309"/>
    </row>
    <row r="78" spans="1:6" ht="12.75">
      <c r="A78" s="309"/>
      <c r="B78" s="309"/>
      <c r="C78" s="309"/>
      <c r="D78" s="309"/>
      <c r="E78" s="309"/>
      <c r="F78" s="309"/>
    </row>
    <row r="79" spans="1:6" ht="12.75">
      <c r="A79" s="309"/>
      <c r="B79" s="309"/>
      <c r="C79" s="309"/>
      <c r="D79" s="309"/>
      <c r="E79" s="309"/>
      <c r="F79" s="309"/>
    </row>
    <row r="80" spans="1:6" ht="12.75">
      <c r="A80" s="309"/>
      <c r="B80" s="309"/>
      <c r="C80" s="309"/>
      <c r="D80" s="309"/>
      <c r="E80" s="309"/>
      <c r="F80" s="309"/>
    </row>
    <row r="81" spans="1:6" ht="12.75">
      <c r="A81" s="309"/>
      <c r="B81" s="309"/>
      <c r="C81" s="309"/>
      <c r="D81" s="309"/>
      <c r="E81" s="309"/>
      <c r="F81" s="309"/>
    </row>
    <row r="82" spans="1:6" ht="12.75">
      <c r="A82" s="309"/>
      <c r="B82" s="309"/>
      <c r="C82" s="309"/>
      <c r="D82" s="309"/>
      <c r="E82" s="309"/>
      <c r="F82" s="309"/>
    </row>
    <row r="83" spans="1:6" ht="12.75">
      <c r="A83" s="309"/>
      <c r="B83" s="309"/>
      <c r="C83" s="309"/>
      <c r="D83" s="309"/>
      <c r="E83" s="309"/>
      <c r="F83" s="309"/>
    </row>
    <row r="84" spans="1:6" ht="12.75">
      <c r="A84" s="309"/>
      <c r="B84" s="309"/>
      <c r="C84" s="309"/>
      <c r="D84" s="309"/>
      <c r="E84" s="309"/>
      <c r="F84" s="309"/>
    </row>
    <row r="85" spans="1:6" ht="12.75">
      <c r="A85" s="309"/>
      <c r="B85" s="309"/>
      <c r="C85" s="309"/>
      <c r="D85" s="309"/>
      <c r="E85" s="309"/>
      <c r="F85" s="309"/>
    </row>
    <row r="86" spans="1:6" ht="12.75">
      <c r="A86" s="309"/>
      <c r="B86" s="309"/>
      <c r="C86" s="309"/>
      <c r="D86" s="309"/>
      <c r="E86" s="309"/>
      <c r="F86" s="309"/>
    </row>
    <row r="87" spans="1:6" ht="12.75">
      <c r="A87" s="309"/>
      <c r="B87" s="309"/>
      <c r="C87" s="309"/>
      <c r="D87" s="309"/>
      <c r="E87" s="309"/>
      <c r="F87" s="309"/>
    </row>
    <row r="88" spans="1:6" ht="12.75">
      <c r="A88" s="309"/>
      <c r="B88" s="309"/>
      <c r="C88" s="309"/>
      <c r="D88" s="309"/>
      <c r="E88" s="309"/>
      <c r="F88" s="309"/>
    </row>
    <row r="89" spans="1:6" ht="12.75">
      <c r="A89" s="309"/>
      <c r="B89" s="309"/>
      <c r="C89" s="309"/>
      <c r="D89" s="309"/>
      <c r="E89" s="309"/>
      <c r="F89" s="309"/>
    </row>
    <row r="90" spans="1:6" ht="12.75">
      <c r="A90" s="309"/>
      <c r="B90" s="309"/>
      <c r="C90" s="309"/>
      <c r="D90" s="309"/>
      <c r="E90" s="309"/>
      <c r="F90" s="309"/>
    </row>
    <row r="91" spans="1:6" ht="12.75">
      <c r="A91" s="309"/>
      <c r="B91" s="309"/>
      <c r="C91" s="309"/>
      <c r="D91" s="309"/>
      <c r="E91" s="309"/>
      <c r="F91" s="309"/>
    </row>
    <row r="92" spans="1:6" ht="12.75">
      <c r="A92" s="309"/>
      <c r="B92" s="309"/>
      <c r="C92" s="309"/>
      <c r="D92" s="309"/>
      <c r="E92" s="309"/>
      <c r="F92" s="309"/>
    </row>
    <row r="93" spans="1:6" ht="12.75">
      <c r="A93" s="309"/>
      <c r="B93" s="309"/>
      <c r="C93" s="309"/>
      <c r="D93" s="309"/>
      <c r="E93" s="309"/>
      <c r="F93" s="309"/>
    </row>
    <row r="94" spans="1:6" ht="12.75">
      <c r="A94" s="309"/>
      <c r="B94" s="309"/>
      <c r="C94" s="309"/>
      <c r="D94" s="309"/>
      <c r="E94" s="309"/>
      <c r="F94" s="309"/>
    </row>
    <row r="95" spans="1:6" ht="12.75">
      <c r="A95" s="309"/>
      <c r="B95" s="309"/>
      <c r="C95" s="309"/>
      <c r="D95" s="309"/>
      <c r="E95" s="309"/>
      <c r="F95" s="309"/>
    </row>
    <row r="96" spans="1:6" ht="12.75">
      <c r="A96" s="309"/>
      <c r="B96" s="309"/>
      <c r="C96" s="309"/>
      <c r="D96" s="309"/>
      <c r="E96" s="309"/>
      <c r="F96" s="309"/>
    </row>
    <row r="97" spans="1:6" ht="12.75">
      <c r="A97" s="309"/>
      <c r="B97" s="309"/>
      <c r="C97" s="309"/>
      <c r="D97" s="309"/>
      <c r="E97" s="309"/>
      <c r="F97" s="309"/>
    </row>
    <row r="98" spans="1:6" ht="12.75">
      <c r="A98" s="309"/>
      <c r="B98" s="309"/>
      <c r="C98" s="309"/>
      <c r="D98" s="309"/>
      <c r="E98" s="309"/>
      <c r="F98" s="309"/>
    </row>
    <row r="99" spans="1:6" ht="12.75">
      <c r="A99" s="309"/>
      <c r="B99" s="309"/>
      <c r="C99" s="309"/>
      <c r="D99" s="309"/>
      <c r="E99" s="309"/>
      <c r="F99" s="309"/>
    </row>
    <row r="100" spans="1:6" ht="12.75">
      <c r="A100" s="309"/>
      <c r="B100" s="309"/>
      <c r="C100" s="309"/>
      <c r="D100" s="309"/>
      <c r="E100" s="309"/>
      <c r="F100" s="309"/>
    </row>
    <row r="101" spans="1:6" ht="12.75">
      <c r="A101" s="309"/>
      <c r="B101" s="309"/>
      <c r="C101" s="309"/>
      <c r="D101" s="309"/>
      <c r="E101" s="309"/>
      <c r="F101" s="309"/>
    </row>
    <row r="102" spans="1:6" ht="12.75">
      <c r="A102" s="309"/>
      <c r="B102" s="309"/>
      <c r="C102" s="309"/>
      <c r="D102" s="309"/>
      <c r="E102" s="309"/>
      <c r="F102" s="309"/>
    </row>
    <row r="103" spans="1:6" ht="12.75">
      <c r="A103" s="309"/>
      <c r="B103" s="309"/>
      <c r="C103" s="309"/>
      <c r="D103" s="309"/>
      <c r="E103" s="309"/>
      <c r="F103" s="309"/>
    </row>
    <row r="104" spans="1:6" ht="12.75">
      <c r="A104" s="309"/>
      <c r="B104" s="309"/>
      <c r="C104" s="309"/>
      <c r="D104" s="309"/>
      <c r="E104" s="309"/>
      <c r="F104" s="309"/>
    </row>
    <row r="105" spans="1:6" ht="12.75">
      <c r="A105" s="309"/>
      <c r="B105" s="309"/>
      <c r="C105" s="309"/>
      <c r="D105" s="309"/>
      <c r="E105" s="309"/>
      <c r="F105" s="309"/>
    </row>
    <row r="106" spans="1:6" ht="12.75">
      <c r="A106" s="309"/>
      <c r="B106" s="309"/>
      <c r="C106" s="309"/>
      <c r="D106" s="309"/>
      <c r="E106" s="309"/>
      <c r="F106" s="309"/>
    </row>
    <row r="107" spans="1:6" ht="12.75">
      <c r="A107" s="309"/>
      <c r="B107" s="309"/>
      <c r="C107" s="309"/>
      <c r="D107" s="309"/>
      <c r="E107" s="309"/>
      <c r="F107" s="309"/>
    </row>
    <row r="108" spans="1:6" ht="12.75">
      <c r="A108" s="309"/>
      <c r="B108" s="309"/>
      <c r="C108" s="309"/>
      <c r="D108" s="309"/>
      <c r="E108" s="309"/>
      <c r="F108" s="309"/>
    </row>
    <row r="109" spans="1:6" ht="12.75">
      <c r="A109" s="309"/>
      <c r="B109" s="309"/>
      <c r="C109" s="309"/>
      <c r="D109" s="309"/>
      <c r="E109" s="309"/>
      <c r="F109" s="309"/>
    </row>
    <row r="110" spans="1:6" ht="12.75">
      <c r="A110" s="309"/>
      <c r="B110" s="309"/>
      <c r="C110" s="309"/>
      <c r="D110" s="309"/>
      <c r="E110" s="309"/>
      <c r="F110" s="309"/>
    </row>
    <row r="111" spans="1:6" ht="12.75">
      <c r="A111" s="309"/>
      <c r="B111" s="309"/>
      <c r="C111" s="309"/>
      <c r="D111" s="309"/>
      <c r="E111" s="309"/>
      <c r="F111" s="309"/>
    </row>
    <row r="112" spans="1:6" ht="12.75">
      <c r="A112" s="309"/>
      <c r="B112" s="309"/>
      <c r="C112" s="309"/>
      <c r="D112" s="309"/>
      <c r="E112" s="309"/>
      <c r="F112" s="309"/>
    </row>
    <row r="113" spans="1:6" ht="12.75">
      <c r="A113" s="309"/>
      <c r="B113" s="309"/>
      <c r="C113" s="309"/>
      <c r="D113" s="309"/>
      <c r="E113" s="309"/>
      <c r="F113" s="309"/>
    </row>
    <row r="114" spans="1:6" ht="12.75">
      <c r="A114" s="309"/>
      <c r="B114" s="309"/>
      <c r="C114" s="309"/>
      <c r="D114" s="309"/>
      <c r="E114" s="309"/>
      <c r="F114" s="309"/>
    </row>
    <row r="115" spans="1:6" ht="12.75">
      <c r="A115" s="309"/>
      <c r="B115" s="309"/>
      <c r="C115" s="309"/>
      <c r="D115" s="309"/>
      <c r="E115" s="309"/>
      <c r="F115" s="309"/>
    </row>
    <row r="116" spans="1:6" ht="12.75">
      <c r="A116" s="309"/>
      <c r="B116" s="309"/>
      <c r="C116" s="309"/>
      <c r="D116" s="309"/>
      <c r="E116" s="309"/>
      <c r="F116" s="309"/>
    </row>
    <row r="117" spans="1:6" ht="12.75">
      <c r="A117" s="309"/>
      <c r="B117" s="309"/>
      <c r="C117" s="309"/>
      <c r="D117" s="309"/>
      <c r="E117" s="309"/>
      <c r="F117" s="309"/>
    </row>
    <row r="118" spans="1:6" ht="12.75">
      <c r="A118" s="309"/>
      <c r="B118" s="309"/>
      <c r="C118" s="309"/>
      <c r="D118" s="309"/>
      <c r="E118" s="309"/>
      <c r="F118" s="309"/>
    </row>
    <row r="119" spans="1:6" ht="12.75">
      <c r="A119" s="309"/>
      <c r="B119" s="309"/>
      <c r="C119" s="309"/>
      <c r="D119" s="309"/>
      <c r="E119" s="309"/>
      <c r="F119" s="309"/>
    </row>
    <row r="120" spans="1:6" ht="12.75">
      <c r="A120" s="309"/>
      <c r="B120" s="309"/>
      <c r="C120" s="309"/>
      <c r="D120" s="309"/>
      <c r="E120" s="309"/>
      <c r="F120" s="309"/>
    </row>
    <row r="121" spans="1:6" ht="12.75">
      <c r="A121" s="309"/>
      <c r="B121" s="309"/>
      <c r="C121" s="309"/>
      <c r="D121" s="309"/>
      <c r="E121" s="309"/>
      <c r="F121" s="309"/>
    </row>
    <row r="122" spans="1:6" ht="12.75">
      <c r="A122" s="309"/>
      <c r="B122" s="309"/>
      <c r="C122" s="309"/>
      <c r="D122" s="309"/>
      <c r="E122" s="309"/>
      <c r="F122" s="309"/>
    </row>
    <row r="123" spans="1:6" ht="12.75">
      <c r="A123" s="309"/>
      <c r="B123" s="309"/>
      <c r="C123" s="309"/>
      <c r="D123" s="309"/>
      <c r="E123" s="309"/>
      <c r="F123" s="309"/>
    </row>
    <row r="124" spans="1:6" ht="12.75">
      <c r="A124" s="309"/>
      <c r="B124" s="309"/>
      <c r="C124" s="309"/>
      <c r="D124" s="309"/>
      <c r="E124" s="309"/>
      <c r="F124" s="309"/>
    </row>
    <row r="125" spans="1:6" ht="12.75">
      <c r="A125" s="309"/>
      <c r="B125" s="309"/>
      <c r="C125" s="309"/>
      <c r="D125" s="309"/>
      <c r="E125" s="309"/>
      <c r="F125" s="309"/>
    </row>
  </sheetData>
  <mergeCells count="13">
    <mergeCell ref="A37:E37"/>
    <mergeCell ref="A25:A26"/>
    <mergeCell ref="B25:B26"/>
    <mergeCell ref="C25:C26"/>
    <mergeCell ref="D25:D26"/>
    <mergeCell ref="A4:E4"/>
    <mergeCell ref="A1:E1"/>
    <mergeCell ref="A2:E2"/>
    <mergeCell ref="E25:E26"/>
    <mergeCell ref="A18:F18"/>
    <mergeCell ref="C22:C23"/>
    <mergeCell ref="E22:E23"/>
    <mergeCell ref="F25:F26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41"/>
  <sheetViews>
    <sheetView workbookViewId="0" topLeftCell="A19">
      <selection activeCell="B11" sqref="B11"/>
    </sheetView>
  </sheetViews>
  <sheetFormatPr defaultColWidth="11.421875" defaultRowHeight="12.75"/>
  <cols>
    <col min="1" max="1" width="27.57421875" style="58" customWidth="1"/>
    <col min="2" max="2" width="12.28125" style="58" customWidth="1"/>
    <col min="3" max="3" width="11.8515625" style="58" customWidth="1"/>
    <col min="4" max="5" width="11.421875" style="58" customWidth="1"/>
    <col min="6" max="6" width="11.57421875" style="58" customWidth="1"/>
    <col min="7" max="7" width="11.421875" style="58" customWidth="1"/>
    <col min="8" max="8" width="11.28125" style="58" customWidth="1"/>
    <col min="9" max="9" width="12.00390625" style="58" customWidth="1"/>
    <col min="10" max="12" width="10.28125" style="58" customWidth="1"/>
    <col min="13" max="16384" width="11.421875" style="58" customWidth="1"/>
  </cols>
  <sheetData>
    <row r="1" spans="1:11" ht="12.75">
      <c r="A1" s="506" t="s">
        <v>234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</row>
    <row r="2" spans="1:11" ht="12.75">
      <c r="A2" s="507" t="s">
        <v>235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</row>
    <row r="3" spans="1:11" ht="15.75" thickBot="1">
      <c r="A3" s="120"/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2" s="328" customFormat="1" ht="13.5" customHeight="1" thickBot="1">
      <c r="A4" s="575" t="s">
        <v>195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7"/>
    </row>
    <row r="5" spans="1:12" s="328" customFormat="1" ht="13.5" customHeight="1" thickBot="1">
      <c r="A5" s="329" t="s">
        <v>196</v>
      </c>
      <c r="B5" s="330" t="s">
        <v>197</v>
      </c>
      <c r="C5" s="330"/>
      <c r="D5" s="331" t="s">
        <v>198</v>
      </c>
      <c r="E5" s="324"/>
      <c r="F5" s="324"/>
      <c r="G5" s="324"/>
      <c r="H5" s="324"/>
      <c r="I5" s="324"/>
      <c r="J5" s="324"/>
      <c r="K5" s="324"/>
      <c r="L5" s="324"/>
    </row>
    <row r="6" spans="1:12" s="328" customFormat="1" ht="13.5" thickBot="1">
      <c r="A6" s="573" t="s">
        <v>199</v>
      </c>
      <c r="B6" s="574"/>
      <c r="C6" s="574"/>
      <c r="D6" s="332">
        <v>0.02</v>
      </c>
      <c r="E6" s="333"/>
      <c r="F6" s="334"/>
      <c r="G6" s="324"/>
      <c r="H6" s="324"/>
      <c r="I6" s="384"/>
      <c r="J6" s="324"/>
      <c r="K6" s="324"/>
      <c r="L6" s="324"/>
    </row>
    <row r="7" spans="1:12" s="328" customFormat="1" ht="12" thickBot="1">
      <c r="A7" s="573" t="s">
        <v>200</v>
      </c>
      <c r="B7" s="574"/>
      <c r="C7" s="574"/>
      <c r="D7" s="335">
        <v>0.04</v>
      </c>
      <c r="E7" s="334"/>
      <c r="F7" s="334"/>
      <c r="G7" s="336"/>
      <c r="H7" s="324"/>
      <c r="I7" s="324"/>
      <c r="J7" s="324"/>
      <c r="K7" s="324"/>
      <c r="L7" s="324"/>
    </row>
    <row r="8" spans="1:12" s="328" customFormat="1" ht="13.5" customHeight="1" thickBot="1">
      <c r="A8" s="324"/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</row>
    <row r="9" spans="1:12" s="328" customFormat="1" ht="12.75" customHeight="1" thickBot="1">
      <c r="A9" s="337"/>
      <c r="B9" s="575" t="s">
        <v>201</v>
      </c>
      <c r="C9" s="576"/>
      <c r="D9" s="576"/>
      <c r="E9" s="576"/>
      <c r="F9" s="576"/>
      <c r="G9" s="576"/>
      <c r="H9" s="576"/>
      <c r="I9" s="576"/>
      <c r="J9" s="576"/>
      <c r="K9" s="576"/>
      <c r="L9" s="577"/>
    </row>
    <row r="10" spans="1:12" s="328" customFormat="1" ht="11.25">
      <c r="A10" s="338"/>
      <c r="B10" s="339">
        <v>0</v>
      </c>
      <c r="C10" s="340">
        <v>1</v>
      </c>
      <c r="D10" s="340">
        <v>2</v>
      </c>
      <c r="E10" s="340">
        <v>3</v>
      </c>
      <c r="F10" s="340">
        <v>4</v>
      </c>
      <c r="G10" s="340">
        <v>5</v>
      </c>
      <c r="H10" s="340">
        <v>6</v>
      </c>
      <c r="I10" s="340">
        <v>7</v>
      </c>
      <c r="J10" s="340">
        <v>8</v>
      </c>
      <c r="K10" s="340">
        <v>9</v>
      </c>
      <c r="L10" s="341">
        <v>10</v>
      </c>
    </row>
    <row r="11" spans="1:12" s="328" customFormat="1" ht="11.25">
      <c r="A11" s="338" t="s">
        <v>202</v>
      </c>
      <c r="B11" s="342">
        <f>-INVER!G54</f>
        <v>-203662.13</v>
      </c>
      <c r="C11" s="343"/>
      <c r="D11" s="343"/>
      <c r="E11" s="343"/>
      <c r="F11" s="343"/>
      <c r="G11" s="343"/>
      <c r="H11" s="343"/>
      <c r="I11" s="343"/>
      <c r="J11" s="343"/>
      <c r="K11" s="343"/>
      <c r="L11" s="344"/>
    </row>
    <row r="12" spans="1:12" s="328" customFormat="1" ht="11.25">
      <c r="A12" s="338" t="s">
        <v>203</v>
      </c>
      <c r="B12" s="342">
        <f>-'ACT. INTANG'!E14</f>
        <v>-7640</v>
      </c>
      <c r="C12" s="343"/>
      <c r="D12" s="343"/>
      <c r="E12" s="343"/>
      <c r="F12" s="343"/>
      <c r="G12" s="343"/>
      <c r="H12" s="343"/>
      <c r="I12" s="343"/>
      <c r="J12" s="343"/>
      <c r="K12" s="343"/>
      <c r="L12" s="344"/>
    </row>
    <row r="13" spans="1:12" s="328" customFormat="1" ht="11.25">
      <c r="A13" s="345" t="s">
        <v>204</v>
      </c>
      <c r="B13" s="342">
        <f>-'K DE TRABAJO'!F36</f>
        <v>-64243.25</v>
      </c>
      <c r="C13" s="343"/>
      <c r="D13" s="343"/>
      <c r="E13" s="343"/>
      <c r="F13" s="343"/>
      <c r="G13" s="343"/>
      <c r="H13" s="343"/>
      <c r="I13" s="343"/>
      <c r="J13" s="343"/>
      <c r="K13" s="343"/>
      <c r="L13" s="344"/>
    </row>
    <row r="14" spans="1:12" s="328" customFormat="1" ht="11.25">
      <c r="A14" s="346" t="s">
        <v>205</v>
      </c>
      <c r="B14" s="347"/>
      <c r="C14" s="343"/>
      <c r="D14" s="343"/>
      <c r="E14" s="343"/>
      <c r="F14" s="343"/>
      <c r="G14" s="343"/>
      <c r="H14" s="343"/>
      <c r="I14" s="343"/>
      <c r="J14" s="343"/>
      <c r="K14" s="343"/>
      <c r="L14" s="344"/>
    </row>
    <row r="15" spans="1:12" s="328" customFormat="1" ht="22.5">
      <c r="A15" s="385" t="s">
        <v>236</v>
      </c>
      <c r="B15" s="347"/>
      <c r="C15" s="348">
        <f>+'CALCULO DE INGRESOS'!F27</f>
        <v>510720</v>
      </c>
      <c r="D15" s="348">
        <f>+'CALCULO DE INGRESOS'!F28</f>
        <v>520934.4</v>
      </c>
      <c r="E15" s="348">
        <f>+'CALCULO DE INGRESOS'!F29</f>
        <v>1062706.176</v>
      </c>
      <c r="F15" s="348">
        <f>+'CALCULO DE INGRESOS'!F30</f>
        <v>1083960.2995200001</v>
      </c>
      <c r="G15" s="348">
        <f>+'CALCULO DE INGRESOS'!F31</f>
        <v>1105639.5055104</v>
      </c>
      <c r="H15" s="348">
        <f>+'CALCULO DE INGRESOS'!F32</f>
        <v>1691628.4434309122</v>
      </c>
      <c r="I15" s="348">
        <f>+'CALCULO DE INGRESOS'!F33</f>
        <v>1725461.0122995304</v>
      </c>
      <c r="J15" s="348">
        <f>+'CALCULO DE INGRESOS'!F34</f>
        <v>1759970.2325455209</v>
      </c>
      <c r="K15" s="348">
        <f>+'CALCULO DE INGRESOS'!F35</f>
        <v>2393559.5162619087</v>
      </c>
      <c r="L15" s="349">
        <f>+'CALCULO DE INGRESOS'!F36</f>
        <v>2441430.7065871465</v>
      </c>
    </row>
    <row r="16" spans="1:230" s="354" customFormat="1" ht="11.25">
      <c r="A16" s="350" t="s">
        <v>206</v>
      </c>
      <c r="B16" s="351"/>
      <c r="C16" s="352">
        <f>SUM(C15)</f>
        <v>510720</v>
      </c>
      <c r="D16" s="352">
        <f aca="true" t="shared" si="0" ref="D16:L16">SUM(D15)</f>
        <v>520934.4</v>
      </c>
      <c r="E16" s="352">
        <f t="shared" si="0"/>
        <v>1062706.176</v>
      </c>
      <c r="F16" s="352">
        <f t="shared" si="0"/>
        <v>1083960.2995200001</v>
      </c>
      <c r="G16" s="352">
        <f t="shared" si="0"/>
        <v>1105639.5055104</v>
      </c>
      <c r="H16" s="352">
        <f t="shared" si="0"/>
        <v>1691628.4434309122</v>
      </c>
      <c r="I16" s="352">
        <f t="shared" si="0"/>
        <v>1725461.0122995304</v>
      </c>
      <c r="J16" s="352">
        <f t="shared" si="0"/>
        <v>1759970.2325455209</v>
      </c>
      <c r="K16" s="352">
        <f t="shared" si="0"/>
        <v>2393559.5162619087</v>
      </c>
      <c r="L16" s="353">
        <f t="shared" si="0"/>
        <v>2441430.7065871465</v>
      </c>
      <c r="M16" s="355"/>
      <c r="HV16" s="355">
        <f>SUM(C16:HU16)</f>
        <v>14296010.29215542</v>
      </c>
    </row>
    <row r="17" spans="1:12" s="328" customFormat="1" ht="11.25">
      <c r="A17" s="346" t="s">
        <v>207</v>
      </c>
      <c r="B17" s="347"/>
      <c r="C17" s="343"/>
      <c r="D17" s="343"/>
      <c r="E17" s="343"/>
      <c r="F17" s="343"/>
      <c r="G17" s="343"/>
      <c r="H17" s="343"/>
      <c r="I17" s="343"/>
      <c r="J17" s="343"/>
      <c r="K17" s="343"/>
      <c r="L17" s="344"/>
    </row>
    <row r="18" spans="1:12" s="328" customFormat="1" ht="11.25">
      <c r="A18" s="338" t="s">
        <v>208</v>
      </c>
      <c r="B18" s="347"/>
      <c r="C18" s="343"/>
      <c r="D18" s="343"/>
      <c r="E18" s="343"/>
      <c r="F18" s="343"/>
      <c r="G18" s="343"/>
      <c r="H18" s="343"/>
      <c r="I18" s="343"/>
      <c r="J18" s="343"/>
      <c r="K18" s="343"/>
      <c r="L18" s="344"/>
    </row>
    <row r="19" spans="1:12" s="328" customFormat="1" ht="11.25">
      <c r="A19" s="356" t="s">
        <v>209</v>
      </c>
      <c r="B19" s="347"/>
      <c r="C19" s="343">
        <f>+'K DE TRABAJO'!G14</f>
        <v>732384</v>
      </c>
      <c r="D19" s="343">
        <f aca="true" t="shared" si="1" ref="D19:L24">SUM(C19*$D$7)+C19</f>
        <v>761679.36</v>
      </c>
      <c r="E19" s="343">
        <f t="shared" si="1"/>
        <v>792146.5344</v>
      </c>
      <c r="F19" s="343">
        <f t="shared" si="1"/>
        <v>823832.395776</v>
      </c>
      <c r="G19" s="343">
        <f t="shared" si="1"/>
        <v>856785.69160704</v>
      </c>
      <c r="H19" s="343">
        <f t="shared" si="1"/>
        <v>891057.1192713216</v>
      </c>
      <c r="I19" s="343">
        <f t="shared" si="1"/>
        <v>926699.4040421745</v>
      </c>
      <c r="J19" s="343">
        <f t="shared" si="1"/>
        <v>963767.3802038614</v>
      </c>
      <c r="K19" s="343">
        <f t="shared" si="1"/>
        <v>1002318.0754120159</v>
      </c>
      <c r="L19" s="344">
        <f t="shared" si="1"/>
        <v>1042410.7984284966</v>
      </c>
    </row>
    <row r="20" spans="1:12" s="328" customFormat="1" ht="11.25">
      <c r="A20" s="356" t="s">
        <v>210</v>
      </c>
      <c r="B20" s="347"/>
      <c r="C20" s="343">
        <f>+'K DE TRABAJO'!G20</f>
        <v>8700</v>
      </c>
      <c r="D20" s="343">
        <f t="shared" si="1"/>
        <v>9048</v>
      </c>
      <c r="E20" s="343">
        <f t="shared" si="1"/>
        <v>9409.92</v>
      </c>
      <c r="F20" s="343">
        <f t="shared" si="1"/>
        <v>9786.3168</v>
      </c>
      <c r="G20" s="343">
        <f t="shared" si="1"/>
        <v>10177.769472</v>
      </c>
      <c r="H20" s="343">
        <f t="shared" si="1"/>
        <v>10584.88025088</v>
      </c>
      <c r="I20" s="343">
        <f t="shared" si="1"/>
        <v>11008.2754609152</v>
      </c>
      <c r="J20" s="343">
        <f t="shared" si="1"/>
        <v>11448.606479351807</v>
      </c>
      <c r="K20" s="343">
        <f t="shared" si="1"/>
        <v>11906.550738525879</v>
      </c>
      <c r="L20" s="344">
        <f t="shared" si="1"/>
        <v>12382.812768066913</v>
      </c>
    </row>
    <row r="21" spans="1:12" s="309" customFormat="1" ht="11.25">
      <c r="A21" s="392" t="s">
        <v>211</v>
      </c>
      <c r="B21" s="393"/>
      <c r="C21" s="394">
        <f>+'K DE TRABAJO'!G32</f>
        <v>23844</v>
      </c>
      <c r="D21" s="394">
        <f t="shared" si="1"/>
        <v>24797.76</v>
      </c>
      <c r="E21" s="394">
        <f t="shared" si="1"/>
        <v>25789.6704</v>
      </c>
      <c r="F21" s="394">
        <f t="shared" si="1"/>
        <v>26821.257215999998</v>
      </c>
      <c r="G21" s="394">
        <f t="shared" si="1"/>
        <v>27894.107504639996</v>
      </c>
      <c r="H21" s="394">
        <f t="shared" si="1"/>
        <v>29009.871804825598</v>
      </c>
      <c r="I21" s="394">
        <f t="shared" si="1"/>
        <v>30170.266677018622</v>
      </c>
      <c r="J21" s="394">
        <f t="shared" si="1"/>
        <v>31377.07734409937</v>
      </c>
      <c r="K21" s="394">
        <f t="shared" si="1"/>
        <v>32632.160437863342</v>
      </c>
      <c r="L21" s="395">
        <f t="shared" si="1"/>
        <v>33937.44685537788</v>
      </c>
    </row>
    <row r="22" spans="1:12" s="328" customFormat="1" ht="11.25">
      <c r="A22" s="338" t="s">
        <v>212</v>
      </c>
      <c r="B22" s="347"/>
      <c r="C22" s="343">
        <f>+'K DE TRABAJO'!G27</f>
        <v>4080</v>
      </c>
      <c r="D22" s="343">
        <f t="shared" si="1"/>
        <v>4243.2</v>
      </c>
      <c r="E22" s="343">
        <f t="shared" si="1"/>
        <v>4412.928</v>
      </c>
      <c r="F22" s="343">
        <f t="shared" si="1"/>
        <v>4589.44512</v>
      </c>
      <c r="G22" s="343">
        <f t="shared" si="1"/>
        <v>4773.0229248000005</v>
      </c>
      <c r="H22" s="343">
        <f t="shared" si="1"/>
        <v>4963.943841792001</v>
      </c>
      <c r="I22" s="343">
        <f t="shared" si="1"/>
        <v>5162.501595463681</v>
      </c>
      <c r="J22" s="343">
        <f t="shared" si="1"/>
        <v>5369.0016592822285</v>
      </c>
      <c r="K22" s="343">
        <f t="shared" si="1"/>
        <v>5583.761725653518</v>
      </c>
      <c r="L22" s="344">
        <f t="shared" si="1"/>
        <v>5807.112194679658</v>
      </c>
    </row>
    <row r="23" spans="1:12" s="328" customFormat="1" ht="11.25">
      <c r="A23" s="338" t="s">
        <v>213</v>
      </c>
      <c r="B23" s="347"/>
      <c r="C23" s="357">
        <f>+DEPREC!J46</f>
        <v>19553.170033333332</v>
      </c>
      <c r="D23" s="343">
        <f t="shared" si="1"/>
        <v>20335.296834666664</v>
      </c>
      <c r="E23" s="343">
        <f t="shared" si="1"/>
        <v>21148.70870805333</v>
      </c>
      <c r="F23" s="343">
        <f t="shared" si="1"/>
        <v>21994.657056375465</v>
      </c>
      <c r="G23" s="343">
        <f t="shared" si="1"/>
        <v>22874.443338630485</v>
      </c>
      <c r="H23" s="343">
        <f t="shared" si="1"/>
        <v>23789.421072175704</v>
      </c>
      <c r="I23" s="343">
        <f t="shared" si="1"/>
        <v>24740.997915062733</v>
      </c>
      <c r="J23" s="343">
        <f t="shared" si="1"/>
        <v>25730.63783166524</v>
      </c>
      <c r="K23" s="343">
        <f t="shared" si="1"/>
        <v>26759.86334493185</v>
      </c>
      <c r="L23" s="344">
        <f t="shared" si="1"/>
        <v>27830.257878729124</v>
      </c>
    </row>
    <row r="24" spans="1:12" s="328" customFormat="1" ht="11.25">
      <c r="A24" s="338" t="s">
        <v>214</v>
      </c>
      <c r="B24" s="347"/>
      <c r="C24" s="358">
        <f>+'ACT. INTANG'!F14</f>
        <v>764</v>
      </c>
      <c r="D24" s="343">
        <f t="shared" si="1"/>
        <v>794.56</v>
      </c>
      <c r="E24" s="343">
        <f t="shared" si="1"/>
        <v>826.3424</v>
      </c>
      <c r="F24" s="343">
        <f t="shared" si="1"/>
        <v>859.396096</v>
      </c>
      <c r="G24" s="343">
        <f t="shared" si="1"/>
        <v>893.77193984</v>
      </c>
      <c r="H24" s="343">
        <f t="shared" si="1"/>
        <v>929.5228174335999</v>
      </c>
      <c r="I24" s="343">
        <f t="shared" si="1"/>
        <v>966.7037301309439</v>
      </c>
      <c r="J24" s="343">
        <f t="shared" si="1"/>
        <v>1005.3718793361817</v>
      </c>
      <c r="K24" s="343">
        <f t="shared" si="1"/>
        <v>1045.586754509629</v>
      </c>
      <c r="L24" s="344">
        <f t="shared" si="1"/>
        <v>1087.410224690014</v>
      </c>
    </row>
    <row r="25" spans="1:13" s="354" customFormat="1" ht="11.25">
      <c r="A25" s="350" t="s">
        <v>215</v>
      </c>
      <c r="B25" s="351"/>
      <c r="C25" s="359">
        <f>SUM(C19:C24)</f>
        <v>789325.1700333334</v>
      </c>
      <c r="D25" s="359">
        <f aca="true" t="shared" si="2" ref="D25:L25">SUM(D19:D24)</f>
        <v>820898.1768346666</v>
      </c>
      <c r="E25" s="359">
        <f t="shared" si="2"/>
        <v>853734.1039080533</v>
      </c>
      <c r="F25" s="359">
        <f t="shared" si="2"/>
        <v>887883.4680643755</v>
      </c>
      <c r="G25" s="359">
        <f t="shared" si="2"/>
        <v>923398.8067869506</v>
      </c>
      <c r="H25" s="359">
        <f t="shared" si="2"/>
        <v>960334.7590584285</v>
      </c>
      <c r="I25" s="359">
        <f t="shared" si="2"/>
        <v>998748.1494207656</v>
      </c>
      <c r="J25" s="359">
        <f t="shared" si="2"/>
        <v>1038698.0753975962</v>
      </c>
      <c r="K25" s="359">
        <f t="shared" si="2"/>
        <v>1080245.9984135001</v>
      </c>
      <c r="L25" s="360">
        <f t="shared" si="2"/>
        <v>1123455.8383500404</v>
      </c>
      <c r="M25" s="396"/>
    </row>
    <row r="26" spans="1:12" s="354" customFormat="1" ht="11.25">
      <c r="A26" s="346" t="s">
        <v>216</v>
      </c>
      <c r="B26" s="351"/>
      <c r="C26" s="359">
        <f aca="true" t="shared" si="3" ref="C26:L26">SUM(C16-C25)</f>
        <v>-278605.17003333336</v>
      </c>
      <c r="D26" s="359">
        <f t="shared" si="3"/>
        <v>-299963.7768346666</v>
      </c>
      <c r="E26" s="359">
        <f t="shared" si="3"/>
        <v>208972.07209194673</v>
      </c>
      <c r="F26" s="359">
        <f t="shared" si="3"/>
        <v>196076.83145562466</v>
      </c>
      <c r="G26" s="359">
        <f t="shared" si="3"/>
        <v>182240.6987234495</v>
      </c>
      <c r="H26" s="359">
        <f t="shared" si="3"/>
        <v>731293.6843724838</v>
      </c>
      <c r="I26" s="359">
        <f t="shared" si="3"/>
        <v>726712.8628787649</v>
      </c>
      <c r="J26" s="359">
        <f t="shared" si="3"/>
        <v>721272.1571479246</v>
      </c>
      <c r="K26" s="359">
        <f t="shared" si="3"/>
        <v>1313313.5178484085</v>
      </c>
      <c r="L26" s="360">
        <f t="shared" si="3"/>
        <v>1317974.8682371061</v>
      </c>
    </row>
    <row r="27" spans="1:12" s="328" customFormat="1" ht="11.25">
      <c r="A27" s="338" t="s">
        <v>217</v>
      </c>
      <c r="B27" s="347"/>
      <c r="C27" s="358">
        <f>SUM(C26*0.15)</f>
        <v>-41790.775505000005</v>
      </c>
      <c r="D27" s="358">
        <f aca="true" t="shared" si="4" ref="D27:L27">SUM(D26*0.15)</f>
        <v>-44994.56652519999</v>
      </c>
      <c r="E27" s="358">
        <f t="shared" si="4"/>
        <v>31345.810813792006</v>
      </c>
      <c r="F27" s="358">
        <f t="shared" si="4"/>
        <v>29411.5247183437</v>
      </c>
      <c r="G27" s="358">
        <f t="shared" si="4"/>
        <v>27336.104808517422</v>
      </c>
      <c r="H27" s="358">
        <f t="shared" si="4"/>
        <v>109694.05265587255</v>
      </c>
      <c r="I27" s="358">
        <f t="shared" si="4"/>
        <v>109006.92943181473</v>
      </c>
      <c r="J27" s="358">
        <f t="shared" si="4"/>
        <v>108190.82357218869</v>
      </c>
      <c r="K27" s="358">
        <f t="shared" si="4"/>
        <v>196997.02767726127</v>
      </c>
      <c r="L27" s="361">
        <f t="shared" si="4"/>
        <v>197696.23023556592</v>
      </c>
    </row>
    <row r="28" spans="1:12" s="354" customFormat="1" ht="11.25">
      <c r="A28" s="346" t="s">
        <v>218</v>
      </c>
      <c r="B28" s="351"/>
      <c r="C28" s="359">
        <f>SUM(C26-C27)</f>
        <v>-236814.39452833336</v>
      </c>
      <c r="D28" s="359">
        <f aca="true" t="shared" si="5" ref="D28:L28">SUM(D26-D27)</f>
        <v>-254969.21030946664</v>
      </c>
      <c r="E28" s="359">
        <f t="shared" si="5"/>
        <v>177626.26127815474</v>
      </c>
      <c r="F28" s="359">
        <f t="shared" si="5"/>
        <v>166665.30673728097</v>
      </c>
      <c r="G28" s="359">
        <f t="shared" si="5"/>
        <v>154904.59391493208</v>
      </c>
      <c r="H28" s="359">
        <f t="shared" si="5"/>
        <v>621599.6317166112</v>
      </c>
      <c r="I28" s="359">
        <f t="shared" si="5"/>
        <v>617705.9334469502</v>
      </c>
      <c r="J28" s="359">
        <f t="shared" si="5"/>
        <v>613081.3335757359</v>
      </c>
      <c r="K28" s="359">
        <f t="shared" si="5"/>
        <v>1116316.4901711473</v>
      </c>
      <c r="L28" s="360">
        <f t="shared" si="5"/>
        <v>1120278.6380015402</v>
      </c>
    </row>
    <row r="29" spans="1:12" s="328" customFormat="1" ht="11.25">
      <c r="A29" s="338" t="s">
        <v>219</v>
      </c>
      <c r="B29" s="347"/>
      <c r="C29" s="358">
        <f>SUM(C28*0.25)</f>
        <v>-59203.59863208334</v>
      </c>
      <c r="D29" s="358">
        <f>SUM(D28*0.25)</f>
        <v>-63742.30257736666</v>
      </c>
      <c r="E29" s="358">
        <f>SUM(E28*0.25)</f>
        <v>44406.565319538684</v>
      </c>
      <c r="F29" s="358">
        <f>SUM(F28*0.25)</f>
        <v>41666.326684320244</v>
      </c>
      <c r="G29" s="358">
        <f aca="true" t="shared" si="6" ref="G29:L29">SUM(G28*0.25)</f>
        <v>38726.14847873302</v>
      </c>
      <c r="H29" s="358">
        <f t="shared" si="6"/>
        <v>155399.9079291528</v>
      </c>
      <c r="I29" s="358">
        <f t="shared" si="6"/>
        <v>154426.48336173754</v>
      </c>
      <c r="J29" s="358">
        <f t="shared" si="6"/>
        <v>153270.33339393398</v>
      </c>
      <c r="K29" s="358">
        <f t="shared" si="6"/>
        <v>279079.1225427868</v>
      </c>
      <c r="L29" s="361">
        <f t="shared" si="6"/>
        <v>280069.65950038505</v>
      </c>
    </row>
    <row r="30" spans="1:12" s="354" customFormat="1" ht="11.25">
      <c r="A30" s="346" t="s">
        <v>220</v>
      </c>
      <c r="B30" s="351"/>
      <c r="C30" s="359">
        <f>+C28-C29</f>
        <v>-177610.79589625003</v>
      </c>
      <c r="D30" s="359">
        <f aca="true" t="shared" si="7" ref="D30:L30">+D28-D29</f>
        <v>-191226.9077321</v>
      </c>
      <c r="E30" s="359">
        <f t="shared" si="7"/>
        <v>133219.69595861604</v>
      </c>
      <c r="F30" s="359">
        <f t="shared" si="7"/>
        <v>124998.98005296073</v>
      </c>
      <c r="G30" s="359">
        <f t="shared" si="7"/>
        <v>116178.44543619905</v>
      </c>
      <c r="H30" s="359">
        <f t="shared" si="7"/>
        <v>466199.7237874584</v>
      </c>
      <c r="I30" s="359">
        <f t="shared" si="7"/>
        <v>463279.4500852126</v>
      </c>
      <c r="J30" s="359">
        <f t="shared" si="7"/>
        <v>459811.00018180197</v>
      </c>
      <c r="K30" s="359">
        <f t="shared" si="7"/>
        <v>837237.3676283604</v>
      </c>
      <c r="L30" s="360">
        <f t="shared" si="7"/>
        <v>840208.9785011552</v>
      </c>
    </row>
    <row r="31" spans="1:12" s="328" customFormat="1" ht="11.25">
      <c r="A31" s="338" t="s">
        <v>221</v>
      </c>
      <c r="B31" s="347"/>
      <c r="C31" s="358">
        <f>SUM(C23)</f>
        <v>19553.170033333332</v>
      </c>
      <c r="D31" s="358">
        <f aca="true" t="shared" si="8" ref="D31:L31">SUM(D23)</f>
        <v>20335.296834666664</v>
      </c>
      <c r="E31" s="358">
        <f t="shared" si="8"/>
        <v>21148.70870805333</v>
      </c>
      <c r="F31" s="358">
        <f t="shared" si="8"/>
        <v>21994.657056375465</v>
      </c>
      <c r="G31" s="358">
        <f t="shared" si="8"/>
        <v>22874.443338630485</v>
      </c>
      <c r="H31" s="358">
        <f t="shared" si="8"/>
        <v>23789.421072175704</v>
      </c>
      <c r="I31" s="358">
        <f t="shared" si="8"/>
        <v>24740.997915062733</v>
      </c>
      <c r="J31" s="358">
        <f t="shared" si="8"/>
        <v>25730.63783166524</v>
      </c>
      <c r="K31" s="358">
        <f t="shared" si="8"/>
        <v>26759.86334493185</v>
      </c>
      <c r="L31" s="361">
        <f t="shared" si="8"/>
        <v>27830.257878729124</v>
      </c>
    </row>
    <row r="32" spans="1:12" s="354" customFormat="1" ht="11.25">
      <c r="A32" s="346" t="s">
        <v>222</v>
      </c>
      <c r="B32" s="351"/>
      <c r="C32" s="359">
        <f>SUM(C30+C31)</f>
        <v>-158057.6258629167</v>
      </c>
      <c r="D32" s="359">
        <f>SUM(D30+D31)</f>
        <v>-170891.61089743333</v>
      </c>
      <c r="E32" s="359">
        <f>SUM(E30+E31)</f>
        <v>154368.40466666938</v>
      </c>
      <c r="F32" s="359">
        <f aca="true" t="shared" si="9" ref="F32:L32">SUM(F30+F31)</f>
        <v>146993.6371093362</v>
      </c>
      <c r="G32" s="359">
        <f t="shared" si="9"/>
        <v>139052.88877482954</v>
      </c>
      <c r="H32" s="359">
        <f t="shared" si="9"/>
        <v>489989.1448596341</v>
      </c>
      <c r="I32" s="359">
        <f t="shared" si="9"/>
        <v>488020.4480002753</v>
      </c>
      <c r="J32" s="359">
        <f t="shared" si="9"/>
        <v>485541.6380134672</v>
      </c>
      <c r="K32" s="359">
        <f t="shared" si="9"/>
        <v>863997.2309732923</v>
      </c>
      <c r="L32" s="360">
        <f t="shared" si="9"/>
        <v>868039.2363798843</v>
      </c>
    </row>
    <row r="33" spans="1:12" s="328" customFormat="1" ht="11.25">
      <c r="A33" s="338" t="s">
        <v>223</v>
      </c>
      <c r="B33" s="347"/>
      <c r="C33" s="343"/>
      <c r="D33" s="343"/>
      <c r="E33" s="343"/>
      <c r="F33" s="343"/>
      <c r="G33" s="343"/>
      <c r="H33" s="343"/>
      <c r="I33" s="343"/>
      <c r="J33" s="343"/>
      <c r="K33" s="343"/>
      <c r="L33" s="344">
        <v>10000</v>
      </c>
    </row>
    <row r="34" spans="1:12" s="328" customFormat="1" ht="12" thickBot="1">
      <c r="A34" s="362" t="s">
        <v>224</v>
      </c>
      <c r="B34" s="363"/>
      <c r="C34" s="364"/>
      <c r="D34" s="364"/>
      <c r="E34" s="364"/>
      <c r="F34" s="364"/>
      <c r="G34" s="364"/>
      <c r="H34" s="364"/>
      <c r="I34" s="364"/>
      <c r="J34" s="364"/>
      <c r="K34" s="364"/>
      <c r="L34" s="365">
        <f>+DEPREC!I46</f>
        <v>12994.603</v>
      </c>
    </row>
    <row r="35" spans="1:12" s="328" customFormat="1" ht="12" thickBot="1">
      <c r="A35" s="366" t="s">
        <v>225</v>
      </c>
      <c r="B35" s="367">
        <f>SUM(B10:B34)</f>
        <v>-275545.38</v>
      </c>
      <c r="C35" s="368">
        <f>SUM(C32+C33+C34)</f>
        <v>-158057.6258629167</v>
      </c>
      <c r="D35" s="368">
        <f aca="true" t="shared" si="10" ref="D35:L35">SUM(D32+D33+D34)</f>
        <v>-170891.61089743333</v>
      </c>
      <c r="E35" s="368">
        <f t="shared" si="10"/>
        <v>154368.40466666938</v>
      </c>
      <c r="F35" s="368">
        <f t="shared" si="10"/>
        <v>146993.6371093362</v>
      </c>
      <c r="G35" s="368">
        <f t="shared" si="10"/>
        <v>139052.88877482954</v>
      </c>
      <c r="H35" s="368">
        <f t="shared" si="10"/>
        <v>489989.1448596341</v>
      </c>
      <c r="I35" s="368">
        <f t="shared" si="10"/>
        <v>488020.4480002753</v>
      </c>
      <c r="J35" s="368">
        <f t="shared" si="10"/>
        <v>485541.6380134672</v>
      </c>
      <c r="K35" s="368">
        <f t="shared" si="10"/>
        <v>863997.2309732923</v>
      </c>
      <c r="L35" s="369">
        <f t="shared" si="10"/>
        <v>891033.8393798843</v>
      </c>
    </row>
    <row r="36" spans="1:12" s="328" customFormat="1" ht="11.25">
      <c r="A36" s="370"/>
      <c r="B36" s="371"/>
      <c r="C36" s="371"/>
      <c r="D36" s="371"/>
      <c r="E36" s="371"/>
      <c r="F36" s="371"/>
      <c r="G36" s="371"/>
      <c r="H36" s="371"/>
      <c r="I36" s="371"/>
      <c r="J36" s="371"/>
      <c r="K36" s="371"/>
      <c r="L36" s="371"/>
    </row>
    <row r="37" spans="1:10" s="375" customFormat="1" ht="12.75">
      <c r="A37" s="372" t="s">
        <v>226</v>
      </c>
      <c r="B37" s="373">
        <v>0.14</v>
      </c>
      <c r="C37" s="374" t="s">
        <v>227</v>
      </c>
      <c r="E37" s="376">
        <v>0.5</v>
      </c>
      <c r="F37" s="377" t="s">
        <v>228</v>
      </c>
      <c r="G37" s="377"/>
      <c r="I37" s="378">
        <f>SUM(B37*E37)+B37</f>
        <v>0.21000000000000002</v>
      </c>
      <c r="J37" s="377" t="s">
        <v>229</v>
      </c>
    </row>
    <row r="38" spans="1:12" s="328" customFormat="1" ht="11.25">
      <c r="A38" s="370"/>
      <c r="B38" s="371"/>
      <c r="C38" s="371"/>
      <c r="D38" s="371"/>
      <c r="E38" s="371"/>
      <c r="F38" s="371"/>
      <c r="G38" s="371"/>
      <c r="H38" s="371"/>
      <c r="I38" s="379"/>
      <c r="J38" s="371"/>
      <c r="K38" s="371"/>
      <c r="L38" s="371"/>
    </row>
    <row r="39" spans="1:12" s="328" customFormat="1" ht="11.25">
      <c r="A39" s="380" t="s">
        <v>230</v>
      </c>
      <c r="B39" s="382">
        <f>IRR(B35:L35)</f>
        <v>0.31935067997325306</v>
      </c>
      <c r="C39" s="381" t="s">
        <v>231</v>
      </c>
      <c r="D39" s="382">
        <f>B39</f>
        <v>0.31935067997325306</v>
      </c>
      <c r="E39" s="371"/>
      <c r="F39" s="371"/>
      <c r="G39" s="371"/>
      <c r="H39" s="371"/>
      <c r="I39" s="371"/>
      <c r="J39" s="371"/>
      <c r="K39" s="371"/>
      <c r="L39" s="371"/>
    </row>
    <row r="40" spans="1:12" s="328" customFormat="1" ht="11.25">
      <c r="A40" s="380" t="s">
        <v>232</v>
      </c>
      <c r="B40" s="383">
        <f>NPV(0.14,B35,C35:L35)</f>
        <v>712517.1896213023</v>
      </c>
      <c r="C40" s="371"/>
      <c r="D40" s="371"/>
      <c r="E40" s="371"/>
      <c r="F40" s="371"/>
      <c r="G40" s="371"/>
      <c r="H40" s="371"/>
      <c r="I40" s="371"/>
      <c r="J40" s="371"/>
      <c r="K40" s="371"/>
      <c r="L40" s="371"/>
    </row>
    <row r="41" spans="1:12" s="328" customFormat="1" ht="11.25">
      <c r="A41" s="380" t="s">
        <v>233</v>
      </c>
      <c r="B41" s="355">
        <v>0.12</v>
      </c>
      <c r="C41" s="371" t="s">
        <v>125</v>
      </c>
      <c r="D41" s="371"/>
      <c r="E41" s="371" t="s">
        <v>125</v>
      </c>
      <c r="F41" s="371"/>
      <c r="G41" s="371"/>
      <c r="H41" s="371"/>
      <c r="I41" s="371"/>
      <c r="J41" s="371"/>
      <c r="K41" s="371"/>
      <c r="L41" s="371"/>
    </row>
  </sheetData>
  <mergeCells count="6">
    <mergeCell ref="A7:C7"/>
    <mergeCell ref="B9:L9"/>
    <mergeCell ref="A1:K1"/>
    <mergeCell ref="A2:K2"/>
    <mergeCell ref="A4:L4"/>
    <mergeCell ref="A6:C6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Layovi</dc:creator>
  <cp:keywords/>
  <dc:description/>
  <cp:lastModifiedBy>LAURA AYOVI</cp:lastModifiedBy>
  <cp:lastPrinted>2006-07-19T21:58:19Z</cp:lastPrinted>
  <dcterms:created xsi:type="dcterms:W3CDTF">2006-07-18T20:40:57Z</dcterms:created>
  <dcterms:modified xsi:type="dcterms:W3CDTF">2007-01-05T04:32:53Z</dcterms:modified>
  <cp:category/>
  <cp:version/>
  <cp:contentType/>
  <cp:contentStatus/>
</cp:coreProperties>
</file>