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tabRatio="924" firstSheet="7" activeTab="13"/>
  </bookViews>
  <sheets>
    <sheet name="COSTOS VAR" sheetId="1" r:id="rId1"/>
    <sheet name="INVERSION" sheetId="2" r:id="rId2"/>
    <sheet name="GASTOS" sheetId="3" r:id="rId3"/>
    <sheet name="COSTOS FIJOS" sheetId="4" r:id="rId4"/>
    <sheet name="INGRESOS" sheetId="5" r:id="rId5"/>
    <sheet name="DEPRECICIONES TOTAL" sheetId="6" r:id="rId6"/>
    <sheet name="DEPRECIACIONES" sheetId="7" r:id="rId7"/>
    <sheet name="AMORTIZACIONES" sheetId="8" r:id="rId8"/>
    <sheet name="REPOSICION DE ACTIVOS" sheetId="9" r:id="rId9"/>
    <sheet name="VTA D ACTIVOS" sheetId="10" r:id="rId10"/>
    <sheet name="F.F.PROYECTO" sheetId="11" r:id="rId11"/>
    <sheet name="PRESTAMOS" sheetId="12" r:id="rId12"/>
    <sheet name="F.F.INVERSIONISTA" sheetId="13" r:id="rId13"/>
    <sheet name="FENP" sheetId="14" r:id="rId14"/>
  </sheets>
  <definedNames/>
  <calcPr fullCalcOnLoad="1"/>
</workbook>
</file>

<file path=xl/sharedStrings.xml><?xml version="1.0" encoding="utf-8"?>
<sst xmlns="http://schemas.openxmlformats.org/spreadsheetml/2006/main" count="653" uniqueCount="311">
  <si>
    <t>CONCEPTO</t>
  </si>
  <si>
    <t>Activos Fijos</t>
  </si>
  <si>
    <t>Adquisición de terreno</t>
  </si>
  <si>
    <t>UNIDAD DE MEDIDA</t>
  </si>
  <si>
    <t xml:space="preserve">CANTIDAD </t>
  </si>
  <si>
    <t>Ha</t>
  </si>
  <si>
    <t xml:space="preserve">Construcciónes </t>
  </si>
  <si>
    <t>Bombas de mochila</t>
  </si>
  <si>
    <t xml:space="preserve">Machetes </t>
  </si>
  <si>
    <t>Azadones</t>
  </si>
  <si>
    <t>Palas</t>
  </si>
  <si>
    <t>Tanques</t>
  </si>
  <si>
    <t>U</t>
  </si>
  <si>
    <t>Termómetro</t>
  </si>
  <si>
    <t>Balanza</t>
  </si>
  <si>
    <t>Computador</t>
  </si>
  <si>
    <t>Pupitres</t>
  </si>
  <si>
    <t>Carretillas</t>
  </si>
  <si>
    <t>Activos Intangibles</t>
  </si>
  <si>
    <t>Promoción y publicidad</t>
  </si>
  <si>
    <t>Capacitación</t>
  </si>
  <si>
    <t>Taller</t>
  </si>
  <si>
    <t>Estudios de suelo</t>
  </si>
  <si>
    <t>Capital de trabajo</t>
  </si>
  <si>
    <t>Sistema de riego</t>
  </si>
  <si>
    <t>Abonos orgánicos</t>
  </si>
  <si>
    <t>Aulas prefabricadas</t>
  </si>
  <si>
    <t>Estudio y diseño para la implementación de riego</t>
  </si>
  <si>
    <t>Gastos administrativos</t>
  </si>
  <si>
    <t>Secretaria-contadora</t>
  </si>
  <si>
    <t>Cocina-Comedor</t>
  </si>
  <si>
    <t>Técnicos Facilitadores</t>
  </si>
  <si>
    <t>Valdes</t>
  </si>
  <si>
    <t>Gastos Generales</t>
  </si>
  <si>
    <t>UNIDAD</t>
  </si>
  <si>
    <t>TOTAL</t>
  </si>
  <si>
    <t xml:space="preserve">TOTAL </t>
  </si>
  <si>
    <t>Pizarras de tiza liquida</t>
  </si>
  <si>
    <t>GASTOS DE ADMINISTRACIÓN</t>
  </si>
  <si>
    <t>Requerimientos</t>
  </si>
  <si>
    <t>Gasto mensual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</si>
  <si>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</si>
  <si>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</si>
  <si>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</si>
  <si>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</si>
  <si>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</si>
  <si>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</si>
  <si>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</si>
  <si>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</si>
  <si>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</si>
  <si>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</si>
  <si>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Suministros y materiales</t>
  </si>
  <si>
    <t>Suministros de oficina</t>
  </si>
  <si>
    <t>Gastos de mantenimiento</t>
  </si>
  <si>
    <t>Total Gastos de administración</t>
  </si>
  <si>
    <t>CANTIDAD</t>
  </si>
  <si>
    <t>Teléfono/fax</t>
  </si>
  <si>
    <t>Gastos de puesta en marcha</t>
  </si>
  <si>
    <t xml:space="preserve">                   AMORTIZACIÓN DIFERIDOS</t>
  </si>
  <si>
    <t>Amortización a 5 años =</t>
  </si>
  <si>
    <t>Mano de Obra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</si>
  <si>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</si>
  <si>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</si>
  <si>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</si>
  <si>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</si>
  <si>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</si>
  <si>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</si>
  <si>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</si>
  <si>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</si>
  <si>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</si>
  <si>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</si>
  <si>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INVERSIONES INICIALES DEL PROYECTO</t>
  </si>
  <si>
    <t>Costos fijos</t>
  </si>
  <si>
    <t>Descripción</t>
  </si>
  <si>
    <t>Cantidad</t>
  </si>
  <si>
    <t xml:space="preserve">Costo </t>
  </si>
  <si>
    <t>Costo Total Anual</t>
  </si>
  <si>
    <t>Luz eléctrica</t>
  </si>
  <si>
    <t>Gastos varios</t>
  </si>
  <si>
    <t>Pozo profundo</t>
  </si>
  <si>
    <t xml:space="preserve">COSTO UNITARIO </t>
  </si>
  <si>
    <t>COSTO TOTAL</t>
  </si>
  <si>
    <t>Subtotal A</t>
  </si>
  <si>
    <t xml:space="preserve">COSTOS FIJOS DE CAPACITACIÓN Y PRODUCCIÓN </t>
  </si>
  <si>
    <t>Alimentación</t>
  </si>
  <si>
    <t>Maquinarias y equipos</t>
  </si>
  <si>
    <t>Escobas</t>
  </si>
  <si>
    <t xml:space="preserve">   Cuadernos y utiles escolares </t>
  </si>
  <si>
    <t>marcadores</t>
  </si>
  <si>
    <t>Papelotes</t>
  </si>
  <si>
    <t>Subtotal B</t>
  </si>
  <si>
    <t>Subtotal C</t>
  </si>
  <si>
    <t>Mascarillas</t>
  </si>
  <si>
    <t xml:space="preserve">Equipos de oficina-muebles y capacitación </t>
  </si>
  <si>
    <t>Subtotal D</t>
  </si>
  <si>
    <t>Subtotal E</t>
  </si>
  <si>
    <t>Subtotal F</t>
  </si>
  <si>
    <t>Gastos de representación</t>
  </si>
  <si>
    <t>Borradores</t>
  </si>
  <si>
    <t>VIDA ÚTIL=</t>
  </si>
  <si>
    <t>3 AÑOS</t>
  </si>
  <si>
    <t>Método:</t>
  </si>
  <si>
    <t>Línea Recta</t>
  </si>
  <si>
    <t>AÑO</t>
  </si>
  <si>
    <t>VALOR EN LIBROS</t>
  </si>
  <si>
    <t>DEP. ANUAL</t>
  </si>
  <si>
    <t>DEP. ACUMULADA</t>
  </si>
  <si>
    <t xml:space="preserve">TABLA DE DEPRECIACIACIÓN: Bombas de Mochila </t>
  </si>
  <si>
    <t>TABLA DE DEPRECIACIACIÓN: Computadoras</t>
  </si>
  <si>
    <t>DEPRECIACIONES</t>
  </si>
  <si>
    <t xml:space="preserve">TOTAL DE LAS DEPRECIACIONES </t>
  </si>
  <si>
    <t>TABLA DE DEPRECIACIACIÓN: Aulas prefabricadas</t>
  </si>
  <si>
    <t>20 AÑOS</t>
  </si>
  <si>
    <t>TABLA DE DEPRECIACIACIÓN: Area de Abonos Orgánicos</t>
  </si>
  <si>
    <t>TABLA DE DEPRECIACIACIÓN: Pozo profundo</t>
  </si>
  <si>
    <t>TABLA DE DEPRECIACIACIÓN: Sistema de riego</t>
  </si>
  <si>
    <t>TABLA DE DEPRECIACIACIÓN: Telefax</t>
  </si>
  <si>
    <t>TABLA DE DEPRECIACIACIÓN: Pupitres</t>
  </si>
  <si>
    <t>TABLA DE DEPRECIACIACIÓN: Pizarras</t>
  </si>
  <si>
    <t xml:space="preserve">TABLA DE DEPRECIACIACIÓN: Termómetros </t>
  </si>
  <si>
    <t>TABLA DE REPOSICIÓN DE ACTIVOS</t>
  </si>
  <si>
    <t>Año 0</t>
  </si>
  <si>
    <t>Bombas de Mochila</t>
  </si>
  <si>
    <t>Computadoras</t>
  </si>
  <si>
    <t>Total</t>
  </si>
  <si>
    <t>Ingresos</t>
  </si>
  <si>
    <t>Venta activo</t>
  </si>
  <si>
    <t>(-)Costos Variables</t>
  </si>
  <si>
    <t>(-)Costos Fijos</t>
  </si>
  <si>
    <t>(-)Comisiones en venta</t>
  </si>
  <si>
    <t>(-)Gastos de adm., y venta</t>
  </si>
  <si>
    <t>(-)Interés  préstamo</t>
  </si>
  <si>
    <t>(-)Depreciación</t>
  </si>
  <si>
    <t>(-)Amortización intang.</t>
  </si>
  <si>
    <t>(-)Valor libro</t>
  </si>
  <si>
    <t>Utilidad antes de impto.</t>
  </si>
  <si>
    <t>(-)15% Trabajadores</t>
  </si>
  <si>
    <t>(-)Impuesto a la Renta</t>
  </si>
  <si>
    <t>Utilidad Neta</t>
  </si>
  <si>
    <t>Depreciación</t>
  </si>
  <si>
    <t>Amortización intang.</t>
  </si>
  <si>
    <t>Valor libro</t>
  </si>
  <si>
    <t>(-)Inversión inicial</t>
  </si>
  <si>
    <t>Inversión de remplazo</t>
  </si>
  <si>
    <t>Inversión de ampliación</t>
  </si>
  <si>
    <t>(-)Inversión cap. Trabajo</t>
  </si>
  <si>
    <t>Préstamo</t>
  </si>
  <si>
    <t>(-)Amortización deuda.</t>
  </si>
  <si>
    <t>Valor de desecho</t>
  </si>
  <si>
    <t>TIR:</t>
  </si>
  <si>
    <t xml:space="preserve">    Flujo de Caja</t>
  </si>
  <si>
    <t>COSTO</t>
  </si>
  <si>
    <t xml:space="preserve">COSTO </t>
  </si>
  <si>
    <t>MEDIDA</t>
  </si>
  <si>
    <t>UNIT USD</t>
  </si>
  <si>
    <t>Sacos</t>
  </si>
  <si>
    <t xml:space="preserve">TOTAL COSTOS </t>
  </si>
  <si>
    <t xml:space="preserve">INGRESOS </t>
  </si>
  <si>
    <t>C. U.</t>
  </si>
  <si>
    <t>INGRESO TOTAL</t>
  </si>
  <si>
    <t>Ingreso por venta de Maíz</t>
  </si>
  <si>
    <t>qq</t>
  </si>
  <si>
    <t>Ingreso por venta de Maní</t>
  </si>
  <si>
    <t>Venta de Abonos orgánicos</t>
  </si>
  <si>
    <t>Vehiculo</t>
  </si>
  <si>
    <t>Costos de producción de 1 hectárea de validación</t>
  </si>
  <si>
    <t xml:space="preserve">Costos de producción de Abonos Orgánicos </t>
  </si>
  <si>
    <t>Costos de producción de plántulas</t>
  </si>
  <si>
    <t>sacos</t>
  </si>
  <si>
    <t>Plántulas</t>
  </si>
  <si>
    <t>costos de producción de parcela agroforestal</t>
  </si>
  <si>
    <t>Fundas de polietyleno</t>
  </si>
  <si>
    <t>Costos por unidad de Ingreso (todos los costos incluyen mano de obra</t>
  </si>
  <si>
    <t>VAN(10%)</t>
  </si>
  <si>
    <t xml:space="preserve"> </t>
  </si>
  <si>
    <t>% Aportación</t>
  </si>
  <si>
    <t>tasa de oport.</t>
  </si>
  <si>
    <t>Ponderación</t>
  </si>
  <si>
    <t>Recursos Propios  =</t>
  </si>
  <si>
    <t>Inversión =</t>
  </si>
  <si>
    <t>Tasa activa del crédito </t>
  </si>
  <si>
    <t>Crédito     =</t>
  </si>
  <si>
    <t>Primer año</t>
  </si>
  <si>
    <t>Pretámo a solicitar  =</t>
  </si>
  <si>
    <t>Tasa de interés   =</t>
  </si>
  <si>
    <t>anual</t>
  </si>
  <si>
    <t>Pago = Cuotas anuales iguales</t>
  </si>
  <si>
    <t>Tiempo  =</t>
  </si>
  <si>
    <t>años</t>
  </si>
  <si>
    <t>Monto de la couta anual ( C )</t>
  </si>
  <si>
    <t>C = p i ( 1+i )</t>
  </si>
  <si>
    <t xml:space="preserve">        (1+i ) - 1</t>
  </si>
  <si>
    <t>C = Valor de la couta</t>
  </si>
  <si>
    <t>P = El monto del préstamo</t>
  </si>
  <si>
    <t>i = Tasa de interés</t>
  </si>
  <si>
    <t>n = Número de coutas en que servirá el crédito.</t>
  </si>
  <si>
    <t>TABLA DE AMORTIZACIÓN</t>
  </si>
  <si>
    <t>Pagos</t>
  </si>
  <si>
    <t>Deuda</t>
  </si>
  <si>
    <t>Couta</t>
  </si>
  <si>
    <t>Interés</t>
  </si>
  <si>
    <t>Amortización</t>
  </si>
  <si>
    <t>Cobro de matriculas</t>
  </si>
  <si>
    <t>CPC =</t>
  </si>
  <si>
    <t>Maquinarias, herramientas y equipos</t>
  </si>
  <si>
    <t xml:space="preserve">Costos de producción </t>
  </si>
  <si>
    <t>Venta de utiles escolares</t>
  </si>
  <si>
    <t>TABLA DE DEPRECIACIACIÓN: Machetes</t>
  </si>
  <si>
    <t>TABLA DE DEPRECIACIACIÓN: Azadones</t>
  </si>
  <si>
    <t>TABLA DE DEPRECIACIACIÓN: Carretillas</t>
  </si>
  <si>
    <t>TABLA DE DEPRECIACIACIÓN: Palas</t>
  </si>
  <si>
    <t>TABLA DE DEPRECIACIACIÓN: Tanques</t>
  </si>
  <si>
    <t>TABLA DE DEPRECIACIACIÓN: Valdes</t>
  </si>
  <si>
    <t>TABLA DE DEPRECIACIACIÓN: Escoba</t>
  </si>
  <si>
    <t>TABLA DE DEPRECIACIACIÓN: Borradores</t>
  </si>
  <si>
    <t>TABLA DE DEPRECIACIACIÓN: Mascarillas</t>
  </si>
  <si>
    <t>VALOR Año 0</t>
  </si>
  <si>
    <t>Manual de fincas autosustentables</t>
  </si>
  <si>
    <t xml:space="preserve">Oficinas </t>
  </si>
  <si>
    <t>Vivero</t>
  </si>
  <si>
    <t>Galpones</t>
  </si>
  <si>
    <t>Costos de podruccion de pollos</t>
  </si>
  <si>
    <t>Pie de cría</t>
  </si>
  <si>
    <t>Venta de pollos</t>
  </si>
  <si>
    <t xml:space="preserve">Venta de comida a estudiantes </t>
  </si>
  <si>
    <t xml:space="preserve">Venta de Plántulas </t>
  </si>
  <si>
    <t>Oficinas</t>
  </si>
  <si>
    <t>pre INICIAL</t>
  </si>
  <si>
    <t>CREC</t>
  </si>
  <si>
    <t>FINAL</t>
  </si>
  <si>
    <t xml:space="preserve"> CADA 100 POLLO 12 QQEN 6 SEMANAS (6 LIBRAS)</t>
  </si>
  <si>
    <t>INSUMOS</t>
  </si>
  <si>
    <t>VACUNAS</t>
  </si>
  <si>
    <t>VITA</t>
  </si>
  <si>
    <t>ANT</t>
  </si>
  <si>
    <t>DESINF</t>
  </si>
  <si>
    <t>2,50MEW CASTELL (DOSIS 1000)</t>
  </si>
  <si>
    <t>neW</t>
  </si>
  <si>
    <t>GUMBORO</t>
  </si>
  <si>
    <t>AVISOL 1/2 K A 7 usd</t>
  </si>
  <si>
    <t>AVISOL</t>
  </si>
  <si>
    <t>SUPLEMENTO DE CALCIO 3 SOBRES 300GR 3,9</t>
  </si>
  <si>
    <t>SUPLE</t>
  </si>
  <si>
    <t>INTERSICLINA BIC 1/2 K 4,5</t>
  </si>
  <si>
    <t>INTER</t>
  </si>
  <si>
    <t>CREOLINA 1 LITRO A 3 Y YODO 1 LT 4,5 CADA CICLO</t>
  </si>
  <si>
    <t>TIEMPO DEL HOMBRE</t>
  </si>
  <si>
    <t>HORAS TOTALES</t>
  </si>
  <si>
    <t>EN H DIARIAS</t>
  </si>
  <si>
    <t>PAGO</t>
  </si>
  <si>
    <t>SUB 1</t>
  </si>
  <si>
    <t>SUBT 2</t>
  </si>
  <si>
    <t>SUBT 3</t>
  </si>
  <si>
    <t>POLLITOS BROYLE</t>
  </si>
  <si>
    <t>para 1500 pollos</t>
  </si>
  <si>
    <t>gastos de trabaj calificados</t>
  </si>
  <si>
    <t>II</t>
  </si>
  <si>
    <t>INGRESOS</t>
  </si>
  <si>
    <t>VANE(10%)</t>
  </si>
  <si>
    <t>TIER</t>
  </si>
  <si>
    <t>costos de producción de cerdos</t>
  </si>
  <si>
    <t>Aula</t>
  </si>
  <si>
    <t>Cocina</t>
  </si>
  <si>
    <t xml:space="preserve">Sillas </t>
  </si>
  <si>
    <t>TOTAL PROYECTO (26 UPAS)</t>
  </si>
  <si>
    <t xml:space="preserve">global </t>
  </si>
  <si>
    <t>Técnico-Administrador-Coordinador</t>
  </si>
  <si>
    <t>Utilidad después de impto.</t>
  </si>
  <si>
    <t>Cocinero</t>
  </si>
  <si>
    <t>Venta de lechones</t>
  </si>
  <si>
    <t>Sillas</t>
  </si>
  <si>
    <t>PROYECTO: IMPLEMENACION DE UNA ESCUELA DE CAMPO PARA LA MULTIPLICACIÓN DE FINCAS AUTOSUSTENTABLES</t>
  </si>
  <si>
    <t xml:space="preserve">FLUJO DE CAJA </t>
  </si>
  <si>
    <t>FLUJO DE CAJA DEL INVERSIONISTA</t>
  </si>
  <si>
    <t>VAN(9,70%)=</t>
  </si>
  <si>
    <t>AMORTIZACIONES</t>
  </si>
  <si>
    <t>ACTIVOS</t>
  </si>
  <si>
    <t>VENTA DE ACTIVOS</t>
  </si>
  <si>
    <t>COSTOS VARIABLES</t>
  </si>
  <si>
    <t>SE PROYECTA QUE LOS INGRESOS MEJORARAN UN 10% A PARTIR DEL 2do AÑO</t>
  </si>
  <si>
    <t>SE PROYECTA QUE LOS COSTOS SE REDUCIRAN EN UN 50% A PARTIR DEL 2do AÑO</t>
  </si>
  <si>
    <t xml:space="preserve">calificado total </t>
  </si>
  <si>
    <t>calificado 1</t>
  </si>
  <si>
    <t>calificado 2</t>
  </si>
  <si>
    <t xml:space="preserve">gastos de capacitación </t>
  </si>
  <si>
    <t>VALOR FINANCIERO TOTAL USD</t>
  </si>
  <si>
    <t>FC</t>
  </si>
  <si>
    <t>EGRESOS</t>
  </si>
  <si>
    <t>Trabajo calificado</t>
  </si>
  <si>
    <t>-22440.00</t>
  </si>
  <si>
    <t>1.00</t>
  </si>
  <si>
    <t>Trabajo no calificado</t>
  </si>
  <si>
    <t xml:space="preserve">  -120.00</t>
  </si>
  <si>
    <t>0.15</t>
  </si>
  <si>
    <t>Costos totales en la ECA</t>
  </si>
  <si>
    <t>-31000.00</t>
  </si>
  <si>
    <t xml:space="preserve">Gastos de administración </t>
  </si>
  <si>
    <t>-840.00</t>
  </si>
  <si>
    <t>Gastos de capacitación*</t>
  </si>
  <si>
    <t>-4090.50</t>
  </si>
  <si>
    <t>0.00</t>
  </si>
  <si>
    <t>Inversión inicial</t>
  </si>
  <si>
    <t>-23513.00</t>
  </si>
  <si>
    <t>INVERSIÓN FINACIERA</t>
  </si>
  <si>
    <t>-81163.50</t>
  </si>
  <si>
    <t>AÑOS</t>
  </si>
  <si>
    <t>FLUJO ECONÓMICO DE FONDOS</t>
  </si>
  <si>
    <t>FLUJO DE CAJA ECONÓMICO DEL PROYECTO</t>
  </si>
  <si>
    <t>VPNEP=</t>
  </si>
  <si>
    <t>TIER=</t>
  </si>
  <si>
    <t>VALOR  ECONOMICO TOTAL USD AÑO 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</si>
</sst>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_(* #,##0.00_);_(* \(#,##0.00\);_(* &quot;-&quot;??_);_(@_)"/>
    <numFmt numFmtId="176" formatCode="_(* #,##0_);_(* \(#,##0\);_(* &quot;-&quot;??_);_(@_)"/>
    <numFmt numFmtId="177" formatCode="[$$-1009]#,##0"/>
    <numFmt numFmtId="178" formatCode="#,##0.0"/>
    <numFmt numFmtId="179" formatCode="0.00000"/>
    <numFmt numFmtId="180" formatCode="0.000000"/>
    <numFmt numFmtId="181" formatCode="0.0000000"/>
    <numFmt numFmtId="182" formatCode="#,##0\ _€"/>
    <numFmt numFmtId="183" formatCode="_ * #,##0_ ;_ * \-#,##0_ ;_ * &quot;-&quot;??_ ;_ @_ "/>
    <numFmt numFmtId="184" formatCode="&quot;S/.&quot;\ #,##0;[Red]&quot;S/.&quot;\ \-#,##0"/>
    <numFmt numFmtId="185" formatCode="0.0%"/>
    <numFmt numFmtId="186" formatCode="0.00000000"/>
    <numFmt numFmtId="187" formatCode="0.000000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.0\ _€_-;\-* #,##0.0\ _€_-;_-* &quot;-&quot;??\ _€_-;_-@_-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sz val="14"/>
      <name val="Arial"/>
      <family val="0"/>
    </font>
    <font>
      <sz val="8"/>
      <color indexed="9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175" fontId="3" fillId="0" borderId="0" xfId="17" applyNumberFormat="1" applyFont="1" applyBorder="1" applyAlignment="1">
      <alignment horizontal="center"/>
    </xf>
    <xf numFmtId="176" fontId="3" fillId="0" borderId="0" xfId="17" applyNumberFormat="1" applyFont="1" applyBorder="1" applyAlignment="1">
      <alignment horizontal="center"/>
    </xf>
    <xf numFmtId="175" fontId="1" fillId="0" borderId="0" xfId="17" applyNumberFormat="1" applyFont="1" applyBorder="1" applyAlignment="1">
      <alignment horizontal="center"/>
    </xf>
    <xf numFmtId="176" fontId="1" fillId="0" borderId="0" xfId="17" applyNumberFormat="1" applyFont="1" applyBorder="1" applyAlignment="1">
      <alignment/>
    </xf>
    <xf numFmtId="175" fontId="1" fillId="0" borderId="0" xfId="17" applyNumberFormat="1" applyFont="1" applyBorder="1" applyAlignment="1">
      <alignment/>
    </xf>
    <xf numFmtId="175" fontId="1" fillId="0" borderId="0" xfId="17" applyNumberFormat="1" applyFont="1" applyBorder="1" applyAlignment="1">
      <alignment horizontal="left" indent="2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0" fontId="3" fillId="2" borderId="5" xfId="0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/>
    </xf>
    <xf numFmtId="0" fontId="3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0" fillId="4" borderId="7" xfId="0" applyFill="1" applyBorder="1" applyAlignment="1">
      <alignment/>
    </xf>
    <xf numFmtId="2" fontId="2" fillId="4" borderId="8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0" borderId="5" xfId="0" applyFont="1" applyFill="1" applyBorder="1" applyAlignment="1">
      <alignment horizontal="right"/>
    </xf>
    <xf numFmtId="4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2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4" xfId="0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1" fillId="0" borderId="13" xfId="0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left"/>
    </xf>
    <xf numFmtId="2" fontId="0" fillId="0" borderId="0" xfId="0" applyNumberFormat="1" applyFont="1" applyAlignment="1">
      <alignment/>
    </xf>
    <xf numFmtId="2" fontId="9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9" fontId="0" fillId="0" borderId="8" xfId="0" applyNumberFormat="1" applyBorder="1" applyAlignment="1">
      <alignment horizontal="right"/>
    </xf>
    <xf numFmtId="171" fontId="0" fillId="0" borderId="4" xfId="17" applyNumberFormat="1" applyBorder="1" applyAlignment="1">
      <alignment horizontal="right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2" fontId="0" fillId="4" borderId="6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2" fillId="2" borderId="22" xfId="0" applyNumberFormat="1" applyFont="1" applyFill="1" applyBorder="1" applyAlignment="1">
      <alignment/>
    </xf>
    <xf numFmtId="2" fontId="2" fillId="2" borderId="23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8" fontId="2" fillId="5" borderId="12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10" fontId="2" fillId="5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32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5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right"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Border="1" applyAlignment="1">
      <alignment/>
    </xf>
    <xf numFmtId="10" fontId="0" fillId="6" borderId="1" xfId="21" applyNumberFormat="1" applyFill="1" applyBorder="1" applyAlignment="1">
      <alignment horizontal="right"/>
    </xf>
    <xf numFmtId="9" fontId="0" fillId="6" borderId="1" xfId="21" applyFill="1" applyBorder="1" applyAlignment="1">
      <alignment/>
    </xf>
    <xf numFmtId="10" fontId="0" fillId="6" borderId="6" xfId="0" applyNumberFormat="1" applyFill="1" applyBorder="1" applyAlignment="1">
      <alignment horizontal="right"/>
    </xf>
    <xf numFmtId="0" fontId="0" fillId="6" borderId="1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10" fontId="0" fillId="6" borderId="7" xfId="21" applyNumberFormat="1" applyFill="1" applyBorder="1" applyAlignment="1">
      <alignment horizontal="right"/>
    </xf>
    <xf numFmtId="9" fontId="0" fillId="6" borderId="7" xfId="21" applyFill="1" applyBorder="1" applyAlignment="1">
      <alignment/>
    </xf>
    <xf numFmtId="10" fontId="0" fillId="6" borderId="8" xfId="0" applyNumberFormat="1" applyFill="1" applyBorder="1" applyAlignment="1">
      <alignment horizontal="right"/>
    </xf>
    <xf numFmtId="0" fontId="0" fillId="7" borderId="19" xfId="0" applyFill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4" fontId="3" fillId="4" borderId="34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3" fillId="4" borderId="32" xfId="0" applyFont="1" applyFill="1" applyBorder="1" applyAlignment="1">
      <alignment horizontal="right"/>
    </xf>
    <xf numFmtId="2" fontId="2" fillId="4" borderId="22" xfId="0" applyNumberFormat="1" applyFont="1" applyFill="1" applyBorder="1" applyAlignment="1">
      <alignment/>
    </xf>
    <xf numFmtId="2" fontId="2" fillId="4" borderId="2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3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37" xfId="0" applyFont="1" applyBorder="1" applyAlignment="1">
      <alignment/>
    </xf>
    <xf numFmtId="0" fontId="1" fillId="0" borderId="5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2" fontId="0" fillId="0" borderId="6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10" fillId="0" borderId="3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20" xfId="0" applyBorder="1" applyAlignment="1">
      <alignment horizontal="center"/>
    </xf>
    <xf numFmtId="10" fontId="0" fillId="7" borderId="40" xfId="21" applyNumberFormat="1" applyFill="1" applyBorder="1" applyAlignment="1">
      <alignment horizontal="center"/>
    </xf>
    <xf numFmtId="10" fontId="0" fillId="7" borderId="20" xfId="21" applyNumberForma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7" xfId="0" applyBorder="1" applyAlignment="1">
      <alignment horizontal="left"/>
    </xf>
    <xf numFmtId="175" fontId="14" fillId="0" borderId="0" xfId="17" applyNumberFormat="1" applyFont="1" applyBorder="1" applyAlignment="1">
      <alignment horizontal="left" indent="2"/>
    </xf>
    <xf numFmtId="175" fontId="14" fillId="0" borderId="0" xfId="17" applyNumberFormat="1" applyFont="1" applyBorder="1" applyAlignment="1">
      <alignment horizontal="center"/>
    </xf>
    <xf numFmtId="176" fontId="14" fillId="0" borderId="0" xfId="17" applyNumberFormat="1" applyFont="1" applyBorder="1" applyAlignment="1">
      <alignment/>
    </xf>
    <xf numFmtId="175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75" fontId="16" fillId="0" borderId="0" xfId="17" applyNumberFormat="1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175" fontId="14" fillId="0" borderId="0" xfId="17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2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0" fontId="2" fillId="8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/>
    </xf>
    <xf numFmtId="0" fontId="1" fillId="0" borderId="16" xfId="0" applyFont="1" applyBorder="1" applyAlignment="1">
      <alignment horizontal="right"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3" fillId="8" borderId="44" xfId="0" applyFont="1" applyFill="1" applyBorder="1" applyAlignment="1">
      <alignment vertical="top" wrapText="1"/>
    </xf>
    <xf numFmtId="0" fontId="3" fillId="8" borderId="17" xfId="0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3" fillId="9" borderId="19" xfId="0" applyFont="1" applyFill="1" applyBorder="1" applyAlignment="1">
      <alignment horizontal="right" vertical="top" wrapText="1"/>
    </xf>
    <xf numFmtId="0" fontId="3" fillId="9" borderId="40" xfId="0" applyFont="1" applyFill="1" applyBorder="1" applyAlignment="1">
      <alignment horizontal="right" vertical="top" wrapText="1"/>
    </xf>
    <xf numFmtId="0" fontId="3" fillId="9" borderId="20" xfId="0" applyFont="1" applyFill="1" applyBorder="1" applyAlignment="1">
      <alignment horizontal="right" vertical="top" wrapText="1"/>
    </xf>
    <xf numFmtId="2" fontId="17" fillId="0" borderId="16" xfId="0" applyNumberFormat="1" applyFont="1" applyBorder="1" applyAlignment="1">
      <alignment horizontal="right" vertical="top" wrapText="1"/>
    </xf>
    <xf numFmtId="2" fontId="3" fillId="9" borderId="16" xfId="0" applyNumberFormat="1" applyFont="1" applyFill="1" applyBorder="1" applyAlignment="1">
      <alignment horizontal="right" vertical="top" wrapText="1"/>
    </xf>
    <xf numFmtId="2" fontId="3" fillId="9" borderId="32" xfId="0" applyNumberFormat="1" applyFont="1" applyFill="1" applyBorder="1" applyAlignment="1">
      <alignment horizontal="right"/>
    </xf>
    <xf numFmtId="2" fontId="3" fillId="9" borderId="22" xfId="0" applyNumberFormat="1" applyFont="1" applyFill="1" applyBorder="1" applyAlignment="1">
      <alignment horizontal="right"/>
    </xf>
    <xf numFmtId="2" fontId="3" fillId="9" borderId="2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8" fontId="0" fillId="0" borderId="11" xfId="0" applyNumberForma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9" fontId="0" fillId="0" borderId="1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G13" sqref="G13"/>
    </sheetView>
  </sheetViews>
  <sheetFormatPr defaultColWidth="11.421875" defaultRowHeight="12.75"/>
  <cols>
    <col min="1" max="1" width="43.28125" style="0" customWidth="1"/>
    <col min="2" max="2" width="9.8515625" style="0" bestFit="1" customWidth="1"/>
    <col min="3" max="3" width="10.421875" style="0" bestFit="1" customWidth="1"/>
    <col min="4" max="4" width="9.421875" style="0" bestFit="1" customWidth="1"/>
    <col min="5" max="5" width="10.421875" style="0" bestFit="1" customWidth="1"/>
  </cols>
  <sheetData>
    <row r="1" ht="13.5" thickBot="1"/>
    <row r="2" spans="1:5" ht="13.5" thickBot="1">
      <c r="A2" s="270" t="s">
        <v>278</v>
      </c>
      <c r="B2" s="271"/>
      <c r="C2" s="271"/>
      <c r="D2" s="271"/>
      <c r="E2" s="272"/>
    </row>
    <row r="6" spans="1:5" ht="9.75" customHeight="1">
      <c r="A6" s="269" t="s">
        <v>172</v>
      </c>
      <c r="B6" s="269"/>
      <c r="C6" s="269"/>
      <c r="D6" s="269"/>
      <c r="E6" s="269"/>
    </row>
    <row r="7" spans="1:5" ht="9.75" customHeight="1" thickBot="1">
      <c r="A7" s="9"/>
      <c r="B7" s="9"/>
      <c r="C7" s="9"/>
      <c r="D7" s="9"/>
      <c r="E7" s="9"/>
    </row>
    <row r="8" spans="1:5" ht="12" customHeight="1" thickBot="1">
      <c r="A8" s="236" t="s">
        <v>0</v>
      </c>
      <c r="B8" s="170" t="s">
        <v>34</v>
      </c>
      <c r="C8" s="170" t="s">
        <v>55</v>
      </c>
      <c r="D8" s="170" t="s">
        <v>151</v>
      </c>
      <c r="E8" s="171" t="s">
        <v>152</v>
      </c>
    </row>
    <row r="9" spans="1:5" ht="12" customHeight="1">
      <c r="A9" s="229"/>
      <c r="B9" s="230" t="s">
        <v>153</v>
      </c>
      <c r="C9" s="230"/>
      <c r="D9" s="230" t="s">
        <v>154</v>
      </c>
      <c r="E9" s="231" t="s">
        <v>35</v>
      </c>
    </row>
    <row r="10" spans="1:7" ht="12" customHeight="1">
      <c r="A10" s="232" t="s">
        <v>165</v>
      </c>
      <c r="B10" s="233" t="s">
        <v>5</v>
      </c>
      <c r="C10" s="233">
        <v>1</v>
      </c>
      <c r="D10" s="233">
        <v>150</v>
      </c>
      <c r="E10" s="257">
        <f aca="true" t="shared" si="0" ref="E10:E15">D10*C10</f>
        <v>150</v>
      </c>
      <c r="F10" s="9"/>
      <c r="G10" s="9"/>
    </row>
    <row r="11" spans="1:7" ht="12" customHeight="1">
      <c r="A11" s="232" t="s">
        <v>166</v>
      </c>
      <c r="B11" s="233" t="s">
        <v>168</v>
      </c>
      <c r="C11" s="233">
        <v>25</v>
      </c>
      <c r="D11" s="233">
        <v>2</v>
      </c>
      <c r="E11" s="257">
        <f t="shared" si="0"/>
        <v>50</v>
      </c>
      <c r="F11" s="9"/>
      <c r="G11" s="9"/>
    </row>
    <row r="12" spans="1:7" ht="12" customHeight="1">
      <c r="A12" s="232" t="s">
        <v>167</v>
      </c>
      <c r="B12" s="233" t="s">
        <v>169</v>
      </c>
      <c r="C12" s="233">
        <v>1500</v>
      </c>
      <c r="D12" s="233">
        <v>0.15</v>
      </c>
      <c r="E12" s="257">
        <f t="shared" si="0"/>
        <v>225</v>
      </c>
      <c r="F12" s="9"/>
      <c r="G12" s="9"/>
    </row>
    <row r="13" spans="1:7" ht="12" customHeight="1">
      <c r="A13" s="232" t="s">
        <v>170</v>
      </c>
      <c r="B13" s="233" t="s">
        <v>5</v>
      </c>
      <c r="C13" s="233">
        <v>1</v>
      </c>
      <c r="D13" s="233">
        <v>150</v>
      </c>
      <c r="E13" s="257">
        <f t="shared" si="0"/>
        <v>150</v>
      </c>
      <c r="F13" s="9"/>
      <c r="G13" s="9"/>
    </row>
    <row r="14" spans="1:7" ht="12" customHeight="1">
      <c r="A14" s="232" t="s">
        <v>221</v>
      </c>
      <c r="B14" s="233" t="s">
        <v>222</v>
      </c>
      <c r="C14" s="233">
        <v>100</v>
      </c>
      <c r="D14" s="233">
        <v>5</v>
      </c>
      <c r="E14" s="257">
        <f t="shared" si="0"/>
        <v>500</v>
      </c>
      <c r="F14" s="9"/>
      <c r="G14" s="9"/>
    </row>
    <row r="15" spans="1:9" ht="12" customHeight="1" thickBot="1">
      <c r="A15" s="234" t="s">
        <v>260</v>
      </c>
      <c r="B15" s="235"/>
      <c r="C15" s="235">
        <v>1.1</v>
      </c>
      <c r="D15" s="235">
        <v>200</v>
      </c>
      <c r="E15" s="258">
        <f t="shared" si="0"/>
        <v>220.00000000000003</v>
      </c>
      <c r="F15" s="9"/>
      <c r="G15" s="227">
        <f>220*26+50</f>
        <v>5770</v>
      </c>
      <c r="H15" s="200"/>
      <c r="I15" s="200">
        <f>8*26*40</f>
        <v>8320</v>
      </c>
    </row>
    <row r="16" spans="1:7" ht="12" customHeight="1" thickBot="1">
      <c r="A16" s="177" t="s">
        <v>35</v>
      </c>
      <c r="B16" s="228"/>
      <c r="C16" s="228"/>
      <c r="D16" s="228"/>
      <c r="E16" s="259">
        <f>SUM(E10:E15)</f>
        <v>1295</v>
      </c>
      <c r="F16" s="9"/>
      <c r="G16" s="9"/>
    </row>
    <row r="17" spans="1:7" ht="9.75" customHeight="1">
      <c r="A17" s="52"/>
      <c r="B17" s="6"/>
      <c r="C17" s="6"/>
      <c r="D17" s="6"/>
      <c r="E17" s="260"/>
      <c r="F17" s="9"/>
      <c r="G17" s="9"/>
    </row>
    <row r="18" spans="1:7" ht="9.75" customHeight="1">
      <c r="A18" s="52"/>
      <c r="B18" s="6"/>
      <c r="C18" s="6"/>
      <c r="D18" s="6"/>
      <c r="E18" s="260"/>
      <c r="F18" s="9"/>
      <c r="G18" s="9"/>
    </row>
    <row r="19" spans="1:7" ht="9.75" customHeight="1" thickBot="1">
      <c r="A19" s="52"/>
      <c r="B19" s="6"/>
      <c r="C19" s="6"/>
      <c r="D19" s="6"/>
      <c r="E19" s="260"/>
      <c r="F19" s="9"/>
      <c r="G19" s="9"/>
    </row>
    <row r="20" spans="1:7" ht="13.5" customHeight="1" thickBot="1">
      <c r="A20" s="225" t="s">
        <v>264</v>
      </c>
      <c r="B20" s="237"/>
      <c r="C20" s="238"/>
      <c r="D20" s="238"/>
      <c r="E20" s="261">
        <f>E16*26</f>
        <v>33670</v>
      </c>
      <c r="F20" s="9"/>
      <c r="G20" s="9"/>
    </row>
    <row r="21" spans="1:7" ht="9.75" customHeight="1" thickBot="1">
      <c r="A21" s="52"/>
      <c r="B21" s="6"/>
      <c r="C21" s="6"/>
      <c r="D21" s="6"/>
      <c r="E21" s="6"/>
      <c r="F21" s="9"/>
      <c r="G21" s="9"/>
    </row>
    <row r="22" spans="1:7" ht="15" customHeight="1" thickBot="1">
      <c r="A22" s="273" t="s">
        <v>280</v>
      </c>
      <c r="B22" s="274"/>
      <c r="C22" s="274"/>
      <c r="D22" s="274"/>
      <c r="E22" s="262">
        <f>+E20/1.99</f>
        <v>16919.59798994975</v>
      </c>
      <c r="F22" s="9"/>
      <c r="G22" s="9"/>
    </row>
    <row r="23" spans="1:7" ht="9.75" customHeight="1">
      <c r="A23" s="52"/>
      <c r="B23" s="253"/>
      <c r="C23" s="253"/>
      <c r="D23" s="253"/>
      <c r="E23" s="253"/>
      <c r="F23" s="9"/>
      <c r="G23" s="9"/>
    </row>
    <row r="24" spans="1:7" ht="9.75" customHeight="1">
      <c r="A24" s="52"/>
      <c r="B24" s="253"/>
      <c r="C24" s="253"/>
      <c r="D24" s="253"/>
      <c r="E24" s="253"/>
      <c r="F24" s="9"/>
      <c r="G24" s="9"/>
    </row>
    <row r="25" spans="1:7" ht="9.75" customHeight="1">
      <c r="A25" s="52"/>
      <c r="B25" s="254"/>
      <c r="C25" s="253"/>
      <c r="D25" s="255"/>
      <c r="E25" s="253"/>
      <c r="F25" s="9"/>
      <c r="G25" s="9"/>
    </row>
    <row r="26" spans="1:7" ht="9.75" customHeight="1">
      <c r="A26" s="52"/>
      <c r="B26" s="255"/>
      <c r="C26" s="253"/>
      <c r="D26" s="255"/>
      <c r="E26" s="255"/>
      <c r="F26" s="9"/>
      <c r="G26" s="9"/>
    </row>
    <row r="27" spans="1:7" ht="9.75" customHeight="1">
      <c r="A27" s="52"/>
      <c r="B27" s="255"/>
      <c r="C27" s="253"/>
      <c r="D27" s="253"/>
      <c r="E27" s="253"/>
      <c r="F27" s="9"/>
      <c r="G27" s="9"/>
    </row>
    <row r="28" spans="1:7" ht="9.75" customHeight="1">
      <c r="A28" s="52"/>
      <c r="B28" s="255"/>
      <c r="C28" s="253"/>
      <c r="D28" s="255"/>
      <c r="E28" s="255"/>
      <c r="F28" s="9"/>
      <c r="G28" s="9"/>
    </row>
    <row r="29" spans="1:7" ht="9.75" customHeight="1">
      <c r="A29" s="52"/>
      <c r="B29" s="255"/>
      <c r="C29" s="253"/>
      <c r="D29" s="255"/>
      <c r="E29" s="255"/>
      <c r="F29" s="9"/>
      <c r="G29" s="9"/>
    </row>
    <row r="30" spans="1:7" ht="9.75" customHeight="1">
      <c r="A30" s="52"/>
      <c r="B30" s="253"/>
      <c r="C30" s="253"/>
      <c r="D30" s="253"/>
      <c r="E30" s="253"/>
      <c r="F30" s="9"/>
      <c r="G30" s="9"/>
    </row>
    <row r="31" spans="1:7" ht="9.75" customHeight="1">
      <c r="A31" s="52"/>
      <c r="B31" s="253"/>
      <c r="C31" s="253"/>
      <c r="D31" s="253"/>
      <c r="E31" s="253"/>
      <c r="F31" s="9"/>
      <c r="G31" s="9"/>
    </row>
    <row r="32" spans="1:7" ht="9.75" customHeight="1">
      <c r="A32" s="52"/>
      <c r="B32" s="253"/>
      <c r="C32" s="253"/>
      <c r="D32" s="253"/>
      <c r="E32" s="253"/>
      <c r="F32" s="9"/>
      <c r="G32" s="9"/>
    </row>
    <row r="33" spans="1:7" ht="9.75" customHeight="1">
      <c r="A33" s="52"/>
      <c r="B33" s="253"/>
      <c r="C33" s="253"/>
      <c r="D33" s="253"/>
      <c r="E33" s="253"/>
      <c r="F33" s="9"/>
      <c r="G33" s="9"/>
    </row>
    <row r="34" spans="1:7" ht="9.75" customHeight="1">
      <c r="A34" s="52"/>
      <c r="B34" s="253"/>
      <c r="C34" s="253"/>
      <c r="D34" s="253"/>
      <c r="E34" s="253"/>
      <c r="F34" s="9"/>
      <c r="G34" s="9"/>
    </row>
    <row r="35" spans="1:7" ht="9.75" customHeight="1">
      <c r="A35" s="52"/>
      <c r="B35" s="255"/>
      <c r="C35" s="253"/>
      <c r="D35" s="255"/>
      <c r="E35" s="255"/>
      <c r="F35" s="9"/>
      <c r="G35" s="9"/>
    </row>
    <row r="36" spans="1:7" ht="9.75" customHeight="1">
      <c r="A36" s="52"/>
      <c r="B36" s="253"/>
      <c r="C36" s="253"/>
      <c r="D36" s="253"/>
      <c r="E36" s="253"/>
      <c r="F36" s="9"/>
      <c r="G36" s="9"/>
    </row>
    <row r="37" spans="1:7" ht="9.75" customHeight="1">
      <c r="A37" s="52"/>
      <c r="B37" s="253"/>
      <c r="C37" s="253"/>
      <c r="D37" s="253"/>
      <c r="E37" s="253"/>
      <c r="F37" s="9"/>
      <c r="G37" s="9"/>
    </row>
    <row r="38" spans="1:7" ht="9.75" customHeight="1">
      <c r="A38" s="52"/>
      <c r="B38" s="253"/>
      <c r="C38" s="253"/>
      <c r="D38" s="253"/>
      <c r="E38" s="253"/>
      <c r="F38" s="9"/>
      <c r="G38" s="9"/>
    </row>
    <row r="39" spans="1:7" ht="9.75" customHeight="1">
      <c r="A39" s="52"/>
      <c r="B39" s="255"/>
      <c r="C39" s="253"/>
      <c r="D39" s="255"/>
      <c r="E39" s="255"/>
      <c r="F39" s="9"/>
      <c r="G39" s="9"/>
    </row>
    <row r="40" spans="1:7" ht="9.75" customHeight="1">
      <c r="A40" s="52"/>
      <c r="B40" s="253"/>
      <c r="C40" s="253"/>
      <c r="D40" s="253"/>
      <c r="E40" s="253"/>
      <c r="F40" s="9"/>
      <c r="G40" s="9"/>
    </row>
    <row r="41" spans="1:7" ht="9.75" customHeight="1">
      <c r="A41" s="52"/>
      <c r="B41" s="255"/>
      <c r="C41" s="253"/>
      <c r="D41" s="255"/>
      <c r="E41" s="255"/>
      <c r="F41" s="9"/>
      <c r="G41" s="9"/>
    </row>
    <row r="42" spans="1:7" ht="9.75" customHeight="1">
      <c r="A42" s="52"/>
      <c r="B42" s="253"/>
      <c r="C42" s="52"/>
      <c r="D42" s="7"/>
      <c r="E42" s="7"/>
      <c r="F42" s="9"/>
      <c r="G42" s="9"/>
    </row>
    <row r="43" spans="1:5" ht="9.75" customHeight="1">
      <c r="A43" s="52"/>
      <c r="B43" s="253"/>
      <c r="C43" s="52"/>
      <c r="D43" s="7"/>
      <c r="E43" s="7"/>
    </row>
    <row r="44" spans="1:5" ht="9.75" customHeight="1">
      <c r="A44" s="9"/>
      <c r="B44" s="6"/>
      <c r="C44" s="9"/>
      <c r="D44" s="1"/>
      <c r="E44" s="1"/>
    </row>
    <row r="45" spans="1:5" ht="9.75" customHeight="1">
      <c r="A45" s="9"/>
      <c r="B45" s="6"/>
      <c r="C45" s="9"/>
      <c r="D45" s="1"/>
      <c r="E45" s="1"/>
    </row>
    <row r="46" spans="1:5" ht="9.75" customHeight="1">
      <c r="A46" s="9"/>
      <c r="B46" s="6"/>
      <c r="C46" s="9"/>
      <c r="D46" s="1"/>
      <c r="E46" s="1"/>
    </row>
    <row r="47" spans="1:5" ht="9.75" customHeight="1">
      <c r="A47" s="9"/>
      <c r="B47" s="6"/>
      <c r="C47" s="9"/>
      <c r="D47" s="1"/>
      <c r="E47" s="1"/>
    </row>
    <row r="48" spans="1:5" ht="9.75" customHeight="1">
      <c r="A48" s="9"/>
      <c r="B48" s="6"/>
      <c r="C48" s="9"/>
      <c r="D48" s="1"/>
      <c r="E48" s="1"/>
    </row>
    <row r="49" spans="1:5" ht="9.75" customHeight="1">
      <c r="A49" s="9"/>
      <c r="B49" s="6"/>
      <c r="C49" s="9"/>
      <c r="D49" s="1"/>
      <c r="E49" s="1"/>
    </row>
    <row r="50" spans="1:5" ht="9.75" customHeight="1">
      <c r="A50" s="9"/>
      <c r="B50" s="6"/>
      <c r="C50" s="9"/>
      <c r="D50" s="1"/>
      <c r="E50" s="1"/>
    </row>
    <row r="51" spans="1:5" ht="9.75" customHeight="1">
      <c r="A51" s="9"/>
      <c r="B51" s="6"/>
      <c r="C51" s="9"/>
      <c r="D51" s="1"/>
      <c r="E51" s="1"/>
    </row>
    <row r="52" spans="1:5" ht="9.75" customHeight="1">
      <c r="A52" s="9"/>
      <c r="B52" s="6"/>
      <c r="C52" s="9"/>
      <c r="D52" s="9"/>
      <c r="E52" s="9"/>
    </row>
    <row r="53" spans="1:5" ht="9.75" customHeight="1">
      <c r="A53" s="227" t="s">
        <v>156</v>
      </c>
      <c r="B53" s="227"/>
      <c r="C53" s="227"/>
      <c r="D53" s="227"/>
      <c r="E53" s="256">
        <v>628</v>
      </c>
    </row>
  </sheetData>
  <mergeCells count="3">
    <mergeCell ref="A6:E6"/>
    <mergeCell ref="A2:E2"/>
    <mergeCell ref="A22:D22"/>
  </mergeCells>
  <printOptions/>
  <pageMargins left="1.03" right="0.61" top="2.06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27"/>
  <sheetViews>
    <sheetView workbookViewId="0" topLeftCell="A1">
      <selection activeCell="O16" sqref="O16"/>
    </sheetView>
  </sheetViews>
  <sheetFormatPr defaultColWidth="11.421875" defaultRowHeight="12.75"/>
  <cols>
    <col min="3" max="3" width="12.7109375" style="0" bestFit="1" customWidth="1"/>
    <col min="4" max="13" width="6.7109375" style="0" customWidth="1"/>
  </cols>
  <sheetData>
    <row r="4" ht="13.5" thickBot="1"/>
    <row r="5" spans="1:13" ht="13.5" thickBot="1">
      <c r="A5" s="270" t="s">
        <v>277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2"/>
    </row>
    <row r="9" ht="13.5" thickBot="1"/>
    <row r="10" spans="1:13" ht="13.5" thickBot="1">
      <c r="A10" s="306" t="s">
        <v>276</v>
      </c>
      <c r="B10" s="307"/>
      <c r="C10" s="214" t="s">
        <v>216</v>
      </c>
      <c r="D10" s="214" t="s">
        <v>41</v>
      </c>
      <c r="E10" s="214" t="s">
        <v>42</v>
      </c>
      <c r="F10" s="214" t="s">
        <v>43</v>
      </c>
      <c r="G10" s="214" t="s">
        <v>44</v>
      </c>
      <c r="H10" s="214" t="s">
        <v>45</v>
      </c>
      <c r="I10" s="214" t="s">
        <v>46</v>
      </c>
      <c r="J10" s="214" t="s">
        <v>47</v>
      </c>
      <c r="K10" s="214" t="s">
        <v>48</v>
      </c>
      <c r="L10" s="214" t="s">
        <v>49</v>
      </c>
      <c r="M10" s="215" t="s">
        <v>50</v>
      </c>
    </row>
    <row r="11" spans="1:13" ht="12.75">
      <c r="A11" s="315" t="s">
        <v>122</v>
      </c>
      <c r="B11" s="316"/>
      <c r="C11" s="218">
        <f>INVERSION!E18</f>
        <v>1950</v>
      </c>
      <c r="D11" s="219"/>
      <c r="E11" s="219"/>
      <c r="F11" s="219">
        <f>C11/5</f>
        <v>390</v>
      </c>
      <c r="G11" s="219"/>
      <c r="H11" s="219"/>
      <c r="I11" s="219">
        <f>F11</f>
        <v>390</v>
      </c>
      <c r="J11" s="219"/>
      <c r="K11" s="219"/>
      <c r="L11" s="219">
        <f>I11</f>
        <v>390</v>
      </c>
      <c r="M11" s="220"/>
    </row>
    <row r="12" spans="1:13" ht="12.75">
      <c r="A12" s="311" t="s">
        <v>123</v>
      </c>
      <c r="B12" s="312"/>
      <c r="C12" s="221">
        <f>INVERSION!E31</f>
        <v>2200</v>
      </c>
      <c r="D12" s="30"/>
      <c r="E12" s="30"/>
      <c r="F12" s="30">
        <f>C12/2.5</f>
        <v>880</v>
      </c>
      <c r="G12" s="30"/>
      <c r="H12" s="30"/>
      <c r="I12" s="30">
        <f aca="true" t="shared" si="0" ref="I12:I26">F12</f>
        <v>880</v>
      </c>
      <c r="J12" s="30"/>
      <c r="K12" s="30"/>
      <c r="L12" s="30">
        <f aca="true" t="shared" si="1" ref="L12:L26">I12</f>
        <v>880</v>
      </c>
      <c r="M12" s="68"/>
    </row>
    <row r="13" spans="1:13" ht="12.75">
      <c r="A13" s="311" t="s">
        <v>56</v>
      </c>
      <c r="B13" s="312"/>
      <c r="C13" s="221">
        <f>INVERSION!E32</f>
        <v>50</v>
      </c>
      <c r="D13" s="30"/>
      <c r="E13" s="30"/>
      <c r="F13" s="30">
        <f aca="true" t="shared" si="2" ref="F13:F26">C13/5</f>
        <v>10</v>
      </c>
      <c r="G13" s="30"/>
      <c r="H13" s="30"/>
      <c r="I13" s="30">
        <f t="shared" si="0"/>
        <v>10</v>
      </c>
      <c r="J13" s="30"/>
      <c r="K13" s="30"/>
      <c r="L13" s="30">
        <f t="shared" si="1"/>
        <v>10</v>
      </c>
      <c r="M13" s="68"/>
    </row>
    <row r="14" spans="1:13" ht="12.75">
      <c r="A14" s="311" t="s">
        <v>16</v>
      </c>
      <c r="B14" s="312"/>
      <c r="C14" s="221">
        <f>INVERSION!E33</f>
        <v>300</v>
      </c>
      <c r="D14" s="30"/>
      <c r="E14" s="30"/>
      <c r="F14" s="30">
        <f t="shared" si="2"/>
        <v>60</v>
      </c>
      <c r="G14" s="30"/>
      <c r="H14" s="30"/>
      <c r="I14" s="30">
        <f t="shared" si="0"/>
        <v>60</v>
      </c>
      <c r="J14" s="30"/>
      <c r="K14" s="30"/>
      <c r="L14" s="30">
        <f t="shared" si="1"/>
        <v>60</v>
      </c>
      <c r="M14" s="68"/>
    </row>
    <row r="15" spans="1:13" ht="12.75">
      <c r="A15" s="311" t="s">
        <v>37</v>
      </c>
      <c r="B15" s="312"/>
      <c r="C15" s="221">
        <f>INVERSION!E34</f>
        <v>100</v>
      </c>
      <c r="D15" s="30"/>
      <c r="E15" s="30"/>
      <c r="F15" s="30">
        <f t="shared" si="2"/>
        <v>20</v>
      </c>
      <c r="G15" s="30"/>
      <c r="H15" s="30"/>
      <c r="I15" s="30">
        <f t="shared" si="0"/>
        <v>20</v>
      </c>
      <c r="J15" s="30"/>
      <c r="K15" s="30"/>
      <c r="L15" s="30">
        <f t="shared" si="1"/>
        <v>20</v>
      </c>
      <c r="M15" s="68"/>
    </row>
    <row r="16" spans="1:13" ht="12.75">
      <c r="A16" s="311" t="s">
        <v>14</v>
      </c>
      <c r="B16" s="312"/>
      <c r="C16" s="221">
        <f>INVERSION!E35</f>
        <v>30</v>
      </c>
      <c r="D16" s="30"/>
      <c r="E16" s="30"/>
      <c r="F16" s="30">
        <f t="shared" si="2"/>
        <v>6</v>
      </c>
      <c r="G16" s="30"/>
      <c r="H16" s="30"/>
      <c r="I16" s="30">
        <f t="shared" si="0"/>
        <v>6</v>
      </c>
      <c r="J16" s="30"/>
      <c r="K16" s="30"/>
      <c r="L16" s="30">
        <f t="shared" si="1"/>
        <v>6</v>
      </c>
      <c r="M16" s="68"/>
    </row>
    <row r="17" spans="1:13" ht="12.75">
      <c r="A17" s="311" t="s">
        <v>13</v>
      </c>
      <c r="B17" s="312"/>
      <c r="C17" s="221">
        <f>INVERSION!E36</f>
        <v>40</v>
      </c>
      <c r="D17" s="30"/>
      <c r="E17" s="30"/>
      <c r="F17" s="30">
        <f t="shared" si="2"/>
        <v>8</v>
      </c>
      <c r="G17" s="30"/>
      <c r="H17" s="30"/>
      <c r="I17" s="30">
        <f t="shared" si="0"/>
        <v>8</v>
      </c>
      <c r="J17" s="30"/>
      <c r="K17" s="30"/>
      <c r="L17" s="30">
        <f t="shared" si="1"/>
        <v>8</v>
      </c>
      <c r="M17" s="68"/>
    </row>
    <row r="18" spans="1:13" ht="12.75">
      <c r="A18" s="311" t="s">
        <v>8</v>
      </c>
      <c r="B18" s="312"/>
      <c r="C18" s="221">
        <f>INVERSION!E19</f>
        <v>130</v>
      </c>
      <c r="D18" s="30"/>
      <c r="E18" s="30"/>
      <c r="F18" s="30">
        <f t="shared" si="2"/>
        <v>26</v>
      </c>
      <c r="G18" s="30"/>
      <c r="H18" s="30"/>
      <c r="I18" s="30">
        <f t="shared" si="0"/>
        <v>26</v>
      </c>
      <c r="J18" s="30"/>
      <c r="K18" s="30"/>
      <c r="L18" s="30">
        <f t="shared" si="1"/>
        <v>26</v>
      </c>
      <c r="M18" s="68"/>
    </row>
    <row r="19" spans="1:13" ht="12.75">
      <c r="A19" s="311" t="s">
        <v>9</v>
      </c>
      <c r="B19" s="312"/>
      <c r="C19" s="221">
        <f>INVERSION!E20</f>
        <v>182</v>
      </c>
      <c r="D19" s="30"/>
      <c r="E19" s="30"/>
      <c r="F19" s="30">
        <f t="shared" si="2"/>
        <v>36.4</v>
      </c>
      <c r="G19" s="30"/>
      <c r="H19" s="30"/>
      <c r="I19" s="30">
        <f t="shared" si="0"/>
        <v>36.4</v>
      </c>
      <c r="J19" s="30"/>
      <c r="K19" s="30"/>
      <c r="L19" s="30">
        <f t="shared" si="1"/>
        <v>36.4</v>
      </c>
      <c r="M19" s="68"/>
    </row>
    <row r="20" spans="1:13" ht="12.75">
      <c r="A20" s="311" t="s">
        <v>17</v>
      </c>
      <c r="B20" s="312"/>
      <c r="C20" s="221">
        <f>INVERSION!E21</f>
        <v>390</v>
      </c>
      <c r="D20" s="30"/>
      <c r="E20" s="30"/>
      <c r="F20" s="30">
        <f t="shared" si="2"/>
        <v>78</v>
      </c>
      <c r="G20" s="30"/>
      <c r="H20" s="30"/>
      <c r="I20" s="30">
        <f t="shared" si="0"/>
        <v>78</v>
      </c>
      <c r="J20" s="30"/>
      <c r="K20" s="30"/>
      <c r="L20" s="30">
        <f t="shared" si="1"/>
        <v>78</v>
      </c>
      <c r="M20" s="68"/>
    </row>
    <row r="21" spans="1:13" ht="12.75">
      <c r="A21" s="311" t="s">
        <v>10</v>
      </c>
      <c r="B21" s="312"/>
      <c r="C21" s="221">
        <f>INVERSION!E22</f>
        <v>182</v>
      </c>
      <c r="D21" s="30"/>
      <c r="E21" s="30"/>
      <c r="F21" s="30">
        <f t="shared" si="2"/>
        <v>36.4</v>
      </c>
      <c r="G21" s="30"/>
      <c r="H21" s="30"/>
      <c r="I21" s="30">
        <f t="shared" si="0"/>
        <v>36.4</v>
      </c>
      <c r="J21" s="30"/>
      <c r="K21" s="30"/>
      <c r="L21" s="30">
        <f t="shared" si="1"/>
        <v>36.4</v>
      </c>
      <c r="M21" s="68"/>
    </row>
    <row r="22" spans="1:13" ht="12.75">
      <c r="A22" s="311" t="s">
        <v>11</v>
      </c>
      <c r="B22" s="312"/>
      <c r="C22" s="221">
        <f>INVERSION!E23</f>
        <v>260</v>
      </c>
      <c r="D22" s="30"/>
      <c r="E22" s="30"/>
      <c r="F22" s="30">
        <f t="shared" si="2"/>
        <v>52</v>
      </c>
      <c r="G22" s="30"/>
      <c r="H22" s="30"/>
      <c r="I22" s="30">
        <f t="shared" si="0"/>
        <v>52</v>
      </c>
      <c r="J22" s="30"/>
      <c r="K22" s="30"/>
      <c r="L22" s="30">
        <f t="shared" si="1"/>
        <v>52</v>
      </c>
      <c r="M22" s="68"/>
    </row>
    <row r="23" spans="1:13" ht="12.75">
      <c r="A23" s="311" t="s">
        <v>32</v>
      </c>
      <c r="B23" s="312"/>
      <c r="C23" s="221">
        <f>INVERSION!E24</f>
        <v>52</v>
      </c>
      <c r="D23" s="30"/>
      <c r="E23" s="30"/>
      <c r="F23" s="30">
        <f t="shared" si="2"/>
        <v>10.4</v>
      </c>
      <c r="G23" s="30"/>
      <c r="H23" s="30"/>
      <c r="I23" s="30">
        <f t="shared" si="0"/>
        <v>10.4</v>
      </c>
      <c r="J23" s="30"/>
      <c r="K23" s="30"/>
      <c r="L23" s="30">
        <f t="shared" si="1"/>
        <v>10.4</v>
      </c>
      <c r="M23" s="68"/>
    </row>
    <row r="24" spans="1:13" ht="12.75">
      <c r="A24" s="311" t="s">
        <v>86</v>
      </c>
      <c r="B24" s="312"/>
      <c r="C24" s="221">
        <f>INVERSION!E25</f>
        <v>52</v>
      </c>
      <c r="D24" s="30"/>
      <c r="E24" s="30"/>
      <c r="F24" s="30">
        <f t="shared" si="2"/>
        <v>10.4</v>
      </c>
      <c r="G24" s="30"/>
      <c r="H24" s="30"/>
      <c r="I24" s="30">
        <f t="shared" si="0"/>
        <v>10.4</v>
      </c>
      <c r="J24" s="30"/>
      <c r="K24" s="30"/>
      <c r="L24" s="30">
        <f t="shared" si="1"/>
        <v>10.4</v>
      </c>
      <c r="M24" s="68"/>
    </row>
    <row r="25" spans="1:13" ht="12.75">
      <c r="A25" s="311" t="s">
        <v>98</v>
      </c>
      <c r="B25" s="312"/>
      <c r="C25" s="221">
        <f>INVERSION!E26</f>
        <v>3</v>
      </c>
      <c r="D25" s="30"/>
      <c r="E25" s="30"/>
      <c r="F25" s="30">
        <f t="shared" si="2"/>
        <v>0.6</v>
      </c>
      <c r="G25" s="30"/>
      <c r="H25" s="30"/>
      <c r="I25" s="30">
        <f t="shared" si="0"/>
        <v>0.6</v>
      </c>
      <c r="J25" s="30"/>
      <c r="K25" s="30"/>
      <c r="L25" s="30">
        <f t="shared" si="1"/>
        <v>0.6</v>
      </c>
      <c r="M25" s="68"/>
    </row>
    <row r="26" spans="1:13" ht="13.5" thickBot="1">
      <c r="A26" s="313" t="s">
        <v>92</v>
      </c>
      <c r="B26" s="314"/>
      <c r="C26" s="222">
        <f>INVERSION!E27</f>
        <v>52</v>
      </c>
      <c r="D26" s="223"/>
      <c r="E26" s="223"/>
      <c r="F26" s="223">
        <f t="shared" si="2"/>
        <v>10.4</v>
      </c>
      <c r="G26" s="223"/>
      <c r="H26" s="223"/>
      <c r="I26" s="223">
        <f t="shared" si="0"/>
        <v>10.4</v>
      </c>
      <c r="J26" s="223"/>
      <c r="K26" s="223"/>
      <c r="L26" s="223">
        <f t="shared" si="1"/>
        <v>10.4</v>
      </c>
      <c r="M26" s="224"/>
    </row>
    <row r="27" spans="1:13" ht="13.5" thickBot="1">
      <c r="A27" s="308" t="s">
        <v>124</v>
      </c>
      <c r="B27" s="309"/>
      <c r="C27" s="310"/>
      <c r="D27" s="216"/>
      <c r="E27" s="216"/>
      <c r="F27" s="225">
        <f>SUM(F11:F26)</f>
        <v>1634.6000000000004</v>
      </c>
      <c r="G27" s="216"/>
      <c r="H27" s="216"/>
      <c r="I27" s="225">
        <f>SUM(I11:I26)</f>
        <v>1634.6000000000004</v>
      </c>
      <c r="J27" s="216"/>
      <c r="K27" s="216"/>
      <c r="L27" s="225">
        <f>SUM(L11:L26)</f>
        <v>1634.6000000000004</v>
      </c>
      <c r="M27" s="217"/>
    </row>
  </sheetData>
  <mergeCells count="19">
    <mergeCell ref="A11:B11"/>
    <mergeCell ref="A12:B12"/>
    <mergeCell ref="A13:B13"/>
    <mergeCell ref="A14:B14"/>
    <mergeCell ref="A22:B22"/>
    <mergeCell ref="A15:B15"/>
    <mergeCell ref="A16:B16"/>
    <mergeCell ref="A17:B17"/>
    <mergeCell ref="A18:B18"/>
    <mergeCell ref="A10:B10"/>
    <mergeCell ref="A27:C27"/>
    <mergeCell ref="A5:M5"/>
    <mergeCell ref="A23:B23"/>
    <mergeCell ref="A24:B24"/>
    <mergeCell ref="A25:B25"/>
    <mergeCell ref="A26:B26"/>
    <mergeCell ref="A19:B19"/>
    <mergeCell ref="A20:B20"/>
    <mergeCell ref="A21:B21"/>
  </mergeCells>
  <printOptions/>
  <pageMargins left="1.86" right="0.75" top="1" bottom="1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M38"/>
  <sheetViews>
    <sheetView workbookViewId="0" topLeftCell="A8">
      <selection activeCell="A3" sqref="A3:M38"/>
    </sheetView>
  </sheetViews>
  <sheetFormatPr defaultColWidth="11.421875" defaultRowHeight="12.75"/>
  <cols>
    <col min="3" max="13" width="9.421875" style="0" customWidth="1"/>
  </cols>
  <sheetData>
    <row r="1" spans="1:13" ht="12.7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3" spans="1:13" ht="12.75">
      <c r="A3" s="279" t="s">
        <v>272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79" t="s">
        <v>271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6" ht="13.5" thickBot="1"/>
    <row r="7" spans="1:13" ht="13.5" thickBot="1">
      <c r="A7" s="318"/>
      <c r="B7" s="319"/>
      <c r="C7" s="153" t="s">
        <v>121</v>
      </c>
      <c r="D7" s="153" t="s">
        <v>41</v>
      </c>
      <c r="E7" s="153" t="s">
        <v>42</v>
      </c>
      <c r="F7" s="153" t="s">
        <v>43</v>
      </c>
      <c r="G7" s="153" t="s">
        <v>44</v>
      </c>
      <c r="H7" s="153" t="s">
        <v>45</v>
      </c>
      <c r="I7" s="153" t="s">
        <v>46</v>
      </c>
      <c r="J7" s="153" t="s">
        <v>47</v>
      </c>
      <c r="K7" s="153" t="s">
        <v>48</v>
      </c>
      <c r="L7" s="153" t="s">
        <v>49</v>
      </c>
      <c r="M7" s="154" t="s">
        <v>50</v>
      </c>
    </row>
    <row r="8" spans="1:13" ht="12.75">
      <c r="A8" s="323" t="s">
        <v>125</v>
      </c>
      <c r="B8" s="324"/>
      <c r="C8" s="151"/>
      <c r="D8" s="151">
        <f>INGRESOS!G19</f>
        <v>49870.5</v>
      </c>
      <c r="E8" s="151">
        <f>INGRESOS!G21</f>
        <v>54857.55</v>
      </c>
      <c r="F8" s="151">
        <f aca="true" t="shared" si="0" ref="F8:M8">E8</f>
        <v>54857.55</v>
      </c>
      <c r="G8" s="151">
        <f t="shared" si="0"/>
        <v>54857.55</v>
      </c>
      <c r="H8" s="151">
        <f t="shared" si="0"/>
        <v>54857.55</v>
      </c>
      <c r="I8" s="151">
        <f t="shared" si="0"/>
        <v>54857.55</v>
      </c>
      <c r="J8" s="151">
        <f t="shared" si="0"/>
        <v>54857.55</v>
      </c>
      <c r="K8" s="151">
        <f t="shared" si="0"/>
        <v>54857.55</v>
      </c>
      <c r="L8" s="151">
        <f t="shared" si="0"/>
        <v>54857.55</v>
      </c>
      <c r="M8" s="152">
        <f t="shared" si="0"/>
        <v>54857.55</v>
      </c>
    </row>
    <row r="9" spans="1:13" ht="12.75">
      <c r="A9" s="317" t="s">
        <v>126</v>
      </c>
      <c r="B9" s="296"/>
      <c r="C9" s="30"/>
      <c r="D9" s="30"/>
      <c r="E9" s="30"/>
      <c r="F9" s="30">
        <f>'VTA D ACTIVOS'!F27</f>
        <v>1634.6000000000004</v>
      </c>
      <c r="G9" s="30">
        <f>'VTA D ACTIVOS'!G27</f>
        <v>0</v>
      </c>
      <c r="H9" s="30">
        <f>'VTA D ACTIVOS'!H27</f>
        <v>0</v>
      </c>
      <c r="I9" s="30">
        <f>'VTA D ACTIVOS'!I27</f>
        <v>1634.6000000000004</v>
      </c>
      <c r="J9" s="30">
        <f>'VTA D ACTIVOS'!J27</f>
        <v>0</v>
      </c>
      <c r="K9" s="30">
        <f>'VTA D ACTIVOS'!K27</f>
        <v>0</v>
      </c>
      <c r="L9" s="30">
        <f>'VTA D ACTIVOS'!L27</f>
        <v>1634.6000000000004</v>
      </c>
      <c r="M9" s="68">
        <f>'VTA D ACTIVOS'!M27</f>
        <v>0</v>
      </c>
    </row>
    <row r="10" spans="1:13" ht="12.75">
      <c r="A10" s="317" t="s">
        <v>127</v>
      </c>
      <c r="B10" s="296"/>
      <c r="C10" s="30"/>
      <c r="D10" s="30">
        <f>-'COSTOS VAR'!E20</f>
        <v>-33670</v>
      </c>
      <c r="E10" s="57">
        <f>-'COSTOS VAR'!E22</f>
        <v>-16919.59798994975</v>
      </c>
      <c r="F10" s="57">
        <f aca="true" t="shared" si="1" ref="F10:M10">E10</f>
        <v>-16919.59798994975</v>
      </c>
      <c r="G10" s="57">
        <f t="shared" si="1"/>
        <v>-16919.59798994975</v>
      </c>
      <c r="H10" s="57">
        <f t="shared" si="1"/>
        <v>-16919.59798994975</v>
      </c>
      <c r="I10" s="57">
        <f t="shared" si="1"/>
        <v>-16919.59798994975</v>
      </c>
      <c r="J10" s="57">
        <f t="shared" si="1"/>
        <v>-16919.59798994975</v>
      </c>
      <c r="K10" s="57">
        <f t="shared" si="1"/>
        <v>-16919.59798994975</v>
      </c>
      <c r="L10" s="57">
        <f t="shared" si="1"/>
        <v>-16919.59798994975</v>
      </c>
      <c r="M10" s="148">
        <f t="shared" si="1"/>
        <v>-16919.59798994975</v>
      </c>
    </row>
    <row r="11" spans="1:13" ht="12.75">
      <c r="A11" s="317" t="s">
        <v>128</v>
      </c>
      <c r="B11" s="296"/>
      <c r="C11" s="30"/>
      <c r="D11" s="105">
        <f>-'COSTOS FIJOS'!E27</f>
        <v>-14890.5</v>
      </c>
      <c r="E11" s="105">
        <f>-'COSTOS FIJOS'!F27</f>
        <v>-14890.5</v>
      </c>
      <c r="F11" s="105">
        <f>-'COSTOS FIJOS'!G27</f>
        <v>-14890.5</v>
      </c>
      <c r="G11" s="105">
        <f>-'COSTOS FIJOS'!H27</f>
        <v>-14890.5</v>
      </c>
      <c r="H11" s="105">
        <f>-'COSTOS FIJOS'!I27</f>
        <v>-14890.5</v>
      </c>
      <c r="I11" s="105">
        <f>-'COSTOS FIJOS'!J27</f>
        <v>-14890.5</v>
      </c>
      <c r="J11" s="105">
        <f>-'COSTOS FIJOS'!K27</f>
        <v>-14890.5</v>
      </c>
      <c r="K11" s="105">
        <f>-'COSTOS FIJOS'!L27</f>
        <v>-14890.5</v>
      </c>
      <c r="L11" s="105">
        <f>-'COSTOS FIJOS'!M27</f>
        <v>-14890.5</v>
      </c>
      <c r="M11" s="125">
        <f>-'COSTOS FIJOS'!N27</f>
        <v>-14890.5</v>
      </c>
    </row>
    <row r="12" spans="1:13" ht="12.75">
      <c r="A12" s="317" t="s">
        <v>129</v>
      </c>
      <c r="B12" s="296"/>
      <c r="C12" s="30"/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68">
        <v>0</v>
      </c>
    </row>
    <row r="13" spans="1:13" ht="12.75">
      <c r="A13" s="317" t="s">
        <v>130</v>
      </c>
      <c r="B13" s="296"/>
      <c r="C13" s="30"/>
      <c r="D13" s="25">
        <f>-GASTOS!C16</f>
        <v>-12480</v>
      </c>
      <c r="E13" s="25">
        <f>-GASTOS!D16</f>
        <v>-12480</v>
      </c>
      <c r="F13" s="25">
        <f>-GASTOS!E16</f>
        <v>-12480</v>
      </c>
      <c r="G13" s="25">
        <f>-GASTOS!F16</f>
        <v>-12480</v>
      </c>
      <c r="H13" s="25">
        <f>-GASTOS!G16</f>
        <v>-12480</v>
      </c>
      <c r="I13" s="25">
        <f>-GASTOS!H16</f>
        <v>-12480</v>
      </c>
      <c r="J13" s="25">
        <f>-GASTOS!I16</f>
        <v>-12480</v>
      </c>
      <c r="K13" s="25">
        <f>-GASTOS!J16</f>
        <v>-12480</v>
      </c>
      <c r="L13" s="25">
        <f>-GASTOS!K16</f>
        <v>-12480</v>
      </c>
      <c r="M13" s="149">
        <f>-GASTOS!L16</f>
        <v>-12480</v>
      </c>
    </row>
    <row r="14" spans="1:13" ht="12.75">
      <c r="A14" s="317" t="s">
        <v>131</v>
      </c>
      <c r="B14" s="296"/>
      <c r="C14" s="30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68">
        <v>0</v>
      </c>
    </row>
    <row r="15" spans="1:13" ht="12.75">
      <c r="A15" s="317" t="s">
        <v>132</v>
      </c>
      <c r="B15" s="296"/>
      <c r="C15" s="30"/>
      <c r="D15" s="57">
        <f>-'DEPRECICIONES TOTAL'!D33</f>
        <v>-2923.5</v>
      </c>
      <c r="E15" s="57">
        <f>D15</f>
        <v>-2923.5</v>
      </c>
      <c r="F15" s="57">
        <f aca="true" t="shared" si="2" ref="F15:M15">E15</f>
        <v>-2923.5</v>
      </c>
      <c r="G15" s="57">
        <f t="shared" si="2"/>
        <v>-2923.5</v>
      </c>
      <c r="H15" s="57">
        <f t="shared" si="2"/>
        <v>-2923.5</v>
      </c>
      <c r="I15" s="57">
        <f t="shared" si="2"/>
        <v>-2923.5</v>
      </c>
      <c r="J15" s="57">
        <f t="shared" si="2"/>
        <v>-2923.5</v>
      </c>
      <c r="K15" s="57">
        <f t="shared" si="2"/>
        <v>-2923.5</v>
      </c>
      <c r="L15" s="57">
        <f t="shared" si="2"/>
        <v>-2923.5</v>
      </c>
      <c r="M15" s="148">
        <f t="shared" si="2"/>
        <v>-2923.5</v>
      </c>
    </row>
    <row r="16" spans="1:13" ht="12.75">
      <c r="A16" s="317" t="s">
        <v>133</v>
      </c>
      <c r="B16" s="296"/>
      <c r="C16" s="30"/>
      <c r="D16" s="30">
        <f>-AMORTIZACIONES!E17</f>
        <v>-265</v>
      </c>
      <c r="E16" s="30">
        <f>D16</f>
        <v>-265</v>
      </c>
      <c r="F16" s="30">
        <f aca="true" t="shared" si="3" ref="F16:M16">E16</f>
        <v>-265</v>
      </c>
      <c r="G16" s="30">
        <f t="shared" si="3"/>
        <v>-265</v>
      </c>
      <c r="H16" s="30">
        <f t="shared" si="3"/>
        <v>-265</v>
      </c>
      <c r="I16" s="30">
        <f t="shared" si="3"/>
        <v>-265</v>
      </c>
      <c r="J16" s="30">
        <f t="shared" si="3"/>
        <v>-265</v>
      </c>
      <c r="K16" s="30">
        <f t="shared" si="3"/>
        <v>-265</v>
      </c>
      <c r="L16" s="30">
        <f t="shared" si="3"/>
        <v>-265</v>
      </c>
      <c r="M16" s="68">
        <f t="shared" si="3"/>
        <v>-265</v>
      </c>
    </row>
    <row r="17" spans="1:13" ht="12.75">
      <c r="A17" s="317" t="s">
        <v>134</v>
      </c>
      <c r="B17" s="296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68"/>
    </row>
    <row r="18" spans="1:13" ht="12.75">
      <c r="A18" s="317" t="s">
        <v>135</v>
      </c>
      <c r="B18" s="296"/>
      <c r="C18" s="30"/>
      <c r="D18" s="147">
        <f>SUM(D8:D17)</f>
        <v>-14358.5</v>
      </c>
      <c r="E18" s="147">
        <f aca="true" t="shared" si="4" ref="E18:M18">SUM(E8:E17)</f>
        <v>7378.952010050256</v>
      </c>
      <c r="F18" s="147">
        <f t="shared" si="4"/>
        <v>9013.552010050247</v>
      </c>
      <c r="G18" s="147">
        <f t="shared" si="4"/>
        <v>7378.952010050256</v>
      </c>
      <c r="H18" s="147">
        <f t="shared" si="4"/>
        <v>7378.952010050256</v>
      </c>
      <c r="I18" s="147">
        <f t="shared" si="4"/>
        <v>9013.552010050247</v>
      </c>
      <c r="J18" s="147">
        <f t="shared" si="4"/>
        <v>7378.952010050256</v>
      </c>
      <c r="K18" s="147">
        <f t="shared" si="4"/>
        <v>7378.952010050256</v>
      </c>
      <c r="L18" s="147">
        <f t="shared" si="4"/>
        <v>9013.552010050247</v>
      </c>
      <c r="M18" s="150">
        <f t="shared" si="4"/>
        <v>7378.952010050256</v>
      </c>
    </row>
    <row r="19" spans="1:13" ht="12.75">
      <c r="A19" s="317" t="s">
        <v>136</v>
      </c>
      <c r="B19" s="29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68"/>
    </row>
    <row r="20" spans="1:13" ht="12.75">
      <c r="A20" s="317" t="s">
        <v>267</v>
      </c>
      <c r="B20" s="296"/>
      <c r="C20" s="30"/>
      <c r="D20" s="57">
        <f>D18</f>
        <v>-14358.5</v>
      </c>
      <c r="E20" s="57">
        <f aca="true" t="shared" si="5" ref="E20:M20">E18</f>
        <v>7378.952010050256</v>
      </c>
      <c r="F20" s="57">
        <f t="shared" si="5"/>
        <v>9013.552010050247</v>
      </c>
      <c r="G20" s="57">
        <f t="shared" si="5"/>
        <v>7378.952010050256</v>
      </c>
      <c r="H20" s="57">
        <f t="shared" si="5"/>
        <v>7378.952010050256</v>
      </c>
      <c r="I20" s="57">
        <f t="shared" si="5"/>
        <v>9013.552010050247</v>
      </c>
      <c r="J20" s="57">
        <f t="shared" si="5"/>
        <v>7378.952010050256</v>
      </c>
      <c r="K20" s="57">
        <f t="shared" si="5"/>
        <v>7378.952010050256</v>
      </c>
      <c r="L20" s="57">
        <f t="shared" si="5"/>
        <v>9013.552010050247</v>
      </c>
      <c r="M20" s="148">
        <f t="shared" si="5"/>
        <v>7378.952010050256</v>
      </c>
    </row>
    <row r="21" spans="1:13" ht="12.75">
      <c r="A21" s="317" t="s">
        <v>137</v>
      </c>
      <c r="B21" s="296"/>
      <c r="C21" s="30"/>
      <c r="D21" s="57">
        <f>D20*0.25</f>
        <v>-3589.625</v>
      </c>
      <c r="E21" s="57">
        <f>-(E20*0.25)</f>
        <v>-1844.738002512564</v>
      </c>
      <c r="F21" s="57">
        <f aca="true" t="shared" si="6" ref="F21:M21">-(F20*0.25)</f>
        <v>-2253.388002512562</v>
      </c>
      <c r="G21" s="57">
        <f t="shared" si="6"/>
        <v>-1844.738002512564</v>
      </c>
      <c r="H21" s="57">
        <f t="shared" si="6"/>
        <v>-1844.738002512564</v>
      </c>
      <c r="I21" s="57">
        <f t="shared" si="6"/>
        <v>-2253.388002512562</v>
      </c>
      <c r="J21" s="57">
        <f t="shared" si="6"/>
        <v>-1844.738002512564</v>
      </c>
      <c r="K21" s="57">
        <f t="shared" si="6"/>
        <v>-1844.738002512564</v>
      </c>
      <c r="L21" s="57">
        <f t="shared" si="6"/>
        <v>-2253.388002512562</v>
      </c>
      <c r="M21" s="57">
        <f t="shared" si="6"/>
        <v>-1844.738002512564</v>
      </c>
    </row>
    <row r="22" spans="1:13" ht="12.75">
      <c r="A22" s="317" t="s">
        <v>138</v>
      </c>
      <c r="B22" s="296"/>
      <c r="C22" s="30"/>
      <c r="D22" s="147">
        <f>D20-D21</f>
        <v>-10768.875</v>
      </c>
      <c r="E22" s="147">
        <f aca="true" t="shared" si="7" ref="E22:M22">E20-E21</f>
        <v>9223.69001256282</v>
      </c>
      <c r="F22" s="147">
        <f t="shared" si="7"/>
        <v>11266.940012562809</v>
      </c>
      <c r="G22" s="147">
        <f t="shared" si="7"/>
        <v>9223.69001256282</v>
      </c>
      <c r="H22" s="147">
        <f t="shared" si="7"/>
        <v>9223.69001256282</v>
      </c>
      <c r="I22" s="147">
        <f t="shared" si="7"/>
        <v>11266.940012562809</v>
      </c>
      <c r="J22" s="147">
        <f t="shared" si="7"/>
        <v>9223.69001256282</v>
      </c>
      <c r="K22" s="147">
        <f t="shared" si="7"/>
        <v>9223.69001256282</v>
      </c>
      <c r="L22" s="147">
        <f t="shared" si="7"/>
        <v>11266.940012562809</v>
      </c>
      <c r="M22" s="150">
        <f t="shared" si="7"/>
        <v>9223.69001256282</v>
      </c>
    </row>
    <row r="23" spans="1:13" ht="12.75">
      <c r="A23" s="317" t="s">
        <v>139</v>
      </c>
      <c r="B23" s="296"/>
      <c r="C23" s="30"/>
      <c r="D23" s="57">
        <f>'DEPRECICIONES TOTAL'!D33</f>
        <v>2923.5</v>
      </c>
      <c r="E23" s="57">
        <f>D23</f>
        <v>2923.5</v>
      </c>
      <c r="F23" s="57">
        <f aca="true" t="shared" si="8" ref="F23:M23">E23</f>
        <v>2923.5</v>
      </c>
      <c r="G23" s="57">
        <f t="shared" si="8"/>
        <v>2923.5</v>
      </c>
      <c r="H23" s="57">
        <f t="shared" si="8"/>
        <v>2923.5</v>
      </c>
      <c r="I23" s="57">
        <f t="shared" si="8"/>
        <v>2923.5</v>
      </c>
      <c r="J23" s="57">
        <f t="shared" si="8"/>
        <v>2923.5</v>
      </c>
      <c r="K23" s="57">
        <f t="shared" si="8"/>
        <v>2923.5</v>
      </c>
      <c r="L23" s="57">
        <f t="shared" si="8"/>
        <v>2923.5</v>
      </c>
      <c r="M23" s="148">
        <f t="shared" si="8"/>
        <v>2923.5</v>
      </c>
    </row>
    <row r="24" spans="1:13" ht="12.75">
      <c r="A24" s="317" t="s">
        <v>140</v>
      </c>
      <c r="B24" s="296"/>
      <c r="C24" s="30"/>
      <c r="D24" s="30">
        <f>AMORTIZACIONES!E17</f>
        <v>265</v>
      </c>
      <c r="E24" s="30">
        <f>D24</f>
        <v>265</v>
      </c>
      <c r="F24" s="30">
        <f>E24</f>
        <v>265</v>
      </c>
      <c r="G24" s="30">
        <f>F24</f>
        <v>265</v>
      </c>
      <c r="H24" s="30">
        <f>G24</f>
        <v>265</v>
      </c>
      <c r="I24" s="30">
        <v>0</v>
      </c>
      <c r="J24" s="30">
        <v>0</v>
      </c>
      <c r="K24" s="30">
        <v>0</v>
      </c>
      <c r="L24" s="30">
        <v>0</v>
      </c>
      <c r="M24" s="68">
        <v>0</v>
      </c>
    </row>
    <row r="25" spans="1:13" ht="12.75">
      <c r="A25" s="317" t="s">
        <v>141</v>
      </c>
      <c r="B25" s="29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68"/>
    </row>
    <row r="26" spans="1:13" ht="12.75">
      <c r="A26" s="317" t="s">
        <v>142</v>
      </c>
      <c r="B26" s="296"/>
      <c r="C26" s="57">
        <f>-INVERSION!G37</f>
        <v>-20123</v>
      </c>
      <c r="D26" s="30"/>
      <c r="E26" s="30"/>
      <c r="F26" s="30"/>
      <c r="G26" s="30"/>
      <c r="H26" s="30"/>
      <c r="I26" s="30"/>
      <c r="J26" s="30"/>
      <c r="K26" s="30"/>
      <c r="L26" s="30"/>
      <c r="M26" s="68"/>
    </row>
    <row r="27" spans="1:13" ht="12.75">
      <c r="A27" s="317" t="s">
        <v>143</v>
      </c>
      <c r="B27" s="296"/>
      <c r="C27" s="30"/>
      <c r="D27" s="30"/>
      <c r="E27" s="30"/>
      <c r="F27" s="25">
        <f>-'REPOSICION DE ACTIVOS'!F24</f>
        <v>-5973</v>
      </c>
      <c r="G27" s="25">
        <f>'REPOSICION DE ACTIVOS'!G24</f>
        <v>0</v>
      </c>
      <c r="H27" s="25">
        <f>'REPOSICION DE ACTIVOS'!H24</f>
        <v>0</v>
      </c>
      <c r="I27" s="25">
        <f>F27</f>
        <v>-5973</v>
      </c>
      <c r="J27" s="25">
        <f>'REPOSICION DE ACTIVOS'!J24</f>
        <v>0</v>
      </c>
      <c r="K27" s="25">
        <f>'REPOSICION DE ACTIVOS'!K24</f>
        <v>0</v>
      </c>
      <c r="L27" s="25">
        <f>F27</f>
        <v>-5973</v>
      </c>
      <c r="M27" s="149">
        <f>'REPOSICION DE ACTIVOS'!M24</f>
        <v>0</v>
      </c>
    </row>
    <row r="28" spans="1:13" ht="12.75">
      <c r="A28" s="317" t="s">
        <v>144</v>
      </c>
      <c r="B28" s="29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68"/>
    </row>
    <row r="29" spans="1:13" ht="12.75">
      <c r="A29" s="317" t="s">
        <v>145</v>
      </c>
      <c r="B29" s="296"/>
      <c r="C29" s="57">
        <f>-INVERSION!E49</f>
        <v>-61040.5</v>
      </c>
      <c r="D29" s="30"/>
      <c r="E29" s="30"/>
      <c r="F29" s="30"/>
      <c r="G29" s="30"/>
      <c r="H29" s="30"/>
      <c r="I29" s="30"/>
      <c r="J29" s="30"/>
      <c r="K29" s="30"/>
      <c r="L29" s="30"/>
      <c r="M29" s="148">
        <f>INVERSION!E49</f>
        <v>61040.5</v>
      </c>
    </row>
    <row r="30" spans="1:13" ht="12.75">
      <c r="A30" s="317" t="s">
        <v>146</v>
      </c>
      <c r="B30" s="29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68"/>
    </row>
    <row r="31" spans="1:13" ht="12.75">
      <c r="A31" s="317" t="s">
        <v>147</v>
      </c>
      <c r="B31" s="296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8"/>
    </row>
    <row r="32" spans="1:13" ht="13.5" thickBot="1">
      <c r="A32" s="321" t="s">
        <v>148</v>
      </c>
      <c r="B32" s="322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>
        <f>-(+L27/2)</f>
        <v>2986.5</v>
      </c>
    </row>
    <row r="33" spans="1:13" ht="13.5" thickBot="1">
      <c r="A33" s="308" t="s">
        <v>150</v>
      </c>
      <c r="B33" s="320"/>
      <c r="C33" s="157">
        <f>SUM(C26+C29)</f>
        <v>-81163.5</v>
      </c>
      <c r="D33" s="157">
        <f>SUM(D20:D32)</f>
        <v>-25528.5</v>
      </c>
      <c r="E33" s="157">
        <f aca="true" t="shared" si="9" ref="E33:M33">SUM(E20:E32)</f>
        <v>17946.404020100512</v>
      </c>
      <c r="F33" s="157">
        <f t="shared" si="9"/>
        <v>15242.604020100494</v>
      </c>
      <c r="G33" s="157">
        <f t="shared" si="9"/>
        <v>17946.404020100512</v>
      </c>
      <c r="H33" s="157">
        <f t="shared" si="9"/>
        <v>17946.404020100512</v>
      </c>
      <c r="I33" s="157">
        <f t="shared" si="9"/>
        <v>14977.604020100494</v>
      </c>
      <c r="J33" s="157">
        <f t="shared" si="9"/>
        <v>17681.404020100512</v>
      </c>
      <c r="K33" s="157">
        <f t="shared" si="9"/>
        <v>17681.404020100512</v>
      </c>
      <c r="L33" s="157">
        <f t="shared" si="9"/>
        <v>14977.604020100494</v>
      </c>
      <c r="M33" s="158">
        <f t="shared" si="9"/>
        <v>81708.40402010051</v>
      </c>
    </row>
    <row r="36" ht="13.5" thickBot="1"/>
    <row r="37" spans="3:7" ht="12.75">
      <c r="C37" s="144"/>
      <c r="D37" s="145"/>
      <c r="F37" s="159" t="s">
        <v>173</v>
      </c>
      <c r="G37" s="160">
        <f>NPV(10%,C33:M33)</f>
        <v>8130.788619269197</v>
      </c>
    </row>
    <row r="38" spans="3:7" ht="13.5" thickBot="1">
      <c r="C38" s="144"/>
      <c r="D38" s="146"/>
      <c r="F38" s="161" t="s">
        <v>149</v>
      </c>
      <c r="G38" s="162">
        <f>IRR(C33:M33)</f>
        <v>0.11496560062961515</v>
      </c>
    </row>
  </sheetData>
  <mergeCells count="30">
    <mergeCell ref="A8:B8"/>
    <mergeCell ref="A9:B9"/>
    <mergeCell ref="A17:B17"/>
    <mergeCell ref="A22:B22"/>
    <mergeCell ref="A18:B18"/>
    <mergeCell ref="A16:B16"/>
    <mergeCell ref="A15:B15"/>
    <mergeCell ref="A14:B14"/>
    <mergeCell ref="A13:B13"/>
    <mergeCell ref="A12:B12"/>
    <mergeCell ref="A25:B25"/>
    <mergeCell ref="A30:B30"/>
    <mergeCell ref="A33:B33"/>
    <mergeCell ref="A29:B29"/>
    <mergeCell ref="A31:B31"/>
    <mergeCell ref="A32:B32"/>
    <mergeCell ref="A28:B28"/>
    <mergeCell ref="A27:B27"/>
    <mergeCell ref="A26:B26"/>
    <mergeCell ref="A7:B7"/>
    <mergeCell ref="A4:M4"/>
    <mergeCell ref="A3:M3"/>
    <mergeCell ref="A1:M1"/>
    <mergeCell ref="A11:B11"/>
    <mergeCell ref="A10:B10"/>
    <mergeCell ref="A24:B24"/>
    <mergeCell ref="A21:B21"/>
    <mergeCell ref="A20:B20"/>
    <mergeCell ref="A19:B19"/>
    <mergeCell ref="A23:B23"/>
  </mergeCells>
  <printOptions/>
  <pageMargins left="0.75" right="0.75" top="0.66" bottom="0.72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C1:G29"/>
  <sheetViews>
    <sheetView workbookViewId="0" topLeftCell="A1">
      <selection activeCell="I21" sqref="I21"/>
    </sheetView>
  </sheetViews>
  <sheetFormatPr defaultColWidth="11.421875" defaultRowHeight="12.75"/>
  <sheetData>
    <row r="1" spans="3:7" ht="15.75">
      <c r="C1" s="275" t="s">
        <v>196</v>
      </c>
      <c r="D1" s="275"/>
      <c r="E1" s="275"/>
      <c r="F1" s="275"/>
      <c r="G1" s="275"/>
    </row>
    <row r="2" spans="3:7" ht="12.75">
      <c r="C2" s="176"/>
      <c r="D2" s="176"/>
      <c r="E2" s="176"/>
      <c r="F2" s="176"/>
      <c r="G2" s="176"/>
    </row>
    <row r="3" ht="12.75">
      <c r="C3" s="120" t="s">
        <v>182</v>
      </c>
    </row>
    <row r="4" spans="3:5" ht="12.75">
      <c r="C4" t="s">
        <v>183</v>
      </c>
      <c r="E4" s="33">
        <v>15000</v>
      </c>
    </row>
    <row r="5" ht="12.75">
      <c r="C5" s="120"/>
    </row>
    <row r="8" spans="3:6" ht="12.75">
      <c r="C8" t="s">
        <v>184</v>
      </c>
      <c r="E8" s="119">
        <v>0.12</v>
      </c>
      <c r="F8" s="2" t="s">
        <v>185</v>
      </c>
    </row>
    <row r="9" ht="12.75">
      <c r="C9" t="s">
        <v>186</v>
      </c>
    </row>
    <row r="10" spans="3:5" ht="12.75">
      <c r="C10" t="s">
        <v>187</v>
      </c>
      <c r="D10">
        <v>5</v>
      </c>
      <c r="E10" t="s">
        <v>188</v>
      </c>
    </row>
    <row r="12" ht="12.75">
      <c r="C12" t="s">
        <v>189</v>
      </c>
    </row>
    <row r="13" ht="12.75">
      <c r="E13" t="s">
        <v>190</v>
      </c>
    </row>
    <row r="14" ht="12.75">
      <c r="E14" t="s">
        <v>191</v>
      </c>
    </row>
    <row r="15" ht="12.75">
      <c r="C15" t="s">
        <v>192</v>
      </c>
    </row>
    <row r="16" ht="12.75">
      <c r="C16" t="s">
        <v>193</v>
      </c>
    </row>
    <row r="17" ht="12.75">
      <c r="C17" t="s">
        <v>194</v>
      </c>
    </row>
    <row r="18" ht="12.75">
      <c r="C18" t="s">
        <v>195</v>
      </c>
    </row>
    <row r="22" ht="13.5" thickBot="1"/>
    <row r="23" spans="3:7" ht="12.75">
      <c r="C23" s="121" t="s">
        <v>197</v>
      </c>
      <c r="D23" s="122" t="s">
        <v>198</v>
      </c>
      <c r="E23" s="123" t="s">
        <v>199</v>
      </c>
      <c r="F23" s="122" t="s">
        <v>200</v>
      </c>
      <c r="G23" s="124" t="s">
        <v>201</v>
      </c>
    </row>
    <row r="24" spans="3:7" ht="12.75">
      <c r="C24" s="20">
        <v>1</v>
      </c>
      <c r="D24" s="25">
        <f>E4</f>
        <v>15000</v>
      </c>
      <c r="E24" s="25">
        <f>D24/5</f>
        <v>3000</v>
      </c>
      <c r="F24" s="105">
        <f>D24*$E$8</f>
        <v>1800</v>
      </c>
      <c r="G24" s="125">
        <f>E24-F24</f>
        <v>1200</v>
      </c>
    </row>
    <row r="25" spans="3:7" ht="12.75">
      <c r="C25" s="20">
        <v>2</v>
      </c>
      <c r="D25" s="25">
        <f>D24-E24</f>
        <v>12000</v>
      </c>
      <c r="E25" s="25">
        <f>E24</f>
        <v>3000</v>
      </c>
      <c r="F25" s="105">
        <f>D25*$E$8</f>
        <v>1440</v>
      </c>
      <c r="G25" s="125">
        <f>E25-F25</f>
        <v>1560</v>
      </c>
    </row>
    <row r="26" spans="3:7" ht="12.75">
      <c r="C26" s="20">
        <v>3</v>
      </c>
      <c r="D26" s="25">
        <f>D25-E25</f>
        <v>9000</v>
      </c>
      <c r="E26" s="25">
        <f>E25</f>
        <v>3000</v>
      </c>
      <c r="F26" s="105">
        <f>D26*$E$8</f>
        <v>1080</v>
      </c>
      <c r="G26" s="125">
        <f>E26-F26</f>
        <v>1920</v>
      </c>
    </row>
    <row r="27" spans="3:7" ht="12.75">
      <c r="C27" s="20">
        <v>4</v>
      </c>
      <c r="D27" s="25">
        <f>D26-E26</f>
        <v>6000</v>
      </c>
      <c r="E27" s="25">
        <f>E26</f>
        <v>3000</v>
      </c>
      <c r="F27" s="105">
        <f>D27*$E$8</f>
        <v>720</v>
      </c>
      <c r="G27" s="125">
        <f>E27-F27</f>
        <v>2280</v>
      </c>
    </row>
    <row r="28" spans="3:7" ht="12.75">
      <c r="C28" s="20">
        <v>5</v>
      </c>
      <c r="D28" s="25">
        <f>D27-E27</f>
        <v>3000</v>
      </c>
      <c r="E28" s="25">
        <f>E27</f>
        <v>3000</v>
      </c>
      <c r="F28" s="105">
        <f>D28*$E$8</f>
        <v>360</v>
      </c>
      <c r="G28" s="125">
        <f>E28-F28</f>
        <v>2640</v>
      </c>
    </row>
    <row r="29" spans="3:7" ht="13.5" thickBot="1">
      <c r="C29" s="99" t="s">
        <v>35</v>
      </c>
      <c r="D29" s="101"/>
      <c r="E29" s="101"/>
      <c r="F29" s="127">
        <f>SUM(F24:F28)</f>
        <v>5400</v>
      </c>
      <c r="G29" s="126">
        <f>SUM(G24:G28)</f>
        <v>9600</v>
      </c>
    </row>
  </sheetData>
  <mergeCells count="1">
    <mergeCell ref="C1:G1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N41"/>
  <sheetViews>
    <sheetView workbookViewId="0" topLeftCell="A5">
      <selection activeCell="N23" sqref="N23"/>
    </sheetView>
  </sheetViews>
  <sheetFormatPr defaultColWidth="11.421875" defaultRowHeight="12.75"/>
  <cols>
    <col min="3" max="13" width="9.421875" style="0" customWidth="1"/>
  </cols>
  <sheetData>
    <row r="1" spans="1:13" ht="13.5" thickBot="1">
      <c r="A1" s="270" t="s">
        <v>273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/>
    </row>
    <row r="2" spans="1:13" ht="13.5" thickBot="1">
      <c r="A2" s="336" t="s">
        <v>271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</row>
    <row r="3" ht="13.5" thickBot="1"/>
    <row r="4" spans="1:13" ht="13.5" thickBot="1">
      <c r="A4" s="318"/>
      <c r="B4" s="329"/>
      <c r="C4" s="169" t="s">
        <v>121</v>
      </c>
      <c r="D4" s="170" t="s">
        <v>41</v>
      </c>
      <c r="E4" s="170" t="s">
        <v>42</v>
      </c>
      <c r="F4" s="170" t="s">
        <v>43</v>
      </c>
      <c r="G4" s="170" t="s">
        <v>44</v>
      </c>
      <c r="H4" s="170" t="s">
        <v>45</v>
      </c>
      <c r="I4" s="170" t="s">
        <v>46</v>
      </c>
      <c r="J4" s="170" t="s">
        <v>47</v>
      </c>
      <c r="K4" s="170" t="s">
        <v>48</v>
      </c>
      <c r="L4" s="170" t="s">
        <v>49</v>
      </c>
      <c r="M4" s="171" t="s">
        <v>50</v>
      </c>
    </row>
    <row r="5" spans="1:13" ht="12.75">
      <c r="A5" s="339" t="s">
        <v>125</v>
      </c>
      <c r="B5" s="340"/>
      <c r="C5" s="168"/>
      <c r="D5" s="151">
        <f>INGRESOS!G19</f>
        <v>49870.5</v>
      </c>
      <c r="E5" s="151">
        <f>INGRESOS!G21</f>
        <v>54857.55</v>
      </c>
      <c r="F5" s="151">
        <f aca="true" t="shared" si="0" ref="F5:M5">E5</f>
        <v>54857.55</v>
      </c>
      <c r="G5" s="151">
        <f t="shared" si="0"/>
        <v>54857.55</v>
      </c>
      <c r="H5" s="151">
        <f t="shared" si="0"/>
        <v>54857.55</v>
      </c>
      <c r="I5" s="151">
        <f t="shared" si="0"/>
        <v>54857.55</v>
      </c>
      <c r="J5" s="151">
        <f t="shared" si="0"/>
        <v>54857.55</v>
      </c>
      <c r="K5" s="151">
        <f t="shared" si="0"/>
        <v>54857.55</v>
      </c>
      <c r="L5" s="151">
        <f t="shared" si="0"/>
        <v>54857.55</v>
      </c>
      <c r="M5" s="152">
        <f t="shared" si="0"/>
        <v>54857.55</v>
      </c>
    </row>
    <row r="6" spans="1:13" ht="12.75">
      <c r="A6" s="325" t="s">
        <v>126</v>
      </c>
      <c r="B6" s="326"/>
      <c r="C6" s="163"/>
      <c r="D6" s="30"/>
      <c r="E6" s="30"/>
      <c r="F6" s="30">
        <f>'VTA D ACTIVOS'!F27</f>
        <v>1634.6000000000004</v>
      </c>
      <c r="G6" s="30">
        <f>'VTA D ACTIVOS'!G27</f>
        <v>0</v>
      </c>
      <c r="H6" s="30">
        <f>'VTA D ACTIVOS'!H27</f>
        <v>0</v>
      </c>
      <c r="I6" s="30">
        <f>'VTA D ACTIVOS'!I27</f>
        <v>1634.6000000000004</v>
      </c>
      <c r="J6" s="30">
        <f>'VTA D ACTIVOS'!J27</f>
        <v>0</v>
      </c>
      <c r="K6" s="30">
        <f>'VTA D ACTIVOS'!K27</f>
        <v>0</v>
      </c>
      <c r="L6" s="30">
        <f>'VTA D ACTIVOS'!L27</f>
        <v>1634.6000000000004</v>
      </c>
      <c r="M6" s="68">
        <f>'VTA D ACTIVOS'!M27</f>
        <v>0</v>
      </c>
    </row>
    <row r="7" spans="1:13" ht="12.75">
      <c r="A7" s="20" t="s">
        <v>127</v>
      </c>
      <c r="B7" s="68"/>
      <c r="C7" s="163"/>
      <c r="D7" s="30">
        <f>-'COSTOS VAR'!E20</f>
        <v>-33670</v>
      </c>
      <c r="E7" s="30">
        <f>-('COSTOS VAR'!E22)</f>
        <v>-16919.59798994975</v>
      </c>
      <c r="F7" s="30">
        <f aca="true" t="shared" si="1" ref="F7:M7">E7</f>
        <v>-16919.59798994975</v>
      </c>
      <c r="G7" s="30">
        <f t="shared" si="1"/>
        <v>-16919.59798994975</v>
      </c>
      <c r="H7" s="30">
        <f t="shared" si="1"/>
        <v>-16919.59798994975</v>
      </c>
      <c r="I7" s="30">
        <f t="shared" si="1"/>
        <v>-16919.59798994975</v>
      </c>
      <c r="J7" s="30">
        <f t="shared" si="1"/>
        <v>-16919.59798994975</v>
      </c>
      <c r="K7" s="30">
        <f t="shared" si="1"/>
        <v>-16919.59798994975</v>
      </c>
      <c r="L7" s="30">
        <f t="shared" si="1"/>
        <v>-16919.59798994975</v>
      </c>
      <c r="M7" s="68">
        <f t="shared" si="1"/>
        <v>-16919.59798994975</v>
      </c>
    </row>
    <row r="8" spans="1:13" ht="12.75">
      <c r="A8" s="20" t="s">
        <v>128</v>
      </c>
      <c r="B8" s="68"/>
      <c r="C8" s="163"/>
      <c r="D8" s="105">
        <f>-'COSTOS FIJOS'!E27</f>
        <v>-14890.5</v>
      </c>
      <c r="E8" s="105">
        <f>-'COSTOS FIJOS'!F27</f>
        <v>-14890.5</v>
      </c>
      <c r="F8" s="105">
        <f>-'COSTOS FIJOS'!G27</f>
        <v>-14890.5</v>
      </c>
      <c r="G8" s="105">
        <f>-'COSTOS FIJOS'!H27</f>
        <v>-14890.5</v>
      </c>
      <c r="H8" s="105">
        <f>-'COSTOS FIJOS'!I27</f>
        <v>-14890.5</v>
      </c>
      <c r="I8" s="105">
        <f>-'COSTOS FIJOS'!J27</f>
        <v>-14890.5</v>
      </c>
      <c r="J8" s="105">
        <f>-'COSTOS FIJOS'!K27</f>
        <v>-14890.5</v>
      </c>
      <c r="K8" s="105">
        <f>-'COSTOS FIJOS'!L27</f>
        <v>-14890.5</v>
      </c>
      <c r="L8" s="105">
        <f>-'COSTOS FIJOS'!M27</f>
        <v>-14890.5</v>
      </c>
      <c r="M8" s="125">
        <f>-'COSTOS FIJOS'!N27</f>
        <v>-14890.5</v>
      </c>
    </row>
    <row r="9" spans="1:13" ht="12.75">
      <c r="A9" s="20" t="s">
        <v>129</v>
      </c>
      <c r="B9" s="68"/>
      <c r="C9" s="163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68">
        <v>0</v>
      </c>
    </row>
    <row r="10" spans="1:13" ht="12.75">
      <c r="A10" s="20" t="s">
        <v>130</v>
      </c>
      <c r="B10" s="68"/>
      <c r="C10" s="163"/>
      <c r="D10" s="25">
        <f>-GASTOS!C16</f>
        <v>-12480</v>
      </c>
      <c r="E10" s="25">
        <f>-GASTOS!D16</f>
        <v>-12480</v>
      </c>
      <c r="F10" s="25">
        <f>-GASTOS!E16</f>
        <v>-12480</v>
      </c>
      <c r="G10" s="25">
        <f>-GASTOS!F16</f>
        <v>-12480</v>
      </c>
      <c r="H10" s="25">
        <f>-GASTOS!G16</f>
        <v>-12480</v>
      </c>
      <c r="I10" s="25">
        <f>-GASTOS!H16</f>
        <v>-12480</v>
      </c>
      <c r="J10" s="25">
        <f>-GASTOS!I16</f>
        <v>-12480</v>
      </c>
      <c r="K10" s="25">
        <f>-GASTOS!J16</f>
        <v>-12480</v>
      </c>
      <c r="L10" s="25">
        <f>-GASTOS!K16</f>
        <v>-12480</v>
      </c>
      <c r="M10" s="149">
        <f>-GASTOS!L16</f>
        <v>-12480</v>
      </c>
    </row>
    <row r="11" spans="1:13" ht="12.75">
      <c r="A11" s="20" t="s">
        <v>131</v>
      </c>
      <c r="B11" s="68"/>
      <c r="C11" s="163"/>
      <c r="D11" s="105">
        <f>-PRESTAMOS!F24</f>
        <v>-1800</v>
      </c>
      <c r="E11" s="105">
        <f>-PRESTAMOS!F25</f>
        <v>-1440</v>
      </c>
      <c r="F11" s="105">
        <f>-PRESTAMOS!F26</f>
        <v>-1080</v>
      </c>
      <c r="G11" s="105">
        <f>-PRESTAMOS!F27</f>
        <v>-720</v>
      </c>
      <c r="H11" s="105">
        <f>-PRESTAMOS!F28</f>
        <v>-360</v>
      </c>
      <c r="I11" s="30">
        <v>0</v>
      </c>
      <c r="J11" s="30">
        <v>0</v>
      </c>
      <c r="K11" s="30">
        <v>0</v>
      </c>
      <c r="L11" s="30">
        <v>0</v>
      </c>
      <c r="M11" s="68">
        <v>0</v>
      </c>
    </row>
    <row r="12" spans="1:13" ht="12.75">
      <c r="A12" s="20" t="s">
        <v>132</v>
      </c>
      <c r="B12" s="68"/>
      <c r="C12" s="163"/>
      <c r="D12" s="57">
        <f>-'DEPRECICIONES TOTAL'!D33</f>
        <v>-2923.5</v>
      </c>
      <c r="E12" s="57">
        <f>D12</f>
        <v>-2923.5</v>
      </c>
      <c r="F12" s="57">
        <f aca="true" t="shared" si="2" ref="F12:M13">E12</f>
        <v>-2923.5</v>
      </c>
      <c r="G12" s="57">
        <f t="shared" si="2"/>
        <v>-2923.5</v>
      </c>
      <c r="H12" s="57">
        <f t="shared" si="2"/>
        <v>-2923.5</v>
      </c>
      <c r="I12" s="57">
        <f t="shared" si="2"/>
        <v>-2923.5</v>
      </c>
      <c r="J12" s="57">
        <f t="shared" si="2"/>
        <v>-2923.5</v>
      </c>
      <c r="K12" s="57">
        <f t="shared" si="2"/>
        <v>-2923.5</v>
      </c>
      <c r="L12" s="57">
        <f t="shared" si="2"/>
        <v>-2923.5</v>
      </c>
      <c r="M12" s="148">
        <f t="shared" si="2"/>
        <v>-2923.5</v>
      </c>
    </row>
    <row r="13" spans="1:13" ht="12.75">
      <c r="A13" s="20" t="s">
        <v>133</v>
      </c>
      <c r="B13" s="68"/>
      <c r="C13" s="163"/>
      <c r="D13" s="30">
        <f>-AMORTIZACIONES!E17</f>
        <v>-265</v>
      </c>
      <c r="E13" s="30">
        <f>D13</f>
        <v>-265</v>
      </c>
      <c r="F13" s="30">
        <f t="shared" si="2"/>
        <v>-265</v>
      </c>
      <c r="G13" s="30">
        <f t="shared" si="2"/>
        <v>-265</v>
      </c>
      <c r="H13" s="30">
        <f t="shared" si="2"/>
        <v>-265</v>
      </c>
      <c r="I13" s="30"/>
      <c r="J13" s="30">
        <f t="shared" si="2"/>
        <v>0</v>
      </c>
      <c r="K13" s="30">
        <f t="shared" si="2"/>
        <v>0</v>
      </c>
      <c r="L13" s="30">
        <f t="shared" si="2"/>
        <v>0</v>
      </c>
      <c r="M13" s="68">
        <f t="shared" si="2"/>
        <v>0</v>
      </c>
    </row>
    <row r="14" spans="1:13" ht="12.75">
      <c r="A14" s="325" t="s">
        <v>134</v>
      </c>
      <c r="B14" s="326"/>
      <c r="C14" s="163"/>
      <c r="D14" s="30"/>
      <c r="E14" s="30"/>
      <c r="F14" s="30"/>
      <c r="G14" s="30"/>
      <c r="H14" s="30"/>
      <c r="I14" s="30"/>
      <c r="J14" s="30"/>
      <c r="K14" s="30"/>
      <c r="L14" s="30"/>
      <c r="M14" s="68"/>
    </row>
    <row r="15" spans="1:13" ht="12.75">
      <c r="A15" s="20" t="s">
        <v>135</v>
      </c>
      <c r="B15" s="68"/>
      <c r="C15" s="163"/>
      <c r="D15" s="147">
        <f aca="true" t="shared" si="3" ref="D15:M15">SUM(D5:D14)</f>
        <v>-16158.5</v>
      </c>
      <c r="E15" s="147">
        <f t="shared" si="3"/>
        <v>5938.952010050256</v>
      </c>
      <c r="F15" s="147">
        <f t="shared" si="3"/>
        <v>7933.552010050247</v>
      </c>
      <c r="G15" s="147">
        <f t="shared" si="3"/>
        <v>6658.952010050256</v>
      </c>
      <c r="H15" s="147">
        <f t="shared" si="3"/>
        <v>7018.952010050256</v>
      </c>
      <c r="I15" s="147">
        <f t="shared" si="3"/>
        <v>9278.552010050247</v>
      </c>
      <c r="J15" s="147">
        <f t="shared" si="3"/>
        <v>7643.952010050256</v>
      </c>
      <c r="K15" s="147">
        <f t="shared" si="3"/>
        <v>7643.952010050256</v>
      </c>
      <c r="L15" s="147">
        <f t="shared" si="3"/>
        <v>9278.552010050247</v>
      </c>
      <c r="M15" s="150">
        <f t="shared" si="3"/>
        <v>7643.952010050256</v>
      </c>
    </row>
    <row r="16" spans="1:13" ht="12.75">
      <c r="A16" s="20" t="s">
        <v>136</v>
      </c>
      <c r="B16" s="68"/>
      <c r="C16" s="163"/>
      <c r="D16" s="30"/>
      <c r="E16" s="30"/>
      <c r="F16" s="30"/>
      <c r="G16" s="30"/>
      <c r="H16" s="30"/>
      <c r="I16" s="30"/>
      <c r="J16" s="30"/>
      <c r="K16" s="30"/>
      <c r="L16" s="30"/>
      <c r="M16" s="68"/>
    </row>
    <row r="17" spans="1:13" ht="12.75">
      <c r="A17" s="20" t="s">
        <v>267</v>
      </c>
      <c r="B17" s="68"/>
      <c r="C17" s="163"/>
      <c r="D17" s="147">
        <f>D15</f>
        <v>-16158.5</v>
      </c>
      <c r="E17" s="147">
        <f aca="true" t="shared" si="4" ref="E17:M17">E15</f>
        <v>5938.952010050256</v>
      </c>
      <c r="F17" s="147">
        <f t="shared" si="4"/>
        <v>7933.552010050247</v>
      </c>
      <c r="G17" s="147">
        <f t="shared" si="4"/>
        <v>6658.952010050256</v>
      </c>
      <c r="H17" s="147">
        <f t="shared" si="4"/>
        <v>7018.952010050256</v>
      </c>
      <c r="I17" s="147">
        <f t="shared" si="4"/>
        <v>9278.552010050247</v>
      </c>
      <c r="J17" s="147">
        <f t="shared" si="4"/>
        <v>7643.952010050256</v>
      </c>
      <c r="K17" s="147">
        <f t="shared" si="4"/>
        <v>7643.952010050256</v>
      </c>
      <c r="L17" s="147">
        <f t="shared" si="4"/>
        <v>9278.552010050247</v>
      </c>
      <c r="M17" s="150">
        <f t="shared" si="4"/>
        <v>7643.952010050256</v>
      </c>
    </row>
    <row r="18" spans="1:13" ht="12.75">
      <c r="A18" s="20" t="s">
        <v>137</v>
      </c>
      <c r="B18" s="68"/>
      <c r="C18" s="163"/>
      <c r="D18" s="57">
        <f>-(D17*0.25)</f>
        <v>4039.625</v>
      </c>
      <c r="E18" s="57">
        <f aca="true" t="shared" si="5" ref="E18:M18">-(E17*0.25)</f>
        <v>-1484.738002512564</v>
      </c>
      <c r="F18" s="57">
        <f t="shared" si="5"/>
        <v>-1983.3880025125618</v>
      </c>
      <c r="G18" s="57">
        <f t="shared" si="5"/>
        <v>-1664.738002512564</v>
      </c>
      <c r="H18" s="57">
        <f t="shared" si="5"/>
        <v>-1754.738002512564</v>
      </c>
      <c r="I18" s="57">
        <f t="shared" si="5"/>
        <v>-2319.638002512562</v>
      </c>
      <c r="J18" s="57">
        <f t="shared" si="5"/>
        <v>-1910.988002512564</v>
      </c>
      <c r="K18" s="57">
        <f t="shared" si="5"/>
        <v>-1910.988002512564</v>
      </c>
      <c r="L18" s="57">
        <f t="shared" si="5"/>
        <v>-2319.638002512562</v>
      </c>
      <c r="M18" s="148">
        <f t="shared" si="5"/>
        <v>-1910.988002512564</v>
      </c>
    </row>
    <row r="19" spans="1:13" ht="12.75">
      <c r="A19" s="325" t="s">
        <v>138</v>
      </c>
      <c r="B19" s="326"/>
      <c r="C19" s="163"/>
      <c r="D19" s="57">
        <f>SUM(D17:D18)</f>
        <v>-12118.875</v>
      </c>
      <c r="E19" s="57">
        <f aca="true" t="shared" si="6" ref="E19:M19">SUM(E17:E18)</f>
        <v>4454.214007537692</v>
      </c>
      <c r="F19" s="57">
        <f t="shared" si="6"/>
        <v>5950.164007537685</v>
      </c>
      <c r="G19" s="57">
        <f t="shared" si="6"/>
        <v>4994.214007537692</v>
      </c>
      <c r="H19" s="57">
        <f t="shared" si="6"/>
        <v>5264.214007537692</v>
      </c>
      <c r="I19" s="57">
        <f t="shared" si="6"/>
        <v>6958.914007537685</v>
      </c>
      <c r="J19" s="57">
        <f t="shared" si="6"/>
        <v>5732.964007537692</v>
      </c>
      <c r="K19" s="57">
        <f t="shared" si="6"/>
        <v>5732.964007537692</v>
      </c>
      <c r="L19" s="57">
        <f t="shared" si="6"/>
        <v>6958.914007537685</v>
      </c>
      <c r="M19" s="148">
        <f t="shared" si="6"/>
        <v>5732.964007537692</v>
      </c>
    </row>
    <row r="20" spans="1:13" ht="12.75">
      <c r="A20" s="325" t="s">
        <v>139</v>
      </c>
      <c r="B20" s="326"/>
      <c r="C20" s="163"/>
      <c r="D20" s="57">
        <f>'DEPRECICIONES TOTAL'!D33</f>
        <v>2923.5</v>
      </c>
      <c r="E20" s="57">
        <f>D20</f>
        <v>2923.5</v>
      </c>
      <c r="F20" s="57">
        <f aca="true" t="shared" si="7" ref="F20:M21">E20</f>
        <v>2923.5</v>
      </c>
      <c r="G20" s="57">
        <f t="shared" si="7"/>
        <v>2923.5</v>
      </c>
      <c r="H20" s="57">
        <f t="shared" si="7"/>
        <v>2923.5</v>
      </c>
      <c r="I20" s="57">
        <f t="shared" si="7"/>
        <v>2923.5</v>
      </c>
      <c r="J20" s="57">
        <f t="shared" si="7"/>
        <v>2923.5</v>
      </c>
      <c r="K20" s="57">
        <f t="shared" si="7"/>
        <v>2923.5</v>
      </c>
      <c r="L20" s="57">
        <f t="shared" si="7"/>
        <v>2923.5</v>
      </c>
      <c r="M20" s="148">
        <f t="shared" si="7"/>
        <v>2923.5</v>
      </c>
    </row>
    <row r="21" spans="1:13" ht="12.75">
      <c r="A21" s="20" t="s">
        <v>140</v>
      </c>
      <c r="B21" s="68"/>
      <c r="C21" s="163"/>
      <c r="D21" s="57">
        <f>AMORTIZACIONES!E17</f>
        <v>265</v>
      </c>
      <c r="E21" s="57">
        <f>D21</f>
        <v>265</v>
      </c>
      <c r="F21" s="57">
        <f t="shared" si="7"/>
        <v>265</v>
      </c>
      <c r="G21" s="57">
        <f t="shared" si="7"/>
        <v>265</v>
      </c>
      <c r="H21" s="57">
        <f t="shared" si="7"/>
        <v>265</v>
      </c>
      <c r="I21" s="30">
        <v>0</v>
      </c>
      <c r="J21" s="30">
        <v>0</v>
      </c>
      <c r="K21" s="30">
        <v>0</v>
      </c>
      <c r="L21" s="30">
        <v>0</v>
      </c>
      <c r="M21" s="68">
        <v>0</v>
      </c>
    </row>
    <row r="22" spans="1:13" ht="12.75">
      <c r="A22" s="325" t="s">
        <v>141</v>
      </c>
      <c r="B22" s="326"/>
      <c r="C22" s="163"/>
      <c r="D22" s="30"/>
      <c r="E22" s="30"/>
      <c r="F22" s="30"/>
      <c r="G22" s="30"/>
      <c r="H22" s="30"/>
      <c r="I22" s="30"/>
      <c r="J22" s="30"/>
      <c r="K22" s="30"/>
      <c r="L22" s="30"/>
      <c r="M22" s="68"/>
    </row>
    <row r="23" spans="1:14" ht="12.75">
      <c r="A23" s="20" t="s">
        <v>142</v>
      </c>
      <c r="B23" s="68"/>
      <c r="C23" s="164">
        <f>-INVERSION!G37</f>
        <v>-20123</v>
      </c>
      <c r="D23" s="30"/>
      <c r="E23" s="30"/>
      <c r="F23" s="30"/>
      <c r="G23" s="30"/>
      <c r="H23" s="30"/>
      <c r="I23" s="30"/>
      <c r="J23" s="30"/>
      <c r="K23" s="30"/>
      <c r="L23" s="30"/>
      <c r="M23" s="68"/>
      <c r="N23" t="s">
        <v>174</v>
      </c>
    </row>
    <row r="24" spans="1:13" ht="12.75">
      <c r="A24" s="20" t="s">
        <v>143</v>
      </c>
      <c r="B24" s="68"/>
      <c r="C24" s="163"/>
      <c r="D24" s="30"/>
      <c r="E24" s="30"/>
      <c r="F24" s="25">
        <f>-'REPOSICION DE ACTIVOS'!F24</f>
        <v>-5973</v>
      </c>
      <c r="G24" s="25">
        <f>-'REPOSICION DE ACTIVOS'!G24</f>
        <v>0</v>
      </c>
      <c r="H24" s="25">
        <f>-'REPOSICION DE ACTIVOS'!H24</f>
        <v>0</v>
      </c>
      <c r="I24" s="25">
        <f>-'REPOSICION DE ACTIVOS'!I24</f>
        <v>-5973</v>
      </c>
      <c r="J24" s="25">
        <f>-'REPOSICION DE ACTIVOS'!J24</f>
        <v>0</v>
      </c>
      <c r="K24" s="25">
        <f>-'REPOSICION DE ACTIVOS'!K24</f>
        <v>0</v>
      </c>
      <c r="L24" s="25">
        <f>-'REPOSICION DE ACTIVOS'!L24</f>
        <v>-5973</v>
      </c>
      <c r="M24" s="149">
        <f>-'REPOSICION DE ACTIVOS'!M24</f>
        <v>0</v>
      </c>
    </row>
    <row r="25" spans="1:13" ht="12.75">
      <c r="A25" s="20" t="s">
        <v>144</v>
      </c>
      <c r="B25" s="68"/>
      <c r="C25" s="163"/>
      <c r="D25" s="30"/>
      <c r="E25" s="30"/>
      <c r="F25" s="25"/>
      <c r="G25" s="30"/>
      <c r="H25" s="30"/>
      <c r="I25" s="25"/>
      <c r="J25" s="30"/>
      <c r="K25" s="30"/>
      <c r="L25" s="25"/>
      <c r="M25" s="68"/>
    </row>
    <row r="26" spans="1:13" ht="12.75">
      <c r="A26" s="20" t="s">
        <v>145</v>
      </c>
      <c r="B26" s="68"/>
      <c r="C26" s="164">
        <f>-INVERSION!E49</f>
        <v>-61040.5</v>
      </c>
      <c r="D26" s="30"/>
      <c r="E26" s="30"/>
      <c r="F26" s="25"/>
      <c r="G26" s="30"/>
      <c r="H26" s="30"/>
      <c r="I26" s="25"/>
      <c r="J26" s="30"/>
      <c r="K26" s="30"/>
      <c r="L26" s="25"/>
      <c r="M26" s="148">
        <f>INVERSION!E50</f>
        <v>81163.5</v>
      </c>
    </row>
    <row r="27" spans="1:13" ht="12.75">
      <c r="A27" s="325" t="s">
        <v>146</v>
      </c>
      <c r="B27" s="326"/>
      <c r="C27" s="165">
        <f>PRESTAMOS!E4</f>
        <v>15000</v>
      </c>
      <c r="D27" s="30"/>
      <c r="E27" s="30"/>
      <c r="F27" s="25"/>
      <c r="G27" s="30"/>
      <c r="H27" s="30"/>
      <c r="I27" s="25"/>
      <c r="J27" s="30"/>
      <c r="K27" s="30"/>
      <c r="L27" s="25"/>
      <c r="M27" s="68"/>
    </row>
    <row r="28" spans="1:13" ht="12.75">
      <c r="A28" s="20" t="s">
        <v>147</v>
      </c>
      <c r="B28" s="68"/>
      <c r="C28" s="163"/>
      <c r="D28" s="105">
        <f>-PRESTAMOS!G24</f>
        <v>-1200</v>
      </c>
      <c r="E28" s="105">
        <f>-PRESTAMOS!G25</f>
        <v>-1560</v>
      </c>
      <c r="F28" s="105">
        <f>-PRESTAMOS!G26</f>
        <v>-1920</v>
      </c>
      <c r="G28" s="105">
        <f>-PRESTAMOS!G27</f>
        <v>-2280</v>
      </c>
      <c r="H28" s="105">
        <f>-PRESTAMOS!G28</f>
        <v>-2640</v>
      </c>
      <c r="I28" s="25"/>
      <c r="J28" s="30"/>
      <c r="K28" s="30"/>
      <c r="L28" s="25"/>
      <c r="M28" s="68"/>
    </row>
    <row r="29" spans="1:13" ht="13.5" thickBot="1">
      <c r="A29" s="20" t="s">
        <v>148</v>
      </c>
      <c r="B29" s="68"/>
      <c r="C29" s="166"/>
      <c r="D29" s="155"/>
      <c r="E29" s="155"/>
      <c r="F29" s="167"/>
      <c r="G29" s="155"/>
      <c r="H29" s="155"/>
      <c r="I29" s="167"/>
      <c r="J29" s="155"/>
      <c r="K29" s="155"/>
      <c r="L29" s="167"/>
      <c r="M29" s="156">
        <f>'F.F.PROYECTO'!M32</f>
        <v>2986.5</v>
      </c>
    </row>
    <row r="30" spans="1:13" ht="13.5" thickBot="1">
      <c r="A30" s="327" t="s">
        <v>150</v>
      </c>
      <c r="B30" s="328"/>
      <c r="C30" s="172">
        <f>SUM(C23:C29)</f>
        <v>-66163.5</v>
      </c>
      <c r="D30" s="173">
        <f>SUM(D17:D29)</f>
        <v>-22249.25</v>
      </c>
      <c r="E30" s="173">
        <f aca="true" t="shared" si="8" ref="E30:M30">SUM(E17:E29)</f>
        <v>10536.928015075384</v>
      </c>
      <c r="F30" s="173">
        <f>SUM(F17:F29)</f>
        <v>7195.828015075371</v>
      </c>
      <c r="G30" s="173">
        <f>SUM(G17:G29)</f>
        <v>10896.928015075384</v>
      </c>
      <c r="H30" s="173">
        <f t="shared" si="8"/>
        <v>11076.928015075384</v>
      </c>
      <c r="I30" s="173">
        <f>SUM(I17:I29)</f>
        <v>10868.32801507537</v>
      </c>
      <c r="J30" s="173">
        <f t="shared" si="8"/>
        <v>14389.428015075384</v>
      </c>
      <c r="K30" s="173">
        <f t="shared" si="8"/>
        <v>14389.428015075384</v>
      </c>
      <c r="L30" s="173">
        <f t="shared" si="8"/>
        <v>10868.32801507537</v>
      </c>
      <c r="M30" s="174">
        <f t="shared" si="8"/>
        <v>98539.42801507539</v>
      </c>
    </row>
    <row r="31" ht="13.5" thickBot="1"/>
    <row r="32" spans="5:7" ht="12.75">
      <c r="E32" s="332" t="s">
        <v>274</v>
      </c>
      <c r="F32" s="333"/>
      <c r="G32" s="175">
        <f>NPV(9.7%,C30:M30)</f>
        <v>6061.16985355541</v>
      </c>
    </row>
    <row r="33" spans="5:7" ht="13.5" thickBot="1">
      <c r="E33" s="334" t="s">
        <v>149</v>
      </c>
      <c r="F33" s="335"/>
      <c r="G33" s="162">
        <f>IRR(C30:M30)</f>
        <v>0.10868898233884583</v>
      </c>
    </row>
    <row r="34" ht="13.5" thickBot="1">
      <c r="D34" s="128"/>
    </row>
    <row r="35" spans="2:10" ht="12.75">
      <c r="B35" s="178" t="s">
        <v>174</v>
      </c>
      <c r="C35" s="179"/>
      <c r="D35" s="179"/>
      <c r="E35" s="179"/>
      <c r="F35" s="179"/>
      <c r="G35" s="179"/>
      <c r="H35" s="180" t="s">
        <v>175</v>
      </c>
      <c r="I35" s="180" t="s">
        <v>176</v>
      </c>
      <c r="J35" s="181" t="s">
        <v>177</v>
      </c>
    </row>
    <row r="36" spans="2:10" ht="12.75">
      <c r="B36" s="182"/>
      <c r="C36" s="183"/>
      <c r="D36" s="183"/>
      <c r="E36" s="183" t="s">
        <v>178</v>
      </c>
      <c r="F36" s="183"/>
      <c r="G36" s="184">
        <f>INVERSION!E50-C27</f>
        <v>66163.5</v>
      </c>
      <c r="H36" s="185">
        <f>G36/C37</f>
        <v>0.8151878615387459</v>
      </c>
      <c r="I36" s="186">
        <v>0.1</v>
      </c>
      <c r="J36" s="187">
        <f>H36*I36</f>
        <v>0.08151878615387459</v>
      </c>
    </row>
    <row r="37" spans="2:10" ht="12.75">
      <c r="B37" s="182" t="s">
        <v>179</v>
      </c>
      <c r="C37" s="184">
        <f>INVERSION!E50</f>
        <v>81163.5</v>
      </c>
      <c r="D37" s="183"/>
      <c r="E37" s="183"/>
      <c r="F37" s="183"/>
      <c r="G37" s="183"/>
      <c r="H37" s="185"/>
      <c r="I37" s="188" t="s">
        <v>180</v>
      </c>
      <c r="J37" s="187"/>
    </row>
    <row r="38" spans="2:10" ht="13.5" thickBot="1">
      <c r="B38" s="189"/>
      <c r="C38" s="190"/>
      <c r="D38" s="190"/>
      <c r="E38" s="190" t="s">
        <v>181</v>
      </c>
      <c r="F38" s="190"/>
      <c r="G38" s="190">
        <f>C27</f>
        <v>15000</v>
      </c>
      <c r="H38" s="191">
        <f>+G38/C37</f>
        <v>0.18481213846125413</v>
      </c>
      <c r="I38" s="192">
        <f>PRESTAMOS!E8</f>
        <v>0.12</v>
      </c>
      <c r="J38" s="193">
        <f>H38*I38</f>
        <v>0.022177456615350494</v>
      </c>
    </row>
    <row r="39" spans="9:10" ht="13.5" thickBot="1">
      <c r="I39" s="130"/>
      <c r="J39" s="131"/>
    </row>
    <row r="40" spans="5:7" ht="13.5" thickBot="1">
      <c r="E40" s="194" t="s">
        <v>203</v>
      </c>
      <c r="F40" s="330">
        <f>(J36+J38*(1-0.3))</f>
        <v>0.09704300578461994</v>
      </c>
      <c r="G40" s="331"/>
    </row>
    <row r="41" spans="5:6" ht="12.75">
      <c r="E41" s="129"/>
      <c r="F41" s="128"/>
    </row>
  </sheetData>
  <mergeCells count="14">
    <mergeCell ref="A1:M1"/>
    <mergeCell ref="A2:M2"/>
    <mergeCell ref="A5:B5"/>
    <mergeCell ref="A6:B6"/>
    <mergeCell ref="A27:B27"/>
    <mergeCell ref="A30:B30"/>
    <mergeCell ref="A4:B4"/>
    <mergeCell ref="F40:G40"/>
    <mergeCell ref="E32:F32"/>
    <mergeCell ref="E33:F33"/>
    <mergeCell ref="A14:B14"/>
    <mergeCell ref="A19:B19"/>
    <mergeCell ref="A20:B20"/>
    <mergeCell ref="A22:B22"/>
  </mergeCells>
  <printOptions/>
  <pageMargins left="0.75" right="0.75" top="0.48" bottom="0.46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M23" sqref="M23"/>
    </sheetView>
  </sheetViews>
  <sheetFormatPr defaultColWidth="11.421875" defaultRowHeight="12.75"/>
  <cols>
    <col min="1" max="1" width="18.00390625" style="0" customWidth="1"/>
    <col min="2" max="2" width="11.28125" style="0" customWidth="1"/>
    <col min="3" max="3" width="5.00390625" style="0" customWidth="1"/>
    <col min="4" max="4" width="11.8515625" style="0" customWidth="1"/>
    <col min="5" max="14" width="7.7109375" style="0" customWidth="1"/>
  </cols>
  <sheetData>
    <row r="2" spans="1:14" ht="15.75">
      <c r="A2" s="359"/>
      <c r="B2" s="359"/>
      <c r="C2" s="359"/>
      <c r="D2" s="360" t="s">
        <v>307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8" ht="13.5" thickBot="1"/>
    <row r="9" spans="1:14" ht="12.75">
      <c r="A9" s="361"/>
      <c r="B9" s="362" t="s">
        <v>285</v>
      </c>
      <c r="C9" s="362" t="s">
        <v>286</v>
      </c>
      <c r="D9" s="362" t="s">
        <v>310</v>
      </c>
      <c r="E9" s="363" t="s">
        <v>305</v>
      </c>
      <c r="F9" s="363"/>
      <c r="G9" s="363"/>
      <c r="H9" s="363"/>
      <c r="I9" s="363"/>
      <c r="J9" s="363"/>
      <c r="K9" s="363"/>
      <c r="L9" s="363"/>
      <c r="M9" s="363"/>
      <c r="N9" s="364"/>
    </row>
    <row r="10" spans="1:14" ht="41.25" customHeight="1">
      <c r="A10" s="365"/>
      <c r="B10" s="366"/>
      <c r="C10" s="366"/>
      <c r="D10" s="366"/>
      <c r="E10" s="367">
        <v>1</v>
      </c>
      <c r="F10" s="367">
        <v>2</v>
      </c>
      <c r="G10" s="367">
        <v>3</v>
      </c>
      <c r="H10" s="367">
        <v>4</v>
      </c>
      <c r="I10" s="367">
        <v>5</v>
      </c>
      <c r="J10" s="367">
        <v>6</v>
      </c>
      <c r="K10" s="367">
        <v>7</v>
      </c>
      <c r="L10" s="367">
        <v>8</v>
      </c>
      <c r="M10" s="367">
        <v>9</v>
      </c>
      <c r="N10" s="368">
        <v>10</v>
      </c>
    </row>
    <row r="11" spans="1:14" ht="13.5" thickBot="1">
      <c r="A11" s="369" t="s">
        <v>257</v>
      </c>
      <c r="B11" s="370"/>
      <c r="C11" s="370"/>
      <c r="D11" s="371">
        <v>123955</v>
      </c>
      <c r="E11" s="49">
        <f>D11</f>
        <v>123955</v>
      </c>
      <c r="F11" s="49">
        <f aca="true" t="shared" si="0" ref="F11:N11">E11</f>
        <v>123955</v>
      </c>
      <c r="G11" s="49">
        <f t="shared" si="0"/>
        <v>123955</v>
      </c>
      <c r="H11" s="49">
        <f t="shared" si="0"/>
        <v>123955</v>
      </c>
      <c r="I11" s="49">
        <f t="shared" si="0"/>
        <v>123955</v>
      </c>
      <c r="J11" s="49">
        <f t="shared" si="0"/>
        <v>123955</v>
      </c>
      <c r="K11" s="49">
        <f t="shared" si="0"/>
        <v>123955</v>
      </c>
      <c r="L11" s="49">
        <f t="shared" si="0"/>
        <v>123955</v>
      </c>
      <c r="M11" s="49">
        <f t="shared" si="0"/>
        <v>123955</v>
      </c>
      <c r="N11" s="372">
        <f t="shared" si="0"/>
        <v>123955</v>
      </c>
    </row>
    <row r="12" spans="1:14" ht="13.5" thickBot="1">
      <c r="A12" s="369" t="s">
        <v>287</v>
      </c>
      <c r="B12" s="370"/>
      <c r="C12" s="370"/>
      <c r="D12" s="373"/>
      <c r="E12" s="49"/>
      <c r="F12" s="49"/>
      <c r="G12" s="49"/>
      <c r="H12" s="49"/>
      <c r="I12" s="49"/>
      <c r="J12" s="49"/>
      <c r="K12" s="49"/>
      <c r="L12" s="49"/>
      <c r="M12" s="49"/>
      <c r="N12" s="372"/>
    </row>
    <row r="13" spans="1:14" ht="13.5" thickBot="1">
      <c r="A13" s="374" t="s">
        <v>288</v>
      </c>
      <c r="B13" s="375" t="s">
        <v>289</v>
      </c>
      <c r="C13" s="376" t="s">
        <v>290</v>
      </c>
      <c r="D13" s="373" t="s">
        <v>289</v>
      </c>
      <c r="E13" s="49" t="str">
        <f>D13</f>
        <v>-22440.00</v>
      </c>
      <c r="F13" s="49" t="str">
        <f aca="true" t="shared" si="1" ref="F13:N13">E13</f>
        <v>-22440.00</v>
      </c>
      <c r="G13" s="49" t="str">
        <f t="shared" si="1"/>
        <v>-22440.00</v>
      </c>
      <c r="H13" s="49" t="str">
        <f t="shared" si="1"/>
        <v>-22440.00</v>
      </c>
      <c r="I13" s="49" t="str">
        <f t="shared" si="1"/>
        <v>-22440.00</v>
      </c>
      <c r="J13" s="49" t="str">
        <f t="shared" si="1"/>
        <v>-22440.00</v>
      </c>
      <c r="K13" s="49" t="str">
        <f t="shared" si="1"/>
        <v>-22440.00</v>
      </c>
      <c r="L13" s="49" t="str">
        <f t="shared" si="1"/>
        <v>-22440.00</v>
      </c>
      <c r="M13" s="49" t="str">
        <f t="shared" si="1"/>
        <v>-22440.00</v>
      </c>
      <c r="N13" s="372" t="str">
        <f t="shared" si="1"/>
        <v>-22440.00</v>
      </c>
    </row>
    <row r="14" spans="1:14" ht="13.5" customHeight="1" thickBot="1">
      <c r="A14" s="374" t="s">
        <v>291</v>
      </c>
      <c r="B14" s="375" t="s">
        <v>292</v>
      </c>
      <c r="C14" s="376" t="s">
        <v>293</v>
      </c>
      <c r="D14" s="373">
        <v>-18</v>
      </c>
      <c r="E14" s="49">
        <f aca="true" t="shared" si="2" ref="E14:N20">D14</f>
        <v>-18</v>
      </c>
      <c r="F14" s="49">
        <f t="shared" si="2"/>
        <v>-18</v>
      </c>
      <c r="G14" s="49">
        <f t="shared" si="2"/>
        <v>-18</v>
      </c>
      <c r="H14" s="49">
        <f t="shared" si="2"/>
        <v>-18</v>
      </c>
      <c r="I14" s="49">
        <f t="shared" si="2"/>
        <v>-18</v>
      </c>
      <c r="J14" s="49">
        <f t="shared" si="2"/>
        <v>-18</v>
      </c>
      <c r="K14" s="49">
        <f t="shared" si="2"/>
        <v>-18</v>
      </c>
      <c r="L14" s="49">
        <f t="shared" si="2"/>
        <v>-18</v>
      </c>
      <c r="M14" s="49">
        <f t="shared" si="2"/>
        <v>-18</v>
      </c>
      <c r="N14" s="372">
        <f t="shared" si="2"/>
        <v>-18</v>
      </c>
    </row>
    <row r="15" spans="1:14" ht="13.5" customHeight="1" thickBot="1">
      <c r="A15" s="374" t="s">
        <v>294</v>
      </c>
      <c r="B15" s="375" t="s">
        <v>295</v>
      </c>
      <c r="C15" s="370"/>
      <c r="D15" s="373">
        <v>-31000</v>
      </c>
      <c r="E15" s="49">
        <f t="shared" si="2"/>
        <v>-31000</v>
      </c>
      <c r="F15" s="49">
        <f t="shared" si="2"/>
        <v>-31000</v>
      </c>
      <c r="G15" s="49">
        <f t="shared" si="2"/>
        <v>-31000</v>
      </c>
      <c r="H15" s="49">
        <f t="shared" si="2"/>
        <v>-31000</v>
      </c>
      <c r="I15" s="49">
        <f t="shared" si="2"/>
        <v>-31000</v>
      </c>
      <c r="J15" s="49">
        <f t="shared" si="2"/>
        <v>-31000</v>
      </c>
      <c r="K15" s="49">
        <f t="shared" si="2"/>
        <v>-31000</v>
      </c>
      <c r="L15" s="49">
        <f t="shared" si="2"/>
        <v>-31000</v>
      </c>
      <c r="M15" s="49">
        <f t="shared" si="2"/>
        <v>-31000</v>
      </c>
      <c r="N15" s="372">
        <f t="shared" si="2"/>
        <v>-31000</v>
      </c>
    </row>
    <row r="16" spans="1:14" ht="13.5" customHeight="1" thickBot="1">
      <c r="A16" s="374" t="s">
        <v>296</v>
      </c>
      <c r="B16" s="375" t="s">
        <v>297</v>
      </c>
      <c r="C16" s="370"/>
      <c r="D16" s="373" t="s">
        <v>297</v>
      </c>
      <c r="E16" s="49" t="str">
        <f t="shared" si="2"/>
        <v>-840.00</v>
      </c>
      <c r="F16" s="49" t="str">
        <f t="shared" si="2"/>
        <v>-840.00</v>
      </c>
      <c r="G16" s="49" t="str">
        <f t="shared" si="2"/>
        <v>-840.00</v>
      </c>
      <c r="H16" s="49" t="str">
        <f t="shared" si="2"/>
        <v>-840.00</v>
      </c>
      <c r="I16" s="49" t="str">
        <f t="shared" si="2"/>
        <v>-840.00</v>
      </c>
      <c r="J16" s="49" t="str">
        <f t="shared" si="2"/>
        <v>-840.00</v>
      </c>
      <c r="K16" s="49" t="str">
        <f t="shared" si="2"/>
        <v>-840.00</v>
      </c>
      <c r="L16" s="49" t="str">
        <f t="shared" si="2"/>
        <v>-840.00</v>
      </c>
      <c r="M16" s="49" t="str">
        <f t="shared" si="2"/>
        <v>-840.00</v>
      </c>
      <c r="N16" s="372" t="str">
        <f t="shared" si="2"/>
        <v>-840.00</v>
      </c>
    </row>
    <row r="17" spans="1:14" ht="13.5" customHeight="1" thickBot="1">
      <c r="A17" s="374" t="s">
        <v>298</v>
      </c>
      <c r="B17" s="375" t="s">
        <v>299</v>
      </c>
      <c r="C17" s="376" t="s">
        <v>300</v>
      </c>
      <c r="D17" s="373"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372"/>
    </row>
    <row r="18" spans="1:14" ht="13.5" customHeight="1" thickBot="1">
      <c r="A18" s="374" t="s">
        <v>301</v>
      </c>
      <c r="B18" s="375" t="s">
        <v>302</v>
      </c>
      <c r="C18" s="370"/>
      <c r="D18" s="373" t="s">
        <v>302</v>
      </c>
      <c r="E18" s="49" t="str">
        <f t="shared" si="2"/>
        <v>-23513.00</v>
      </c>
      <c r="F18" s="49" t="str">
        <f t="shared" si="2"/>
        <v>-23513.00</v>
      </c>
      <c r="G18" s="49" t="str">
        <f t="shared" si="2"/>
        <v>-23513.00</v>
      </c>
      <c r="H18" s="49" t="str">
        <f t="shared" si="2"/>
        <v>-23513.00</v>
      </c>
      <c r="I18" s="49" t="str">
        <f t="shared" si="2"/>
        <v>-23513.00</v>
      </c>
      <c r="J18" s="49" t="str">
        <f t="shared" si="2"/>
        <v>-23513.00</v>
      </c>
      <c r="K18" s="49" t="str">
        <f t="shared" si="2"/>
        <v>-23513.00</v>
      </c>
      <c r="L18" s="49" t="str">
        <f t="shared" si="2"/>
        <v>-23513.00</v>
      </c>
      <c r="M18" s="49" t="str">
        <f t="shared" si="2"/>
        <v>-23513.00</v>
      </c>
      <c r="N18" s="372" t="str">
        <f t="shared" si="2"/>
        <v>-23513.00</v>
      </c>
    </row>
    <row r="19" spans="1:14" ht="13.5" customHeight="1" thickBot="1">
      <c r="A19" s="377" t="s">
        <v>303</v>
      </c>
      <c r="B19" s="378" t="s">
        <v>304</v>
      </c>
      <c r="C19" s="370"/>
      <c r="D19" s="384">
        <f>SUM(D13:D18)</f>
        <v>-31018</v>
      </c>
      <c r="E19" s="379"/>
      <c r="F19" s="379"/>
      <c r="G19" s="379"/>
      <c r="H19" s="379"/>
      <c r="I19" s="379"/>
      <c r="J19" s="379"/>
      <c r="K19" s="379"/>
      <c r="L19" s="379"/>
      <c r="M19" s="379"/>
      <c r="N19" s="380"/>
    </row>
    <row r="20" spans="1:14" ht="13.5" customHeight="1" thickBot="1">
      <c r="A20" s="381" t="s">
        <v>306</v>
      </c>
      <c r="B20" s="382"/>
      <c r="C20" s="383"/>
      <c r="D20" s="385">
        <f>D19</f>
        <v>-31018</v>
      </c>
      <c r="E20" s="386">
        <f>+E11+SUM(E13:E19)</f>
        <v>92937</v>
      </c>
      <c r="F20" s="387">
        <f aca="true" t="shared" si="3" ref="F20:N20">+F11+SUM(F13:F19)</f>
        <v>92937</v>
      </c>
      <c r="G20" s="387">
        <f t="shared" si="3"/>
        <v>92937</v>
      </c>
      <c r="H20" s="387">
        <f t="shared" si="3"/>
        <v>92937</v>
      </c>
      <c r="I20" s="387">
        <f t="shared" si="3"/>
        <v>92937</v>
      </c>
      <c r="J20" s="387">
        <f t="shared" si="3"/>
        <v>92937</v>
      </c>
      <c r="K20" s="387">
        <f t="shared" si="3"/>
        <v>92937</v>
      </c>
      <c r="L20" s="387">
        <f t="shared" si="3"/>
        <v>92937</v>
      </c>
      <c r="M20" s="387">
        <f t="shared" si="3"/>
        <v>92937</v>
      </c>
      <c r="N20" s="388">
        <f t="shared" si="3"/>
        <v>92937</v>
      </c>
    </row>
    <row r="21" spans="1:14" ht="12.75">
      <c r="A21" s="358"/>
      <c r="B21" s="358"/>
      <c r="C21" s="358"/>
      <c r="D21" s="358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4" ht="13.5" thickBot="1">
      <c r="A22" s="358"/>
      <c r="B22" s="358"/>
      <c r="C22" s="358"/>
      <c r="D22" s="358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8" ht="12.75">
      <c r="A23" s="358"/>
      <c r="B23" s="358"/>
      <c r="C23" s="358"/>
      <c r="D23" s="358"/>
      <c r="E23" s="389" t="s">
        <v>308</v>
      </c>
      <c r="F23" s="94"/>
      <c r="G23" s="390">
        <f>NPV(10%,D20:N20)</f>
        <v>490945.12100261444</v>
      </c>
      <c r="H23" s="391"/>
    </row>
    <row r="24" spans="1:8" ht="13.5" thickBot="1">
      <c r="A24" s="358"/>
      <c r="B24" s="358"/>
      <c r="C24" s="358"/>
      <c r="D24" s="358"/>
      <c r="E24" s="99" t="s">
        <v>309</v>
      </c>
      <c r="F24" s="101"/>
      <c r="G24" s="392">
        <f>IRR(D20:N20)</f>
        <v>2.9962251121147703</v>
      </c>
      <c r="H24" s="393"/>
    </row>
  </sheetData>
  <mergeCells count="8">
    <mergeCell ref="G23:H23"/>
    <mergeCell ref="G24:H24"/>
    <mergeCell ref="A20:C20"/>
    <mergeCell ref="E9:N9"/>
    <mergeCell ref="A9:A10"/>
    <mergeCell ref="B9:B10"/>
    <mergeCell ref="C9:C10"/>
    <mergeCell ref="D9:D10"/>
  </mergeCells>
  <printOptions/>
  <pageMargins left="0.75" right="0.75" top="1.43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7">
      <selection activeCell="G37" sqref="G37"/>
    </sheetView>
  </sheetViews>
  <sheetFormatPr defaultColWidth="11.421875" defaultRowHeight="12.75"/>
  <cols>
    <col min="1" max="1" width="41.140625" style="0" bestFit="1" customWidth="1"/>
    <col min="7" max="7" width="11.8515625" style="0" bestFit="1" customWidth="1"/>
    <col min="8" max="8" width="12.140625" style="0" bestFit="1" customWidth="1"/>
  </cols>
  <sheetData>
    <row r="1" ht="12.75">
      <c r="A1" s="8" t="s">
        <v>71</v>
      </c>
    </row>
    <row r="2" spans="2:5" ht="13.5" thickBot="1">
      <c r="B2" s="3"/>
      <c r="C2" s="3"/>
      <c r="D2" s="3"/>
      <c r="E2" s="3"/>
    </row>
    <row r="3" spans="1:14" ht="25.5">
      <c r="A3" s="64" t="s">
        <v>0</v>
      </c>
      <c r="B3" s="65" t="s">
        <v>3</v>
      </c>
      <c r="C3" s="65" t="s">
        <v>4</v>
      </c>
      <c r="D3" s="65" t="s">
        <v>80</v>
      </c>
      <c r="E3" s="66" t="s">
        <v>81</v>
      </c>
      <c r="F3" s="4"/>
      <c r="G3" s="4"/>
      <c r="H3" s="4"/>
      <c r="I3" s="4"/>
      <c r="J3" s="4"/>
      <c r="K3" s="4"/>
      <c r="L3" s="4"/>
      <c r="M3" s="4"/>
      <c r="N3" s="4"/>
    </row>
    <row r="4" spans="1:5" ht="12.75">
      <c r="A4" s="67" t="s">
        <v>1</v>
      </c>
      <c r="B4" s="30"/>
      <c r="C4" s="30"/>
      <c r="D4" s="30"/>
      <c r="E4" s="68"/>
    </row>
    <row r="5" spans="1:14" ht="12.75">
      <c r="A5" s="69" t="s">
        <v>2</v>
      </c>
      <c r="B5" s="50" t="s">
        <v>5</v>
      </c>
      <c r="C5" s="59">
        <v>10</v>
      </c>
      <c r="D5" s="56">
        <v>350</v>
      </c>
      <c r="E5" s="70">
        <f>C5*D5</f>
        <v>3500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71" t="s">
        <v>82</v>
      </c>
      <c r="B6" s="60"/>
      <c r="C6" s="61"/>
      <c r="D6" s="62"/>
      <c r="E6" s="72">
        <f>SUM(E5)</f>
        <v>3500</v>
      </c>
      <c r="F6" s="5"/>
      <c r="G6" s="5" t="s">
        <v>164</v>
      </c>
      <c r="H6" s="5" t="s">
        <v>12</v>
      </c>
      <c r="I6" s="5">
        <v>1</v>
      </c>
      <c r="J6" s="5">
        <v>22000</v>
      </c>
      <c r="K6" s="5">
        <v>22000</v>
      </c>
      <c r="L6" s="5"/>
      <c r="M6" s="5"/>
      <c r="N6" s="5"/>
    </row>
    <row r="7" spans="1:6" ht="12.75">
      <c r="A7" s="73" t="s">
        <v>6</v>
      </c>
      <c r="B7" s="30"/>
      <c r="C7" s="50"/>
      <c r="D7" s="53"/>
      <c r="E7" s="74"/>
      <c r="F7" s="5"/>
    </row>
    <row r="8" spans="1:6" ht="12.75">
      <c r="A8" s="69" t="s">
        <v>261</v>
      </c>
      <c r="B8" s="29" t="s">
        <v>12</v>
      </c>
      <c r="C8" s="59">
        <v>1</v>
      </c>
      <c r="D8" s="56">
        <v>1000</v>
      </c>
      <c r="E8" s="70">
        <f aca="true" t="shared" si="0" ref="E8:E15">C8*D8</f>
        <v>1000</v>
      </c>
      <c r="F8" s="5"/>
    </row>
    <row r="9" spans="1:6" ht="12.75">
      <c r="A9" s="69" t="s">
        <v>218</v>
      </c>
      <c r="B9" s="29" t="s">
        <v>12</v>
      </c>
      <c r="C9" s="59">
        <v>1</v>
      </c>
      <c r="D9" s="56">
        <v>1000</v>
      </c>
      <c r="E9" s="70">
        <f t="shared" si="0"/>
        <v>1000</v>
      </c>
      <c r="F9" s="5"/>
    </row>
    <row r="10" spans="1:6" ht="12.75">
      <c r="A10" s="69" t="s">
        <v>25</v>
      </c>
      <c r="B10" s="29" t="s">
        <v>12</v>
      </c>
      <c r="C10" s="59">
        <v>1</v>
      </c>
      <c r="D10" s="56">
        <v>150</v>
      </c>
      <c r="E10" s="70">
        <f t="shared" si="0"/>
        <v>150</v>
      </c>
      <c r="F10" s="5"/>
    </row>
    <row r="11" spans="1:6" ht="12.75">
      <c r="A11" s="69" t="s">
        <v>219</v>
      </c>
      <c r="B11" s="29" t="s">
        <v>12</v>
      </c>
      <c r="C11" s="59">
        <v>1</v>
      </c>
      <c r="D11" s="56">
        <v>500</v>
      </c>
      <c r="E11" s="70">
        <f t="shared" si="0"/>
        <v>500</v>
      </c>
      <c r="F11" s="5"/>
    </row>
    <row r="12" spans="1:6" ht="12.75">
      <c r="A12" s="69" t="s">
        <v>220</v>
      </c>
      <c r="B12" s="29" t="s">
        <v>12</v>
      </c>
      <c r="C12" s="59">
        <v>1</v>
      </c>
      <c r="D12" s="56">
        <v>75</v>
      </c>
      <c r="E12" s="70">
        <f t="shared" si="0"/>
        <v>75</v>
      </c>
      <c r="F12" s="5"/>
    </row>
    <row r="13" spans="1:6" ht="12.75">
      <c r="A13" s="69" t="s">
        <v>262</v>
      </c>
      <c r="B13" s="29" t="s">
        <v>12</v>
      </c>
      <c r="C13" s="59">
        <v>1</v>
      </c>
      <c r="D13" s="56">
        <v>1000</v>
      </c>
      <c r="E13" s="70">
        <f t="shared" si="0"/>
        <v>1000</v>
      </c>
      <c r="F13" s="5"/>
    </row>
    <row r="14" spans="1:6" ht="12.75">
      <c r="A14" s="69" t="s">
        <v>79</v>
      </c>
      <c r="B14" s="29" t="s">
        <v>12</v>
      </c>
      <c r="C14" s="59">
        <v>1</v>
      </c>
      <c r="D14" s="56">
        <v>3000</v>
      </c>
      <c r="E14" s="70">
        <f t="shared" si="0"/>
        <v>3000</v>
      </c>
      <c r="F14" s="5"/>
    </row>
    <row r="15" spans="1:6" ht="12.75">
      <c r="A15" s="69" t="s">
        <v>24</v>
      </c>
      <c r="B15" s="29" t="s">
        <v>12</v>
      </c>
      <c r="C15" s="59">
        <v>26</v>
      </c>
      <c r="D15" s="56">
        <v>100</v>
      </c>
      <c r="E15" s="70">
        <f t="shared" si="0"/>
        <v>2600</v>
      </c>
      <c r="F15" s="5"/>
    </row>
    <row r="16" spans="1:6" ht="12.75">
      <c r="A16" s="71" t="s">
        <v>90</v>
      </c>
      <c r="B16" s="63"/>
      <c r="C16" s="61"/>
      <c r="D16" s="62"/>
      <c r="E16" s="72">
        <f>SUM(E8:E15)</f>
        <v>9325</v>
      </c>
      <c r="F16" s="5"/>
    </row>
    <row r="17" spans="1:6" ht="12.75">
      <c r="A17" s="73" t="s">
        <v>204</v>
      </c>
      <c r="B17" s="29"/>
      <c r="C17" s="59"/>
      <c r="D17" s="56"/>
      <c r="E17" s="70"/>
      <c r="F17" s="5"/>
    </row>
    <row r="18" spans="1:6" ht="12.75">
      <c r="A18" s="69" t="s">
        <v>7</v>
      </c>
      <c r="B18" s="29" t="s">
        <v>12</v>
      </c>
      <c r="C18" s="59">
        <v>26</v>
      </c>
      <c r="D18" s="56">
        <v>75</v>
      </c>
      <c r="E18" s="70">
        <f>C18*D18</f>
        <v>1950</v>
      </c>
      <c r="F18" s="5"/>
    </row>
    <row r="19" spans="1:6" ht="12.75">
      <c r="A19" s="49" t="s">
        <v>8</v>
      </c>
      <c r="B19" s="29" t="s">
        <v>12</v>
      </c>
      <c r="C19" s="59">
        <v>26</v>
      </c>
      <c r="D19" s="56">
        <v>5</v>
      </c>
      <c r="E19" s="70">
        <f aca="true" t="shared" si="1" ref="E19:E27">C19*D19</f>
        <v>130</v>
      </c>
      <c r="F19" s="5"/>
    </row>
    <row r="20" spans="1:6" ht="12.75">
      <c r="A20" s="49" t="s">
        <v>9</v>
      </c>
      <c r="B20" s="29" t="s">
        <v>12</v>
      </c>
      <c r="C20" s="59">
        <v>26</v>
      </c>
      <c r="D20" s="56">
        <v>7</v>
      </c>
      <c r="E20" s="70">
        <f t="shared" si="1"/>
        <v>182</v>
      </c>
      <c r="F20" s="5"/>
    </row>
    <row r="21" spans="1:6" ht="12.75">
      <c r="A21" s="49" t="s">
        <v>17</v>
      </c>
      <c r="B21" s="29" t="s">
        <v>12</v>
      </c>
      <c r="C21" s="59">
        <v>26</v>
      </c>
      <c r="D21" s="56">
        <v>15</v>
      </c>
      <c r="E21" s="70">
        <f t="shared" si="1"/>
        <v>390</v>
      </c>
      <c r="F21" s="5"/>
    </row>
    <row r="22" spans="1:6" ht="12.75">
      <c r="A22" s="49" t="s">
        <v>10</v>
      </c>
      <c r="B22" s="29" t="s">
        <v>12</v>
      </c>
      <c r="C22" s="59">
        <v>26</v>
      </c>
      <c r="D22" s="56">
        <v>7</v>
      </c>
      <c r="E22" s="70">
        <f t="shared" si="1"/>
        <v>182</v>
      </c>
      <c r="F22" s="5"/>
    </row>
    <row r="23" spans="1:6" ht="12.75">
      <c r="A23" s="49" t="s">
        <v>11</v>
      </c>
      <c r="B23" s="29" t="s">
        <v>12</v>
      </c>
      <c r="C23" s="59">
        <v>26</v>
      </c>
      <c r="D23" s="56">
        <v>10</v>
      </c>
      <c r="E23" s="70">
        <f t="shared" si="1"/>
        <v>260</v>
      </c>
      <c r="F23" s="5"/>
    </row>
    <row r="24" spans="1:6" ht="12.75">
      <c r="A24" s="49" t="s">
        <v>32</v>
      </c>
      <c r="B24" s="29" t="s">
        <v>12</v>
      </c>
      <c r="C24" s="59">
        <v>26</v>
      </c>
      <c r="D24" s="56">
        <v>2</v>
      </c>
      <c r="E24" s="70">
        <f t="shared" si="1"/>
        <v>52</v>
      </c>
      <c r="F24" s="5"/>
    </row>
    <row r="25" spans="1:6" ht="12.75">
      <c r="A25" s="49" t="s">
        <v>86</v>
      </c>
      <c r="B25" s="29" t="s">
        <v>12</v>
      </c>
      <c r="C25" s="59">
        <v>26</v>
      </c>
      <c r="D25" s="56">
        <v>2</v>
      </c>
      <c r="E25" s="70">
        <f t="shared" si="1"/>
        <v>52</v>
      </c>
      <c r="F25" s="5"/>
    </row>
    <row r="26" spans="1:6" ht="12.75">
      <c r="A26" s="45" t="s">
        <v>98</v>
      </c>
      <c r="B26" s="29" t="s">
        <v>12</v>
      </c>
      <c r="C26" s="43">
        <v>3</v>
      </c>
      <c r="D26" s="48">
        <v>1</v>
      </c>
      <c r="E26" s="70">
        <f t="shared" si="1"/>
        <v>3</v>
      </c>
      <c r="F26" s="5"/>
    </row>
    <row r="27" spans="1:6" ht="12.75">
      <c r="A27" s="49" t="s">
        <v>92</v>
      </c>
      <c r="B27" s="29" t="s">
        <v>12</v>
      </c>
      <c r="C27" s="59">
        <v>26</v>
      </c>
      <c r="D27" s="56">
        <v>2</v>
      </c>
      <c r="E27" s="70">
        <f t="shared" si="1"/>
        <v>52</v>
      </c>
      <c r="F27" s="5"/>
    </row>
    <row r="28" spans="1:6" ht="12.75">
      <c r="A28" s="69"/>
      <c r="B28" s="29"/>
      <c r="C28" s="59"/>
      <c r="D28" s="56"/>
      <c r="E28" s="70"/>
      <c r="F28" s="5"/>
    </row>
    <row r="29" spans="1:6" ht="12.75">
      <c r="A29" s="71" t="s">
        <v>91</v>
      </c>
      <c r="B29" s="63"/>
      <c r="C29" s="61"/>
      <c r="D29" s="62"/>
      <c r="E29" s="72">
        <f>SUM(E18:E28)</f>
        <v>3253</v>
      </c>
      <c r="F29" s="5"/>
    </row>
    <row r="30" spans="1:6" ht="12.75">
      <c r="A30" s="73" t="s">
        <v>93</v>
      </c>
      <c r="B30" s="29"/>
      <c r="C30" s="59"/>
      <c r="D30" s="53"/>
      <c r="E30" s="70"/>
      <c r="F30" s="5"/>
    </row>
    <row r="31" spans="1:6" ht="12.75">
      <c r="A31" s="69" t="s">
        <v>15</v>
      </c>
      <c r="B31" s="29" t="s">
        <v>12</v>
      </c>
      <c r="C31" s="59">
        <v>2</v>
      </c>
      <c r="D31" s="56">
        <v>1100</v>
      </c>
      <c r="E31" s="70">
        <f aca="true" t="shared" si="2" ref="E31:E36">C31*D31</f>
        <v>2200</v>
      </c>
      <c r="F31" s="5"/>
    </row>
    <row r="32" spans="1:6" ht="12.75">
      <c r="A32" s="69" t="s">
        <v>56</v>
      </c>
      <c r="B32" s="29" t="s">
        <v>12</v>
      </c>
      <c r="C32" s="59">
        <v>1</v>
      </c>
      <c r="D32" s="56">
        <v>50</v>
      </c>
      <c r="E32" s="70">
        <f t="shared" si="2"/>
        <v>50</v>
      </c>
      <c r="F32" s="5"/>
    </row>
    <row r="33" spans="1:6" ht="12.75">
      <c r="A33" s="69" t="s">
        <v>263</v>
      </c>
      <c r="B33" s="29" t="s">
        <v>12</v>
      </c>
      <c r="C33" s="59">
        <v>50</v>
      </c>
      <c r="D33" s="56">
        <v>6</v>
      </c>
      <c r="E33" s="70">
        <f t="shared" si="2"/>
        <v>300</v>
      </c>
      <c r="F33" s="5"/>
    </row>
    <row r="34" spans="1:6" ht="12.75">
      <c r="A34" s="69" t="s">
        <v>37</v>
      </c>
      <c r="B34" s="29" t="s">
        <v>12</v>
      </c>
      <c r="C34" s="59">
        <v>2</v>
      </c>
      <c r="D34" s="56">
        <v>50</v>
      </c>
      <c r="E34" s="70">
        <f t="shared" si="2"/>
        <v>100</v>
      </c>
      <c r="F34" s="5"/>
    </row>
    <row r="35" spans="1:6" ht="12.75">
      <c r="A35" s="69" t="s">
        <v>14</v>
      </c>
      <c r="B35" s="29" t="s">
        <v>12</v>
      </c>
      <c r="C35" s="59">
        <v>3</v>
      </c>
      <c r="D35" s="56">
        <v>10</v>
      </c>
      <c r="E35" s="70">
        <f t="shared" si="2"/>
        <v>30</v>
      </c>
      <c r="F35" s="5"/>
    </row>
    <row r="36" spans="1:7" ht="12.75">
      <c r="A36" s="69" t="s">
        <v>13</v>
      </c>
      <c r="B36" s="29" t="s">
        <v>12</v>
      </c>
      <c r="C36" s="59">
        <v>5</v>
      </c>
      <c r="D36" s="56">
        <v>8</v>
      </c>
      <c r="E36" s="70">
        <f t="shared" si="2"/>
        <v>40</v>
      </c>
      <c r="F36" s="5"/>
      <c r="G36" s="5">
        <f>+E37+E29+E16</f>
        <v>15298</v>
      </c>
    </row>
    <row r="37" spans="1:7" ht="12.75">
      <c r="A37" s="71" t="s">
        <v>94</v>
      </c>
      <c r="B37" s="63"/>
      <c r="C37" s="61"/>
      <c r="D37" s="62"/>
      <c r="E37" s="72">
        <f>SUM(E31:E36)</f>
        <v>2720</v>
      </c>
      <c r="F37" s="5"/>
      <c r="G37" s="5">
        <f>E6+E16+E29+E37+E44</f>
        <v>20123</v>
      </c>
    </row>
    <row r="38" spans="1:6" ht="12.75">
      <c r="A38" s="67" t="s">
        <v>18</v>
      </c>
      <c r="B38" s="30"/>
      <c r="C38" s="50"/>
      <c r="D38" s="53"/>
      <c r="E38" s="70"/>
      <c r="F38" s="5"/>
    </row>
    <row r="39" spans="1:6" ht="12.75">
      <c r="A39" s="69" t="s">
        <v>19</v>
      </c>
      <c r="B39" s="29" t="s">
        <v>265</v>
      </c>
      <c r="C39" s="50">
        <v>1</v>
      </c>
      <c r="D39" s="56">
        <v>300</v>
      </c>
      <c r="E39" s="70">
        <f>C39*D39</f>
        <v>300</v>
      </c>
      <c r="F39" s="5"/>
    </row>
    <row r="40" spans="1:6" ht="12.75">
      <c r="A40" s="69" t="s">
        <v>20</v>
      </c>
      <c r="B40" s="29" t="s">
        <v>21</v>
      </c>
      <c r="C40" s="50">
        <v>3</v>
      </c>
      <c r="D40" s="56">
        <v>50</v>
      </c>
      <c r="E40" s="70">
        <f>C40*D40</f>
        <v>150</v>
      </c>
      <c r="F40" s="5"/>
    </row>
    <row r="41" spans="1:6" ht="12.75">
      <c r="A41" s="69" t="s">
        <v>22</v>
      </c>
      <c r="B41" s="29" t="s">
        <v>12</v>
      </c>
      <c r="C41" s="50">
        <v>25</v>
      </c>
      <c r="D41" s="56">
        <v>25</v>
      </c>
      <c r="E41" s="70">
        <f>C41*D41</f>
        <v>625</v>
      </c>
      <c r="F41" s="5"/>
    </row>
    <row r="42" spans="1:6" ht="12.75">
      <c r="A42" s="69" t="s">
        <v>57</v>
      </c>
      <c r="B42" s="30"/>
      <c r="C42" s="50">
        <v>1</v>
      </c>
      <c r="D42" s="56">
        <v>150</v>
      </c>
      <c r="E42" s="70">
        <f>C42*D42</f>
        <v>150</v>
      </c>
      <c r="F42" s="5"/>
    </row>
    <row r="43" spans="1:6" ht="12.75">
      <c r="A43" s="49" t="s">
        <v>27</v>
      </c>
      <c r="B43" s="30"/>
      <c r="C43" s="50">
        <v>1</v>
      </c>
      <c r="D43" s="56">
        <v>100</v>
      </c>
      <c r="E43" s="70">
        <f>C43*D43</f>
        <v>100</v>
      </c>
      <c r="F43" s="5"/>
    </row>
    <row r="44" spans="1:6" ht="12.75">
      <c r="A44" s="71" t="s">
        <v>95</v>
      </c>
      <c r="B44" s="31"/>
      <c r="C44" s="60"/>
      <c r="D44" s="62"/>
      <c r="E44" s="72">
        <f>SUM(E39:E43)</f>
        <v>1325</v>
      </c>
      <c r="F44" s="5"/>
    </row>
    <row r="45" spans="1:6" ht="12.75">
      <c r="A45" s="67" t="s">
        <v>23</v>
      </c>
      <c r="B45" s="30"/>
      <c r="C45" s="50"/>
      <c r="D45" s="56"/>
      <c r="E45" s="70"/>
      <c r="F45" s="5"/>
    </row>
    <row r="46" spans="1:6" ht="12.75">
      <c r="A46" s="75" t="s">
        <v>205</v>
      </c>
      <c r="B46" s="30"/>
      <c r="C46" s="50"/>
      <c r="D46" s="56"/>
      <c r="E46" s="70">
        <f>'COSTOS VAR'!E20</f>
        <v>33670</v>
      </c>
      <c r="F46" s="5"/>
    </row>
    <row r="47" spans="1:6" ht="12.75">
      <c r="A47" s="75" t="s">
        <v>28</v>
      </c>
      <c r="B47" s="30"/>
      <c r="C47" s="50"/>
      <c r="D47" s="56"/>
      <c r="E47" s="70">
        <f>GASTOS!C16</f>
        <v>12480</v>
      </c>
      <c r="F47" s="5"/>
    </row>
    <row r="48" spans="1:6" ht="12.75">
      <c r="A48" s="69" t="s">
        <v>72</v>
      </c>
      <c r="B48" s="29"/>
      <c r="C48" s="50"/>
      <c r="D48" s="56"/>
      <c r="E48" s="70">
        <f>'COSTOS FIJOS'!E27</f>
        <v>14890.5</v>
      </c>
      <c r="F48" s="5"/>
    </row>
    <row r="49" spans="1:6" ht="12.75">
      <c r="A49" s="71" t="s">
        <v>96</v>
      </c>
      <c r="B49" s="31"/>
      <c r="C49" s="133"/>
      <c r="D49" s="133"/>
      <c r="E49" s="72">
        <f>SUM(E46:E48)</f>
        <v>61040.5</v>
      </c>
      <c r="F49" s="5"/>
    </row>
    <row r="50" spans="1:5" ht="13.5" thickBot="1">
      <c r="A50" s="76" t="s">
        <v>36</v>
      </c>
      <c r="B50" s="77"/>
      <c r="C50" s="77"/>
      <c r="D50" s="77"/>
      <c r="E50" s="78">
        <f>+E49+E44+E37+E29+E16+E6</f>
        <v>81163.5</v>
      </c>
    </row>
    <row r="51" ht="12.75">
      <c r="A51" s="9"/>
    </row>
    <row r="52" ht="13.5" thickBot="1"/>
    <row r="53" spans="1:4" ht="12.75">
      <c r="A53" s="80" t="s">
        <v>58</v>
      </c>
      <c r="B53" s="81"/>
      <c r="C53" s="81"/>
      <c r="D53" s="82"/>
    </row>
    <row r="54" spans="1:8" ht="12.75">
      <c r="A54" s="83" t="str">
        <f>A39</f>
        <v>Promoción y publicidad</v>
      </c>
      <c r="B54" s="32"/>
      <c r="C54" s="32"/>
      <c r="D54" s="84">
        <f>E39</f>
        <v>300</v>
      </c>
      <c r="F54" s="30"/>
      <c r="G54" s="25">
        <v>0</v>
      </c>
      <c r="H54" s="30">
        <v>1</v>
      </c>
    </row>
    <row r="55" spans="1:8" ht="12.75">
      <c r="A55" s="83" t="str">
        <f>A40</f>
        <v>Capacitación</v>
      </c>
      <c r="B55" s="79"/>
      <c r="C55" s="79"/>
      <c r="D55" s="84">
        <f>E40</f>
        <v>150</v>
      </c>
      <c r="F55" s="30" t="s">
        <v>256</v>
      </c>
      <c r="G55" s="57">
        <f>-E50</f>
        <v>-81163.5</v>
      </c>
      <c r="H55" s="30"/>
    </row>
    <row r="56" spans="1:12" ht="12.75">
      <c r="A56" s="83" t="str">
        <f>A41</f>
        <v>Estudios de suelo</v>
      </c>
      <c r="B56" s="32"/>
      <c r="C56" s="32"/>
      <c r="D56" s="84">
        <f>E41</f>
        <v>625</v>
      </c>
      <c r="F56" s="30" t="s">
        <v>257</v>
      </c>
      <c r="G56" s="138">
        <v>-108322</v>
      </c>
      <c r="H56" s="139">
        <v>131552</v>
      </c>
      <c r="I56" s="137"/>
      <c r="J56" s="137"/>
      <c r="K56" s="137"/>
      <c r="L56" s="137"/>
    </row>
    <row r="57" spans="1:4" ht="12.75">
      <c r="A57" s="83" t="str">
        <f>A42</f>
        <v>Gastos de puesta en marcha</v>
      </c>
      <c r="B57" s="79"/>
      <c r="C57" s="32"/>
      <c r="D57" s="84">
        <f>E42</f>
        <v>150</v>
      </c>
    </row>
    <row r="58" spans="1:4" ht="12.75">
      <c r="A58" s="83" t="str">
        <f>A43</f>
        <v>Estudio y diseño para la implementación de riego</v>
      </c>
      <c r="B58" s="32"/>
      <c r="C58" s="32"/>
      <c r="D58" s="84">
        <f>E43</f>
        <v>100</v>
      </c>
    </row>
    <row r="59" spans="1:4" ht="13.5" thickBot="1">
      <c r="A59" s="91" t="s">
        <v>35</v>
      </c>
      <c r="B59" s="32"/>
      <c r="C59" s="32"/>
      <c r="D59" s="86">
        <f>SUM(D54:D58)</f>
        <v>1325</v>
      </c>
    </row>
    <row r="60" spans="1:9" ht="12.75">
      <c r="A60" s="83"/>
      <c r="B60" s="32"/>
      <c r="C60" s="32"/>
      <c r="D60" s="85"/>
      <c r="F60" s="140" t="s">
        <v>258</v>
      </c>
      <c r="G60" s="143">
        <f>NPV(10%,G56:H56)</f>
        <v>10246.11570247933</v>
      </c>
      <c r="I60" s="118"/>
    </row>
    <row r="61" spans="1:7" ht="13.5" thickBot="1">
      <c r="A61" s="87" t="s">
        <v>59</v>
      </c>
      <c r="B61" s="88"/>
      <c r="C61" s="89"/>
      <c r="D61" s="90">
        <f>D59/5</f>
        <v>265</v>
      </c>
      <c r="F61" s="141" t="s">
        <v>259</v>
      </c>
      <c r="G61" s="142">
        <f>IRR(G56:H56)</f>
        <v>0.21445320433517046</v>
      </c>
    </row>
    <row r="64" ht="12.75">
      <c r="I64" s="5">
        <f>+H56-24500</f>
        <v>107052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29"/>
  <sheetViews>
    <sheetView workbookViewId="0" topLeftCell="A1">
      <selection activeCell="K22" sqref="K22"/>
    </sheetView>
  </sheetViews>
  <sheetFormatPr defaultColWidth="11.421875" defaultRowHeight="12.75"/>
  <cols>
    <col min="1" max="1" width="29.8515625" style="0" customWidth="1"/>
    <col min="2" max="2" width="14.421875" style="0" bestFit="1" customWidth="1"/>
    <col min="3" max="12" width="8.28125" style="0" customWidth="1"/>
  </cols>
  <sheetData>
    <row r="6" spans="1:5" ht="12.75">
      <c r="A6" s="11"/>
      <c r="B6" s="11"/>
      <c r="C6" s="12"/>
      <c r="D6" s="11"/>
      <c r="E6" s="11"/>
    </row>
    <row r="7" spans="1:12" ht="15.75">
      <c r="A7" s="275" t="s">
        <v>38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ht="13.5" thickBot="1"/>
    <row r="9" spans="1:12" ht="12.75">
      <c r="A9" s="17" t="s">
        <v>39</v>
      </c>
      <c r="B9" s="18" t="s">
        <v>40</v>
      </c>
      <c r="C9" s="18" t="s">
        <v>41</v>
      </c>
      <c r="D9" s="18" t="s">
        <v>42</v>
      </c>
      <c r="E9" s="18" t="s">
        <v>43</v>
      </c>
      <c r="F9" s="18" t="s">
        <v>44</v>
      </c>
      <c r="G9" s="18" t="s">
        <v>45</v>
      </c>
      <c r="H9" s="18" t="s">
        <v>46</v>
      </c>
      <c r="I9" s="18" t="s">
        <v>47</v>
      </c>
      <c r="J9" s="18" t="s">
        <v>48</v>
      </c>
      <c r="K9" s="18" t="s">
        <v>49</v>
      </c>
      <c r="L9" s="19" t="s">
        <v>50</v>
      </c>
    </row>
    <row r="10" spans="1:12" ht="12.75">
      <c r="A10" s="20" t="s">
        <v>266</v>
      </c>
      <c r="B10" s="21">
        <v>700</v>
      </c>
      <c r="C10" s="22">
        <f>(B10*12)</f>
        <v>8400</v>
      </c>
      <c r="D10" s="22">
        <f>C10</f>
        <v>8400</v>
      </c>
      <c r="E10" s="22">
        <f aca="true" t="shared" si="0" ref="E10:L11">D10</f>
        <v>8400</v>
      </c>
      <c r="F10" s="22">
        <f t="shared" si="0"/>
        <v>8400</v>
      </c>
      <c r="G10" s="22">
        <f t="shared" si="0"/>
        <v>8400</v>
      </c>
      <c r="H10" s="22">
        <f t="shared" si="0"/>
        <v>8400</v>
      </c>
      <c r="I10" s="22">
        <f t="shared" si="0"/>
        <v>8400</v>
      </c>
      <c r="J10" s="22">
        <f t="shared" si="0"/>
        <v>8400</v>
      </c>
      <c r="K10" s="22">
        <f t="shared" si="0"/>
        <v>8400</v>
      </c>
      <c r="L10" s="23">
        <f t="shared" si="0"/>
        <v>8400</v>
      </c>
    </row>
    <row r="11" spans="1:12" ht="12.75">
      <c r="A11" s="24" t="s">
        <v>29</v>
      </c>
      <c r="B11" s="21">
        <v>250</v>
      </c>
      <c r="C11" s="22">
        <f>B11*12</f>
        <v>3000</v>
      </c>
      <c r="D11" s="22">
        <f>C11</f>
        <v>3000</v>
      </c>
      <c r="E11" s="22">
        <f>D11</f>
        <v>3000</v>
      </c>
      <c r="F11" s="22">
        <f t="shared" si="0"/>
        <v>3000</v>
      </c>
      <c r="G11" s="22">
        <f t="shared" si="0"/>
        <v>3000</v>
      </c>
      <c r="H11" s="22">
        <f t="shared" si="0"/>
        <v>3000</v>
      </c>
      <c r="I11" s="22">
        <f t="shared" si="0"/>
        <v>3000</v>
      </c>
      <c r="J11" s="22">
        <f t="shared" si="0"/>
        <v>3000</v>
      </c>
      <c r="K11" s="22">
        <f t="shared" si="0"/>
        <v>3000</v>
      </c>
      <c r="L11" s="23">
        <f t="shared" si="0"/>
        <v>3000</v>
      </c>
    </row>
    <row r="12" spans="1:12" ht="12.75">
      <c r="A12" s="24" t="s">
        <v>97</v>
      </c>
      <c r="B12" s="21">
        <v>20</v>
      </c>
      <c r="C12" s="22">
        <f>B12*12</f>
        <v>240</v>
      </c>
      <c r="D12" s="22">
        <f aca="true" t="shared" si="1" ref="D12:L12">C12</f>
        <v>240</v>
      </c>
      <c r="E12" s="22">
        <f t="shared" si="1"/>
        <v>240</v>
      </c>
      <c r="F12" s="22">
        <f t="shared" si="1"/>
        <v>240</v>
      </c>
      <c r="G12" s="22">
        <f t="shared" si="1"/>
        <v>240</v>
      </c>
      <c r="H12" s="22">
        <f t="shared" si="1"/>
        <v>240</v>
      </c>
      <c r="I12" s="22">
        <f t="shared" si="1"/>
        <v>240</v>
      </c>
      <c r="J12" s="22">
        <f t="shared" si="1"/>
        <v>240</v>
      </c>
      <c r="K12" s="22">
        <f t="shared" si="1"/>
        <v>240</v>
      </c>
      <c r="L12" s="22">
        <f t="shared" si="1"/>
        <v>240</v>
      </c>
    </row>
    <row r="13" spans="1:12" ht="12.75">
      <c r="A13" s="20" t="s">
        <v>51</v>
      </c>
      <c r="B13" s="21">
        <v>30</v>
      </c>
      <c r="C13" s="22">
        <f>B13*12</f>
        <v>360</v>
      </c>
      <c r="D13" s="22">
        <f>C13</f>
        <v>360</v>
      </c>
      <c r="E13" s="22">
        <f aca="true" t="shared" si="2" ref="E13:L13">D13</f>
        <v>360</v>
      </c>
      <c r="F13" s="22">
        <f t="shared" si="2"/>
        <v>360</v>
      </c>
      <c r="G13" s="22">
        <f t="shared" si="2"/>
        <v>360</v>
      </c>
      <c r="H13" s="22">
        <f t="shared" si="2"/>
        <v>360</v>
      </c>
      <c r="I13" s="22">
        <f t="shared" si="2"/>
        <v>360</v>
      </c>
      <c r="J13" s="22">
        <f t="shared" si="2"/>
        <v>360</v>
      </c>
      <c r="K13" s="22">
        <f t="shared" si="2"/>
        <v>360</v>
      </c>
      <c r="L13" s="23">
        <f t="shared" si="2"/>
        <v>360</v>
      </c>
    </row>
    <row r="14" spans="1:12" ht="12.75">
      <c r="A14" s="20" t="s">
        <v>52</v>
      </c>
      <c r="B14" s="21">
        <v>30</v>
      </c>
      <c r="C14" s="22">
        <f>B14*12</f>
        <v>360</v>
      </c>
      <c r="D14" s="22">
        <f>C14</f>
        <v>360</v>
      </c>
      <c r="E14" s="22">
        <f aca="true" t="shared" si="3" ref="E14:L14">D14</f>
        <v>360</v>
      </c>
      <c r="F14" s="22">
        <f t="shared" si="3"/>
        <v>360</v>
      </c>
      <c r="G14" s="22">
        <f t="shared" si="3"/>
        <v>360</v>
      </c>
      <c r="H14" s="22">
        <f t="shared" si="3"/>
        <v>360</v>
      </c>
      <c r="I14" s="22">
        <f t="shared" si="3"/>
        <v>360</v>
      </c>
      <c r="J14" s="22">
        <f t="shared" si="3"/>
        <v>360</v>
      </c>
      <c r="K14" s="22">
        <f t="shared" si="3"/>
        <v>360</v>
      </c>
      <c r="L14" s="22">
        <f t="shared" si="3"/>
        <v>360</v>
      </c>
    </row>
    <row r="15" spans="1:12" ht="12.75">
      <c r="A15" s="20" t="s">
        <v>53</v>
      </c>
      <c r="B15" s="21">
        <v>10</v>
      </c>
      <c r="C15" s="22">
        <f>B15*12</f>
        <v>120</v>
      </c>
      <c r="D15" s="22">
        <f>C15</f>
        <v>120</v>
      </c>
      <c r="E15" s="22">
        <f aca="true" t="shared" si="4" ref="E15:L15">D15</f>
        <v>120</v>
      </c>
      <c r="F15" s="22">
        <f t="shared" si="4"/>
        <v>120</v>
      </c>
      <c r="G15" s="22">
        <f t="shared" si="4"/>
        <v>120</v>
      </c>
      <c r="H15" s="22">
        <f t="shared" si="4"/>
        <v>120</v>
      </c>
      <c r="I15" s="22">
        <f t="shared" si="4"/>
        <v>120</v>
      </c>
      <c r="J15" s="22">
        <f t="shared" si="4"/>
        <v>120</v>
      </c>
      <c r="K15" s="22">
        <f t="shared" si="4"/>
        <v>120</v>
      </c>
      <c r="L15" s="22">
        <f t="shared" si="4"/>
        <v>120</v>
      </c>
    </row>
    <row r="16" spans="1:12" ht="13.5" thickBot="1">
      <c r="A16" s="92" t="s">
        <v>54</v>
      </c>
      <c r="B16" s="26"/>
      <c r="C16" s="27">
        <f>SUM(C10:C15)</f>
        <v>12480</v>
      </c>
      <c r="D16" s="27">
        <f>SUM(D10:D15)</f>
        <v>12480</v>
      </c>
      <c r="E16" s="27">
        <f aca="true" t="shared" si="5" ref="E16:L16">SUM(E10:E15)</f>
        <v>12480</v>
      </c>
      <c r="F16" s="27">
        <f t="shared" si="5"/>
        <v>12480</v>
      </c>
      <c r="G16" s="27">
        <f t="shared" si="5"/>
        <v>12480</v>
      </c>
      <c r="H16" s="27">
        <f t="shared" si="5"/>
        <v>12480</v>
      </c>
      <c r="I16" s="27">
        <f t="shared" si="5"/>
        <v>12480</v>
      </c>
      <c r="J16" s="27">
        <f t="shared" si="5"/>
        <v>12480</v>
      </c>
      <c r="K16" s="27">
        <f t="shared" si="5"/>
        <v>12480</v>
      </c>
      <c r="L16" s="28">
        <f t="shared" si="5"/>
        <v>12480</v>
      </c>
    </row>
    <row r="17" spans="1:5" ht="12.75">
      <c r="A17" s="16"/>
      <c r="B17" s="13"/>
      <c r="C17" s="14"/>
      <c r="D17" s="15"/>
      <c r="E17" s="15"/>
    </row>
    <row r="18" spans="1:5" ht="12.75">
      <c r="A18" s="16"/>
      <c r="B18" s="13"/>
      <c r="C18" s="14"/>
      <c r="D18" s="15"/>
      <c r="E18" s="15"/>
    </row>
    <row r="19" spans="1:6" ht="12.75">
      <c r="A19" s="341"/>
      <c r="B19" s="342"/>
      <c r="C19" s="343"/>
      <c r="D19" s="344"/>
      <c r="E19" s="344"/>
      <c r="F19" s="345"/>
    </row>
    <row r="20" spans="1:6" ht="12.75">
      <c r="A20" s="341" t="s">
        <v>255</v>
      </c>
      <c r="B20" s="342"/>
      <c r="C20" s="343">
        <f>+C10+C11+C12</f>
        <v>11640</v>
      </c>
      <c r="D20" s="344"/>
      <c r="E20" s="344"/>
      <c r="F20" s="345"/>
    </row>
    <row r="21" spans="1:6" ht="12.75">
      <c r="A21" s="346"/>
      <c r="B21" s="342"/>
      <c r="C21" s="343">
        <f>+C16-C20</f>
        <v>840</v>
      </c>
      <c r="D21" s="344"/>
      <c r="E21" s="344"/>
      <c r="F21" s="345"/>
    </row>
    <row r="22" spans="1:6" ht="12.75">
      <c r="A22" s="346"/>
      <c r="B22" s="342"/>
      <c r="C22" s="343"/>
      <c r="D22" s="344"/>
      <c r="E22" s="344"/>
      <c r="F22" s="345"/>
    </row>
    <row r="23" spans="1:6" ht="12.75">
      <c r="A23" s="347"/>
      <c r="B23" s="342"/>
      <c r="C23" s="343"/>
      <c r="D23" s="344"/>
      <c r="E23" s="344"/>
      <c r="F23" s="345"/>
    </row>
    <row r="24" spans="1:6" ht="12.75">
      <c r="A24" s="347"/>
      <c r="B24" s="342"/>
      <c r="C24" s="343"/>
      <c r="D24" s="344"/>
      <c r="E24" s="344"/>
      <c r="F24" s="345"/>
    </row>
    <row r="25" spans="1:6" ht="12.75">
      <c r="A25" s="346"/>
      <c r="B25" s="342"/>
      <c r="C25" s="343"/>
      <c r="D25" s="344"/>
      <c r="E25" s="344"/>
      <c r="F25" s="345"/>
    </row>
    <row r="26" spans="1:6" ht="12.75">
      <c r="A26" s="341"/>
      <c r="B26" s="342"/>
      <c r="C26" s="343"/>
      <c r="D26" s="344"/>
      <c r="E26" s="344"/>
      <c r="F26" s="345"/>
    </row>
    <row r="27" spans="1:6" ht="12.75">
      <c r="A27" s="348"/>
      <c r="B27" s="342"/>
      <c r="C27" s="343"/>
      <c r="D27" s="344"/>
      <c r="E27" s="344"/>
      <c r="F27" s="345"/>
    </row>
    <row r="28" spans="1:5" ht="12.75">
      <c r="A28" s="16"/>
      <c r="B28" s="13"/>
      <c r="C28" s="14"/>
      <c r="D28" s="15"/>
      <c r="E28" s="15"/>
    </row>
    <row r="29" spans="1:5" ht="12.75">
      <c r="A29" s="15"/>
      <c r="B29" s="13"/>
      <c r="C29" s="14"/>
      <c r="D29" s="15"/>
      <c r="E29" s="15"/>
    </row>
  </sheetData>
  <mergeCells count="1">
    <mergeCell ref="A7:L7"/>
  </mergeCells>
  <printOptions/>
  <pageMargins left="0.75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N45"/>
  <sheetViews>
    <sheetView workbookViewId="0" topLeftCell="A6">
      <selection activeCell="G34" sqref="G34"/>
    </sheetView>
  </sheetViews>
  <sheetFormatPr defaultColWidth="11.421875" defaultRowHeight="12.75"/>
  <cols>
    <col min="1" max="1" width="19.7109375" style="0" customWidth="1"/>
    <col min="2" max="2" width="7.7109375" style="0" customWidth="1"/>
    <col min="3" max="3" width="7.28125" style="0" customWidth="1"/>
    <col min="4" max="4" width="14.8515625" style="0" bestFit="1" customWidth="1"/>
    <col min="5" max="14" width="7.7109375" style="0" customWidth="1"/>
  </cols>
  <sheetData>
    <row r="7" spans="1:14" ht="12.75">
      <c r="A7" s="279" t="s">
        <v>83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</row>
    <row r="8" ht="12.75">
      <c r="A8" s="8"/>
    </row>
    <row r="9" spans="1:14" ht="12.75">
      <c r="A9" s="36" t="s">
        <v>73</v>
      </c>
      <c r="B9" s="37" t="s">
        <v>74</v>
      </c>
      <c r="C9" s="37" t="s">
        <v>75</v>
      </c>
      <c r="D9" s="37" t="s">
        <v>76</v>
      </c>
      <c r="E9" s="37" t="s">
        <v>61</v>
      </c>
      <c r="F9" s="37" t="s">
        <v>62</v>
      </c>
      <c r="G9" s="37" t="s">
        <v>63</v>
      </c>
      <c r="H9" s="37" t="s">
        <v>64</v>
      </c>
      <c r="I9" s="37" t="s">
        <v>65</v>
      </c>
      <c r="J9" s="37" t="s">
        <v>66</v>
      </c>
      <c r="K9" s="37" t="s">
        <v>67</v>
      </c>
      <c r="L9" s="37" t="s">
        <v>68</v>
      </c>
      <c r="M9" s="37" t="s">
        <v>69</v>
      </c>
      <c r="N9" s="37" t="s">
        <v>70</v>
      </c>
    </row>
    <row r="10" spans="1:14" ht="12.75">
      <c r="A10" s="41" t="s">
        <v>60</v>
      </c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2.75">
      <c r="A11" s="49" t="s">
        <v>31</v>
      </c>
      <c r="B11" s="59">
        <v>2</v>
      </c>
      <c r="C11" s="51">
        <f>450*12</f>
        <v>5400</v>
      </c>
      <c r="D11" s="51">
        <f>B11*C11</f>
        <v>10800</v>
      </c>
      <c r="E11" s="51">
        <f>D11</f>
        <v>10800</v>
      </c>
      <c r="F11" s="51">
        <f aca="true" t="shared" si="0" ref="F11:N11">E11</f>
        <v>10800</v>
      </c>
      <c r="G11" s="51">
        <f t="shared" si="0"/>
        <v>10800</v>
      </c>
      <c r="H11" s="51">
        <f t="shared" si="0"/>
        <v>10800</v>
      </c>
      <c r="I11" s="51">
        <f t="shared" si="0"/>
        <v>10800</v>
      </c>
      <c r="J11" s="51">
        <f t="shared" si="0"/>
        <v>10800</v>
      </c>
      <c r="K11" s="51">
        <f t="shared" si="0"/>
        <v>10800</v>
      </c>
      <c r="L11" s="51">
        <f t="shared" si="0"/>
        <v>10800</v>
      </c>
      <c r="M11" s="51">
        <f t="shared" si="0"/>
        <v>10800</v>
      </c>
      <c r="N11" s="51">
        <f t="shared" si="0"/>
        <v>10800</v>
      </c>
    </row>
    <row r="12" spans="1:14" ht="12.75">
      <c r="A12" s="40" t="s">
        <v>82</v>
      </c>
      <c r="B12" s="43"/>
      <c r="C12" s="46"/>
      <c r="D12" s="54">
        <f>SUM(D11:D11)</f>
        <v>10800</v>
      </c>
      <c r="E12" s="54">
        <f>D12</f>
        <v>10800</v>
      </c>
      <c r="F12" s="54">
        <f aca="true" t="shared" si="1" ref="F12:N12">E12</f>
        <v>10800</v>
      </c>
      <c r="G12" s="54">
        <f t="shared" si="1"/>
        <v>10800</v>
      </c>
      <c r="H12" s="54">
        <f t="shared" si="1"/>
        <v>10800</v>
      </c>
      <c r="I12" s="54">
        <f t="shared" si="1"/>
        <v>10800</v>
      </c>
      <c r="J12" s="54">
        <f t="shared" si="1"/>
        <v>10800</v>
      </c>
      <c r="K12" s="54">
        <f t="shared" si="1"/>
        <v>10800</v>
      </c>
      <c r="L12" s="54">
        <f t="shared" si="1"/>
        <v>10800</v>
      </c>
      <c r="M12" s="54">
        <f t="shared" si="1"/>
        <v>10800</v>
      </c>
      <c r="N12" s="54">
        <f t="shared" si="1"/>
        <v>10800</v>
      </c>
    </row>
    <row r="13" spans="1:14" ht="12.75">
      <c r="A13" s="40" t="s">
        <v>33</v>
      </c>
      <c r="B13" s="93"/>
      <c r="C13" s="30"/>
      <c r="D13" s="57"/>
      <c r="E13" s="54"/>
      <c r="F13" s="46"/>
      <c r="G13" s="46"/>
      <c r="H13" s="46"/>
      <c r="I13" s="46"/>
      <c r="J13" s="46"/>
      <c r="K13" s="46"/>
      <c r="L13" s="10"/>
      <c r="M13" s="10"/>
      <c r="N13" s="10"/>
    </row>
    <row r="14" spans="1:14" ht="12.75">
      <c r="A14" s="45" t="s">
        <v>77</v>
      </c>
      <c r="B14" s="43">
        <v>200</v>
      </c>
      <c r="C14" s="48">
        <v>0.09</v>
      </c>
      <c r="D14" s="55">
        <f>+B14*C14</f>
        <v>18</v>
      </c>
      <c r="E14" s="55">
        <f>D14</f>
        <v>18</v>
      </c>
      <c r="F14" s="55">
        <f aca="true" t="shared" si="2" ref="F14:N14">E14</f>
        <v>18</v>
      </c>
      <c r="G14" s="55">
        <f t="shared" si="2"/>
        <v>18</v>
      </c>
      <c r="H14" s="55">
        <f t="shared" si="2"/>
        <v>18</v>
      </c>
      <c r="I14" s="55">
        <f t="shared" si="2"/>
        <v>18</v>
      </c>
      <c r="J14" s="55">
        <f t="shared" si="2"/>
        <v>18</v>
      </c>
      <c r="K14" s="55">
        <f t="shared" si="2"/>
        <v>18</v>
      </c>
      <c r="L14" s="55">
        <f t="shared" si="2"/>
        <v>18</v>
      </c>
      <c r="M14" s="55">
        <f t="shared" si="2"/>
        <v>18</v>
      </c>
      <c r="N14" s="55">
        <f t="shared" si="2"/>
        <v>18</v>
      </c>
    </row>
    <row r="15" spans="1:14" ht="12.75">
      <c r="A15" s="45" t="s">
        <v>268</v>
      </c>
      <c r="B15" s="43">
        <f>12</f>
        <v>12</v>
      </c>
      <c r="C15" s="46">
        <v>10</v>
      </c>
      <c r="D15" s="55">
        <f>+B15*C15</f>
        <v>120</v>
      </c>
      <c r="E15" s="55">
        <f>D15</f>
        <v>120</v>
      </c>
      <c r="F15" s="55">
        <f aca="true" t="shared" si="3" ref="F15:N15">E15</f>
        <v>120</v>
      </c>
      <c r="G15" s="55">
        <f t="shared" si="3"/>
        <v>120</v>
      </c>
      <c r="H15" s="55">
        <f t="shared" si="3"/>
        <v>120</v>
      </c>
      <c r="I15" s="55">
        <f t="shared" si="3"/>
        <v>120</v>
      </c>
      <c r="J15" s="55">
        <f t="shared" si="3"/>
        <v>120</v>
      </c>
      <c r="K15" s="55">
        <f t="shared" si="3"/>
        <v>120</v>
      </c>
      <c r="L15" s="55">
        <f t="shared" si="3"/>
        <v>120</v>
      </c>
      <c r="M15" s="55">
        <f t="shared" si="3"/>
        <v>120</v>
      </c>
      <c r="N15" s="55">
        <f t="shared" si="3"/>
        <v>120</v>
      </c>
    </row>
    <row r="16" spans="1:14" ht="12.75">
      <c r="A16" s="45" t="s">
        <v>84</v>
      </c>
      <c r="B16" s="59">
        <v>840</v>
      </c>
      <c r="C16" s="56">
        <v>1</v>
      </c>
      <c r="D16" s="56">
        <f>B16*C16</f>
        <v>840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2.75">
      <c r="A17" s="40" t="s">
        <v>90</v>
      </c>
      <c r="B17" s="43"/>
      <c r="C17" s="42"/>
      <c r="D17" s="58">
        <f>SUM(D14:D16)</f>
        <v>978</v>
      </c>
      <c r="E17" s="54">
        <f>D17</f>
        <v>978</v>
      </c>
      <c r="F17" s="54">
        <f aca="true" t="shared" si="4" ref="F17:N17">E17</f>
        <v>978</v>
      </c>
      <c r="G17" s="54">
        <f t="shared" si="4"/>
        <v>978</v>
      </c>
      <c r="H17" s="54">
        <f t="shared" si="4"/>
        <v>978</v>
      </c>
      <c r="I17" s="54">
        <f t="shared" si="4"/>
        <v>978</v>
      </c>
      <c r="J17" s="54">
        <f t="shared" si="4"/>
        <v>978</v>
      </c>
      <c r="K17" s="54">
        <f t="shared" si="4"/>
        <v>978</v>
      </c>
      <c r="L17" s="54">
        <f t="shared" si="4"/>
        <v>978</v>
      </c>
      <c r="M17" s="54">
        <f t="shared" si="4"/>
        <v>978</v>
      </c>
      <c r="N17" s="54">
        <f t="shared" si="4"/>
        <v>978</v>
      </c>
    </row>
    <row r="18" spans="2:14" ht="12.75">
      <c r="B18" s="43"/>
      <c r="C18" s="46"/>
      <c r="D18" s="54"/>
      <c r="E18" s="47"/>
      <c r="F18" s="47"/>
      <c r="G18" s="47"/>
      <c r="H18" s="47"/>
      <c r="I18" s="47"/>
      <c r="J18" s="47"/>
      <c r="K18" s="47"/>
      <c r="L18" s="44"/>
      <c r="M18" s="44"/>
      <c r="N18" s="44"/>
    </row>
    <row r="19" spans="1:14" ht="12.75">
      <c r="A19" s="40" t="s">
        <v>78</v>
      </c>
      <c r="B19" s="43"/>
      <c r="C19" s="46"/>
      <c r="D19" s="55"/>
      <c r="E19" s="46"/>
      <c r="F19" s="46"/>
      <c r="G19" s="46"/>
      <c r="H19" s="46"/>
      <c r="I19" s="46"/>
      <c r="J19" s="46"/>
      <c r="K19" s="46"/>
      <c r="L19" s="10"/>
      <c r="M19" s="10"/>
      <c r="N19" s="10"/>
    </row>
    <row r="20" spans="1:14" ht="12.75">
      <c r="A20" s="45" t="s">
        <v>87</v>
      </c>
      <c r="B20" s="43">
        <v>25</v>
      </c>
      <c r="C20" s="48">
        <v>3</v>
      </c>
      <c r="D20" s="56">
        <f aca="true" t="shared" si="5" ref="D20:D25">B20*C20</f>
        <v>75</v>
      </c>
      <c r="E20" s="48">
        <f>D20</f>
        <v>75</v>
      </c>
      <c r="F20" s="48">
        <f aca="true" t="shared" si="6" ref="F20:N20">E20</f>
        <v>75</v>
      </c>
      <c r="G20" s="48">
        <f t="shared" si="6"/>
        <v>75</v>
      </c>
      <c r="H20" s="48">
        <f t="shared" si="6"/>
        <v>75</v>
      </c>
      <c r="I20" s="48">
        <f t="shared" si="6"/>
        <v>75</v>
      </c>
      <c r="J20" s="48">
        <f t="shared" si="6"/>
        <v>75</v>
      </c>
      <c r="K20" s="48">
        <f t="shared" si="6"/>
        <v>75</v>
      </c>
      <c r="L20" s="48">
        <f t="shared" si="6"/>
        <v>75</v>
      </c>
      <c r="M20" s="48">
        <f t="shared" si="6"/>
        <v>75</v>
      </c>
      <c r="N20" s="48">
        <f t="shared" si="6"/>
        <v>75</v>
      </c>
    </row>
    <row r="21" spans="1:14" ht="12.75">
      <c r="A21" s="45" t="s">
        <v>217</v>
      </c>
      <c r="B21" s="43">
        <v>25</v>
      </c>
      <c r="C21" s="48">
        <v>25</v>
      </c>
      <c r="D21" s="56">
        <f t="shared" si="5"/>
        <v>625</v>
      </c>
      <c r="E21" s="48">
        <f>D21</f>
        <v>625</v>
      </c>
      <c r="F21" s="48">
        <f aca="true" t="shared" si="7" ref="F21:N21">E21</f>
        <v>625</v>
      </c>
      <c r="G21" s="48">
        <f t="shared" si="7"/>
        <v>625</v>
      </c>
      <c r="H21" s="48">
        <f t="shared" si="7"/>
        <v>625</v>
      </c>
      <c r="I21" s="48">
        <f t="shared" si="7"/>
        <v>625</v>
      </c>
      <c r="J21" s="48">
        <f t="shared" si="7"/>
        <v>625</v>
      </c>
      <c r="K21" s="48">
        <f t="shared" si="7"/>
        <v>625</v>
      </c>
      <c r="L21" s="48">
        <f t="shared" si="7"/>
        <v>625</v>
      </c>
      <c r="M21" s="48">
        <f t="shared" si="7"/>
        <v>625</v>
      </c>
      <c r="N21" s="48">
        <f t="shared" si="7"/>
        <v>625</v>
      </c>
    </row>
    <row r="22" spans="1:14" ht="12.75">
      <c r="A22" s="45" t="s">
        <v>88</v>
      </c>
      <c r="B22" s="43">
        <v>25</v>
      </c>
      <c r="C22" s="48">
        <v>0.3</v>
      </c>
      <c r="D22" s="56">
        <f t="shared" si="5"/>
        <v>7.5</v>
      </c>
      <c r="E22" s="48">
        <f>D22</f>
        <v>7.5</v>
      </c>
      <c r="F22" s="48">
        <f aca="true" t="shared" si="8" ref="F22:N22">E22</f>
        <v>7.5</v>
      </c>
      <c r="G22" s="48">
        <f t="shared" si="8"/>
        <v>7.5</v>
      </c>
      <c r="H22" s="48">
        <f t="shared" si="8"/>
        <v>7.5</v>
      </c>
      <c r="I22" s="48">
        <f t="shared" si="8"/>
        <v>7.5</v>
      </c>
      <c r="J22" s="48">
        <f t="shared" si="8"/>
        <v>7.5</v>
      </c>
      <c r="K22" s="48">
        <f t="shared" si="8"/>
        <v>7.5</v>
      </c>
      <c r="L22" s="48">
        <f t="shared" si="8"/>
        <v>7.5</v>
      </c>
      <c r="M22" s="48">
        <f t="shared" si="8"/>
        <v>7.5</v>
      </c>
      <c r="N22" s="48">
        <f t="shared" si="8"/>
        <v>7.5</v>
      </c>
    </row>
    <row r="23" spans="1:14" ht="12.75">
      <c r="A23" s="45" t="s">
        <v>89</v>
      </c>
      <c r="B23" s="43">
        <v>100</v>
      </c>
      <c r="C23" s="48">
        <v>0.05</v>
      </c>
      <c r="D23" s="56">
        <f t="shared" si="5"/>
        <v>5</v>
      </c>
      <c r="E23" s="48">
        <f>D23</f>
        <v>5</v>
      </c>
      <c r="F23" s="48">
        <f aca="true" t="shared" si="9" ref="F23:N23">E23</f>
        <v>5</v>
      </c>
      <c r="G23" s="48">
        <f t="shared" si="9"/>
        <v>5</v>
      </c>
      <c r="H23" s="48">
        <f t="shared" si="9"/>
        <v>5</v>
      </c>
      <c r="I23" s="48">
        <f t="shared" si="9"/>
        <v>5</v>
      </c>
      <c r="J23" s="48">
        <f t="shared" si="9"/>
        <v>5</v>
      </c>
      <c r="K23" s="48">
        <f t="shared" si="9"/>
        <v>5</v>
      </c>
      <c r="L23" s="48">
        <f t="shared" si="9"/>
        <v>5</v>
      </c>
      <c r="M23" s="48">
        <f t="shared" si="9"/>
        <v>5</v>
      </c>
      <c r="N23" s="48">
        <f t="shared" si="9"/>
        <v>5</v>
      </c>
    </row>
    <row r="24" spans="1:14" ht="12.75">
      <c r="A24" s="49" t="s">
        <v>171</v>
      </c>
      <c r="B24" s="59">
        <v>465</v>
      </c>
      <c r="C24" s="56">
        <v>5</v>
      </c>
      <c r="D24" s="56">
        <f t="shared" si="5"/>
        <v>2325</v>
      </c>
      <c r="E24" s="48">
        <f>D24</f>
        <v>2325</v>
      </c>
      <c r="F24" s="48">
        <f aca="true" t="shared" si="10" ref="F24:N24">E24</f>
        <v>2325</v>
      </c>
      <c r="G24" s="48">
        <f t="shared" si="10"/>
        <v>2325</v>
      </c>
      <c r="H24" s="48">
        <f t="shared" si="10"/>
        <v>2325</v>
      </c>
      <c r="I24" s="48">
        <f t="shared" si="10"/>
        <v>2325</v>
      </c>
      <c r="J24" s="48">
        <f t="shared" si="10"/>
        <v>2325</v>
      </c>
      <c r="K24" s="48">
        <f t="shared" si="10"/>
        <v>2325</v>
      </c>
      <c r="L24" s="48">
        <f t="shared" si="10"/>
        <v>2325</v>
      </c>
      <c r="M24" s="48">
        <f t="shared" si="10"/>
        <v>2325</v>
      </c>
      <c r="N24" s="48">
        <f t="shared" si="10"/>
        <v>2325</v>
      </c>
    </row>
    <row r="25" spans="1:14" ht="12.75">
      <c r="A25" s="49" t="s">
        <v>155</v>
      </c>
      <c r="B25" s="59">
        <v>750</v>
      </c>
      <c r="C25" s="56">
        <v>0.1</v>
      </c>
      <c r="D25" s="56">
        <f t="shared" si="5"/>
        <v>75</v>
      </c>
      <c r="E25" s="48">
        <f aca="true" t="shared" si="11" ref="E25:N25">D25</f>
        <v>75</v>
      </c>
      <c r="F25" s="48">
        <f t="shared" si="11"/>
        <v>75</v>
      </c>
      <c r="G25" s="48">
        <f t="shared" si="11"/>
        <v>75</v>
      </c>
      <c r="H25" s="48">
        <f t="shared" si="11"/>
        <v>75</v>
      </c>
      <c r="I25" s="48">
        <f t="shared" si="11"/>
        <v>75</v>
      </c>
      <c r="J25" s="48">
        <f t="shared" si="11"/>
        <v>75</v>
      </c>
      <c r="K25" s="48">
        <f t="shared" si="11"/>
        <v>75</v>
      </c>
      <c r="L25" s="48">
        <f t="shared" si="11"/>
        <v>75</v>
      </c>
      <c r="M25" s="48">
        <f t="shared" si="11"/>
        <v>75</v>
      </c>
      <c r="N25" s="48">
        <f t="shared" si="11"/>
        <v>75</v>
      </c>
    </row>
    <row r="26" spans="1:14" ht="12.75">
      <c r="A26" s="40" t="s">
        <v>91</v>
      </c>
      <c r="B26" s="59"/>
      <c r="C26" s="56"/>
      <c r="D26" s="58">
        <f aca="true" t="shared" si="12" ref="D26:N26">SUM(D20:D25)</f>
        <v>3112.5</v>
      </c>
      <c r="E26" s="58">
        <f t="shared" si="12"/>
        <v>3112.5</v>
      </c>
      <c r="F26" s="58">
        <f t="shared" si="12"/>
        <v>3112.5</v>
      </c>
      <c r="G26" s="58">
        <f t="shared" si="12"/>
        <v>3112.5</v>
      </c>
      <c r="H26" s="58">
        <f t="shared" si="12"/>
        <v>3112.5</v>
      </c>
      <c r="I26" s="58">
        <f t="shared" si="12"/>
        <v>3112.5</v>
      </c>
      <c r="J26" s="58">
        <f t="shared" si="12"/>
        <v>3112.5</v>
      </c>
      <c r="K26" s="58">
        <f t="shared" si="12"/>
        <v>3112.5</v>
      </c>
      <c r="L26" s="58">
        <f t="shared" si="12"/>
        <v>3112.5</v>
      </c>
      <c r="M26" s="58">
        <f t="shared" si="12"/>
        <v>3112.5</v>
      </c>
      <c r="N26" s="58">
        <f t="shared" si="12"/>
        <v>3112.5</v>
      </c>
    </row>
    <row r="27" spans="1:14" ht="13.5" thickBot="1">
      <c r="A27" s="276" t="s">
        <v>35</v>
      </c>
      <c r="B27" s="277"/>
      <c r="C27" s="277"/>
      <c r="D27" s="278"/>
      <c r="E27" s="199">
        <f aca="true" t="shared" si="13" ref="E27:N27">+E12+E17+E26</f>
        <v>14890.5</v>
      </c>
      <c r="F27" s="199">
        <f t="shared" si="13"/>
        <v>14890.5</v>
      </c>
      <c r="G27" s="199">
        <f t="shared" si="13"/>
        <v>14890.5</v>
      </c>
      <c r="H27" s="199">
        <f t="shared" si="13"/>
        <v>14890.5</v>
      </c>
      <c r="I27" s="199">
        <f t="shared" si="13"/>
        <v>14890.5</v>
      </c>
      <c r="J27" s="199">
        <f t="shared" si="13"/>
        <v>14890.5</v>
      </c>
      <c r="K27" s="199">
        <f t="shared" si="13"/>
        <v>14890.5</v>
      </c>
      <c r="L27" s="199">
        <f t="shared" si="13"/>
        <v>14890.5</v>
      </c>
      <c r="M27" s="199">
        <f t="shared" si="13"/>
        <v>14890.5</v>
      </c>
      <c r="N27" s="199">
        <f t="shared" si="13"/>
        <v>14890.5</v>
      </c>
    </row>
    <row r="28" spans="1:14" ht="12.75">
      <c r="A28" s="349"/>
      <c r="B28" s="345"/>
      <c r="C28" s="345"/>
      <c r="D28" s="345"/>
      <c r="E28" s="345"/>
      <c r="F28" s="350"/>
      <c r="G28" s="345"/>
      <c r="H28" s="345"/>
      <c r="I28" s="345"/>
      <c r="J28" s="345"/>
      <c r="K28" s="345"/>
      <c r="L28" s="345"/>
      <c r="M28" s="345"/>
      <c r="N28" s="345"/>
    </row>
    <row r="29" spans="1:14" ht="12.75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</row>
    <row r="30" spans="1:14" ht="12.75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</row>
    <row r="31" spans="1:14" ht="12.75">
      <c r="A31" s="345"/>
      <c r="B31" s="351"/>
      <c r="C31" s="345" t="s">
        <v>284</v>
      </c>
      <c r="D31" s="352"/>
      <c r="E31" s="350">
        <f>+E27-E35</f>
        <v>4090.5</v>
      </c>
      <c r="F31" s="350"/>
      <c r="G31" s="345"/>
      <c r="H31" s="345"/>
      <c r="I31" s="345"/>
      <c r="J31" s="345"/>
      <c r="K31" s="345"/>
      <c r="L31" s="345"/>
      <c r="M31" s="345"/>
      <c r="N31" s="345"/>
    </row>
    <row r="32" spans="1:14" ht="12.75">
      <c r="A32" s="349"/>
      <c r="B32" s="351"/>
      <c r="C32" s="353"/>
      <c r="D32" s="350"/>
      <c r="E32" s="350"/>
      <c r="F32" s="350"/>
      <c r="G32" s="345"/>
      <c r="H32" s="345"/>
      <c r="I32" s="345"/>
      <c r="J32" s="345"/>
      <c r="K32" s="345"/>
      <c r="L32" s="345"/>
      <c r="M32" s="345"/>
      <c r="N32" s="345"/>
    </row>
    <row r="33" spans="1:14" ht="12.75">
      <c r="A33" s="354"/>
      <c r="B33" s="351"/>
      <c r="C33" s="355"/>
      <c r="D33" s="356"/>
      <c r="E33" s="350"/>
      <c r="F33" s="350"/>
      <c r="G33" s="345"/>
      <c r="H33" s="345"/>
      <c r="I33" s="345"/>
      <c r="J33" s="345"/>
      <c r="K33" s="345"/>
      <c r="L33" s="345"/>
      <c r="M33" s="345"/>
      <c r="N33" s="345"/>
    </row>
    <row r="34" spans="1:14" ht="12.75">
      <c r="A34" s="351"/>
      <c r="B34" s="351"/>
      <c r="C34" s="350" t="s">
        <v>282</v>
      </c>
      <c r="D34" s="350"/>
      <c r="E34" s="357">
        <f>GASTOS!C20</f>
        <v>11640</v>
      </c>
      <c r="F34" s="345"/>
      <c r="G34" s="345"/>
      <c r="H34" s="345"/>
      <c r="I34" s="345"/>
      <c r="J34" s="345"/>
      <c r="K34" s="345"/>
      <c r="L34" s="345"/>
      <c r="M34" s="345"/>
      <c r="N34" s="345"/>
    </row>
    <row r="35" spans="1:14" ht="12.75">
      <c r="A35" s="354"/>
      <c r="B35" s="351"/>
      <c r="C35" s="350" t="s">
        <v>283</v>
      </c>
      <c r="D35" s="350"/>
      <c r="E35" s="357">
        <f>E12</f>
        <v>10800</v>
      </c>
      <c r="F35" s="350"/>
      <c r="G35" s="345"/>
      <c r="H35" s="345"/>
      <c r="I35" s="345"/>
      <c r="J35" s="345"/>
      <c r="K35" s="345"/>
      <c r="L35" s="345"/>
      <c r="M35" s="345"/>
      <c r="N35" s="345"/>
    </row>
    <row r="36" spans="1:14" ht="12.75">
      <c r="A36" s="354"/>
      <c r="B36" s="351"/>
      <c r="C36" s="350" t="s">
        <v>281</v>
      </c>
      <c r="D36" s="350"/>
      <c r="E36" s="357">
        <f>SUM(E34:E35)</f>
        <v>22440</v>
      </c>
      <c r="F36" s="350"/>
      <c r="G36" s="345"/>
      <c r="H36" s="345"/>
      <c r="I36" s="345"/>
      <c r="J36" s="345"/>
      <c r="K36" s="345"/>
      <c r="L36" s="345"/>
      <c r="M36" s="345"/>
      <c r="N36" s="345"/>
    </row>
    <row r="37" spans="1:14" ht="12.75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</row>
    <row r="38" spans="1:14" ht="12.75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</row>
    <row r="39" spans="1:14" ht="12.75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</row>
    <row r="40" spans="1:14" ht="12.75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</row>
    <row r="41" spans="1:14" ht="12.75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</row>
    <row r="42" spans="1:14" ht="12.75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</row>
    <row r="43" spans="1:14" ht="12.75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</row>
    <row r="44" spans="1:14" ht="12.75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</row>
    <row r="45" spans="1:14" ht="12.75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</row>
  </sheetData>
  <mergeCells count="2">
    <mergeCell ref="A27:D27"/>
    <mergeCell ref="A7:N7"/>
  </mergeCells>
  <printOptions/>
  <pageMargins left="0.75" right="0.75" top="1" bottom="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M61"/>
  <sheetViews>
    <sheetView workbookViewId="0" topLeftCell="A39">
      <selection activeCell="K15" sqref="K15"/>
    </sheetView>
  </sheetViews>
  <sheetFormatPr defaultColWidth="11.421875" defaultRowHeight="12.75"/>
  <cols>
    <col min="7" max="7" width="15.7109375" style="0" bestFit="1" customWidth="1"/>
  </cols>
  <sheetData>
    <row r="6" ht="13.5" thickBot="1"/>
    <row r="7" spans="2:7" ht="18.75" thickBot="1">
      <c r="B7" s="285" t="s">
        <v>157</v>
      </c>
      <c r="C7" s="286"/>
      <c r="D7" s="286"/>
      <c r="E7" s="286"/>
      <c r="F7" s="286"/>
      <c r="G7" s="287"/>
    </row>
    <row r="8" ht="13.5" thickBot="1"/>
    <row r="9" spans="2:7" ht="12.75">
      <c r="B9" s="283" t="s">
        <v>0</v>
      </c>
      <c r="C9" s="284"/>
      <c r="D9" s="243" t="s">
        <v>34</v>
      </c>
      <c r="E9" s="244" t="s">
        <v>55</v>
      </c>
      <c r="F9" s="243" t="s">
        <v>158</v>
      </c>
      <c r="G9" s="245" t="s">
        <v>159</v>
      </c>
    </row>
    <row r="10" spans="2:7" ht="12.75">
      <c r="B10" s="246" t="s">
        <v>202</v>
      </c>
      <c r="C10" s="239"/>
      <c r="D10" s="240"/>
      <c r="E10" s="241">
        <v>25</v>
      </c>
      <c r="F10" s="242">
        <v>5</v>
      </c>
      <c r="G10" s="247">
        <f>+E10*F10</f>
        <v>125</v>
      </c>
    </row>
    <row r="11" spans="2:8" ht="12.75">
      <c r="B11" s="226" t="s">
        <v>160</v>
      </c>
      <c r="C11" s="53"/>
      <c r="D11" s="50" t="s">
        <v>161</v>
      </c>
      <c r="E11" s="53">
        <v>400</v>
      </c>
      <c r="F11" s="53">
        <v>10</v>
      </c>
      <c r="G11" s="74">
        <f aca="true" t="shared" si="0" ref="G11:G18">+E11*F11</f>
        <v>4000</v>
      </c>
      <c r="H11" s="9"/>
    </row>
    <row r="12" spans="2:8" ht="12.75">
      <c r="B12" s="226" t="s">
        <v>162</v>
      </c>
      <c r="C12" s="53"/>
      <c r="D12" s="50" t="s">
        <v>161</v>
      </c>
      <c r="E12" s="53">
        <v>250</v>
      </c>
      <c r="F12" s="53">
        <v>50</v>
      </c>
      <c r="G12" s="74">
        <f t="shared" si="0"/>
        <v>12500</v>
      </c>
      <c r="H12" s="9"/>
    </row>
    <row r="13" spans="2:8" ht="12.75">
      <c r="B13" s="226" t="s">
        <v>163</v>
      </c>
      <c r="C13" s="53"/>
      <c r="D13" s="50" t="s">
        <v>155</v>
      </c>
      <c r="E13" s="53">
        <v>330</v>
      </c>
      <c r="F13" s="53">
        <v>5</v>
      </c>
      <c r="G13" s="74">
        <f t="shared" si="0"/>
        <v>1650</v>
      </c>
      <c r="H13" s="9"/>
    </row>
    <row r="14" spans="2:8" ht="12.75">
      <c r="B14" s="226" t="s">
        <v>206</v>
      </c>
      <c r="C14" s="53"/>
      <c r="D14" s="53"/>
      <c r="E14" s="53">
        <v>117</v>
      </c>
      <c r="F14" s="53">
        <v>1.5</v>
      </c>
      <c r="G14" s="74">
        <f t="shared" si="0"/>
        <v>175.5</v>
      </c>
      <c r="H14" s="9"/>
    </row>
    <row r="15" spans="2:8" ht="12.75">
      <c r="B15" s="248" t="s">
        <v>224</v>
      </c>
      <c r="C15" s="53"/>
      <c r="D15" s="53"/>
      <c r="E15" s="53">
        <v>840</v>
      </c>
      <c r="F15" s="53">
        <v>0.5</v>
      </c>
      <c r="G15" s="74">
        <f t="shared" si="0"/>
        <v>420</v>
      </c>
      <c r="H15" s="9"/>
    </row>
    <row r="16" spans="2:8" ht="12.75">
      <c r="B16" s="248" t="s">
        <v>225</v>
      </c>
      <c r="C16" s="53"/>
      <c r="D16" s="53"/>
      <c r="E16" s="53">
        <v>10000</v>
      </c>
      <c r="F16" s="53">
        <v>0.3</v>
      </c>
      <c r="G16" s="74">
        <f t="shared" si="0"/>
        <v>3000</v>
      </c>
      <c r="H16" s="9"/>
    </row>
    <row r="17" spans="2:8" ht="12.75">
      <c r="B17" s="288" t="s">
        <v>223</v>
      </c>
      <c r="C17" s="289"/>
      <c r="D17" s="53"/>
      <c r="E17" s="53">
        <v>2500</v>
      </c>
      <c r="F17" s="53">
        <v>8</v>
      </c>
      <c r="G17" s="74">
        <f t="shared" si="0"/>
        <v>20000</v>
      </c>
      <c r="H17" s="9"/>
    </row>
    <row r="18" spans="2:8" ht="12.75">
      <c r="B18" s="248" t="s">
        <v>269</v>
      </c>
      <c r="C18" s="53"/>
      <c r="D18" s="53"/>
      <c r="E18" s="53">
        <v>200</v>
      </c>
      <c r="F18" s="53">
        <v>40</v>
      </c>
      <c r="G18" s="74">
        <f t="shared" si="0"/>
        <v>8000</v>
      </c>
      <c r="H18" s="9"/>
    </row>
    <row r="19" spans="2:8" ht="13.5" thickBot="1">
      <c r="B19" s="281" t="s">
        <v>35</v>
      </c>
      <c r="C19" s="282"/>
      <c r="D19" s="249"/>
      <c r="E19" s="249"/>
      <c r="F19" s="249"/>
      <c r="G19" s="250">
        <f>SUM(G10:G18)</f>
        <v>49870.5</v>
      </c>
      <c r="H19" s="9"/>
    </row>
    <row r="20" spans="2:8" ht="13.5" thickBot="1">
      <c r="B20" s="9"/>
      <c r="C20" s="9"/>
      <c r="D20" s="9"/>
      <c r="E20" s="9"/>
      <c r="F20" s="9"/>
      <c r="G20" s="9"/>
      <c r="H20" s="9"/>
    </row>
    <row r="21" spans="2:8" ht="12.75" customHeight="1">
      <c r="B21" s="251" t="s">
        <v>279</v>
      </c>
      <c r="C21" s="252"/>
      <c r="D21" s="252"/>
      <c r="E21" s="252"/>
      <c r="F21" s="211"/>
      <c r="G21" s="198">
        <f>+G19*1.1</f>
        <v>54857.55</v>
      </c>
      <c r="H21" s="9"/>
    </row>
    <row r="22" spans="2:8" ht="18" customHeight="1" thickBot="1">
      <c r="B22" s="195"/>
      <c r="C22" s="196"/>
      <c r="D22" s="196"/>
      <c r="E22" s="196"/>
      <c r="F22" s="197"/>
      <c r="G22" s="280"/>
      <c r="H22" s="9"/>
    </row>
    <row r="23" spans="2:8" ht="12.75">
      <c r="B23" s="9"/>
      <c r="C23" s="9"/>
      <c r="D23" s="9"/>
      <c r="E23" s="9"/>
      <c r="F23" s="9"/>
      <c r="G23" s="9"/>
      <c r="H23" s="9"/>
    </row>
    <row r="24" spans="1:13" ht="12.75">
      <c r="A24" s="263"/>
      <c r="B24" s="9"/>
      <c r="C24" s="9"/>
      <c r="D24" s="9"/>
      <c r="E24" s="9"/>
      <c r="F24" s="9"/>
      <c r="G24" s="9" t="s">
        <v>230</v>
      </c>
      <c r="H24" s="9"/>
      <c r="I24" s="264"/>
      <c r="J24" s="264"/>
      <c r="K24" s="264"/>
      <c r="L24" s="264"/>
      <c r="M24" s="264"/>
    </row>
    <row r="25" spans="1:13" ht="12.75">
      <c r="A25" s="264"/>
      <c r="B25" s="9"/>
      <c r="C25" s="9"/>
      <c r="D25" s="9"/>
      <c r="E25" s="9"/>
      <c r="F25" s="9"/>
      <c r="G25" s="9" t="s">
        <v>253</v>
      </c>
      <c r="H25" s="9" t="s">
        <v>168</v>
      </c>
      <c r="I25" s="264"/>
      <c r="J25" s="264">
        <v>55</v>
      </c>
      <c r="K25" s="264"/>
      <c r="L25" s="264"/>
      <c r="M25" s="264"/>
    </row>
    <row r="26" spans="1:13" ht="12.75">
      <c r="A26" s="264"/>
      <c r="B26" s="264"/>
      <c r="C26" s="264"/>
      <c r="D26" s="264"/>
      <c r="E26" s="9"/>
      <c r="F26" s="264"/>
      <c r="G26" s="264" t="s">
        <v>227</v>
      </c>
      <c r="H26" s="264">
        <v>2</v>
      </c>
      <c r="I26" s="264">
        <v>15.4</v>
      </c>
      <c r="J26" s="264">
        <f>+H26*I26</f>
        <v>30.8</v>
      </c>
      <c r="K26" s="264"/>
      <c r="L26" s="264"/>
      <c r="M26" s="264"/>
    </row>
    <row r="27" spans="1:13" ht="12.75">
      <c r="A27" s="264"/>
      <c r="B27" s="264"/>
      <c r="C27" s="264"/>
      <c r="D27" s="264"/>
      <c r="E27" s="9"/>
      <c r="F27" s="264"/>
      <c r="G27" s="264" t="s">
        <v>228</v>
      </c>
      <c r="H27" s="264">
        <v>5</v>
      </c>
      <c r="I27" s="264">
        <v>14.85</v>
      </c>
      <c r="J27" s="264">
        <f>+H27*I27</f>
        <v>74.25</v>
      </c>
      <c r="K27" s="264"/>
      <c r="L27" s="264"/>
      <c r="M27" s="264"/>
    </row>
    <row r="28" spans="1:13" ht="12.75">
      <c r="A28" s="264"/>
      <c r="B28" s="264"/>
      <c r="C28" s="264"/>
      <c r="D28" s="264"/>
      <c r="E28" s="9"/>
      <c r="F28" s="264"/>
      <c r="G28" s="9" t="s">
        <v>229</v>
      </c>
      <c r="H28" s="264">
        <v>5</v>
      </c>
      <c r="I28" s="264">
        <v>14.4</v>
      </c>
      <c r="J28" s="264">
        <f>+H28*I28</f>
        <v>72</v>
      </c>
      <c r="K28" s="264"/>
      <c r="L28" s="264"/>
      <c r="M28" s="264"/>
    </row>
    <row r="29" spans="1:13" ht="12.75">
      <c r="A29" s="264"/>
      <c r="B29" s="264"/>
      <c r="C29" s="264"/>
      <c r="D29" s="264"/>
      <c r="E29" s="264"/>
      <c r="F29" s="264"/>
      <c r="G29" s="264"/>
      <c r="H29" s="264"/>
      <c r="I29" s="264">
        <f>SUM(I26:I28)</f>
        <v>44.65</v>
      </c>
      <c r="J29" s="264">
        <f>SUM(J26:J28)</f>
        <v>177.05</v>
      </c>
      <c r="K29" s="264"/>
      <c r="L29" s="264"/>
      <c r="M29" s="264"/>
    </row>
    <row r="30" spans="1:13" ht="12.75">
      <c r="A30" s="264"/>
      <c r="B30" s="264"/>
      <c r="C30" s="264"/>
      <c r="D30" s="264"/>
      <c r="E30" s="264"/>
      <c r="F30" s="264"/>
      <c r="G30" s="264"/>
      <c r="H30" s="264"/>
      <c r="I30" s="265">
        <f>+I29/3</f>
        <v>14.883333333333333</v>
      </c>
      <c r="J30" s="265">
        <f>+J29/3</f>
        <v>59.01666666666667</v>
      </c>
      <c r="K30" s="264"/>
      <c r="L30" s="264"/>
      <c r="M30" s="264"/>
    </row>
    <row r="31" spans="1:13" ht="12.75">
      <c r="A31" s="264"/>
      <c r="B31" s="264"/>
      <c r="C31" s="264"/>
      <c r="D31" s="264"/>
      <c r="E31" s="264"/>
      <c r="F31" s="264"/>
      <c r="G31" s="264" t="s">
        <v>250</v>
      </c>
      <c r="H31" s="264"/>
      <c r="I31" s="264"/>
      <c r="J31" s="266">
        <f>SUM(J25:J30)</f>
        <v>468.1166666666667</v>
      </c>
      <c r="K31" s="267"/>
      <c r="L31" s="267"/>
      <c r="M31" s="267"/>
    </row>
    <row r="32" spans="1:13" ht="12.75">
      <c r="A32" s="267"/>
      <c r="B32" s="267"/>
      <c r="C32" s="267"/>
      <c r="D32" s="267" t="s">
        <v>236</v>
      </c>
      <c r="E32" s="267"/>
      <c r="F32" s="267"/>
      <c r="G32" s="268" t="s">
        <v>231</v>
      </c>
      <c r="H32" s="267"/>
      <c r="I32" s="267"/>
      <c r="J32" s="267"/>
      <c r="K32" s="267"/>
      <c r="L32" s="267"/>
      <c r="M32" s="267"/>
    </row>
    <row r="33" spans="1:13" ht="12.75">
      <c r="A33" s="267"/>
      <c r="B33" s="267"/>
      <c r="C33" s="267"/>
      <c r="D33" s="267">
        <v>4.5</v>
      </c>
      <c r="E33" s="267"/>
      <c r="F33" s="267"/>
      <c r="G33" s="267" t="s">
        <v>232</v>
      </c>
      <c r="H33" s="267" t="s">
        <v>237</v>
      </c>
      <c r="I33" s="267">
        <v>0.25</v>
      </c>
      <c r="J33" s="267">
        <f aca="true" t="shared" si="1" ref="J33:J38">I33</f>
        <v>0.25</v>
      </c>
      <c r="K33" s="267"/>
      <c r="L33" s="267"/>
      <c r="M33" s="267"/>
    </row>
    <row r="34" spans="1:13" ht="12.75">
      <c r="A34" s="267" t="s">
        <v>241</v>
      </c>
      <c r="B34" s="267"/>
      <c r="C34" s="267"/>
      <c r="D34" s="267" t="s">
        <v>239</v>
      </c>
      <c r="E34" s="267"/>
      <c r="F34" s="267"/>
      <c r="G34" s="267" t="s">
        <v>232</v>
      </c>
      <c r="H34" s="267" t="s">
        <v>238</v>
      </c>
      <c r="I34" s="267">
        <v>0.45</v>
      </c>
      <c r="J34" s="267">
        <f t="shared" si="1"/>
        <v>0.45</v>
      </c>
      <c r="K34" s="267"/>
      <c r="L34" s="267"/>
      <c r="M34" s="267"/>
    </row>
    <row r="35" spans="1:13" ht="12.75">
      <c r="A35" s="267"/>
      <c r="B35" s="267"/>
      <c r="C35" s="267"/>
      <c r="D35" s="267"/>
      <c r="E35" s="267"/>
      <c r="F35" s="267"/>
      <c r="G35" s="267" t="s">
        <v>233</v>
      </c>
      <c r="H35" s="267" t="s">
        <v>240</v>
      </c>
      <c r="I35" s="267">
        <v>7</v>
      </c>
      <c r="J35" s="267">
        <f t="shared" si="1"/>
        <v>7</v>
      </c>
      <c r="K35" s="267"/>
      <c r="L35" s="267"/>
      <c r="M35" s="267"/>
    </row>
    <row r="36" spans="1:13" ht="12.75">
      <c r="A36" s="267"/>
      <c r="B36" s="267"/>
      <c r="C36" s="267"/>
      <c r="D36" s="267"/>
      <c r="E36" s="267"/>
      <c r="F36" s="267"/>
      <c r="G36" s="267"/>
      <c r="H36" s="267" t="s">
        <v>242</v>
      </c>
      <c r="I36" s="267">
        <v>3.9</v>
      </c>
      <c r="J36" s="267">
        <f t="shared" si="1"/>
        <v>3.9</v>
      </c>
      <c r="K36" s="267"/>
      <c r="L36" s="267"/>
      <c r="M36" s="267"/>
    </row>
    <row r="37" spans="1:13" ht="12.75">
      <c r="A37" s="267" t="s">
        <v>243</v>
      </c>
      <c r="B37" s="267"/>
      <c r="C37" s="267"/>
      <c r="D37" s="267"/>
      <c r="E37" s="267"/>
      <c r="F37" s="267"/>
      <c r="G37" s="267" t="s">
        <v>234</v>
      </c>
      <c r="H37" s="267" t="s">
        <v>244</v>
      </c>
      <c r="I37" s="267">
        <v>4.5</v>
      </c>
      <c r="J37" s="267">
        <f t="shared" si="1"/>
        <v>4.5</v>
      </c>
      <c r="K37" s="267"/>
      <c r="L37" s="267"/>
      <c r="M37" s="267"/>
    </row>
    <row r="38" spans="1:13" ht="12.75">
      <c r="A38" s="267" t="s">
        <v>245</v>
      </c>
      <c r="B38" s="267"/>
      <c r="C38" s="267"/>
      <c r="D38" s="267"/>
      <c r="E38" s="267"/>
      <c r="F38" s="267"/>
      <c r="G38" s="267" t="s">
        <v>235</v>
      </c>
      <c r="H38" s="267"/>
      <c r="I38" s="267">
        <v>7.5</v>
      </c>
      <c r="J38" s="267">
        <f t="shared" si="1"/>
        <v>7.5</v>
      </c>
      <c r="K38" s="267"/>
      <c r="L38" s="267"/>
      <c r="M38" s="267"/>
    </row>
    <row r="39" spans="1:13" ht="12.75">
      <c r="A39" s="267"/>
      <c r="B39" s="267"/>
      <c r="C39" s="267"/>
      <c r="D39" s="267"/>
      <c r="E39" s="267"/>
      <c r="F39" s="267"/>
      <c r="G39" s="268" t="s">
        <v>251</v>
      </c>
      <c r="H39" s="267"/>
      <c r="I39" s="267"/>
      <c r="J39" s="268">
        <f>SUM(J33:J38)</f>
        <v>23.6</v>
      </c>
      <c r="K39" s="267"/>
      <c r="L39" s="267"/>
      <c r="M39" s="267"/>
    </row>
    <row r="40" spans="1:13" ht="12.75">
      <c r="A40" s="267"/>
      <c r="B40" s="267"/>
      <c r="C40" s="267"/>
      <c r="D40" s="267"/>
      <c r="E40" s="267"/>
      <c r="F40" s="267"/>
      <c r="G40" s="267" t="s">
        <v>246</v>
      </c>
      <c r="H40" s="267"/>
      <c r="I40" s="267"/>
      <c r="J40" s="267">
        <v>78.75</v>
      </c>
      <c r="K40" s="267"/>
      <c r="L40" s="267"/>
      <c r="M40" s="267"/>
    </row>
    <row r="41" spans="1:13" ht="12.75">
      <c r="A41" s="267"/>
      <c r="B41" s="267"/>
      <c r="C41" s="267"/>
      <c r="D41" s="267"/>
      <c r="E41" s="267"/>
      <c r="F41" s="267"/>
      <c r="G41" s="268" t="s">
        <v>252</v>
      </c>
      <c r="H41" s="267"/>
      <c r="I41" s="267"/>
      <c r="J41" s="268">
        <f>SUM(J40)</f>
        <v>78.75</v>
      </c>
      <c r="K41" s="267"/>
      <c r="L41" s="267"/>
      <c r="M41" s="267"/>
    </row>
    <row r="42" spans="1:13" ht="12.75">
      <c r="A42" s="267"/>
      <c r="B42" s="267"/>
      <c r="C42" s="267" t="s">
        <v>247</v>
      </c>
      <c r="D42" s="267"/>
      <c r="E42" s="267">
        <f>3*7*6</f>
        <v>126</v>
      </c>
      <c r="F42" s="267"/>
      <c r="G42" s="267"/>
      <c r="H42" s="267"/>
      <c r="I42" s="267"/>
      <c r="J42" s="267"/>
      <c r="K42" s="267"/>
      <c r="L42" s="267"/>
      <c r="M42" s="267"/>
    </row>
    <row r="43" spans="1:13" ht="12.75">
      <c r="A43" s="267"/>
      <c r="B43" s="267"/>
      <c r="C43" s="267" t="s">
        <v>248</v>
      </c>
      <c r="D43" s="267"/>
      <c r="E43" s="267">
        <f>+E42/8</f>
        <v>15.75</v>
      </c>
      <c r="F43" s="267"/>
      <c r="G43" s="268" t="s">
        <v>35</v>
      </c>
      <c r="H43" s="267"/>
      <c r="I43" s="267"/>
      <c r="J43" s="266">
        <f>+J31+J39+J41</f>
        <v>570.4666666666667</v>
      </c>
      <c r="K43" s="267"/>
      <c r="L43" s="267"/>
      <c r="M43" s="267"/>
    </row>
    <row r="44" spans="1:13" ht="12.75">
      <c r="A44" s="267"/>
      <c r="B44" s="267"/>
      <c r="C44" s="267" t="s">
        <v>249</v>
      </c>
      <c r="D44" s="267"/>
      <c r="E44" s="267">
        <f>+E43*5</f>
        <v>78.75</v>
      </c>
      <c r="F44" s="267"/>
      <c r="G44" s="267"/>
      <c r="H44" s="267"/>
      <c r="I44" s="267"/>
      <c r="J44" s="267"/>
      <c r="K44" s="267"/>
      <c r="L44" s="267"/>
      <c r="M44" s="267"/>
    </row>
    <row r="45" spans="1:13" ht="12.75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1:13" ht="12.75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2.75">
      <c r="A47" s="267"/>
      <c r="B47" s="267"/>
      <c r="C47" s="267"/>
      <c r="D47" s="267"/>
      <c r="E47" s="267"/>
      <c r="F47" s="267"/>
      <c r="G47" s="267" t="s">
        <v>254</v>
      </c>
      <c r="H47" s="267">
        <f>1500*12/100</f>
        <v>180</v>
      </c>
      <c r="I47" s="267"/>
      <c r="J47" s="267"/>
      <c r="K47" s="267"/>
      <c r="L47" s="267"/>
      <c r="M47" s="267"/>
    </row>
    <row r="48" spans="1:13" ht="12.75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</row>
    <row r="49" spans="1:13" ht="12.75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</row>
    <row r="50" spans="1:13" ht="12.75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</row>
    <row r="51" spans="1:13" ht="12.75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</row>
    <row r="52" spans="1:13" ht="12.7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</row>
    <row r="53" spans="1:13" ht="12.75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ht="12.75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</row>
    <row r="55" spans="1:13" ht="12.75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 ht="12.7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</row>
    <row r="57" spans="1:13" ht="12.75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</row>
    <row r="58" spans="1:13" ht="12.75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</row>
    <row r="59" spans="1:13" ht="12.75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</row>
    <row r="60" spans="1:13" ht="12.75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</row>
    <row r="61" spans="1:13" ht="12.75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</row>
  </sheetData>
  <mergeCells count="6">
    <mergeCell ref="B7:G7"/>
    <mergeCell ref="B17:C17"/>
    <mergeCell ref="B21:F22"/>
    <mergeCell ref="G21:G22"/>
    <mergeCell ref="B19:C19"/>
    <mergeCell ref="B9:C9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3"/>
  <sheetViews>
    <sheetView workbookViewId="0" topLeftCell="A19">
      <selection activeCell="H33" sqref="H33"/>
    </sheetView>
  </sheetViews>
  <sheetFormatPr defaultColWidth="11.421875" defaultRowHeight="12.75"/>
  <cols>
    <col min="2" max="2" width="35.140625" style="0" bestFit="1" customWidth="1"/>
    <col min="4" max="4" width="17.57421875" style="0" bestFit="1" customWidth="1"/>
  </cols>
  <sheetData>
    <row r="3" spans="2:4" ht="15.75">
      <c r="B3" s="290" t="s">
        <v>110</v>
      </c>
      <c r="C3" s="290"/>
      <c r="D3" s="290"/>
    </row>
    <row r="4" ht="13.5" thickBot="1">
      <c r="B4" s="34"/>
    </row>
    <row r="5" spans="2:4" ht="25.5">
      <c r="B5" s="64" t="s">
        <v>0</v>
      </c>
      <c r="C5" s="65" t="s">
        <v>81</v>
      </c>
      <c r="D5" s="66" t="s">
        <v>109</v>
      </c>
    </row>
    <row r="6" spans="2:4" ht="12.75">
      <c r="B6" s="73" t="s">
        <v>6</v>
      </c>
      <c r="C6" s="56"/>
      <c r="D6" s="68"/>
    </row>
    <row r="7" spans="2:7" ht="12.75">
      <c r="B7" s="69" t="s">
        <v>26</v>
      </c>
      <c r="C7" s="56">
        <f>INVERSION!E8</f>
        <v>1000</v>
      </c>
      <c r="D7" s="68">
        <f>C7/10</f>
        <v>100</v>
      </c>
      <c r="F7" s="35"/>
      <c r="G7" s="134"/>
    </row>
    <row r="8" spans="2:7" ht="12.75">
      <c r="B8" s="69" t="s">
        <v>226</v>
      </c>
      <c r="C8" s="56">
        <f>INVERSION!E9</f>
        <v>1000</v>
      </c>
      <c r="D8" s="68">
        <f aca="true" t="shared" si="0" ref="D8:D14">C8/10</f>
        <v>100</v>
      </c>
      <c r="F8" s="35"/>
      <c r="G8" s="134"/>
    </row>
    <row r="9" spans="2:7" ht="12.75">
      <c r="B9" s="69" t="s">
        <v>25</v>
      </c>
      <c r="C9" s="56">
        <f>INVERSION!E10</f>
        <v>150</v>
      </c>
      <c r="D9" s="68">
        <f t="shared" si="0"/>
        <v>15</v>
      </c>
      <c r="F9" s="35"/>
      <c r="G9" s="134"/>
    </row>
    <row r="10" spans="2:7" ht="12.75">
      <c r="B10" s="69" t="s">
        <v>219</v>
      </c>
      <c r="C10" s="56">
        <f>INVERSION!E11</f>
        <v>500</v>
      </c>
      <c r="D10" s="68">
        <f t="shared" si="0"/>
        <v>50</v>
      </c>
      <c r="F10" s="35"/>
      <c r="G10" s="134"/>
    </row>
    <row r="11" spans="2:7" ht="12.75">
      <c r="B11" s="69" t="s">
        <v>220</v>
      </c>
      <c r="C11" s="56">
        <f>INVERSION!E12</f>
        <v>75</v>
      </c>
      <c r="D11" s="68">
        <f t="shared" si="0"/>
        <v>7.5</v>
      </c>
      <c r="F11" s="35"/>
      <c r="G11" s="134"/>
    </row>
    <row r="12" spans="2:7" ht="12.75">
      <c r="B12" s="69" t="s">
        <v>30</v>
      </c>
      <c r="C12" s="56">
        <f>INVERSION!E13</f>
        <v>1000</v>
      </c>
      <c r="D12" s="68">
        <f t="shared" si="0"/>
        <v>100</v>
      </c>
      <c r="F12" s="35"/>
      <c r="G12" s="35"/>
    </row>
    <row r="13" spans="2:7" ht="12.75">
      <c r="B13" s="69" t="s">
        <v>79</v>
      </c>
      <c r="C13" s="56">
        <f>INVERSION!E14</f>
        <v>3000</v>
      </c>
      <c r="D13" s="68">
        <f t="shared" si="0"/>
        <v>300</v>
      </c>
      <c r="F13" s="35"/>
      <c r="G13" s="35"/>
    </row>
    <row r="14" spans="2:7" ht="12.75">
      <c r="B14" s="69" t="s">
        <v>24</v>
      </c>
      <c r="C14" s="56">
        <f>INVERSION!E15</f>
        <v>2600</v>
      </c>
      <c r="D14" s="68">
        <f t="shared" si="0"/>
        <v>260</v>
      </c>
      <c r="F14" s="35"/>
      <c r="G14" s="134"/>
    </row>
    <row r="15" spans="2:7" ht="12.75">
      <c r="B15" s="73" t="s">
        <v>85</v>
      </c>
      <c r="C15" s="56"/>
      <c r="D15" s="68"/>
      <c r="F15" s="35"/>
      <c r="G15" s="134"/>
    </row>
    <row r="16" spans="2:7" ht="12.75">
      <c r="B16" s="69" t="s">
        <v>7</v>
      </c>
      <c r="C16" s="56">
        <f>INVERSION!E18</f>
        <v>1950</v>
      </c>
      <c r="D16" s="68">
        <f>C16/3</f>
        <v>650</v>
      </c>
      <c r="F16" s="35"/>
      <c r="G16" s="134"/>
    </row>
    <row r="17" spans="2:4" ht="12.75">
      <c r="B17" s="69" t="s">
        <v>8</v>
      </c>
      <c r="C17" s="56">
        <f>INVERSION!E19</f>
        <v>130</v>
      </c>
      <c r="D17" s="148">
        <f>C17/3</f>
        <v>43.333333333333336</v>
      </c>
    </row>
    <row r="18" spans="2:4" ht="12.75">
      <c r="B18" s="69" t="s">
        <v>9</v>
      </c>
      <c r="C18" s="56">
        <f>INVERSION!E20</f>
        <v>182</v>
      </c>
      <c r="D18" s="148">
        <f aca="true" t="shared" si="1" ref="D18:D25">C18/3</f>
        <v>60.666666666666664</v>
      </c>
    </row>
    <row r="19" spans="2:4" ht="12.75">
      <c r="B19" s="69" t="s">
        <v>17</v>
      </c>
      <c r="C19" s="56">
        <f>INVERSION!E21</f>
        <v>390</v>
      </c>
      <c r="D19" s="148">
        <f t="shared" si="1"/>
        <v>130</v>
      </c>
    </row>
    <row r="20" spans="2:4" ht="12.75">
      <c r="B20" s="69" t="s">
        <v>10</v>
      </c>
      <c r="C20" s="56">
        <f>INVERSION!E22</f>
        <v>182</v>
      </c>
      <c r="D20" s="148">
        <f t="shared" si="1"/>
        <v>60.666666666666664</v>
      </c>
    </row>
    <row r="21" spans="2:4" ht="12.75">
      <c r="B21" s="69" t="s">
        <v>11</v>
      </c>
      <c r="C21" s="56">
        <f>INVERSION!E23</f>
        <v>260</v>
      </c>
      <c r="D21" s="148">
        <f t="shared" si="1"/>
        <v>86.66666666666667</v>
      </c>
    </row>
    <row r="22" spans="2:4" ht="12.75">
      <c r="B22" s="69" t="s">
        <v>32</v>
      </c>
      <c r="C22" s="56">
        <f>INVERSION!E24</f>
        <v>52</v>
      </c>
      <c r="D22" s="148">
        <f t="shared" si="1"/>
        <v>17.333333333333332</v>
      </c>
    </row>
    <row r="23" spans="2:4" ht="12.75">
      <c r="B23" s="69" t="s">
        <v>86</v>
      </c>
      <c r="C23" s="56">
        <f>INVERSION!E25</f>
        <v>52</v>
      </c>
      <c r="D23" s="148">
        <f t="shared" si="1"/>
        <v>17.333333333333332</v>
      </c>
    </row>
    <row r="24" spans="2:4" ht="12.75">
      <c r="B24" s="75" t="s">
        <v>98</v>
      </c>
      <c r="C24" s="56">
        <f>INVERSION!E26</f>
        <v>3</v>
      </c>
      <c r="D24" s="148">
        <f t="shared" si="1"/>
        <v>1</v>
      </c>
    </row>
    <row r="25" spans="2:4" ht="12.75">
      <c r="B25" s="69" t="s">
        <v>92</v>
      </c>
      <c r="C25" s="56">
        <f>INVERSION!E27</f>
        <v>52</v>
      </c>
      <c r="D25" s="148">
        <f t="shared" si="1"/>
        <v>17.333333333333332</v>
      </c>
    </row>
    <row r="26" spans="2:4" ht="12.75">
      <c r="B26" s="73" t="s">
        <v>93</v>
      </c>
      <c r="C26" s="56"/>
      <c r="D26" s="68"/>
    </row>
    <row r="27" spans="2:4" ht="12.75">
      <c r="B27" s="69" t="s">
        <v>15</v>
      </c>
      <c r="C27" s="56">
        <f>INVERSION!E31</f>
        <v>2200</v>
      </c>
      <c r="D27" s="148">
        <f aca="true" t="shared" si="2" ref="D27:D32">C27/3</f>
        <v>733.3333333333334</v>
      </c>
    </row>
    <row r="28" spans="2:4" ht="12.75">
      <c r="B28" s="69" t="s">
        <v>56</v>
      </c>
      <c r="C28" s="56">
        <f>INVERSION!E32</f>
        <v>50</v>
      </c>
      <c r="D28" s="148">
        <f t="shared" si="2"/>
        <v>16.666666666666668</v>
      </c>
    </row>
    <row r="29" spans="2:4" ht="12.75">
      <c r="B29" s="69" t="s">
        <v>16</v>
      </c>
      <c r="C29" s="56">
        <f>INVERSION!E33</f>
        <v>300</v>
      </c>
      <c r="D29" s="148">
        <f t="shared" si="2"/>
        <v>100</v>
      </c>
    </row>
    <row r="30" spans="2:4" ht="12.75">
      <c r="B30" s="69" t="s">
        <v>37</v>
      </c>
      <c r="C30" s="56">
        <f>INVERSION!E34</f>
        <v>100</v>
      </c>
      <c r="D30" s="148">
        <f t="shared" si="2"/>
        <v>33.333333333333336</v>
      </c>
    </row>
    <row r="31" spans="2:4" ht="12.75">
      <c r="B31" s="69" t="s">
        <v>14</v>
      </c>
      <c r="C31" s="56">
        <f>INVERSION!E35</f>
        <v>30</v>
      </c>
      <c r="D31" s="148">
        <f t="shared" si="2"/>
        <v>10</v>
      </c>
    </row>
    <row r="32" spans="2:4" ht="13.5" thickBot="1">
      <c r="B32" s="202" t="s">
        <v>13</v>
      </c>
      <c r="C32" s="203">
        <f>INVERSION!E36</f>
        <v>40</v>
      </c>
      <c r="D32" s="204">
        <f t="shared" si="2"/>
        <v>13.333333333333334</v>
      </c>
    </row>
    <row r="33" spans="2:4" ht="13.5" thickBot="1">
      <c r="B33" s="205" t="s">
        <v>36</v>
      </c>
      <c r="C33" s="206"/>
      <c r="D33" s="207">
        <f>SUM(D7:D32)</f>
        <v>2923.5</v>
      </c>
    </row>
  </sheetData>
  <mergeCells count="1">
    <mergeCell ref="B3:D3"/>
  </mergeCells>
  <printOptions/>
  <pageMargins left="0.75" right="0.51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7"/>
  <sheetViews>
    <sheetView workbookViewId="0" topLeftCell="A109">
      <selection activeCell="O28" sqref="O28:T42"/>
    </sheetView>
  </sheetViews>
  <sheetFormatPr defaultColWidth="11.421875" defaultRowHeight="12.75"/>
  <cols>
    <col min="4" max="4" width="12.140625" style="0" bestFit="1" customWidth="1"/>
    <col min="5" max="5" width="13.421875" style="0" customWidth="1"/>
  </cols>
  <sheetData>
    <row r="1" spans="1:20" ht="12.75">
      <c r="A1" s="103" t="s">
        <v>111</v>
      </c>
      <c r="B1" s="104"/>
      <c r="C1" s="104"/>
      <c r="D1" s="104"/>
      <c r="E1" s="94"/>
      <c r="F1" s="95"/>
      <c r="H1" s="34"/>
      <c r="I1" s="34"/>
      <c r="J1" s="34"/>
      <c r="K1" s="34"/>
      <c r="L1" s="35"/>
      <c r="M1" s="35"/>
      <c r="O1" s="34"/>
      <c r="P1" s="34"/>
      <c r="Q1" s="34"/>
      <c r="R1" s="34"/>
      <c r="S1" s="35"/>
      <c r="T1" s="35"/>
    </row>
    <row r="2" spans="1:20" ht="12.75">
      <c r="A2" s="96" t="s">
        <v>99</v>
      </c>
      <c r="B2" s="35" t="s">
        <v>112</v>
      </c>
      <c r="C2" s="35"/>
      <c r="D2" s="35"/>
      <c r="E2" s="35"/>
      <c r="F2" s="97"/>
      <c r="H2" s="35"/>
      <c r="I2" s="35"/>
      <c r="J2" s="35"/>
      <c r="K2" s="35"/>
      <c r="L2" s="35"/>
      <c r="M2" s="35"/>
      <c r="O2" s="35"/>
      <c r="P2" s="35"/>
      <c r="Q2" s="35"/>
      <c r="R2" s="35"/>
      <c r="S2" s="35"/>
      <c r="T2" s="35"/>
    </row>
    <row r="3" spans="1:20" ht="12.75">
      <c r="A3" s="96" t="s">
        <v>101</v>
      </c>
      <c r="B3" s="35" t="s">
        <v>102</v>
      </c>
      <c r="C3" s="35"/>
      <c r="D3" s="35"/>
      <c r="E3" s="35"/>
      <c r="F3" s="97"/>
      <c r="H3" s="35"/>
      <c r="I3" s="35"/>
      <c r="J3" s="35"/>
      <c r="K3" s="35"/>
      <c r="L3" s="35"/>
      <c r="M3" s="35"/>
      <c r="O3" s="35"/>
      <c r="P3" s="35"/>
      <c r="Q3" s="35"/>
      <c r="R3" s="35"/>
      <c r="S3" s="35"/>
      <c r="T3" s="35"/>
    </row>
    <row r="4" spans="1:20" ht="12.75">
      <c r="A4" s="96" t="s">
        <v>103</v>
      </c>
      <c r="B4" s="35" t="s">
        <v>104</v>
      </c>
      <c r="C4" s="35"/>
      <c r="D4" s="35" t="s">
        <v>105</v>
      </c>
      <c r="E4" s="35" t="s">
        <v>106</v>
      </c>
      <c r="F4" s="97"/>
      <c r="H4" s="35"/>
      <c r="I4" s="35"/>
      <c r="J4" s="35"/>
      <c r="K4" s="35"/>
      <c r="L4" s="35"/>
      <c r="M4" s="35"/>
      <c r="O4" s="35"/>
      <c r="P4" s="35"/>
      <c r="Q4" s="35"/>
      <c r="R4" s="35"/>
      <c r="S4" s="35"/>
      <c r="T4" s="35"/>
    </row>
    <row r="5" spans="1:20" ht="12.75">
      <c r="A5" s="96">
        <v>0</v>
      </c>
      <c r="B5" s="98">
        <f>INVERSION!E8</f>
        <v>1000</v>
      </c>
      <c r="C5" s="35"/>
      <c r="D5" s="35"/>
      <c r="E5" s="35"/>
      <c r="F5" s="97"/>
      <c r="H5" s="35"/>
      <c r="I5" s="98"/>
      <c r="J5" s="35"/>
      <c r="K5" s="35"/>
      <c r="L5" s="35"/>
      <c r="M5" s="35"/>
      <c r="O5" s="35"/>
      <c r="P5" s="98"/>
      <c r="Q5" s="35"/>
      <c r="R5" s="35"/>
      <c r="S5" s="35"/>
      <c r="T5" s="35"/>
    </row>
    <row r="6" spans="1:20" ht="12.75">
      <c r="A6" s="96">
        <v>1</v>
      </c>
      <c r="B6" s="98">
        <f>B5-D5</f>
        <v>1000</v>
      </c>
      <c r="C6" s="35"/>
      <c r="D6" s="35">
        <f>B5/20</f>
        <v>50</v>
      </c>
      <c r="E6" s="35">
        <f>D6</f>
        <v>50</v>
      </c>
      <c r="F6" s="97"/>
      <c r="H6" s="35"/>
      <c r="I6" s="98"/>
      <c r="J6" s="35"/>
      <c r="K6" s="35"/>
      <c r="L6" s="35"/>
      <c r="M6" s="35"/>
      <c r="O6" s="35"/>
      <c r="P6" s="98"/>
      <c r="Q6" s="35"/>
      <c r="R6" s="35"/>
      <c r="S6" s="35"/>
      <c r="T6" s="35"/>
    </row>
    <row r="7" spans="1:20" ht="12.75">
      <c r="A7" s="96">
        <v>2</v>
      </c>
      <c r="B7" s="98">
        <f>B6-D6</f>
        <v>950</v>
      </c>
      <c r="C7" s="35"/>
      <c r="D7" s="35">
        <f>D6</f>
        <v>50</v>
      </c>
      <c r="E7" s="35">
        <f>D6+E6</f>
        <v>100</v>
      </c>
      <c r="F7" s="97"/>
      <c r="H7" s="35"/>
      <c r="I7" s="98"/>
      <c r="J7" s="35"/>
      <c r="K7" s="35"/>
      <c r="L7" s="35"/>
      <c r="M7" s="35"/>
      <c r="O7" s="35"/>
      <c r="P7" s="98"/>
      <c r="Q7" s="35"/>
      <c r="R7" s="35"/>
      <c r="S7" s="35"/>
      <c r="T7" s="35"/>
    </row>
    <row r="8" spans="1:20" ht="12.75">
      <c r="A8" s="96">
        <v>3</v>
      </c>
      <c r="B8" s="98">
        <f aca="true" t="shared" si="0" ref="B8:B25">B7-D7</f>
        <v>900</v>
      </c>
      <c r="C8" s="35"/>
      <c r="D8" s="35">
        <f aca="true" t="shared" si="1" ref="D8:D25">D7</f>
        <v>50</v>
      </c>
      <c r="E8" s="35">
        <f aca="true" t="shared" si="2" ref="E8:E25">D7+E7</f>
        <v>150</v>
      </c>
      <c r="F8" s="97"/>
      <c r="H8" s="35"/>
      <c r="I8" s="98"/>
      <c r="J8" s="35"/>
      <c r="K8" s="35"/>
      <c r="L8" s="35"/>
      <c r="M8" s="35"/>
      <c r="O8" s="35"/>
      <c r="P8" s="98"/>
      <c r="Q8" s="35"/>
      <c r="R8" s="35"/>
      <c r="S8" s="35"/>
      <c r="T8" s="35"/>
    </row>
    <row r="9" spans="1:20" ht="12.75">
      <c r="A9" s="96">
        <v>4</v>
      </c>
      <c r="B9" s="98">
        <f t="shared" si="0"/>
        <v>850</v>
      </c>
      <c r="C9" s="35"/>
      <c r="D9" s="35">
        <f t="shared" si="1"/>
        <v>50</v>
      </c>
      <c r="E9" s="35">
        <f t="shared" si="2"/>
        <v>200</v>
      </c>
      <c r="F9" s="97"/>
      <c r="H9" s="35"/>
      <c r="I9" s="98"/>
      <c r="J9" s="35"/>
      <c r="K9" s="35"/>
      <c r="L9" s="35"/>
      <c r="M9" s="35"/>
      <c r="O9" s="35"/>
      <c r="P9" s="98"/>
      <c r="Q9" s="35"/>
      <c r="R9" s="35"/>
      <c r="S9" s="35"/>
      <c r="T9" s="35"/>
    </row>
    <row r="10" spans="1:20" ht="12.75">
      <c r="A10" s="96">
        <v>5</v>
      </c>
      <c r="B10" s="98">
        <f t="shared" si="0"/>
        <v>800</v>
      </c>
      <c r="C10" s="35"/>
      <c r="D10" s="35">
        <f t="shared" si="1"/>
        <v>50</v>
      </c>
      <c r="E10" s="35">
        <f t="shared" si="2"/>
        <v>250</v>
      </c>
      <c r="F10" s="97"/>
      <c r="H10" s="35"/>
      <c r="I10" s="98"/>
      <c r="J10" s="35"/>
      <c r="K10" s="35"/>
      <c r="L10" s="35"/>
      <c r="M10" s="35"/>
      <c r="O10" s="35"/>
      <c r="P10" s="98"/>
      <c r="Q10" s="35"/>
      <c r="R10" s="35"/>
      <c r="S10" s="35"/>
      <c r="T10" s="35"/>
    </row>
    <row r="11" spans="1:20" ht="12.75">
      <c r="A11" s="96">
        <v>6</v>
      </c>
      <c r="B11" s="98">
        <f t="shared" si="0"/>
        <v>750</v>
      </c>
      <c r="C11" s="35"/>
      <c r="D11" s="35">
        <f t="shared" si="1"/>
        <v>50</v>
      </c>
      <c r="E11" s="35">
        <f t="shared" si="2"/>
        <v>300</v>
      </c>
      <c r="F11" s="97"/>
      <c r="H11" s="35"/>
      <c r="I11" s="98"/>
      <c r="J11" s="35"/>
      <c r="K11" s="35"/>
      <c r="L11" s="35"/>
      <c r="M11" s="35"/>
      <c r="O11" s="35"/>
      <c r="P11" s="98"/>
      <c r="Q11" s="35"/>
      <c r="R11" s="35"/>
      <c r="S11" s="35"/>
      <c r="T11" s="35"/>
    </row>
    <row r="12" spans="1:20" ht="12.75">
      <c r="A12" s="96">
        <v>7</v>
      </c>
      <c r="B12" s="98">
        <f t="shared" si="0"/>
        <v>700</v>
      </c>
      <c r="C12" s="35"/>
      <c r="D12" s="35">
        <f t="shared" si="1"/>
        <v>50</v>
      </c>
      <c r="E12" s="35">
        <f t="shared" si="2"/>
        <v>350</v>
      </c>
      <c r="F12" s="97"/>
      <c r="H12" s="35"/>
      <c r="I12" s="98"/>
      <c r="J12" s="35"/>
      <c r="K12" s="35"/>
      <c r="L12" s="35"/>
      <c r="M12" s="35"/>
      <c r="O12" s="35"/>
      <c r="P12" s="98"/>
      <c r="Q12" s="35"/>
      <c r="R12" s="35"/>
      <c r="S12" s="35"/>
      <c r="T12" s="35"/>
    </row>
    <row r="13" spans="1:20" ht="12.75">
      <c r="A13" s="96">
        <v>8</v>
      </c>
      <c r="B13" s="98">
        <f t="shared" si="0"/>
        <v>650</v>
      </c>
      <c r="C13" s="35"/>
      <c r="D13" s="35">
        <f t="shared" si="1"/>
        <v>50</v>
      </c>
      <c r="E13" s="35">
        <f t="shared" si="2"/>
        <v>400</v>
      </c>
      <c r="F13" s="97"/>
      <c r="H13" s="35"/>
      <c r="I13" s="98"/>
      <c r="J13" s="35"/>
      <c r="K13" s="35"/>
      <c r="L13" s="35"/>
      <c r="M13" s="35"/>
      <c r="O13" s="35"/>
      <c r="P13" s="98"/>
      <c r="Q13" s="35"/>
      <c r="R13" s="35"/>
      <c r="S13" s="35"/>
      <c r="T13" s="35"/>
    </row>
    <row r="14" spans="1:20" ht="12.75">
      <c r="A14" s="96">
        <v>9</v>
      </c>
      <c r="B14" s="98">
        <f t="shared" si="0"/>
        <v>600</v>
      </c>
      <c r="C14" s="35"/>
      <c r="D14" s="35">
        <f t="shared" si="1"/>
        <v>50</v>
      </c>
      <c r="E14" s="35">
        <f t="shared" si="2"/>
        <v>450</v>
      </c>
      <c r="F14" s="97"/>
      <c r="H14" s="35"/>
      <c r="I14" s="98"/>
      <c r="J14" s="35"/>
      <c r="K14" s="35"/>
      <c r="L14" s="35"/>
      <c r="M14" s="35"/>
      <c r="O14" s="35"/>
      <c r="P14" s="98"/>
      <c r="Q14" s="35"/>
      <c r="R14" s="35"/>
      <c r="S14" s="35"/>
      <c r="T14" s="35"/>
    </row>
    <row r="15" spans="1:20" ht="12.75">
      <c r="A15" s="96">
        <v>10</v>
      </c>
      <c r="B15" s="98">
        <f t="shared" si="0"/>
        <v>550</v>
      </c>
      <c r="C15" s="35"/>
      <c r="D15" s="35">
        <f t="shared" si="1"/>
        <v>50</v>
      </c>
      <c r="E15" s="35">
        <f t="shared" si="2"/>
        <v>500</v>
      </c>
      <c r="F15" s="97"/>
      <c r="H15" s="35"/>
      <c r="I15" s="98"/>
      <c r="J15" s="35"/>
      <c r="K15" s="35"/>
      <c r="L15" s="35"/>
      <c r="M15" s="35"/>
      <c r="O15" s="35"/>
      <c r="P15" s="98"/>
      <c r="Q15" s="35"/>
      <c r="R15" s="35"/>
      <c r="S15" s="35"/>
      <c r="T15" s="35"/>
    </row>
    <row r="16" spans="1:20" ht="12.75">
      <c r="A16" s="96">
        <v>11</v>
      </c>
      <c r="B16" s="98">
        <f t="shared" si="0"/>
        <v>500</v>
      </c>
      <c r="C16" s="35"/>
      <c r="D16" s="35">
        <f t="shared" si="1"/>
        <v>50</v>
      </c>
      <c r="E16" s="35">
        <f t="shared" si="2"/>
        <v>550</v>
      </c>
      <c r="F16" s="97"/>
      <c r="H16" s="35"/>
      <c r="I16" s="98"/>
      <c r="J16" s="35"/>
      <c r="K16" s="35"/>
      <c r="L16" s="35"/>
      <c r="M16" s="35"/>
      <c r="O16" s="35"/>
      <c r="P16" s="98"/>
      <c r="Q16" s="35"/>
      <c r="R16" s="35"/>
      <c r="S16" s="35"/>
      <c r="T16" s="35"/>
    </row>
    <row r="17" spans="1:20" ht="12.75">
      <c r="A17" s="96">
        <v>12</v>
      </c>
      <c r="B17" s="98">
        <f t="shared" si="0"/>
        <v>450</v>
      </c>
      <c r="C17" s="35"/>
      <c r="D17" s="35">
        <f t="shared" si="1"/>
        <v>50</v>
      </c>
      <c r="E17" s="35">
        <f t="shared" si="2"/>
        <v>600</v>
      </c>
      <c r="F17" s="97"/>
      <c r="H17" s="35"/>
      <c r="I17" s="98"/>
      <c r="J17" s="35"/>
      <c r="K17" s="35"/>
      <c r="L17" s="35"/>
      <c r="M17" s="35"/>
      <c r="O17" s="35"/>
      <c r="P17" s="98"/>
      <c r="Q17" s="35"/>
      <c r="R17" s="35"/>
      <c r="S17" s="35"/>
      <c r="T17" s="35"/>
    </row>
    <row r="18" spans="1:20" ht="12.75">
      <c r="A18" s="96">
        <v>13</v>
      </c>
      <c r="B18" s="98">
        <f t="shared" si="0"/>
        <v>400</v>
      </c>
      <c r="C18" s="35"/>
      <c r="D18" s="35">
        <f t="shared" si="1"/>
        <v>50</v>
      </c>
      <c r="E18" s="35">
        <f t="shared" si="2"/>
        <v>650</v>
      </c>
      <c r="F18" s="97"/>
      <c r="H18" s="35"/>
      <c r="I18" s="98"/>
      <c r="J18" s="35"/>
      <c r="K18" s="35"/>
      <c r="L18" s="35"/>
      <c r="M18" s="35"/>
      <c r="O18" s="35"/>
      <c r="P18" s="98"/>
      <c r="Q18" s="35"/>
      <c r="R18" s="35"/>
      <c r="S18" s="35"/>
      <c r="T18" s="35"/>
    </row>
    <row r="19" spans="1:20" ht="12.75">
      <c r="A19" s="96">
        <v>14</v>
      </c>
      <c r="B19" s="98">
        <f t="shared" si="0"/>
        <v>350</v>
      </c>
      <c r="C19" s="35"/>
      <c r="D19" s="35">
        <f t="shared" si="1"/>
        <v>50</v>
      </c>
      <c r="E19" s="35">
        <f t="shared" si="2"/>
        <v>700</v>
      </c>
      <c r="F19" s="97"/>
      <c r="H19" s="35"/>
      <c r="I19" s="98"/>
      <c r="J19" s="35"/>
      <c r="K19" s="35"/>
      <c r="L19" s="35"/>
      <c r="M19" s="35"/>
      <c r="O19" s="35"/>
      <c r="P19" s="98"/>
      <c r="Q19" s="35"/>
      <c r="R19" s="35"/>
      <c r="S19" s="35"/>
      <c r="T19" s="35"/>
    </row>
    <row r="20" spans="1:20" ht="12.75">
      <c r="A20" s="96">
        <v>15</v>
      </c>
      <c r="B20" s="98">
        <f t="shared" si="0"/>
        <v>300</v>
      </c>
      <c r="C20" s="35"/>
      <c r="D20" s="35">
        <f t="shared" si="1"/>
        <v>50</v>
      </c>
      <c r="E20" s="35">
        <f t="shared" si="2"/>
        <v>750</v>
      </c>
      <c r="F20" s="97"/>
      <c r="H20" s="35"/>
      <c r="I20" s="98"/>
      <c r="J20" s="35"/>
      <c r="K20" s="35"/>
      <c r="L20" s="35"/>
      <c r="M20" s="35"/>
      <c r="O20" s="35"/>
      <c r="P20" s="98"/>
      <c r="Q20" s="35"/>
      <c r="R20" s="35"/>
      <c r="S20" s="35"/>
      <c r="T20" s="35"/>
    </row>
    <row r="21" spans="1:20" ht="12.75">
      <c r="A21" s="96">
        <v>16</v>
      </c>
      <c r="B21" s="98">
        <f t="shared" si="0"/>
        <v>250</v>
      </c>
      <c r="C21" s="35"/>
      <c r="D21" s="35">
        <f t="shared" si="1"/>
        <v>50</v>
      </c>
      <c r="E21" s="35">
        <f t="shared" si="2"/>
        <v>800</v>
      </c>
      <c r="F21" s="97"/>
      <c r="H21" s="35"/>
      <c r="I21" s="98"/>
      <c r="J21" s="35"/>
      <c r="K21" s="35"/>
      <c r="L21" s="35"/>
      <c r="M21" s="35"/>
      <c r="O21" s="35"/>
      <c r="P21" s="98"/>
      <c r="Q21" s="35"/>
      <c r="R21" s="35"/>
      <c r="S21" s="35"/>
      <c r="T21" s="35"/>
    </row>
    <row r="22" spans="1:20" ht="12.75">
      <c r="A22" s="96">
        <v>17</v>
      </c>
      <c r="B22" s="98">
        <f t="shared" si="0"/>
        <v>200</v>
      </c>
      <c r="C22" s="35"/>
      <c r="D22" s="35">
        <f t="shared" si="1"/>
        <v>50</v>
      </c>
      <c r="E22" s="35">
        <f t="shared" si="2"/>
        <v>850</v>
      </c>
      <c r="F22" s="97"/>
      <c r="H22" s="35"/>
      <c r="I22" s="98"/>
      <c r="J22" s="35"/>
      <c r="K22" s="35"/>
      <c r="L22" s="35"/>
      <c r="M22" s="35"/>
      <c r="O22" s="35"/>
      <c r="P22" s="98"/>
      <c r="Q22" s="35"/>
      <c r="R22" s="35"/>
      <c r="S22" s="35"/>
      <c r="T22" s="35"/>
    </row>
    <row r="23" spans="1:20" ht="12.75">
      <c r="A23" s="96">
        <v>18</v>
      </c>
      <c r="B23" s="98">
        <f t="shared" si="0"/>
        <v>150</v>
      </c>
      <c r="C23" s="35"/>
      <c r="D23" s="35">
        <f t="shared" si="1"/>
        <v>50</v>
      </c>
      <c r="E23" s="35">
        <f t="shared" si="2"/>
        <v>900</v>
      </c>
      <c r="F23" s="97"/>
      <c r="H23" s="35"/>
      <c r="I23" s="98"/>
      <c r="J23" s="35"/>
      <c r="K23" s="35"/>
      <c r="L23" s="35"/>
      <c r="M23" s="35"/>
      <c r="O23" s="35"/>
      <c r="P23" s="98"/>
      <c r="Q23" s="35"/>
      <c r="R23" s="35"/>
      <c r="S23" s="35"/>
      <c r="T23" s="35"/>
    </row>
    <row r="24" spans="1:20" ht="12.75">
      <c r="A24" s="96">
        <v>19</v>
      </c>
      <c r="B24" s="98">
        <f t="shared" si="0"/>
        <v>100</v>
      </c>
      <c r="C24" s="35"/>
      <c r="D24" s="35">
        <f t="shared" si="1"/>
        <v>50</v>
      </c>
      <c r="E24" s="35">
        <f t="shared" si="2"/>
        <v>950</v>
      </c>
      <c r="F24" s="97"/>
      <c r="H24" s="35"/>
      <c r="I24" s="98"/>
      <c r="J24" s="35"/>
      <c r="K24" s="35"/>
      <c r="L24" s="35"/>
      <c r="M24" s="35"/>
      <c r="O24" s="35"/>
      <c r="P24" s="98"/>
      <c r="Q24" s="35"/>
      <c r="R24" s="35"/>
      <c r="S24" s="35"/>
      <c r="T24" s="35"/>
    </row>
    <row r="25" spans="1:20" ht="13.5" thickBot="1">
      <c r="A25" s="99">
        <v>20</v>
      </c>
      <c r="B25" s="100">
        <f t="shared" si="0"/>
        <v>50</v>
      </c>
      <c r="C25" s="101"/>
      <c r="D25" s="101">
        <f t="shared" si="1"/>
        <v>50</v>
      </c>
      <c r="E25" s="101">
        <f t="shared" si="2"/>
        <v>1000</v>
      </c>
      <c r="F25" s="102"/>
      <c r="H25" s="35"/>
      <c r="I25" s="98"/>
      <c r="J25" s="35"/>
      <c r="K25" s="35"/>
      <c r="L25" s="35"/>
      <c r="M25" s="35"/>
      <c r="O25" s="35"/>
      <c r="P25" s="98"/>
      <c r="Q25" s="35"/>
      <c r="R25" s="35"/>
      <c r="S25" s="35"/>
      <c r="T25" s="35"/>
    </row>
    <row r="27" ht="13.5" thickBot="1"/>
    <row r="28" spans="1:20" ht="12.75">
      <c r="A28" s="103" t="s">
        <v>113</v>
      </c>
      <c r="B28" s="104"/>
      <c r="C28" s="104"/>
      <c r="D28" s="104"/>
      <c r="E28" s="94"/>
      <c r="F28" s="95"/>
      <c r="H28" s="103" t="s">
        <v>113</v>
      </c>
      <c r="I28" s="104"/>
      <c r="J28" s="104"/>
      <c r="K28" s="104"/>
      <c r="L28" s="94"/>
      <c r="M28" s="95"/>
      <c r="O28" s="34"/>
      <c r="P28" s="34"/>
      <c r="Q28" s="34"/>
      <c r="R28" s="34"/>
      <c r="S28" s="35"/>
      <c r="T28" s="35"/>
    </row>
    <row r="29" spans="1:20" ht="12.75">
      <c r="A29" s="96" t="s">
        <v>99</v>
      </c>
      <c r="B29" s="35" t="s">
        <v>112</v>
      </c>
      <c r="C29" s="35"/>
      <c r="D29" s="35"/>
      <c r="E29" s="35"/>
      <c r="F29" s="97"/>
      <c r="H29" s="96" t="s">
        <v>99</v>
      </c>
      <c r="I29" s="35" t="s">
        <v>112</v>
      </c>
      <c r="J29" s="35"/>
      <c r="K29" s="35"/>
      <c r="L29" s="35"/>
      <c r="M29" s="97"/>
      <c r="O29" s="35"/>
      <c r="P29" s="35"/>
      <c r="Q29" s="35"/>
      <c r="R29" s="35"/>
      <c r="S29" s="35"/>
      <c r="T29" s="35"/>
    </row>
    <row r="30" spans="1:20" ht="12.75">
      <c r="A30" s="96" t="s">
        <v>101</v>
      </c>
      <c r="B30" s="35" t="s">
        <v>102</v>
      </c>
      <c r="C30" s="35"/>
      <c r="D30" s="35"/>
      <c r="E30" s="35"/>
      <c r="F30" s="97"/>
      <c r="H30" s="96" t="s">
        <v>101</v>
      </c>
      <c r="I30" s="35" t="s">
        <v>102</v>
      </c>
      <c r="J30" s="35"/>
      <c r="K30" s="35"/>
      <c r="L30" s="35"/>
      <c r="M30" s="97"/>
      <c r="O30" s="35"/>
      <c r="P30" s="35"/>
      <c r="Q30" s="35"/>
      <c r="R30" s="35"/>
      <c r="S30" s="35"/>
      <c r="T30" s="35"/>
    </row>
    <row r="31" spans="1:20" ht="12.75">
      <c r="A31" s="96" t="s">
        <v>103</v>
      </c>
      <c r="B31" s="35" t="s">
        <v>104</v>
      </c>
      <c r="C31" s="35"/>
      <c r="D31" s="35" t="s">
        <v>105</v>
      </c>
      <c r="E31" s="35" t="s">
        <v>106</v>
      </c>
      <c r="F31" s="97"/>
      <c r="H31" s="96" t="s">
        <v>103</v>
      </c>
      <c r="I31" s="35" t="s">
        <v>104</v>
      </c>
      <c r="J31" s="35"/>
      <c r="K31" s="35" t="s">
        <v>105</v>
      </c>
      <c r="L31" s="35" t="s">
        <v>106</v>
      </c>
      <c r="M31" s="97"/>
      <c r="O31" s="35"/>
      <c r="P31" s="35"/>
      <c r="Q31" s="35"/>
      <c r="R31" s="35"/>
      <c r="S31" s="35"/>
      <c r="T31" s="35"/>
    </row>
    <row r="32" spans="1:20" ht="12.75">
      <c r="A32" s="96">
        <v>0</v>
      </c>
      <c r="B32" s="98">
        <f>INVERSION!E10</f>
        <v>150</v>
      </c>
      <c r="C32" s="35"/>
      <c r="D32" s="35"/>
      <c r="E32" s="35"/>
      <c r="F32" s="97"/>
      <c r="H32" s="96">
        <v>0</v>
      </c>
      <c r="I32" s="98">
        <f>INVERSION!E13</f>
        <v>1000</v>
      </c>
      <c r="J32" s="35"/>
      <c r="K32" s="35"/>
      <c r="L32" s="35"/>
      <c r="M32" s="97"/>
      <c r="O32" s="35"/>
      <c r="P32" s="98"/>
      <c r="Q32" s="35"/>
      <c r="R32" s="35"/>
      <c r="S32" s="35"/>
      <c r="T32" s="35"/>
    </row>
    <row r="33" spans="1:20" ht="12.75">
      <c r="A33" s="96">
        <v>1</v>
      </c>
      <c r="B33" s="98">
        <f>B32-D32</f>
        <v>150</v>
      </c>
      <c r="C33" s="35"/>
      <c r="D33" s="35">
        <f>B32/20</f>
        <v>7.5</v>
      </c>
      <c r="E33" s="35">
        <f>D33</f>
        <v>7.5</v>
      </c>
      <c r="F33" s="97"/>
      <c r="H33" s="96">
        <v>1</v>
      </c>
      <c r="I33" s="98">
        <f>I32-K32</f>
        <v>1000</v>
      </c>
      <c r="J33" s="35"/>
      <c r="K33" s="35">
        <f>I32/20</f>
        <v>50</v>
      </c>
      <c r="L33" s="35">
        <f>K33</f>
        <v>50</v>
      </c>
      <c r="M33" s="97"/>
      <c r="O33" s="35"/>
      <c r="P33" s="98"/>
      <c r="Q33" s="35"/>
      <c r="R33" s="35"/>
      <c r="S33" s="35"/>
      <c r="T33" s="35"/>
    </row>
    <row r="34" spans="1:20" ht="12.75">
      <c r="A34" s="96">
        <v>2</v>
      </c>
      <c r="B34" s="98">
        <f>B33-D33</f>
        <v>142.5</v>
      </c>
      <c r="C34" s="35"/>
      <c r="D34" s="35">
        <f>D33</f>
        <v>7.5</v>
      </c>
      <c r="E34" s="35">
        <f>D33+E33</f>
        <v>15</v>
      </c>
      <c r="F34" s="97"/>
      <c r="H34" s="96">
        <v>2</v>
      </c>
      <c r="I34" s="98">
        <f>I33-K33</f>
        <v>950</v>
      </c>
      <c r="J34" s="35"/>
      <c r="K34" s="35">
        <f>K33</f>
        <v>50</v>
      </c>
      <c r="L34" s="35">
        <f>K33+L33</f>
        <v>100</v>
      </c>
      <c r="M34" s="97"/>
      <c r="O34" s="35"/>
      <c r="P34" s="98"/>
      <c r="Q34" s="35"/>
      <c r="R34" s="35"/>
      <c r="S34" s="35"/>
      <c r="T34" s="35"/>
    </row>
    <row r="35" spans="1:20" ht="12.75">
      <c r="A35" s="96">
        <v>3</v>
      </c>
      <c r="B35" s="98">
        <f aca="true" t="shared" si="3" ref="B35:B52">B34-D34</f>
        <v>135</v>
      </c>
      <c r="C35" s="35"/>
      <c r="D35" s="35">
        <f aca="true" t="shared" si="4" ref="D35:D52">D34</f>
        <v>7.5</v>
      </c>
      <c r="E35" s="35">
        <f aca="true" t="shared" si="5" ref="E35:E52">D34+E34</f>
        <v>22.5</v>
      </c>
      <c r="F35" s="97"/>
      <c r="H35" s="96">
        <v>3</v>
      </c>
      <c r="I35" s="98">
        <f aca="true" t="shared" si="6" ref="I35:I52">I34-K34</f>
        <v>900</v>
      </c>
      <c r="J35" s="35"/>
      <c r="K35" s="35">
        <f aca="true" t="shared" si="7" ref="K35:K52">K34</f>
        <v>50</v>
      </c>
      <c r="L35" s="35">
        <f aca="true" t="shared" si="8" ref="L35:L52">K34+L34</f>
        <v>150</v>
      </c>
      <c r="M35" s="97"/>
      <c r="O35" s="35"/>
      <c r="P35" s="98"/>
      <c r="Q35" s="35"/>
      <c r="R35" s="35"/>
      <c r="S35" s="35"/>
      <c r="T35" s="35"/>
    </row>
    <row r="36" spans="1:20" ht="12.75">
      <c r="A36" s="96">
        <v>4</v>
      </c>
      <c r="B36" s="98">
        <f t="shared" si="3"/>
        <v>127.5</v>
      </c>
      <c r="C36" s="35"/>
      <c r="D36" s="35">
        <f t="shared" si="4"/>
        <v>7.5</v>
      </c>
      <c r="E36" s="35">
        <f t="shared" si="5"/>
        <v>30</v>
      </c>
      <c r="F36" s="97"/>
      <c r="H36" s="96">
        <v>4</v>
      </c>
      <c r="I36" s="98">
        <f t="shared" si="6"/>
        <v>850</v>
      </c>
      <c r="J36" s="35"/>
      <c r="K36" s="35">
        <f t="shared" si="7"/>
        <v>50</v>
      </c>
      <c r="L36" s="35">
        <f t="shared" si="8"/>
        <v>200</v>
      </c>
      <c r="M36" s="97"/>
      <c r="O36" s="35"/>
      <c r="P36" s="98"/>
      <c r="Q36" s="35"/>
      <c r="R36" s="35"/>
      <c r="S36" s="35"/>
      <c r="T36" s="35"/>
    </row>
    <row r="37" spans="1:20" ht="12.75">
      <c r="A37" s="96">
        <v>5</v>
      </c>
      <c r="B37" s="98">
        <f t="shared" si="3"/>
        <v>120</v>
      </c>
      <c r="C37" s="35"/>
      <c r="D37" s="35">
        <f t="shared" si="4"/>
        <v>7.5</v>
      </c>
      <c r="E37" s="35">
        <f t="shared" si="5"/>
        <v>37.5</v>
      </c>
      <c r="F37" s="97"/>
      <c r="H37" s="96">
        <v>5</v>
      </c>
      <c r="I37" s="98">
        <f t="shared" si="6"/>
        <v>800</v>
      </c>
      <c r="J37" s="35"/>
      <c r="K37" s="35">
        <f t="shared" si="7"/>
        <v>50</v>
      </c>
      <c r="L37" s="35">
        <f t="shared" si="8"/>
        <v>250</v>
      </c>
      <c r="M37" s="97"/>
      <c r="O37" s="35"/>
      <c r="P37" s="98"/>
      <c r="Q37" s="35"/>
      <c r="R37" s="35"/>
      <c r="S37" s="35"/>
      <c r="T37" s="35"/>
    </row>
    <row r="38" spans="1:20" ht="12.75">
      <c r="A38" s="96">
        <v>6</v>
      </c>
      <c r="B38" s="98">
        <f t="shared" si="3"/>
        <v>112.5</v>
      </c>
      <c r="C38" s="35"/>
      <c r="D38" s="35">
        <f t="shared" si="4"/>
        <v>7.5</v>
      </c>
      <c r="E38" s="35">
        <f t="shared" si="5"/>
        <v>45</v>
      </c>
      <c r="F38" s="97"/>
      <c r="H38" s="96">
        <v>6</v>
      </c>
      <c r="I38" s="98">
        <f t="shared" si="6"/>
        <v>750</v>
      </c>
      <c r="J38" s="35"/>
      <c r="K38" s="35">
        <f t="shared" si="7"/>
        <v>50</v>
      </c>
      <c r="L38" s="35">
        <f t="shared" si="8"/>
        <v>300</v>
      </c>
      <c r="M38" s="97"/>
      <c r="O38" s="35"/>
      <c r="P38" s="98"/>
      <c r="Q38" s="35"/>
      <c r="R38" s="35"/>
      <c r="S38" s="35"/>
      <c r="T38" s="35"/>
    </row>
    <row r="39" spans="1:20" ht="12.75">
      <c r="A39" s="96">
        <v>7</v>
      </c>
      <c r="B39" s="98">
        <f t="shared" si="3"/>
        <v>105</v>
      </c>
      <c r="C39" s="35"/>
      <c r="D39" s="35">
        <f t="shared" si="4"/>
        <v>7.5</v>
      </c>
      <c r="E39" s="35">
        <f t="shared" si="5"/>
        <v>52.5</v>
      </c>
      <c r="F39" s="97"/>
      <c r="H39" s="96">
        <v>7</v>
      </c>
      <c r="I39" s="98">
        <f t="shared" si="6"/>
        <v>700</v>
      </c>
      <c r="J39" s="35"/>
      <c r="K39" s="35">
        <f t="shared" si="7"/>
        <v>50</v>
      </c>
      <c r="L39" s="35">
        <f t="shared" si="8"/>
        <v>350</v>
      </c>
      <c r="M39" s="97"/>
      <c r="O39" s="35"/>
      <c r="P39" s="98"/>
      <c r="Q39" s="35"/>
      <c r="R39" s="35"/>
      <c r="S39" s="35"/>
      <c r="T39" s="35"/>
    </row>
    <row r="40" spans="1:20" ht="12.75">
      <c r="A40" s="96">
        <v>8</v>
      </c>
      <c r="B40" s="98">
        <f t="shared" si="3"/>
        <v>97.5</v>
      </c>
      <c r="C40" s="35"/>
      <c r="D40" s="35">
        <f t="shared" si="4"/>
        <v>7.5</v>
      </c>
      <c r="E40" s="35">
        <f t="shared" si="5"/>
        <v>60</v>
      </c>
      <c r="F40" s="97"/>
      <c r="H40" s="96">
        <v>8</v>
      </c>
      <c r="I40" s="98">
        <f t="shared" si="6"/>
        <v>650</v>
      </c>
      <c r="J40" s="35"/>
      <c r="K40" s="35">
        <f t="shared" si="7"/>
        <v>50</v>
      </c>
      <c r="L40" s="35">
        <f t="shared" si="8"/>
        <v>400</v>
      </c>
      <c r="M40" s="97"/>
      <c r="O40" s="35"/>
      <c r="P40" s="98"/>
      <c r="Q40" s="35"/>
      <c r="R40" s="35"/>
      <c r="S40" s="35"/>
      <c r="T40" s="35"/>
    </row>
    <row r="41" spans="1:20" ht="12.75">
      <c r="A41" s="96">
        <v>9</v>
      </c>
      <c r="B41" s="98">
        <f t="shared" si="3"/>
        <v>90</v>
      </c>
      <c r="C41" s="35"/>
      <c r="D41" s="35">
        <f t="shared" si="4"/>
        <v>7.5</v>
      </c>
      <c r="E41" s="35">
        <f t="shared" si="5"/>
        <v>67.5</v>
      </c>
      <c r="F41" s="97"/>
      <c r="H41" s="96">
        <v>9</v>
      </c>
      <c r="I41" s="98">
        <f t="shared" si="6"/>
        <v>600</v>
      </c>
      <c r="J41" s="35"/>
      <c r="K41" s="35">
        <f t="shared" si="7"/>
        <v>50</v>
      </c>
      <c r="L41" s="35">
        <f t="shared" si="8"/>
        <v>450</v>
      </c>
      <c r="M41" s="97"/>
      <c r="O41" s="35"/>
      <c r="P41" s="98"/>
      <c r="Q41" s="35"/>
      <c r="R41" s="35"/>
      <c r="S41" s="35"/>
      <c r="T41" s="35"/>
    </row>
    <row r="42" spans="1:20" ht="12.75">
      <c r="A42" s="96">
        <v>10</v>
      </c>
      <c r="B42" s="98">
        <f t="shared" si="3"/>
        <v>82.5</v>
      </c>
      <c r="C42" s="35"/>
      <c r="D42" s="35">
        <f t="shared" si="4"/>
        <v>7.5</v>
      </c>
      <c r="E42" s="35">
        <f t="shared" si="5"/>
        <v>75</v>
      </c>
      <c r="F42" s="97"/>
      <c r="H42" s="96">
        <v>10</v>
      </c>
      <c r="I42" s="98">
        <f t="shared" si="6"/>
        <v>550</v>
      </c>
      <c r="J42" s="35"/>
      <c r="K42" s="35">
        <f t="shared" si="7"/>
        <v>50</v>
      </c>
      <c r="L42" s="35">
        <f t="shared" si="8"/>
        <v>500</v>
      </c>
      <c r="M42" s="97"/>
      <c r="O42" s="35"/>
      <c r="P42" s="98"/>
      <c r="Q42" s="35"/>
      <c r="R42" s="35"/>
      <c r="S42" s="35"/>
      <c r="T42" s="35"/>
    </row>
    <row r="43" spans="1:13" ht="12.75">
      <c r="A43" s="96">
        <v>11</v>
      </c>
      <c r="B43" s="98">
        <f t="shared" si="3"/>
        <v>75</v>
      </c>
      <c r="C43" s="35"/>
      <c r="D43" s="35">
        <f t="shared" si="4"/>
        <v>7.5</v>
      </c>
      <c r="E43" s="35">
        <f t="shared" si="5"/>
        <v>82.5</v>
      </c>
      <c r="F43" s="97"/>
      <c r="H43" s="96">
        <v>11</v>
      </c>
      <c r="I43" s="98">
        <f t="shared" si="6"/>
        <v>500</v>
      </c>
      <c r="J43" s="35"/>
      <c r="K43" s="35">
        <f t="shared" si="7"/>
        <v>50</v>
      </c>
      <c r="L43" s="35">
        <f t="shared" si="8"/>
        <v>550</v>
      </c>
      <c r="M43" s="97"/>
    </row>
    <row r="44" spans="1:13" ht="12.75">
      <c r="A44" s="96">
        <v>12</v>
      </c>
      <c r="B44" s="98">
        <f t="shared" si="3"/>
        <v>67.5</v>
      </c>
      <c r="C44" s="35"/>
      <c r="D44" s="35">
        <f t="shared" si="4"/>
        <v>7.5</v>
      </c>
      <c r="E44" s="35">
        <f t="shared" si="5"/>
        <v>90</v>
      </c>
      <c r="F44" s="97"/>
      <c r="H44" s="96">
        <v>12</v>
      </c>
      <c r="I44" s="98">
        <f t="shared" si="6"/>
        <v>450</v>
      </c>
      <c r="J44" s="35"/>
      <c r="K44" s="35">
        <f t="shared" si="7"/>
        <v>50</v>
      </c>
      <c r="L44" s="35">
        <f t="shared" si="8"/>
        <v>600</v>
      </c>
      <c r="M44" s="97"/>
    </row>
    <row r="45" spans="1:13" ht="12.75">
      <c r="A45" s="96">
        <v>13</v>
      </c>
      <c r="B45" s="98">
        <f t="shared" si="3"/>
        <v>60</v>
      </c>
      <c r="C45" s="35"/>
      <c r="D45" s="35">
        <f t="shared" si="4"/>
        <v>7.5</v>
      </c>
      <c r="E45" s="35">
        <f t="shared" si="5"/>
        <v>97.5</v>
      </c>
      <c r="F45" s="97"/>
      <c r="H45" s="96">
        <v>13</v>
      </c>
      <c r="I45" s="98">
        <f t="shared" si="6"/>
        <v>400</v>
      </c>
      <c r="J45" s="35"/>
      <c r="K45" s="35">
        <f t="shared" si="7"/>
        <v>50</v>
      </c>
      <c r="L45" s="35">
        <f t="shared" si="8"/>
        <v>650</v>
      </c>
      <c r="M45" s="97"/>
    </row>
    <row r="46" spans="1:13" ht="13.5" thickBot="1">
      <c r="A46" s="96">
        <v>14</v>
      </c>
      <c r="B46" s="98">
        <f t="shared" si="3"/>
        <v>52.5</v>
      </c>
      <c r="C46" s="35"/>
      <c r="D46" s="35">
        <f t="shared" si="4"/>
        <v>7.5</v>
      </c>
      <c r="E46" s="35">
        <f t="shared" si="5"/>
        <v>105</v>
      </c>
      <c r="F46" s="97"/>
      <c r="H46" s="96">
        <v>14</v>
      </c>
      <c r="I46" s="98">
        <f t="shared" si="6"/>
        <v>350</v>
      </c>
      <c r="J46" s="35"/>
      <c r="K46" s="35">
        <f t="shared" si="7"/>
        <v>50</v>
      </c>
      <c r="L46" s="35">
        <f t="shared" si="8"/>
        <v>700</v>
      </c>
      <c r="M46" s="97"/>
    </row>
    <row r="47" spans="1:20" ht="12.75">
      <c r="A47" s="96">
        <v>15</v>
      </c>
      <c r="B47" s="98">
        <f t="shared" si="3"/>
        <v>45</v>
      </c>
      <c r="C47" s="35"/>
      <c r="D47" s="35">
        <f t="shared" si="4"/>
        <v>7.5</v>
      </c>
      <c r="E47" s="35">
        <f t="shared" si="5"/>
        <v>112.5</v>
      </c>
      <c r="F47" s="97"/>
      <c r="H47" s="96">
        <v>15</v>
      </c>
      <c r="I47" s="98">
        <f t="shared" si="6"/>
        <v>300</v>
      </c>
      <c r="J47" s="35"/>
      <c r="K47" s="35">
        <f t="shared" si="7"/>
        <v>50</v>
      </c>
      <c r="L47" s="35">
        <f t="shared" si="8"/>
        <v>750</v>
      </c>
      <c r="M47" s="97"/>
      <c r="O47" s="103" t="s">
        <v>215</v>
      </c>
      <c r="P47" s="104"/>
      <c r="Q47" s="104"/>
      <c r="R47" s="104"/>
      <c r="S47" s="94"/>
      <c r="T47" s="95"/>
    </row>
    <row r="48" spans="1:20" ht="12.75">
      <c r="A48" s="96">
        <v>16</v>
      </c>
      <c r="B48" s="98">
        <f t="shared" si="3"/>
        <v>37.5</v>
      </c>
      <c r="C48" s="35"/>
      <c r="D48" s="35">
        <f t="shared" si="4"/>
        <v>7.5</v>
      </c>
      <c r="E48" s="35">
        <f t="shared" si="5"/>
        <v>120</v>
      </c>
      <c r="F48" s="97"/>
      <c r="H48" s="96">
        <v>16</v>
      </c>
      <c r="I48" s="98">
        <f t="shared" si="6"/>
        <v>250</v>
      </c>
      <c r="J48" s="35"/>
      <c r="K48" s="35">
        <f t="shared" si="7"/>
        <v>50</v>
      </c>
      <c r="L48" s="35">
        <f t="shared" si="8"/>
        <v>800</v>
      </c>
      <c r="M48" s="97"/>
      <c r="O48" s="96" t="s">
        <v>99</v>
      </c>
      <c r="P48" s="35" t="s">
        <v>100</v>
      </c>
      <c r="Q48" s="35"/>
      <c r="R48" s="35"/>
      <c r="S48" s="35"/>
      <c r="T48" s="97"/>
    </row>
    <row r="49" spans="1:20" ht="12.75">
      <c r="A49" s="96">
        <v>17</v>
      </c>
      <c r="B49" s="98">
        <f t="shared" si="3"/>
        <v>30</v>
      </c>
      <c r="C49" s="35"/>
      <c r="D49" s="35">
        <f t="shared" si="4"/>
        <v>7.5</v>
      </c>
      <c r="E49" s="35">
        <f t="shared" si="5"/>
        <v>127.5</v>
      </c>
      <c r="F49" s="97"/>
      <c r="H49" s="96">
        <v>17</v>
      </c>
      <c r="I49" s="98">
        <f t="shared" si="6"/>
        <v>200</v>
      </c>
      <c r="J49" s="35"/>
      <c r="K49" s="35">
        <f t="shared" si="7"/>
        <v>50</v>
      </c>
      <c r="L49" s="35">
        <f t="shared" si="8"/>
        <v>850</v>
      </c>
      <c r="M49" s="97"/>
      <c r="O49" s="96" t="s">
        <v>101</v>
      </c>
      <c r="P49" s="35" t="s">
        <v>102</v>
      </c>
      <c r="Q49" s="35"/>
      <c r="R49" s="35"/>
      <c r="S49" s="35"/>
      <c r="T49" s="97"/>
    </row>
    <row r="50" spans="1:20" ht="12.75">
      <c r="A50" s="96">
        <v>18</v>
      </c>
      <c r="B50" s="98">
        <f t="shared" si="3"/>
        <v>22.5</v>
      </c>
      <c r="C50" s="35"/>
      <c r="D50" s="35">
        <f t="shared" si="4"/>
        <v>7.5</v>
      </c>
      <c r="E50" s="35">
        <f t="shared" si="5"/>
        <v>135</v>
      </c>
      <c r="F50" s="97"/>
      <c r="H50" s="96">
        <v>18</v>
      </c>
      <c r="I50" s="98">
        <f t="shared" si="6"/>
        <v>150</v>
      </c>
      <c r="J50" s="35"/>
      <c r="K50" s="35">
        <f t="shared" si="7"/>
        <v>50</v>
      </c>
      <c r="L50" s="35">
        <f t="shared" si="8"/>
        <v>900</v>
      </c>
      <c r="M50" s="97"/>
      <c r="O50" s="96" t="s">
        <v>103</v>
      </c>
      <c r="P50" s="35" t="s">
        <v>104</v>
      </c>
      <c r="Q50" s="35"/>
      <c r="R50" s="35" t="s">
        <v>105</v>
      </c>
      <c r="S50" s="35" t="s">
        <v>106</v>
      </c>
      <c r="T50" s="97"/>
    </row>
    <row r="51" spans="1:20" ht="12.75">
      <c r="A51" s="96">
        <v>19</v>
      </c>
      <c r="B51" s="98">
        <f t="shared" si="3"/>
        <v>15</v>
      </c>
      <c r="C51" s="35"/>
      <c r="D51" s="35">
        <f t="shared" si="4"/>
        <v>7.5</v>
      </c>
      <c r="E51" s="35">
        <f t="shared" si="5"/>
        <v>142.5</v>
      </c>
      <c r="F51" s="97"/>
      <c r="H51" s="96">
        <v>19</v>
      </c>
      <c r="I51" s="98">
        <f t="shared" si="6"/>
        <v>100</v>
      </c>
      <c r="J51" s="35"/>
      <c r="K51" s="35">
        <f t="shared" si="7"/>
        <v>50</v>
      </c>
      <c r="L51" s="35">
        <f t="shared" si="8"/>
        <v>950</v>
      </c>
      <c r="M51" s="97"/>
      <c r="O51" s="96"/>
      <c r="P51" s="35"/>
      <c r="Q51" s="35"/>
      <c r="R51" s="35"/>
      <c r="S51" s="35"/>
      <c r="T51" s="97"/>
    </row>
    <row r="52" spans="1:20" ht="13.5" thickBot="1">
      <c r="A52" s="99">
        <v>20</v>
      </c>
      <c r="B52" s="100">
        <f t="shared" si="3"/>
        <v>7.5</v>
      </c>
      <c r="C52" s="101"/>
      <c r="D52" s="101">
        <f t="shared" si="4"/>
        <v>7.5</v>
      </c>
      <c r="E52" s="101">
        <f t="shared" si="5"/>
        <v>150</v>
      </c>
      <c r="F52" s="102"/>
      <c r="H52" s="99">
        <v>20</v>
      </c>
      <c r="I52" s="100">
        <f t="shared" si="6"/>
        <v>50</v>
      </c>
      <c r="J52" s="101"/>
      <c r="K52" s="101">
        <f t="shared" si="7"/>
        <v>50</v>
      </c>
      <c r="L52" s="101">
        <f t="shared" si="8"/>
        <v>1000</v>
      </c>
      <c r="M52" s="102"/>
      <c r="O52" s="96">
        <v>0</v>
      </c>
      <c r="P52" s="98">
        <f>INVERSION!E27</f>
        <v>52</v>
      </c>
      <c r="Q52" s="35"/>
      <c r="R52" s="35"/>
      <c r="S52" s="35"/>
      <c r="T52" s="97"/>
    </row>
    <row r="53" spans="15:20" ht="12.75">
      <c r="O53" s="96">
        <v>1</v>
      </c>
      <c r="P53" s="98">
        <f>+P52-R53</f>
        <v>41.6</v>
      </c>
      <c r="Q53" s="35"/>
      <c r="R53" s="98">
        <f>+P52/5</f>
        <v>10.4</v>
      </c>
      <c r="S53" s="98">
        <f>R53</f>
        <v>10.4</v>
      </c>
      <c r="T53" s="97"/>
    </row>
    <row r="54" spans="15:20" ht="13.5" thickBot="1">
      <c r="O54" s="96">
        <v>2</v>
      </c>
      <c r="P54" s="98">
        <f>+P53-R54</f>
        <v>31.200000000000003</v>
      </c>
      <c r="Q54" s="35"/>
      <c r="R54" s="98">
        <f>R53</f>
        <v>10.4</v>
      </c>
      <c r="S54" s="98">
        <f>+S53+R54</f>
        <v>20.8</v>
      </c>
      <c r="T54" s="97"/>
    </row>
    <row r="55" spans="1:20" ht="13.5" thickBot="1">
      <c r="A55" s="103" t="s">
        <v>114</v>
      </c>
      <c r="B55" s="104"/>
      <c r="C55" s="104"/>
      <c r="D55" s="104"/>
      <c r="E55" s="94"/>
      <c r="F55" s="95"/>
      <c r="H55" s="103" t="s">
        <v>115</v>
      </c>
      <c r="I55" s="104"/>
      <c r="J55" s="104"/>
      <c r="K55" s="104"/>
      <c r="L55" s="94"/>
      <c r="M55" s="95"/>
      <c r="O55" s="99">
        <v>3</v>
      </c>
      <c r="P55" s="100">
        <f>+P54-R55</f>
        <v>20.800000000000004</v>
      </c>
      <c r="Q55" s="101"/>
      <c r="R55" s="100">
        <f>R54</f>
        <v>10.4</v>
      </c>
      <c r="S55" s="100">
        <f>+S54+R55</f>
        <v>31.200000000000003</v>
      </c>
      <c r="T55" s="102"/>
    </row>
    <row r="56" spans="1:13" ht="12.75">
      <c r="A56" s="96" t="s">
        <v>99</v>
      </c>
      <c r="B56" s="35" t="s">
        <v>112</v>
      </c>
      <c r="C56" s="35"/>
      <c r="D56" s="35"/>
      <c r="E56" s="35"/>
      <c r="F56" s="97"/>
      <c r="H56" s="96" t="s">
        <v>99</v>
      </c>
      <c r="I56" s="35" t="s">
        <v>112</v>
      </c>
      <c r="J56" s="35"/>
      <c r="K56" s="35"/>
      <c r="L56" s="35"/>
      <c r="M56" s="97"/>
    </row>
    <row r="57" spans="1:13" ht="12.75">
      <c r="A57" s="96" t="s">
        <v>101</v>
      </c>
      <c r="B57" s="35" t="s">
        <v>102</v>
      </c>
      <c r="C57" s="35"/>
      <c r="D57" s="35"/>
      <c r="E57" s="35"/>
      <c r="F57" s="97"/>
      <c r="H57" s="96" t="s">
        <v>101</v>
      </c>
      <c r="I57" s="35" t="s">
        <v>102</v>
      </c>
      <c r="J57" s="35"/>
      <c r="K57" s="35"/>
      <c r="L57" s="35"/>
      <c r="M57" s="97"/>
    </row>
    <row r="58" spans="1:13" ht="13.5" thickBot="1">
      <c r="A58" s="96" t="s">
        <v>103</v>
      </c>
      <c r="B58" s="35" t="s">
        <v>104</v>
      </c>
      <c r="C58" s="35"/>
      <c r="D58" s="35" t="s">
        <v>105</v>
      </c>
      <c r="E58" s="35" t="s">
        <v>106</v>
      </c>
      <c r="F58" s="97"/>
      <c r="H58" s="96" t="s">
        <v>103</v>
      </c>
      <c r="I58" s="35" t="s">
        <v>104</v>
      </c>
      <c r="J58" s="35"/>
      <c r="K58" s="35" t="s">
        <v>105</v>
      </c>
      <c r="L58" s="35" t="s">
        <v>106</v>
      </c>
      <c r="M58" s="97"/>
    </row>
    <row r="59" spans="1:20" ht="12.75">
      <c r="A59" s="96">
        <v>0</v>
      </c>
      <c r="B59" s="98">
        <f>INVERSION!E14</f>
        <v>3000</v>
      </c>
      <c r="C59" s="35"/>
      <c r="D59" s="35"/>
      <c r="E59" s="35"/>
      <c r="F59" s="97"/>
      <c r="H59" s="96">
        <v>0</v>
      </c>
      <c r="I59" s="98">
        <f>INVERSION!E15</f>
        <v>2600</v>
      </c>
      <c r="J59" s="35"/>
      <c r="K59" s="35"/>
      <c r="L59" s="35"/>
      <c r="M59" s="97"/>
      <c r="O59" s="103" t="s">
        <v>214</v>
      </c>
      <c r="P59" s="104"/>
      <c r="Q59" s="104"/>
      <c r="R59" s="104"/>
      <c r="S59" s="94"/>
      <c r="T59" s="95"/>
    </row>
    <row r="60" spans="1:20" ht="12.75">
      <c r="A60" s="96">
        <v>1</v>
      </c>
      <c r="B60" s="98">
        <f>B59-D59</f>
        <v>3000</v>
      </c>
      <c r="C60" s="35"/>
      <c r="D60" s="35">
        <f>B59/20</f>
        <v>150</v>
      </c>
      <c r="E60" s="35">
        <f>D60</f>
        <v>150</v>
      </c>
      <c r="F60" s="97"/>
      <c r="H60" s="96">
        <v>1</v>
      </c>
      <c r="I60" s="98">
        <f>I59-K59</f>
        <v>2600</v>
      </c>
      <c r="J60" s="35"/>
      <c r="K60" s="35">
        <f>I59/20</f>
        <v>130</v>
      </c>
      <c r="L60" s="35">
        <f>K60</f>
        <v>130</v>
      </c>
      <c r="M60" s="97"/>
      <c r="O60" s="96" t="s">
        <v>99</v>
      </c>
      <c r="P60" s="35" t="s">
        <v>100</v>
      </c>
      <c r="Q60" s="35"/>
      <c r="R60" s="35"/>
      <c r="S60" s="35"/>
      <c r="T60" s="97"/>
    </row>
    <row r="61" spans="1:20" ht="12.75">
      <c r="A61" s="96">
        <v>2</v>
      </c>
      <c r="B61" s="98">
        <f>B60-D60</f>
        <v>2850</v>
      </c>
      <c r="C61" s="35"/>
      <c r="D61" s="35">
        <f>D60</f>
        <v>150</v>
      </c>
      <c r="E61" s="35">
        <f>D60+E60</f>
        <v>300</v>
      </c>
      <c r="F61" s="97"/>
      <c r="H61" s="96">
        <v>2</v>
      </c>
      <c r="I61" s="98">
        <f>I60-K60</f>
        <v>2470</v>
      </c>
      <c r="J61" s="35"/>
      <c r="K61" s="35">
        <f>K60</f>
        <v>130</v>
      </c>
      <c r="L61" s="35">
        <f>K60+L60</f>
        <v>260</v>
      </c>
      <c r="M61" s="97"/>
      <c r="O61" s="96" t="s">
        <v>101</v>
      </c>
      <c r="P61" s="35" t="s">
        <v>102</v>
      </c>
      <c r="Q61" s="35"/>
      <c r="R61" s="35"/>
      <c r="S61" s="35"/>
      <c r="T61" s="97"/>
    </row>
    <row r="62" spans="1:20" ht="12.75">
      <c r="A62" s="96">
        <v>3</v>
      </c>
      <c r="B62" s="98">
        <f aca="true" t="shared" si="9" ref="B62:B79">B61-D61</f>
        <v>2700</v>
      </c>
      <c r="C62" s="35"/>
      <c r="D62" s="35">
        <f aca="true" t="shared" si="10" ref="D62:D79">D61</f>
        <v>150</v>
      </c>
      <c r="E62" s="35">
        <f aca="true" t="shared" si="11" ref="E62:E79">D61+E61</f>
        <v>450</v>
      </c>
      <c r="F62" s="97"/>
      <c r="H62" s="96">
        <v>3</v>
      </c>
      <c r="I62" s="98">
        <f aca="true" t="shared" si="12" ref="I62:I79">I61-K61</f>
        <v>2340</v>
      </c>
      <c r="J62" s="35"/>
      <c r="K62" s="35">
        <f aca="true" t="shared" si="13" ref="K62:K79">K61</f>
        <v>130</v>
      </c>
      <c r="L62" s="35">
        <f aca="true" t="shared" si="14" ref="L62:L79">K61+L61</f>
        <v>390</v>
      </c>
      <c r="M62" s="97"/>
      <c r="O62" s="96" t="s">
        <v>103</v>
      </c>
      <c r="P62" s="35" t="s">
        <v>104</v>
      </c>
      <c r="Q62" s="35"/>
      <c r="R62" s="35" t="s">
        <v>105</v>
      </c>
      <c r="S62" s="35" t="s">
        <v>106</v>
      </c>
      <c r="T62" s="97"/>
    </row>
    <row r="63" spans="1:20" ht="12.75">
      <c r="A63" s="96">
        <v>4</v>
      </c>
      <c r="B63" s="98">
        <f t="shared" si="9"/>
        <v>2550</v>
      </c>
      <c r="C63" s="35"/>
      <c r="D63" s="35">
        <f t="shared" si="10"/>
        <v>150</v>
      </c>
      <c r="E63" s="35">
        <f t="shared" si="11"/>
        <v>600</v>
      </c>
      <c r="F63" s="97"/>
      <c r="H63" s="96">
        <v>4</v>
      </c>
      <c r="I63" s="98">
        <f t="shared" si="12"/>
        <v>2210</v>
      </c>
      <c r="J63" s="35"/>
      <c r="K63" s="35">
        <f t="shared" si="13"/>
        <v>130</v>
      </c>
      <c r="L63" s="35">
        <f t="shared" si="14"/>
        <v>520</v>
      </c>
      <c r="M63" s="97"/>
      <c r="O63" s="96"/>
      <c r="P63" s="35"/>
      <c r="Q63" s="35"/>
      <c r="R63" s="35"/>
      <c r="S63" s="35"/>
      <c r="T63" s="97"/>
    </row>
    <row r="64" spans="1:20" ht="12.75">
      <c r="A64" s="96">
        <v>5</v>
      </c>
      <c r="B64" s="98">
        <f t="shared" si="9"/>
        <v>2400</v>
      </c>
      <c r="C64" s="35"/>
      <c r="D64" s="35">
        <f t="shared" si="10"/>
        <v>150</v>
      </c>
      <c r="E64" s="35">
        <f t="shared" si="11"/>
        <v>750</v>
      </c>
      <c r="F64" s="97"/>
      <c r="H64" s="96">
        <v>5</v>
      </c>
      <c r="I64" s="98">
        <f t="shared" si="12"/>
        <v>2080</v>
      </c>
      <c r="J64" s="35"/>
      <c r="K64" s="35">
        <f t="shared" si="13"/>
        <v>130</v>
      </c>
      <c r="L64" s="35">
        <f t="shared" si="14"/>
        <v>650</v>
      </c>
      <c r="M64" s="97"/>
      <c r="O64" s="96">
        <v>0</v>
      </c>
      <c r="P64" s="98">
        <f>INVERSION!E26</f>
        <v>3</v>
      </c>
      <c r="Q64" s="35"/>
      <c r="R64" s="35"/>
      <c r="S64" s="35"/>
      <c r="T64" s="97"/>
    </row>
    <row r="65" spans="1:20" ht="12.75">
      <c r="A65" s="96">
        <v>6</v>
      </c>
      <c r="B65" s="98">
        <f t="shared" si="9"/>
        <v>2250</v>
      </c>
      <c r="C65" s="35"/>
      <c r="D65" s="35">
        <f t="shared" si="10"/>
        <v>150</v>
      </c>
      <c r="E65" s="35">
        <f t="shared" si="11"/>
        <v>900</v>
      </c>
      <c r="F65" s="97"/>
      <c r="H65" s="96">
        <v>6</v>
      </c>
      <c r="I65" s="98">
        <f t="shared" si="12"/>
        <v>1950</v>
      </c>
      <c r="J65" s="35"/>
      <c r="K65" s="35">
        <f t="shared" si="13"/>
        <v>130</v>
      </c>
      <c r="L65" s="35">
        <f t="shared" si="14"/>
        <v>780</v>
      </c>
      <c r="M65" s="97"/>
      <c r="O65" s="96">
        <v>1</v>
      </c>
      <c r="P65" s="98">
        <f>+P64-R65</f>
        <v>2.4</v>
      </c>
      <c r="Q65" s="35"/>
      <c r="R65" s="98">
        <f>+P64/5</f>
        <v>0.6</v>
      </c>
      <c r="S65" s="98">
        <f>R65</f>
        <v>0.6</v>
      </c>
      <c r="T65" s="97"/>
    </row>
    <row r="66" spans="1:20" ht="12.75">
      <c r="A66" s="96">
        <v>7</v>
      </c>
      <c r="B66" s="98">
        <f t="shared" si="9"/>
        <v>2100</v>
      </c>
      <c r="C66" s="35"/>
      <c r="D66" s="35">
        <f t="shared" si="10"/>
        <v>150</v>
      </c>
      <c r="E66" s="35">
        <f t="shared" si="11"/>
        <v>1050</v>
      </c>
      <c r="F66" s="97"/>
      <c r="H66" s="96">
        <v>7</v>
      </c>
      <c r="I66" s="98">
        <f t="shared" si="12"/>
        <v>1820</v>
      </c>
      <c r="J66" s="35"/>
      <c r="K66" s="35">
        <f t="shared" si="13"/>
        <v>130</v>
      </c>
      <c r="L66" s="35">
        <f t="shared" si="14"/>
        <v>910</v>
      </c>
      <c r="M66" s="97"/>
      <c r="O66" s="96">
        <v>2</v>
      </c>
      <c r="P66" s="98">
        <f>+P65-R66</f>
        <v>1.7999999999999998</v>
      </c>
      <c r="Q66" s="35"/>
      <c r="R66" s="98">
        <f>R65</f>
        <v>0.6</v>
      </c>
      <c r="S66" s="98">
        <f>+S65+R66</f>
        <v>1.2</v>
      </c>
      <c r="T66" s="97"/>
    </row>
    <row r="67" spans="1:20" ht="13.5" thickBot="1">
      <c r="A67" s="96">
        <v>8</v>
      </c>
      <c r="B67" s="98">
        <f t="shared" si="9"/>
        <v>1950</v>
      </c>
      <c r="C67" s="35"/>
      <c r="D67" s="35">
        <f t="shared" si="10"/>
        <v>150</v>
      </c>
      <c r="E67" s="35">
        <f t="shared" si="11"/>
        <v>1200</v>
      </c>
      <c r="F67" s="97"/>
      <c r="H67" s="96">
        <v>8</v>
      </c>
      <c r="I67" s="98">
        <f t="shared" si="12"/>
        <v>1690</v>
      </c>
      <c r="J67" s="35"/>
      <c r="K67" s="35">
        <f t="shared" si="13"/>
        <v>130</v>
      </c>
      <c r="L67" s="35">
        <f t="shared" si="14"/>
        <v>1040</v>
      </c>
      <c r="M67" s="97"/>
      <c r="O67" s="99">
        <v>3</v>
      </c>
      <c r="P67" s="100">
        <f>+P66-R67</f>
        <v>1.1999999999999997</v>
      </c>
      <c r="Q67" s="101"/>
      <c r="R67" s="100">
        <f>R66</f>
        <v>0.6</v>
      </c>
      <c r="S67" s="100">
        <f>+S66+R67</f>
        <v>1.7999999999999998</v>
      </c>
      <c r="T67" s="102"/>
    </row>
    <row r="68" spans="1:13" ht="12.75">
      <c r="A68" s="96">
        <v>9</v>
      </c>
      <c r="B68" s="98">
        <f t="shared" si="9"/>
        <v>1800</v>
      </c>
      <c r="C68" s="35"/>
      <c r="D68" s="35">
        <f t="shared" si="10"/>
        <v>150</v>
      </c>
      <c r="E68" s="35">
        <f t="shared" si="11"/>
        <v>1350</v>
      </c>
      <c r="F68" s="97"/>
      <c r="H68" s="96">
        <v>9</v>
      </c>
      <c r="I68" s="98">
        <f t="shared" si="12"/>
        <v>1560</v>
      </c>
      <c r="J68" s="35"/>
      <c r="K68" s="35">
        <f t="shared" si="13"/>
        <v>130</v>
      </c>
      <c r="L68" s="35">
        <f t="shared" si="14"/>
        <v>1170</v>
      </c>
      <c r="M68" s="97"/>
    </row>
    <row r="69" spans="1:13" ht="12.75">
      <c r="A69" s="96">
        <v>10</v>
      </c>
      <c r="B69" s="98">
        <f t="shared" si="9"/>
        <v>1650</v>
      </c>
      <c r="C69" s="35"/>
      <c r="D69" s="35">
        <f t="shared" si="10"/>
        <v>150</v>
      </c>
      <c r="E69" s="35">
        <f t="shared" si="11"/>
        <v>1500</v>
      </c>
      <c r="F69" s="97"/>
      <c r="H69" s="96">
        <v>10</v>
      </c>
      <c r="I69" s="98">
        <f t="shared" si="12"/>
        <v>1430</v>
      </c>
      <c r="J69" s="35"/>
      <c r="K69" s="35">
        <f t="shared" si="13"/>
        <v>130</v>
      </c>
      <c r="L69" s="35">
        <f t="shared" si="14"/>
        <v>1300</v>
      </c>
      <c r="M69" s="97"/>
    </row>
    <row r="70" spans="1:13" ht="13.5" thickBot="1">
      <c r="A70" s="96">
        <v>11</v>
      </c>
      <c r="B70" s="98">
        <f t="shared" si="9"/>
        <v>1500</v>
      </c>
      <c r="C70" s="35"/>
      <c r="D70" s="35">
        <f t="shared" si="10"/>
        <v>150</v>
      </c>
      <c r="E70" s="35">
        <f t="shared" si="11"/>
        <v>1650</v>
      </c>
      <c r="F70" s="97"/>
      <c r="H70" s="96">
        <v>11</v>
      </c>
      <c r="I70" s="98">
        <f t="shared" si="12"/>
        <v>1300</v>
      </c>
      <c r="J70" s="35"/>
      <c r="K70" s="35">
        <f t="shared" si="13"/>
        <v>130</v>
      </c>
      <c r="L70" s="35">
        <f t="shared" si="14"/>
        <v>1430</v>
      </c>
      <c r="M70" s="97"/>
    </row>
    <row r="71" spans="1:20" ht="12.75">
      <c r="A71" s="96">
        <v>12</v>
      </c>
      <c r="B71" s="98">
        <f t="shared" si="9"/>
        <v>1350</v>
      </c>
      <c r="C71" s="35"/>
      <c r="D71" s="35">
        <f t="shared" si="10"/>
        <v>150</v>
      </c>
      <c r="E71" s="35">
        <f t="shared" si="11"/>
        <v>1800</v>
      </c>
      <c r="F71" s="97"/>
      <c r="H71" s="96">
        <v>12</v>
      </c>
      <c r="I71" s="98">
        <f t="shared" si="12"/>
        <v>1170</v>
      </c>
      <c r="J71" s="35"/>
      <c r="K71" s="35">
        <f t="shared" si="13"/>
        <v>130</v>
      </c>
      <c r="L71" s="35">
        <f t="shared" si="14"/>
        <v>1560</v>
      </c>
      <c r="M71" s="97"/>
      <c r="O71" s="103" t="s">
        <v>213</v>
      </c>
      <c r="P71" s="104"/>
      <c r="Q71" s="104"/>
      <c r="R71" s="104"/>
      <c r="S71" s="94"/>
      <c r="T71" s="95"/>
    </row>
    <row r="72" spans="1:20" ht="12.75">
      <c r="A72" s="96">
        <v>13</v>
      </c>
      <c r="B72" s="98">
        <f t="shared" si="9"/>
        <v>1200</v>
      </c>
      <c r="C72" s="35"/>
      <c r="D72" s="35">
        <f t="shared" si="10"/>
        <v>150</v>
      </c>
      <c r="E72" s="35">
        <f t="shared" si="11"/>
        <v>1950</v>
      </c>
      <c r="F72" s="97"/>
      <c r="H72" s="96">
        <v>13</v>
      </c>
      <c r="I72" s="98">
        <f t="shared" si="12"/>
        <v>1040</v>
      </c>
      <c r="J72" s="35"/>
      <c r="K72" s="35">
        <f t="shared" si="13"/>
        <v>130</v>
      </c>
      <c r="L72" s="35">
        <f t="shared" si="14"/>
        <v>1690</v>
      </c>
      <c r="M72" s="97"/>
      <c r="O72" s="96" t="s">
        <v>99</v>
      </c>
      <c r="P72" s="35" t="s">
        <v>100</v>
      </c>
      <c r="Q72" s="35"/>
      <c r="R72" s="35"/>
      <c r="S72" s="35"/>
      <c r="T72" s="97"/>
    </row>
    <row r="73" spans="1:20" ht="12.75">
      <c r="A73" s="96">
        <v>14</v>
      </c>
      <c r="B73" s="98">
        <f t="shared" si="9"/>
        <v>1050</v>
      </c>
      <c r="C73" s="35"/>
      <c r="D73" s="35">
        <f t="shared" si="10"/>
        <v>150</v>
      </c>
      <c r="E73" s="35">
        <f t="shared" si="11"/>
        <v>2100</v>
      </c>
      <c r="F73" s="97"/>
      <c r="H73" s="96">
        <v>14</v>
      </c>
      <c r="I73" s="98">
        <f t="shared" si="12"/>
        <v>910</v>
      </c>
      <c r="J73" s="35"/>
      <c r="K73" s="35">
        <f t="shared" si="13"/>
        <v>130</v>
      </c>
      <c r="L73" s="35">
        <f t="shared" si="14"/>
        <v>1820</v>
      </c>
      <c r="M73" s="97"/>
      <c r="O73" s="96" t="s">
        <v>101</v>
      </c>
      <c r="P73" s="35" t="s">
        <v>102</v>
      </c>
      <c r="Q73" s="35"/>
      <c r="R73" s="35"/>
      <c r="S73" s="35"/>
      <c r="T73" s="97"/>
    </row>
    <row r="74" spans="1:20" ht="12.75">
      <c r="A74" s="96">
        <v>15</v>
      </c>
      <c r="B74" s="98">
        <f t="shared" si="9"/>
        <v>900</v>
      </c>
      <c r="C74" s="35"/>
      <c r="D74" s="35">
        <f t="shared" si="10"/>
        <v>150</v>
      </c>
      <c r="E74" s="35">
        <f t="shared" si="11"/>
        <v>2250</v>
      </c>
      <c r="F74" s="97"/>
      <c r="H74" s="96">
        <v>15</v>
      </c>
      <c r="I74" s="98">
        <f t="shared" si="12"/>
        <v>780</v>
      </c>
      <c r="J74" s="35"/>
      <c r="K74" s="35">
        <f t="shared" si="13"/>
        <v>130</v>
      </c>
      <c r="L74" s="35">
        <f t="shared" si="14"/>
        <v>1950</v>
      </c>
      <c r="M74" s="97"/>
      <c r="O74" s="96" t="s">
        <v>103</v>
      </c>
      <c r="P74" s="35" t="s">
        <v>104</v>
      </c>
      <c r="Q74" s="35"/>
      <c r="R74" s="35" t="s">
        <v>105</v>
      </c>
      <c r="S74" s="35" t="s">
        <v>106</v>
      </c>
      <c r="T74" s="97"/>
    </row>
    <row r="75" spans="1:20" ht="12.75">
      <c r="A75" s="96">
        <v>16</v>
      </c>
      <c r="B75" s="98">
        <f t="shared" si="9"/>
        <v>750</v>
      </c>
      <c r="C75" s="35"/>
      <c r="D75" s="35">
        <f t="shared" si="10"/>
        <v>150</v>
      </c>
      <c r="E75" s="35">
        <f t="shared" si="11"/>
        <v>2400</v>
      </c>
      <c r="F75" s="97"/>
      <c r="H75" s="96">
        <v>16</v>
      </c>
      <c r="I75" s="98">
        <f t="shared" si="12"/>
        <v>650</v>
      </c>
      <c r="J75" s="35"/>
      <c r="K75" s="35">
        <f t="shared" si="13"/>
        <v>130</v>
      </c>
      <c r="L75" s="35">
        <f t="shared" si="14"/>
        <v>2080</v>
      </c>
      <c r="M75" s="97"/>
      <c r="O75" s="96"/>
      <c r="P75" s="35"/>
      <c r="Q75" s="35"/>
      <c r="R75" s="35"/>
      <c r="S75" s="35"/>
      <c r="T75" s="97"/>
    </row>
    <row r="76" spans="1:20" ht="12.75">
      <c r="A76" s="96">
        <v>17</v>
      </c>
      <c r="B76" s="98">
        <f t="shared" si="9"/>
        <v>600</v>
      </c>
      <c r="C76" s="35"/>
      <c r="D76" s="35">
        <f t="shared" si="10"/>
        <v>150</v>
      </c>
      <c r="E76" s="35">
        <f t="shared" si="11"/>
        <v>2550</v>
      </c>
      <c r="F76" s="97"/>
      <c r="H76" s="96">
        <v>17</v>
      </c>
      <c r="I76" s="98">
        <f t="shared" si="12"/>
        <v>520</v>
      </c>
      <c r="J76" s="35"/>
      <c r="K76" s="35">
        <f t="shared" si="13"/>
        <v>130</v>
      </c>
      <c r="L76" s="35">
        <f t="shared" si="14"/>
        <v>2210</v>
      </c>
      <c r="M76" s="97"/>
      <c r="O76" s="96">
        <v>0</v>
      </c>
      <c r="P76" s="98">
        <f>INVERSION!E25</f>
        <v>52</v>
      </c>
      <c r="Q76" s="35"/>
      <c r="R76" s="35"/>
      <c r="S76" s="35"/>
      <c r="T76" s="97"/>
    </row>
    <row r="77" spans="1:20" ht="12.75">
      <c r="A77" s="96">
        <v>18</v>
      </c>
      <c r="B77" s="98">
        <f t="shared" si="9"/>
        <v>450</v>
      </c>
      <c r="C77" s="35"/>
      <c r="D77" s="35">
        <f t="shared" si="10"/>
        <v>150</v>
      </c>
      <c r="E77" s="35">
        <f t="shared" si="11"/>
        <v>2700</v>
      </c>
      <c r="F77" s="97"/>
      <c r="H77" s="96">
        <v>18</v>
      </c>
      <c r="I77" s="98">
        <f t="shared" si="12"/>
        <v>390</v>
      </c>
      <c r="J77" s="35"/>
      <c r="K77" s="35">
        <f t="shared" si="13"/>
        <v>130</v>
      </c>
      <c r="L77" s="35">
        <f t="shared" si="14"/>
        <v>2340</v>
      </c>
      <c r="M77" s="97"/>
      <c r="O77" s="96">
        <v>1</v>
      </c>
      <c r="P77" s="98">
        <f>+P76-R77</f>
        <v>41.6</v>
      </c>
      <c r="Q77" s="35"/>
      <c r="R77" s="98">
        <f>+P76/5</f>
        <v>10.4</v>
      </c>
      <c r="S77" s="98">
        <f>R77</f>
        <v>10.4</v>
      </c>
      <c r="T77" s="97"/>
    </row>
    <row r="78" spans="1:20" ht="12.75">
      <c r="A78" s="96">
        <v>19</v>
      </c>
      <c r="B78" s="98">
        <f t="shared" si="9"/>
        <v>300</v>
      </c>
      <c r="C78" s="35"/>
      <c r="D78" s="35">
        <f t="shared" si="10"/>
        <v>150</v>
      </c>
      <c r="E78" s="35">
        <f t="shared" si="11"/>
        <v>2850</v>
      </c>
      <c r="F78" s="97"/>
      <c r="H78" s="96">
        <v>19</v>
      </c>
      <c r="I78" s="98">
        <f t="shared" si="12"/>
        <v>260</v>
      </c>
      <c r="J78" s="35"/>
      <c r="K78" s="35">
        <f t="shared" si="13"/>
        <v>130</v>
      </c>
      <c r="L78" s="35">
        <f t="shared" si="14"/>
        <v>2470</v>
      </c>
      <c r="M78" s="97"/>
      <c r="O78" s="96">
        <v>2</v>
      </c>
      <c r="P78" s="98">
        <f>+P77-R78</f>
        <v>31.200000000000003</v>
      </c>
      <c r="Q78" s="35"/>
      <c r="R78" s="98">
        <f>R77</f>
        <v>10.4</v>
      </c>
      <c r="S78" s="98">
        <f>+S77+R78</f>
        <v>20.8</v>
      </c>
      <c r="T78" s="97"/>
    </row>
    <row r="79" spans="1:20" ht="13.5" thickBot="1">
      <c r="A79" s="99">
        <v>20</v>
      </c>
      <c r="B79" s="100">
        <f t="shared" si="9"/>
        <v>150</v>
      </c>
      <c r="C79" s="101"/>
      <c r="D79" s="101">
        <f t="shared" si="10"/>
        <v>150</v>
      </c>
      <c r="E79" s="101">
        <f t="shared" si="11"/>
        <v>3000</v>
      </c>
      <c r="F79" s="102"/>
      <c r="H79" s="99">
        <v>20</v>
      </c>
      <c r="I79" s="100">
        <f t="shared" si="12"/>
        <v>130</v>
      </c>
      <c r="J79" s="101"/>
      <c r="K79" s="101">
        <f t="shared" si="13"/>
        <v>130</v>
      </c>
      <c r="L79" s="101">
        <f t="shared" si="14"/>
        <v>2600</v>
      </c>
      <c r="M79" s="102"/>
      <c r="O79" s="99">
        <v>3</v>
      </c>
      <c r="P79" s="100">
        <f>+P78-R79</f>
        <v>20.800000000000004</v>
      </c>
      <c r="Q79" s="101"/>
      <c r="R79" s="100">
        <f>R78</f>
        <v>10.4</v>
      </c>
      <c r="S79" s="100">
        <f>+S78+R79</f>
        <v>31.200000000000003</v>
      </c>
      <c r="T79" s="102"/>
    </row>
    <row r="81" ht="13.5" thickBot="1"/>
    <row r="82" spans="1:20" ht="12.75">
      <c r="A82" s="103" t="s">
        <v>107</v>
      </c>
      <c r="B82" s="104"/>
      <c r="C82" s="104"/>
      <c r="D82" s="104"/>
      <c r="E82" s="94"/>
      <c r="F82" s="95"/>
      <c r="H82" s="103" t="s">
        <v>116</v>
      </c>
      <c r="I82" s="104"/>
      <c r="J82" s="104"/>
      <c r="K82" s="104"/>
      <c r="L82" s="94"/>
      <c r="M82" s="95"/>
      <c r="O82" s="103" t="s">
        <v>212</v>
      </c>
      <c r="P82" s="104"/>
      <c r="Q82" s="104"/>
      <c r="R82" s="104"/>
      <c r="S82" s="94"/>
      <c r="T82" s="95"/>
    </row>
    <row r="83" spans="1:20" ht="12.75">
      <c r="A83" s="96" t="s">
        <v>99</v>
      </c>
      <c r="B83" s="35" t="s">
        <v>100</v>
      </c>
      <c r="C83" s="35"/>
      <c r="D83" s="35"/>
      <c r="E83" s="35"/>
      <c r="F83" s="97"/>
      <c r="H83" s="96" t="s">
        <v>99</v>
      </c>
      <c r="I83" s="35" t="s">
        <v>100</v>
      </c>
      <c r="J83" s="35"/>
      <c r="K83" s="35"/>
      <c r="L83" s="35"/>
      <c r="M83" s="97"/>
      <c r="O83" s="96" t="s">
        <v>99</v>
      </c>
      <c r="P83" s="35" t="s">
        <v>100</v>
      </c>
      <c r="Q83" s="35"/>
      <c r="R83" s="35"/>
      <c r="S83" s="35"/>
      <c r="T83" s="97"/>
    </row>
    <row r="84" spans="1:20" ht="12.75">
      <c r="A84" s="96" t="s">
        <v>101</v>
      </c>
      <c r="B84" s="35" t="s">
        <v>102</v>
      </c>
      <c r="C84" s="35"/>
      <c r="D84" s="35"/>
      <c r="E84" s="35"/>
      <c r="F84" s="97"/>
      <c r="H84" s="96" t="s">
        <v>101</v>
      </c>
      <c r="I84" s="35" t="s">
        <v>102</v>
      </c>
      <c r="J84" s="35"/>
      <c r="K84" s="35"/>
      <c r="L84" s="35"/>
      <c r="M84" s="97"/>
      <c r="O84" s="96" t="s">
        <v>101</v>
      </c>
      <c r="P84" s="35" t="s">
        <v>102</v>
      </c>
      <c r="Q84" s="35"/>
      <c r="R84" s="35"/>
      <c r="S84" s="35"/>
      <c r="T84" s="97"/>
    </row>
    <row r="85" spans="1:20" ht="12.75">
      <c r="A85" s="96" t="s">
        <v>103</v>
      </c>
      <c r="B85" s="35" t="s">
        <v>104</v>
      </c>
      <c r="C85" s="35"/>
      <c r="D85" s="35" t="s">
        <v>105</v>
      </c>
      <c r="E85" s="35" t="s">
        <v>106</v>
      </c>
      <c r="F85" s="97"/>
      <c r="H85" s="96" t="s">
        <v>103</v>
      </c>
      <c r="I85" s="35" t="s">
        <v>104</v>
      </c>
      <c r="J85" s="35"/>
      <c r="K85" s="35" t="s">
        <v>105</v>
      </c>
      <c r="L85" s="35" t="s">
        <v>106</v>
      </c>
      <c r="M85" s="97"/>
      <c r="O85" s="96" t="s">
        <v>103</v>
      </c>
      <c r="P85" s="35" t="s">
        <v>104</v>
      </c>
      <c r="Q85" s="35"/>
      <c r="R85" s="35" t="s">
        <v>105</v>
      </c>
      <c r="S85" s="35" t="s">
        <v>106</v>
      </c>
      <c r="T85" s="97"/>
    </row>
    <row r="86" spans="1:20" ht="12.75">
      <c r="A86" s="96"/>
      <c r="B86" s="35"/>
      <c r="C86" s="35"/>
      <c r="D86" s="35"/>
      <c r="E86" s="35"/>
      <c r="F86" s="97"/>
      <c r="H86" s="96"/>
      <c r="I86" s="35"/>
      <c r="J86" s="35"/>
      <c r="K86" s="35"/>
      <c r="L86" s="35"/>
      <c r="M86" s="97"/>
      <c r="O86" s="96"/>
      <c r="P86" s="35"/>
      <c r="Q86" s="35"/>
      <c r="R86" s="35"/>
      <c r="S86" s="35"/>
      <c r="T86" s="97"/>
    </row>
    <row r="87" spans="1:20" ht="12.75">
      <c r="A87" s="96">
        <v>0</v>
      </c>
      <c r="B87" s="98">
        <f>INVERSION!E18</f>
        <v>1950</v>
      </c>
      <c r="C87" s="35"/>
      <c r="D87" s="35"/>
      <c r="E87" s="35"/>
      <c r="F87" s="97"/>
      <c r="H87" s="96">
        <v>0</v>
      </c>
      <c r="I87" s="98">
        <f>INVERSION!E32</f>
        <v>50</v>
      </c>
      <c r="J87" s="35"/>
      <c r="K87" s="35"/>
      <c r="L87" s="35"/>
      <c r="M87" s="97"/>
      <c r="O87" s="96">
        <v>0</v>
      </c>
      <c r="P87" s="98">
        <f>INVERSION!E24</f>
        <v>52</v>
      </c>
      <c r="Q87" s="35"/>
      <c r="R87" s="35"/>
      <c r="S87" s="35"/>
      <c r="T87" s="97"/>
    </row>
    <row r="88" spans="1:20" ht="12.75">
      <c r="A88" s="96">
        <v>1</v>
      </c>
      <c r="B88" s="98">
        <f>+B87-D88</f>
        <v>1300</v>
      </c>
      <c r="C88" s="35"/>
      <c r="D88" s="35">
        <f>+B87/3</f>
        <v>650</v>
      </c>
      <c r="E88" s="35">
        <f>D88</f>
        <v>650</v>
      </c>
      <c r="F88" s="97"/>
      <c r="H88" s="96">
        <v>1</v>
      </c>
      <c r="I88" s="98">
        <f>+I87-K88</f>
        <v>33.33333333333333</v>
      </c>
      <c r="J88" s="35"/>
      <c r="K88" s="98">
        <f>+I87/3</f>
        <v>16.666666666666668</v>
      </c>
      <c r="L88" s="98">
        <f>K88</f>
        <v>16.666666666666668</v>
      </c>
      <c r="M88" s="97"/>
      <c r="O88" s="96">
        <v>1</v>
      </c>
      <c r="P88" s="98">
        <f>+P87-R88</f>
        <v>41.6</v>
      </c>
      <c r="Q88" s="35"/>
      <c r="R88" s="98">
        <f>+P87/5</f>
        <v>10.4</v>
      </c>
      <c r="S88" s="98">
        <f>R88</f>
        <v>10.4</v>
      </c>
      <c r="T88" s="97"/>
    </row>
    <row r="89" spans="1:20" ht="12.75">
      <c r="A89" s="96">
        <v>2</v>
      </c>
      <c r="B89" s="98">
        <f>+B88-D89</f>
        <v>650</v>
      </c>
      <c r="C89" s="35"/>
      <c r="D89" s="35">
        <f>D88</f>
        <v>650</v>
      </c>
      <c r="E89" s="35">
        <f>+E88+D89</f>
        <v>1300</v>
      </c>
      <c r="F89" s="97"/>
      <c r="H89" s="96">
        <v>2</v>
      </c>
      <c r="I89" s="98">
        <f>+I88-K89</f>
        <v>16.66666666666666</v>
      </c>
      <c r="J89" s="35"/>
      <c r="K89" s="98">
        <f>K88</f>
        <v>16.666666666666668</v>
      </c>
      <c r="L89" s="98">
        <f>+L88+K89</f>
        <v>33.333333333333336</v>
      </c>
      <c r="M89" s="97"/>
      <c r="O89" s="96">
        <v>2</v>
      </c>
      <c r="P89" s="98">
        <f>+P88-R89</f>
        <v>31.200000000000003</v>
      </c>
      <c r="Q89" s="35"/>
      <c r="R89" s="98">
        <f>R88</f>
        <v>10.4</v>
      </c>
      <c r="S89" s="98">
        <f>+S88+R89</f>
        <v>20.8</v>
      </c>
      <c r="T89" s="97"/>
    </row>
    <row r="90" spans="1:20" ht="13.5" thickBot="1">
      <c r="A90" s="99">
        <v>3</v>
      </c>
      <c r="B90" s="100">
        <f>+B89-D90</f>
        <v>0</v>
      </c>
      <c r="C90" s="101"/>
      <c r="D90" s="101">
        <f>D89</f>
        <v>650</v>
      </c>
      <c r="E90" s="101">
        <f>+E89+D90</f>
        <v>1950</v>
      </c>
      <c r="F90" s="102"/>
      <c r="H90" s="99">
        <v>3</v>
      </c>
      <c r="I90" s="100">
        <f>+I89-K90</f>
        <v>0</v>
      </c>
      <c r="J90" s="101"/>
      <c r="K90" s="100">
        <f>K89</f>
        <v>16.666666666666668</v>
      </c>
      <c r="L90" s="100">
        <f>+L89+K90</f>
        <v>50</v>
      </c>
      <c r="M90" s="102"/>
      <c r="O90" s="99">
        <v>3</v>
      </c>
      <c r="P90" s="100">
        <f>+P89-R90</f>
        <v>20.800000000000004</v>
      </c>
      <c r="Q90" s="101"/>
      <c r="R90" s="100">
        <f>R89</f>
        <v>10.4</v>
      </c>
      <c r="S90" s="100">
        <f>+S89+R90</f>
        <v>31.200000000000003</v>
      </c>
      <c r="T90" s="102"/>
    </row>
    <row r="92" ht="13.5" thickBot="1"/>
    <row r="93" spans="1:20" ht="12.75">
      <c r="A93" s="103" t="s">
        <v>108</v>
      </c>
      <c r="B93" s="104"/>
      <c r="C93" s="104"/>
      <c r="D93" s="104"/>
      <c r="E93" s="94"/>
      <c r="F93" s="95"/>
      <c r="H93" s="103" t="s">
        <v>117</v>
      </c>
      <c r="I93" s="104"/>
      <c r="J93" s="104"/>
      <c r="K93" s="104"/>
      <c r="L93" s="94"/>
      <c r="M93" s="95"/>
      <c r="O93" s="103" t="s">
        <v>211</v>
      </c>
      <c r="P93" s="104"/>
      <c r="Q93" s="104"/>
      <c r="R93" s="104"/>
      <c r="S93" s="94"/>
      <c r="T93" s="95"/>
    </row>
    <row r="94" spans="1:20" ht="12.75">
      <c r="A94" s="96" t="s">
        <v>99</v>
      </c>
      <c r="B94" s="35" t="s">
        <v>100</v>
      </c>
      <c r="C94" s="35"/>
      <c r="D94" s="35"/>
      <c r="E94" s="35"/>
      <c r="F94" s="97"/>
      <c r="H94" s="96" t="s">
        <v>99</v>
      </c>
      <c r="I94" s="35" t="s">
        <v>100</v>
      </c>
      <c r="J94" s="35"/>
      <c r="K94" s="35"/>
      <c r="L94" s="35"/>
      <c r="M94" s="97"/>
      <c r="O94" s="96" t="s">
        <v>99</v>
      </c>
      <c r="P94" s="35" t="s">
        <v>100</v>
      </c>
      <c r="Q94" s="35"/>
      <c r="R94" s="35"/>
      <c r="S94" s="35"/>
      <c r="T94" s="97"/>
    </row>
    <row r="95" spans="1:20" ht="12.75">
      <c r="A95" s="96" t="s">
        <v>101</v>
      </c>
      <c r="B95" s="35" t="s">
        <v>102</v>
      </c>
      <c r="C95" s="35"/>
      <c r="D95" s="35"/>
      <c r="E95" s="35"/>
      <c r="F95" s="97"/>
      <c r="H95" s="96" t="s">
        <v>101</v>
      </c>
      <c r="I95" s="35" t="s">
        <v>102</v>
      </c>
      <c r="J95" s="35"/>
      <c r="K95" s="35"/>
      <c r="L95" s="35"/>
      <c r="M95" s="97"/>
      <c r="O95" s="96" t="s">
        <v>101</v>
      </c>
      <c r="P95" s="35" t="s">
        <v>102</v>
      </c>
      <c r="Q95" s="35"/>
      <c r="R95" s="35"/>
      <c r="S95" s="35"/>
      <c r="T95" s="97"/>
    </row>
    <row r="96" spans="1:20" ht="12.75">
      <c r="A96" s="96" t="s">
        <v>103</v>
      </c>
      <c r="B96" s="35" t="s">
        <v>104</v>
      </c>
      <c r="C96" s="35"/>
      <c r="D96" s="35" t="s">
        <v>105</v>
      </c>
      <c r="E96" s="35" t="s">
        <v>106</v>
      </c>
      <c r="F96" s="97"/>
      <c r="H96" s="96" t="s">
        <v>103</v>
      </c>
      <c r="I96" s="35" t="s">
        <v>104</v>
      </c>
      <c r="J96" s="35"/>
      <c r="K96" s="35" t="s">
        <v>105</v>
      </c>
      <c r="L96" s="35" t="s">
        <v>106</v>
      </c>
      <c r="M96" s="97"/>
      <c r="O96" s="96" t="s">
        <v>103</v>
      </c>
      <c r="P96" s="35" t="s">
        <v>104</v>
      </c>
      <c r="Q96" s="35"/>
      <c r="R96" s="35" t="s">
        <v>105</v>
      </c>
      <c r="S96" s="35" t="s">
        <v>106</v>
      </c>
      <c r="T96" s="97"/>
    </row>
    <row r="97" spans="1:20" ht="12.75">
      <c r="A97" s="96"/>
      <c r="B97" s="35"/>
      <c r="C97" s="35"/>
      <c r="D97" s="35"/>
      <c r="E97" s="35"/>
      <c r="F97" s="97"/>
      <c r="H97" s="96"/>
      <c r="I97" s="35"/>
      <c r="J97" s="35"/>
      <c r="K97" s="35"/>
      <c r="L97" s="35"/>
      <c r="M97" s="97"/>
      <c r="O97" s="96"/>
      <c r="P97" s="35"/>
      <c r="Q97" s="35"/>
      <c r="R97" s="35"/>
      <c r="S97" s="35"/>
      <c r="T97" s="97"/>
    </row>
    <row r="98" spans="1:20" ht="12.75">
      <c r="A98" s="96">
        <v>0</v>
      </c>
      <c r="B98" s="98">
        <f>INVERSION!E31</f>
        <v>2200</v>
      </c>
      <c r="C98" s="35"/>
      <c r="D98" s="35"/>
      <c r="E98" s="35"/>
      <c r="F98" s="97"/>
      <c r="H98" s="96">
        <v>0</v>
      </c>
      <c r="I98" s="98">
        <f>INVERSION!E33</f>
        <v>300</v>
      </c>
      <c r="J98" s="35"/>
      <c r="K98" s="35"/>
      <c r="L98" s="35"/>
      <c r="M98" s="97"/>
      <c r="O98" s="96">
        <v>0</v>
      </c>
      <c r="P98" s="98">
        <f>INVERSION!E23</f>
        <v>260</v>
      </c>
      <c r="Q98" s="35"/>
      <c r="R98" s="35"/>
      <c r="S98" s="35"/>
      <c r="T98" s="97"/>
    </row>
    <row r="99" spans="1:20" ht="12.75">
      <c r="A99" s="96">
        <v>1</v>
      </c>
      <c r="B99" s="98">
        <f>B98-D99</f>
        <v>1466.6666666666665</v>
      </c>
      <c r="C99" s="35"/>
      <c r="D99" s="98">
        <f>B98/3</f>
        <v>733.3333333333334</v>
      </c>
      <c r="E99" s="98">
        <f>D99</f>
        <v>733.3333333333334</v>
      </c>
      <c r="F99" s="97"/>
      <c r="H99" s="96">
        <v>1</v>
      </c>
      <c r="I99" s="98">
        <f>+I98-K99</f>
        <v>200</v>
      </c>
      <c r="J99" s="35"/>
      <c r="K99" s="35">
        <f>+I98/3</f>
        <v>100</v>
      </c>
      <c r="L99" s="35">
        <f>K99</f>
        <v>100</v>
      </c>
      <c r="M99" s="97"/>
      <c r="O99" s="96">
        <v>1</v>
      </c>
      <c r="P99" s="98">
        <f>+P98-R99</f>
        <v>208</v>
      </c>
      <c r="Q99" s="35"/>
      <c r="R99" s="98">
        <f>+P98/5</f>
        <v>52</v>
      </c>
      <c r="S99" s="98">
        <f>R99</f>
        <v>52</v>
      </c>
      <c r="T99" s="97"/>
    </row>
    <row r="100" spans="1:20" ht="12.75">
      <c r="A100" s="96">
        <v>2</v>
      </c>
      <c r="B100" s="98">
        <f>B99-D100</f>
        <v>733.3333333333331</v>
      </c>
      <c r="C100" s="35"/>
      <c r="D100" s="98">
        <f>D99</f>
        <v>733.3333333333334</v>
      </c>
      <c r="E100" s="98">
        <f>D99+E99</f>
        <v>1466.6666666666667</v>
      </c>
      <c r="F100" s="97"/>
      <c r="H100" s="96">
        <v>2</v>
      </c>
      <c r="I100" s="98">
        <f>+I99-K100</f>
        <v>100</v>
      </c>
      <c r="J100" s="35"/>
      <c r="K100" s="35">
        <f>K99</f>
        <v>100</v>
      </c>
      <c r="L100" s="35">
        <f>+L99+K100</f>
        <v>200</v>
      </c>
      <c r="M100" s="97"/>
      <c r="O100" s="96">
        <v>2</v>
      </c>
      <c r="P100" s="98">
        <f>+P99-R100</f>
        <v>156</v>
      </c>
      <c r="Q100" s="35"/>
      <c r="R100" s="98">
        <f>R99</f>
        <v>52</v>
      </c>
      <c r="S100" s="98">
        <f>+S99+R100</f>
        <v>104</v>
      </c>
      <c r="T100" s="97"/>
    </row>
    <row r="101" spans="1:20" ht="13.5" thickBot="1">
      <c r="A101" s="96">
        <v>3</v>
      </c>
      <c r="B101" s="98">
        <f>B100-D101</f>
        <v>0</v>
      </c>
      <c r="C101" s="35"/>
      <c r="D101" s="98">
        <f>D100</f>
        <v>733.3333333333334</v>
      </c>
      <c r="E101" s="98">
        <f>D100+E100</f>
        <v>2200</v>
      </c>
      <c r="F101" s="97"/>
      <c r="H101" s="99">
        <v>3</v>
      </c>
      <c r="I101" s="100">
        <f>+I100-K101</f>
        <v>0</v>
      </c>
      <c r="J101" s="101"/>
      <c r="K101" s="101">
        <f>K100</f>
        <v>100</v>
      </c>
      <c r="L101" s="101">
        <f>+L100+K101</f>
        <v>300</v>
      </c>
      <c r="M101" s="102"/>
      <c r="O101" s="99">
        <v>3</v>
      </c>
      <c r="P101" s="100">
        <f>+P100-R101</f>
        <v>104</v>
      </c>
      <c r="Q101" s="101"/>
      <c r="R101" s="100">
        <f>R100</f>
        <v>52</v>
      </c>
      <c r="S101" s="100">
        <f>+S100+R101</f>
        <v>156</v>
      </c>
      <c r="T101" s="102"/>
    </row>
    <row r="102" spans="1:6" ht="13.5" thickBot="1">
      <c r="A102" s="99"/>
      <c r="B102" s="101"/>
      <c r="C102" s="101"/>
      <c r="D102" s="101"/>
      <c r="E102" s="101"/>
      <c r="F102" s="102"/>
    </row>
    <row r="104" ht="13.5" thickBot="1"/>
    <row r="105" spans="1:20" ht="12.75">
      <c r="A105" s="34"/>
      <c r="B105" s="34"/>
      <c r="C105" s="34"/>
      <c r="D105" s="34"/>
      <c r="E105" s="35"/>
      <c r="F105" s="35"/>
      <c r="H105" s="103" t="s">
        <v>118</v>
      </c>
      <c r="I105" s="104"/>
      <c r="J105" s="104"/>
      <c r="K105" s="104"/>
      <c r="L105" s="94"/>
      <c r="M105" s="95"/>
      <c r="O105" s="103" t="s">
        <v>210</v>
      </c>
      <c r="P105" s="104"/>
      <c r="Q105" s="104"/>
      <c r="R105" s="104"/>
      <c r="S105" s="94"/>
      <c r="T105" s="95"/>
    </row>
    <row r="106" spans="1:20" ht="12.75">
      <c r="A106" s="35"/>
      <c r="B106" s="35"/>
      <c r="C106" s="35"/>
      <c r="D106" s="35"/>
      <c r="E106" s="35"/>
      <c r="F106" s="35"/>
      <c r="H106" s="96" t="s">
        <v>99</v>
      </c>
      <c r="I106" s="35" t="s">
        <v>100</v>
      </c>
      <c r="J106" s="35"/>
      <c r="K106" s="35"/>
      <c r="L106" s="35"/>
      <c r="M106" s="97"/>
      <c r="O106" s="96" t="s">
        <v>99</v>
      </c>
      <c r="P106" s="35" t="s">
        <v>100</v>
      </c>
      <c r="Q106" s="35"/>
      <c r="R106" s="35"/>
      <c r="S106" s="35"/>
      <c r="T106" s="97"/>
    </row>
    <row r="107" spans="1:20" ht="12.75">
      <c r="A107" s="35"/>
      <c r="B107" s="35"/>
      <c r="C107" s="35"/>
      <c r="D107" s="35"/>
      <c r="E107" s="35"/>
      <c r="F107" s="35"/>
      <c r="H107" s="96" t="s">
        <v>101</v>
      </c>
      <c r="I107" s="35" t="s">
        <v>102</v>
      </c>
      <c r="J107" s="35"/>
      <c r="K107" s="35"/>
      <c r="L107" s="35"/>
      <c r="M107" s="97"/>
      <c r="O107" s="96" t="s">
        <v>101</v>
      </c>
      <c r="P107" s="35" t="s">
        <v>102</v>
      </c>
      <c r="Q107" s="35"/>
      <c r="R107" s="35"/>
      <c r="S107" s="35"/>
      <c r="T107" s="97"/>
    </row>
    <row r="108" spans="1:20" ht="12.75">
      <c r="A108" s="35"/>
      <c r="B108" s="35"/>
      <c r="C108" s="35"/>
      <c r="D108" s="35"/>
      <c r="E108" s="35"/>
      <c r="F108" s="35"/>
      <c r="H108" s="96" t="s">
        <v>103</v>
      </c>
      <c r="I108" s="35" t="s">
        <v>104</v>
      </c>
      <c r="J108" s="35"/>
      <c r="K108" s="35" t="s">
        <v>105</v>
      </c>
      <c r="L108" s="35" t="s">
        <v>106</v>
      </c>
      <c r="M108" s="97"/>
      <c r="O108" s="96" t="s">
        <v>103</v>
      </c>
      <c r="P108" s="35" t="s">
        <v>104</v>
      </c>
      <c r="Q108" s="35"/>
      <c r="R108" s="35" t="s">
        <v>105</v>
      </c>
      <c r="S108" s="35" t="s">
        <v>106</v>
      </c>
      <c r="T108" s="97"/>
    </row>
    <row r="109" spans="1:20" ht="12.75">
      <c r="A109" s="35"/>
      <c r="B109" s="35"/>
      <c r="C109" s="35"/>
      <c r="D109" s="35"/>
      <c r="E109" s="35"/>
      <c r="F109" s="35"/>
      <c r="H109" s="96"/>
      <c r="I109" s="35"/>
      <c r="J109" s="35"/>
      <c r="K109" s="35"/>
      <c r="L109" s="35"/>
      <c r="M109" s="97"/>
      <c r="O109" s="96"/>
      <c r="P109" s="35"/>
      <c r="Q109" s="35"/>
      <c r="R109" s="35"/>
      <c r="S109" s="35"/>
      <c r="T109" s="97"/>
    </row>
    <row r="110" spans="1:20" ht="12.75">
      <c r="A110" s="35"/>
      <c r="B110" s="98"/>
      <c r="C110" s="35"/>
      <c r="D110" s="35"/>
      <c r="E110" s="35"/>
      <c r="F110" s="35"/>
      <c r="H110" s="96">
        <v>0</v>
      </c>
      <c r="I110" s="98">
        <f>INVERSION!E34</f>
        <v>100</v>
      </c>
      <c r="J110" s="35"/>
      <c r="K110" s="35"/>
      <c r="L110" s="35"/>
      <c r="M110" s="97"/>
      <c r="O110" s="96">
        <v>0</v>
      </c>
      <c r="P110" s="98">
        <f>INVERSION!E22</f>
        <v>182</v>
      </c>
      <c r="Q110" s="35"/>
      <c r="R110" s="35"/>
      <c r="S110" s="35"/>
      <c r="T110" s="97"/>
    </row>
    <row r="111" spans="1:20" ht="12.75">
      <c r="A111" s="35"/>
      <c r="B111" s="98"/>
      <c r="C111" s="35"/>
      <c r="D111" s="35"/>
      <c r="E111" s="35"/>
      <c r="F111" s="35"/>
      <c r="H111" s="96">
        <v>1</v>
      </c>
      <c r="I111" s="98">
        <f>+I110-K111</f>
        <v>66.66666666666666</v>
      </c>
      <c r="J111" s="35"/>
      <c r="K111" s="35">
        <f>+I110/3</f>
        <v>33.333333333333336</v>
      </c>
      <c r="L111" s="35">
        <f>K111</f>
        <v>33.333333333333336</v>
      </c>
      <c r="M111" s="97"/>
      <c r="O111" s="96">
        <v>1</v>
      </c>
      <c r="P111" s="98">
        <f>+P110-R111</f>
        <v>145.6</v>
      </c>
      <c r="Q111" s="35"/>
      <c r="R111" s="98">
        <f>+P110/5</f>
        <v>36.4</v>
      </c>
      <c r="S111" s="98">
        <f>R111</f>
        <v>36.4</v>
      </c>
      <c r="T111" s="97"/>
    </row>
    <row r="112" spans="1:20" ht="12.75">
      <c r="A112" s="35"/>
      <c r="B112" s="98"/>
      <c r="C112" s="35"/>
      <c r="D112" s="35"/>
      <c r="E112" s="35"/>
      <c r="F112" s="35"/>
      <c r="H112" s="96">
        <v>2</v>
      </c>
      <c r="I112" s="98">
        <f>+I111-K112</f>
        <v>33.33333333333332</v>
      </c>
      <c r="J112" s="35"/>
      <c r="K112" s="35">
        <f>K111</f>
        <v>33.333333333333336</v>
      </c>
      <c r="L112" s="35">
        <f>+L111+K112</f>
        <v>66.66666666666667</v>
      </c>
      <c r="M112" s="97"/>
      <c r="O112" s="96">
        <v>2</v>
      </c>
      <c r="P112" s="98">
        <f>+P111-R112</f>
        <v>109.19999999999999</v>
      </c>
      <c r="Q112" s="35"/>
      <c r="R112" s="98">
        <f>R111</f>
        <v>36.4</v>
      </c>
      <c r="S112" s="98">
        <f>+S111+R112</f>
        <v>72.8</v>
      </c>
      <c r="T112" s="97"/>
    </row>
    <row r="113" spans="1:20" ht="13.5" thickBot="1">
      <c r="A113" s="35"/>
      <c r="B113" s="98"/>
      <c r="C113" s="35"/>
      <c r="D113" s="35"/>
      <c r="E113" s="35"/>
      <c r="F113" s="35"/>
      <c r="H113" s="99">
        <v>3</v>
      </c>
      <c r="I113" s="100">
        <f>+I112-K113</f>
        <v>0</v>
      </c>
      <c r="J113" s="101"/>
      <c r="K113" s="101">
        <f>K112</f>
        <v>33.333333333333336</v>
      </c>
      <c r="L113" s="101">
        <f>+L112+K113</f>
        <v>100</v>
      </c>
      <c r="M113" s="102"/>
      <c r="O113" s="99">
        <v>3</v>
      </c>
      <c r="P113" s="100">
        <f>+P112-R113</f>
        <v>72.79999999999998</v>
      </c>
      <c r="Q113" s="101"/>
      <c r="R113" s="100">
        <f>R112</f>
        <v>36.4</v>
      </c>
      <c r="S113" s="100">
        <f>+S112+R113</f>
        <v>109.19999999999999</v>
      </c>
      <c r="T113" s="102"/>
    </row>
    <row r="115" ht="13.5" thickBot="1"/>
    <row r="116" spans="1:20" ht="12.75">
      <c r="A116" s="103" t="s">
        <v>107</v>
      </c>
      <c r="B116" s="104"/>
      <c r="C116" s="104"/>
      <c r="D116" s="104"/>
      <c r="E116" s="94"/>
      <c r="F116" s="95"/>
      <c r="H116" s="103" t="s">
        <v>119</v>
      </c>
      <c r="I116" s="104"/>
      <c r="J116" s="104"/>
      <c r="K116" s="104"/>
      <c r="L116" s="94"/>
      <c r="M116" s="95"/>
      <c r="O116" s="103" t="s">
        <v>209</v>
      </c>
      <c r="P116" s="104"/>
      <c r="Q116" s="104"/>
      <c r="R116" s="104"/>
      <c r="S116" s="94"/>
      <c r="T116" s="95"/>
    </row>
    <row r="117" spans="1:20" ht="12.75">
      <c r="A117" s="96" t="s">
        <v>99</v>
      </c>
      <c r="B117" s="35" t="s">
        <v>100</v>
      </c>
      <c r="C117" s="35"/>
      <c r="D117" s="35"/>
      <c r="E117" s="35"/>
      <c r="F117" s="97"/>
      <c r="H117" s="96" t="s">
        <v>99</v>
      </c>
      <c r="I117" s="35" t="s">
        <v>100</v>
      </c>
      <c r="J117" s="35"/>
      <c r="K117" s="35"/>
      <c r="L117" s="35"/>
      <c r="M117" s="97"/>
      <c r="O117" s="96" t="s">
        <v>99</v>
      </c>
      <c r="P117" s="35" t="s">
        <v>100</v>
      </c>
      <c r="Q117" s="35"/>
      <c r="R117" s="35"/>
      <c r="S117" s="35"/>
      <c r="T117" s="97"/>
    </row>
    <row r="118" spans="1:20" ht="12.75">
      <c r="A118" s="96" t="s">
        <v>101</v>
      </c>
      <c r="B118" s="35" t="s">
        <v>102</v>
      </c>
      <c r="C118" s="35"/>
      <c r="D118" s="35"/>
      <c r="E118" s="35"/>
      <c r="F118" s="97"/>
      <c r="H118" s="96" t="s">
        <v>101</v>
      </c>
      <c r="I118" s="35" t="s">
        <v>102</v>
      </c>
      <c r="J118" s="35"/>
      <c r="K118" s="35"/>
      <c r="L118" s="35"/>
      <c r="M118" s="97"/>
      <c r="O118" s="96" t="s">
        <v>101</v>
      </c>
      <c r="P118" s="35" t="s">
        <v>102</v>
      </c>
      <c r="Q118" s="35"/>
      <c r="R118" s="35"/>
      <c r="S118" s="35"/>
      <c r="T118" s="97"/>
    </row>
    <row r="119" spans="1:20" ht="12.75">
      <c r="A119" s="96" t="s">
        <v>103</v>
      </c>
      <c r="B119" s="35" t="s">
        <v>104</v>
      </c>
      <c r="C119" s="35"/>
      <c r="D119" s="35" t="s">
        <v>105</v>
      </c>
      <c r="E119" s="35" t="s">
        <v>106</v>
      </c>
      <c r="F119" s="97"/>
      <c r="H119" s="96" t="s">
        <v>103</v>
      </c>
      <c r="I119" s="35" t="s">
        <v>104</v>
      </c>
      <c r="J119" s="35"/>
      <c r="K119" s="35" t="s">
        <v>105</v>
      </c>
      <c r="L119" s="35" t="s">
        <v>106</v>
      </c>
      <c r="M119" s="97"/>
      <c r="O119" s="96" t="s">
        <v>103</v>
      </c>
      <c r="P119" s="35" t="s">
        <v>104</v>
      </c>
      <c r="Q119" s="35"/>
      <c r="R119" s="35" t="s">
        <v>105</v>
      </c>
      <c r="S119" s="35" t="s">
        <v>106</v>
      </c>
      <c r="T119" s="97"/>
    </row>
    <row r="120" spans="1:20" ht="12.75">
      <c r="A120" s="96"/>
      <c r="B120" s="35"/>
      <c r="C120" s="35"/>
      <c r="D120" s="35"/>
      <c r="E120" s="35"/>
      <c r="F120" s="97"/>
      <c r="H120" s="96"/>
      <c r="I120" s="35"/>
      <c r="J120" s="35"/>
      <c r="K120" s="35"/>
      <c r="L120" s="35"/>
      <c r="M120" s="97"/>
      <c r="O120" s="96"/>
      <c r="P120" s="35"/>
      <c r="Q120" s="35"/>
      <c r="R120" s="35"/>
      <c r="S120" s="35"/>
      <c r="T120" s="97"/>
    </row>
    <row r="121" spans="1:20" ht="12.75">
      <c r="A121" s="96">
        <v>0</v>
      </c>
      <c r="B121" s="98">
        <f>INVERSION!E35</f>
        <v>30</v>
      </c>
      <c r="C121" s="35"/>
      <c r="D121" s="35"/>
      <c r="E121" s="35"/>
      <c r="F121" s="97"/>
      <c r="H121" s="96">
        <v>0</v>
      </c>
      <c r="I121" s="98">
        <f>INVERSION!E36</f>
        <v>40</v>
      </c>
      <c r="J121" s="35"/>
      <c r="K121" s="35"/>
      <c r="L121" s="35"/>
      <c r="M121" s="97"/>
      <c r="O121" s="96">
        <v>0</v>
      </c>
      <c r="P121" s="98">
        <f>INVERSION!E21</f>
        <v>390</v>
      </c>
      <c r="Q121" s="35"/>
      <c r="R121" s="35"/>
      <c r="S121" s="35"/>
      <c r="T121" s="97"/>
    </row>
    <row r="122" spans="1:20" ht="12.75">
      <c r="A122" s="96">
        <v>1</v>
      </c>
      <c r="B122" s="98">
        <f>+B121-D122</f>
        <v>20</v>
      </c>
      <c r="C122" s="35"/>
      <c r="D122" s="98">
        <f>+B121/3</f>
        <v>10</v>
      </c>
      <c r="E122" s="98">
        <f>D122</f>
        <v>10</v>
      </c>
      <c r="F122" s="97"/>
      <c r="H122" s="96">
        <v>1</v>
      </c>
      <c r="I122" s="98">
        <f>+I121-K122</f>
        <v>26.666666666666664</v>
      </c>
      <c r="J122" s="35"/>
      <c r="K122" s="35">
        <f>+I121/3</f>
        <v>13.333333333333334</v>
      </c>
      <c r="L122" s="35">
        <f>K122</f>
        <v>13.333333333333334</v>
      </c>
      <c r="M122" s="97"/>
      <c r="O122" s="96">
        <v>1</v>
      </c>
      <c r="P122" s="98">
        <f>+P121-R122</f>
        <v>312</v>
      </c>
      <c r="Q122" s="35"/>
      <c r="R122" s="98">
        <f>+P121/5</f>
        <v>78</v>
      </c>
      <c r="S122" s="98">
        <f>R122</f>
        <v>78</v>
      </c>
      <c r="T122" s="97"/>
    </row>
    <row r="123" spans="1:20" ht="12.75">
      <c r="A123" s="96">
        <v>2</v>
      </c>
      <c r="B123" s="98">
        <f>+B122-D123</f>
        <v>10</v>
      </c>
      <c r="C123" s="35"/>
      <c r="D123" s="98">
        <f>D122</f>
        <v>10</v>
      </c>
      <c r="E123" s="98">
        <f>+E122+D123</f>
        <v>20</v>
      </c>
      <c r="F123" s="97"/>
      <c r="H123" s="96">
        <v>2</v>
      </c>
      <c r="I123" s="98">
        <f>+I122-K123</f>
        <v>13.33333333333333</v>
      </c>
      <c r="J123" s="35"/>
      <c r="K123" s="35">
        <f>K122</f>
        <v>13.333333333333334</v>
      </c>
      <c r="L123" s="35">
        <f>+L122+K123</f>
        <v>26.666666666666668</v>
      </c>
      <c r="M123" s="97"/>
      <c r="O123" s="96">
        <v>2</v>
      </c>
      <c r="P123" s="98">
        <f>+P122-R123</f>
        <v>234</v>
      </c>
      <c r="Q123" s="35"/>
      <c r="R123" s="98">
        <f>R122</f>
        <v>78</v>
      </c>
      <c r="S123" s="98">
        <f>+S122+R123</f>
        <v>156</v>
      </c>
      <c r="T123" s="97"/>
    </row>
    <row r="124" spans="1:20" ht="13.5" thickBot="1">
      <c r="A124" s="99">
        <v>3</v>
      </c>
      <c r="B124" s="100">
        <f>+B123-D124</f>
        <v>0</v>
      </c>
      <c r="C124" s="101"/>
      <c r="D124" s="100">
        <f>D123</f>
        <v>10</v>
      </c>
      <c r="E124" s="100">
        <f>+E123+D124</f>
        <v>30</v>
      </c>
      <c r="F124" s="102"/>
      <c r="H124" s="99">
        <v>3</v>
      </c>
      <c r="I124" s="100">
        <f>+I123-K124</f>
        <v>0</v>
      </c>
      <c r="J124" s="101"/>
      <c r="K124" s="101">
        <f>K123</f>
        <v>13.333333333333334</v>
      </c>
      <c r="L124" s="101">
        <f>+L123+K124</f>
        <v>40</v>
      </c>
      <c r="M124" s="102"/>
      <c r="O124" s="99">
        <v>3</v>
      </c>
      <c r="P124" s="100">
        <f>+P123-R124</f>
        <v>156</v>
      </c>
      <c r="Q124" s="101"/>
      <c r="R124" s="100">
        <f>R123</f>
        <v>78</v>
      </c>
      <c r="S124" s="100">
        <f>+S123+R124</f>
        <v>234</v>
      </c>
      <c r="T124" s="102"/>
    </row>
    <row r="126" ht="13.5" thickBot="1"/>
    <row r="127" spans="1:20" ht="12.75">
      <c r="A127" s="34"/>
      <c r="B127" s="34"/>
      <c r="C127" s="34"/>
      <c r="D127" s="34"/>
      <c r="E127" s="35"/>
      <c r="F127" s="35"/>
      <c r="H127" s="103" t="s">
        <v>207</v>
      </c>
      <c r="I127" s="104"/>
      <c r="J127" s="104"/>
      <c r="K127" s="104"/>
      <c r="L127" s="94"/>
      <c r="M127" s="95"/>
      <c r="O127" s="103" t="s">
        <v>208</v>
      </c>
      <c r="P127" s="104"/>
      <c r="Q127" s="104"/>
      <c r="R127" s="104"/>
      <c r="S127" s="94"/>
      <c r="T127" s="95"/>
    </row>
    <row r="128" spans="1:20" ht="12.75">
      <c r="A128" s="35"/>
      <c r="B128" s="35"/>
      <c r="C128" s="35"/>
      <c r="D128" s="35"/>
      <c r="E128" s="35"/>
      <c r="F128" s="35"/>
      <c r="H128" s="96" t="s">
        <v>99</v>
      </c>
      <c r="I128" s="35" t="s">
        <v>100</v>
      </c>
      <c r="J128" s="35"/>
      <c r="K128" s="35"/>
      <c r="L128" s="35"/>
      <c r="M128" s="97"/>
      <c r="O128" s="96" t="s">
        <v>99</v>
      </c>
      <c r="P128" s="35" t="s">
        <v>100</v>
      </c>
      <c r="Q128" s="35"/>
      <c r="R128" s="35"/>
      <c r="S128" s="35"/>
      <c r="T128" s="97"/>
    </row>
    <row r="129" spans="1:20" ht="12.75">
      <c r="A129" s="35"/>
      <c r="B129" s="35"/>
      <c r="C129" s="35"/>
      <c r="D129" s="35"/>
      <c r="E129" s="35"/>
      <c r="F129" s="35"/>
      <c r="H129" s="96" t="s">
        <v>101</v>
      </c>
      <c r="I129" s="35" t="s">
        <v>102</v>
      </c>
      <c r="J129" s="35"/>
      <c r="K129" s="35"/>
      <c r="L129" s="35"/>
      <c r="M129" s="97"/>
      <c r="O129" s="96" t="s">
        <v>101</v>
      </c>
      <c r="P129" s="35" t="s">
        <v>102</v>
      </c>
      <c r="Q129" s="35"/>
      <c r="R129" s="35"/>
      <c r="S129" s="35"/>
      <c r="T129" s="97"/>
    </row>
    <row r="130" spans="1:20" ht="12.75">
      <c r="A130" s="35"/>
      <c r="B130" s="35"/>
      <c r="C130" s="35"/>
      <c r="D130" s="35"/>
      <c r="E130" s="35"/>
      <c r="F130" s="35"/>
      <c r="H130" s="96" t="s">
        <v>103</v>
      </c>
      <c r="I130" s="35" t="s">
        <v>104</v>
      </c>
      <c r="J130" s="35"/>
      <c r="K130" s="35" t="s">
        <v>105</v>
      </c>
      <c r="L130" s="35" t="s">
        <v>106</v>
      </c>
      <c r="M130" s="97"/>
      <c r="O130" s="96" t="s">
        <v>103</v>
      </c>
      <c r="P130" s="35" t="s">
        <v>104</v>
      </c>
      <c r="Q130" s="35"/>
      <c r="R130" s="35" t="s">
        <v>105</v>
      </c>
      <c r="S130" s="35" t="s">
        <v>106</v>
      </c>
      <c r="T130" s="97"/>
    </row>
    <row r="131" spans="1:20" ht="12.75">
      <c r="A131" s="35"/>
      <c r="B131" s="35"/>
      <c r="C131" s="35"/>
      <c r="D131" s="35"/>
      <c r="E131" s="35"/>
      <c r="F131" s="35"/>
      <c r="H131" s="96"/>
      <c r="I131" s="35"/>
      <c r="J131" s="35"/>
      <c r="K131" s="35"/>
      <c r="L131" s="35"/>
      <c r="M131" s="97"/>
      <c r="O131" s="96"/>
      <c r="P131" s="35"/>
      <c r="Q131" s="35"/>
      <c r="R131" s="35"/>
      <c r="S131" s="35"/>
      <c r="T131" s="97"/>
    </row>
    <row r="132" spans="1:20" ht="12.75">
      <c r="A132" s="35"/>
      <c r="B132" s="98"/>
      <c r="C132" s="35"/>
      <c r="D132" s="35"/>
      <c r="E132" s="35"/>
      <c r="F132" s="35"/>
      <c r="H132" s="96">
        <v>0</v>
      </c>
      <c r="I132" s="98">
        <f>INVERSION!E19</f>
        <v>130</v>
      </c>
      <c r="J132" s="35"/>
      <c r="K132" s="35"/>
      <c r="L132" s="35"/>
      <c r="M132" s="97"/>
      <c r="O132" s="96">
        <v>0</v>
      </c>
      <c r="P132" s="98">
        <f>INVERSION!E20</f>
        <v>182</v>
      </c>
      <c r="Q132" s="35"/>
      <c r="R132" s="35"/>
      <c r="S132" s="35"/>
      <c r="T132" s="97"/>
    </row>
    <row r="133" spans="1:20" ht="12.75">
      <c r="A133" s="35"/>
      <c r="B133" s="98"/>
      <c r="C133" s="35"/>
      <c r="D133" s="98"/>
      <c r="E133" s="98"/>
      <c r="F133" s="35"/>
      <c r="H133" s="96">
        <v>1</v>
      </c>
      <c r="I133" s="98">
        <f>+I132-K133</f>
        <v>104</v>
      </c>
      <c r="J133" s="35"/>
      <c r="K133" s="98">
        <f>+I132/5</f>
        <v>26</v>
      </c>
      <c r="L133" s="98">
        <f>K133</f>
        <v>26</v>
      </c>
      <c r="M133" s="97"/>
      <c r="O133" s="96">
        <v>1</v>
      </c>
      <c r="P133" s="98">
        <f>+P132-R133</f>
        <v>145.6</v>
      </c>
      <c r="Q133" s="35"/>
      <c r="R133" s="98">
        <f>+P132/5</f>
        <v>36.4</v>
      </c>
      <c r="S133" s="98">
        <f>R133</f>
        <v>36.4</v>
      </c>
      <c r="T133" s="97"/>
    </row>
    <row r="134" spans="1:20" ht="12.75">
      <c r="A134" s="35"/>
      <c r="B134" s="98"/>
      <c r="C134" s="35"/>
      <c r="D134" s="98"/>
      <c r="E134" s="98"/>
      <c r="F134" s="35"/>
      <c r="H134" s="96">
        <v>2</v>
      </c>
      <c r="I134" s="98">
        <f>+I133-K134</f>
        <v>78</v>
      </c>
      <c r="J134" s="35"/>
      <c r="K134" s="98">
        <f>K133</f>
        <v>26</v>
      </c>
      <c r="L134" s="98">
        <f>+L133+K134</f>
        <v>52</v>
      </c>
      <c r="M134" s="97"/>
      <c r="O134" s="96">
        <v>2</v>
      </c>
      <c r="P134" s="98">
        <f>+P133-R134</f>
        <v>109.19999999999999</v>
      </c>
      <c r="Q134" s="35"/>
      <c r="R134" s="98">
        <f>R133</f>
        <v>36.4</v>
      </c>
      <c r="S134" s="98">
        <f>+S133+R134</f>
        <v>72.8</v>
      </c>
      <c r="T134" s="97"/>
    </row>
    <row r="135" spans="1:20" ht="13.5" thickBot="1">
      <c r="A135" s="35"/>
      <c r="B135" s="98"/>
      <c r="C135" s="35"/>
      <c r="D135" s="98"/>
      <c r="E135" s="98"/>
      <c r="F135" s="35"/>
      <c r="H135" s="99">
        <v>3</v>
      </c>
      <c r="I135" s="100">
        <f>+I134-K135</f>
        <v>52</v>
      </c>
      <c r="J135" s="101"/>
      <c r="K135" s="100">
        <f>K134</f>
        <v>26</v>
      </c>
      <c r="L135" s="100">
        <f>+L134+K135</f>
        <v>78</v>
      </c>
      <c r="M135" s="102"/>
      <c r="O135" s="99">
        <v>3</v>
      </c>
      <c r="P135" s="100">
        <f>+P134-R135</f>
        <v>72.79999999999998</v>
      </c>
      <c r="Q135" s="101"/>
      <c r="R135" s="100">
        <f>R134</f>
        <v>36.4</v>
      </c>
      <c r="S135" s="100">
        <f>+S134+R135</f>
        <v>109.19999999999999</v>
      </c>
      <c r="T135" s="102"/>
    </row>
    <row r="136" spans="1:6" ht="12.75">
      <c r="A136" s="144"/>
      <c r="B136" s="98"/>
      <c r="C136" s="35"/>
      <c r="D136" s="98"/>
      <c r="E136" s="98"/>
      <c r="F136" s="35"/>
    </row>
    <row r="137" spans="1:6" ht="12.75">
      <c r="A137" s="144"/>
      <c r="B137" s="98"/>
      <c r="C137" s="35"/>
      <c r="D137" s="98"/>
      <c r="E137" s="98"/>
      <c r="F137" s="35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7:E18"/>
  <sheetViews>
    <sheetView workbookViewId="0" topLeftCell="A1">
      <selection activeCell="D3" sqref="D1:D3"/>
    </sheetView>
  </sheetViews>
  <sheetFormatPr defaultColWidth="11.421875" defaultRowHeight="12.75"/>
  <cols>
    <col min="4" max="4" width="25.140625" style="0" customWidth="1"/>
  </cols>
  <sheetData>
    <row r="6" ht="13.5" thickBot="1"/>
    <row r="7" spans="2:5" ht="18.75" thickBot="1">
      <c r="B7" s="291" t="s">
        <v>275</v>
      </c>
      <c r="C7" s="292"/>
      <c r="D7" s="292"/>
      <c r="E7" s="293"/>
    </row>
    <row r="10" spans="2:5" ht="12.75">
      <c r="B10" s="31" t="s">
        <v>58</v>
      </c>
      <c r="C10" s="31"/>
      <c r="D10" s="31"/>
      <c r="E10" s="31"/>
    </row>
    <row r="11" spans="2:5" ht="12.75">
      <c r="B11" s="294" t="s">
        <v>19</v>
      </c>
      <c r="C11" s="295"/>
      <c r="D11" s="296"/>
      <c r="E11" s="105">
        <f>INVERSION!D54</f>
        <v>300</v>
      </c>
    </row>
    <row r="12" spans="2:5" ht="12.75">
      <c r="B12" s="294" t="s">
        <v>20</v>
      </c>
      <c r="C12" s="295"/>
      <c r="D12" s="296"/>
      <c r="E12" s="105">
        <f>INVERSION!D55</f>
        <v>150</v>
      </c>
    </row>
    <row r="13" spans="2:5" ht="12.75">
      <c r="B13" s="294" t="s">
        <v>22</v>
      </c>
      <c r="C13" s="295"/>
      <c r="D13" s="296"/>
      <c r="E13" s="105">
        <f>INVERSION!D56</f>
        <v>625</v>
      </c>
    </row>
    <row r="14" spans="2:5" ht="12.75">
      <c r="B14" s="135" t="s">
        <v>57</v>
      </c>
      <c r="C14" s="135"/>
      <c r="D14" s="135"/>
      <c r="E14" s="105">
        <f>INVERSION!D57</f>
        <v>150</v>
      </c>
    </row>
    <row r="15" spans="2:5" ht="12.75">
      <c r="B15" s="294" t="str">
        <f>INVERSION!A58</f>
        <v>Estudio y diseño para la implementación de riego</v>
      </c>
      <c r="C15" s="295"/>
      <c r="D15" s="296"/>
      <c r="E15" s="105">
        <f>INVERSION!D58</f>
        <v>100</v>
      </c>
    </row>
    <row r="16" spans="2:5" ht="12.75">
      <c r="B16" s="294" t="s">
        <v>35</v>
      </c>
      <c r="C16" s="295"/>
      <c r="D16" s="296"/>
      <c r="E16" s="105">
        <f>SUM(E11:E15)</f>
        <v>1325</v>
      </c>
    </row>
    <row r="17" spans="2:5" ht="12.75">
      <c r="B17" s="297" t="s">
        <v>59</v>
      </c>
      <c r="C17" s="298"/>
      <c r="D17" s="299"/>
      <c r="E17" s="303">
        <f>+E16/5</f>
        <v>265</v>
      </c>
    </row>
    <row r="18" spans="2:5" ht="12.75">
      <c r="B18" s="300"/>
      <c r="C18" s="301"/>
      <c r="D18" s="302"/>
      <c r="E18" s="304"/>
    </row>
  </sheetData>
  <mergeCells count="8">
    <mergeCell ref="B7:E7"/>
    <mergeCell ref="B16:D16"/>
    <mergeCell ref="B17:D18"/>
    <mergeCell ref="E17:E18"/>
    <mergeCell ref="B11:D11"/>
    <mergeCell ref="B12:D12"/>
    <mergeCell ref="B13:D13"/>
    <mergeCell ref="B15:D15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N7" sqref="N7"/>
    </sheetView>
  </sheetViews>
  <sheetFormatPr defaultColWidth="11.421875" defaultRowHeight="12.75"/>
  <cols>
    <col min="3" max="13" width="7.7109375" style="0" customWidth="1"/>
  </cols>
  <sheetData>
    <row r="2" ht="13.5" thickBot="1"/>
    <row r="3" spans="1:13" ht="13.5" thickBot="1">
      <c r="A3" s="270" t="s">
        <v>120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3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13.5" thickBo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5">
      <c r="A6" s="106"/>
      <c r="B6" s="107"/>
      <c r="C6" s="108" t="s">
        <v>121</v>
      </c>
      <c r="D6" s="108" t="s">
        <v>41</v>
      </c>
      <c r="E6" s="108" t="s">
        <v>42</v>
      </c>
      <c r="F6" s="108" t="s">
        <v>43</v>
      </c>
      <c r="G6" s="108" t="s">
        <v>44</v>
      </c>
      <c r="H6" s="108" t="s">
        <v>45</v>
      </c>
      <c r="I6" s="108" t="s">
        <v>46</v>
      </c>
      <c r="J6" s="108" t="s">
        <v>47</v>
      </c>
      <c r="K6" s="108" t="s">
        <v>48</v>
      </c>
      <c r="L6" s="108" t="s">
        <v>49</v>
      </c>
      <c r="M6" s="109" t="s">
        <v>50</v>
      </c>
    </row>
    <row r="7" spans="1:13" ht="12.75">
      <c r="A7" s="132" t="s">
        <v>7</v>
      </c>
      <c r="B7" s="110"/>
      <c r="C7" s="111"/>
      <c r="D7" s="22"/>
      <c r="E7" s="22"/>
      <c r="F7" s="22">
        <f>INVERSION!E18</f>
        <v>1950</v>
      </c>
      <c r="G7" s="22"/>
      <c r="H7" s="22"/>
      <c r="I7" s="22">
        <f>F7</f>
        <v>1950</v>
      </c>
      <c r="J7" s="22"/>
      <c r="K7" s="22"/>
      <c r="L7" s="22">
        <f>F7</f>
        <v>1950</v>
      </c>
      <c r="M7" s="23"/>
    </row>
    <row r="8" spans="1:13" ht="12.75">
      <c r="A8" s="132" t="s">
        <v>8</v>
      </c>
      <c r="B8" s="110"/>
      <c r="C8" s="111"/>
      <c r="D8" s="22"/>
      <c r="E8" s="22"/>
      <c r="F8" s="22">
        <f>INVERSION!E19</f>
        <v>130</v>
      </c>
      <c r="G8" s="22"/>
      <c r="H8" s="22"/>
      <c r="I8" s="22">
        <f aca="true" t="shared" si="0" ref="I8:I22">F8</f>
        <v>130</v>
      </c>
      <c r="J8" s="22"/>
      <c r="K8" s="22"/>
      <c r="L8" s="22">
        <f aca="true" t="shared" si="1" ref="L8:L22">F8</f>
        <v>130</v>
      </c>
      <c r="M8" s="23"/>
    </row>
    <row r="9" spans="1:13" ht="12.75">
      <c r="A9" s="132" t="s">
        <v>9</v>
      </c>
      <c r="B9" s="110"/>
      <c r="C9" s="111"/>
      <c r="D9" s="22"/>
      <c r="E9" s="22"/>
      <c r="F9" s="22">
        <f>INVERSION!E20</f>
        <v>182</v>
      </c>
      <c r="G9" s="22"/>
      <c r="H9" s="22"/>
      <c r="I9" s="22">
        <f t="shared" si="0"/>
        <v>182</v>
      </c>
      <c r="J9" s="22"/>
      <c r="K9" s="22"/>
      <c r="L9" s="22">
        <f t="shared" si="1"/>
        <v>182</v>
      </c>
      <c r="M9" s="23"/>
    </row>
    <row r="10" spans="1:13" ht="12.75">
      <c r="A10" s="132" t="s">
        <v>17</v>
      </c>
      <c r="B10" s="110"/>
      <c r="C10" s="111"/>
      <c r="D10" s="22"/>
      <c r="E10" s="22"/>
      <c r="F10" s="22">
        <f>INVERSION!E21</f>
        <v>390</v>
      </c>
      <c r="G10" s="22"/>
      <c r="H10" s="22"/>
      <c r="I10" s="22">
        <f t="shared" si="0"/>
        <v>390</v>
      </c>
      <c r="J10" s="22"/>
      <c r="K10" s="22"/>
      <c r="L10" s="22">
        <f t="shared" si="1"/>
        <v>390</v>
      </c>
      <c r="M10" s="23"/>
    </row>
    <row r="11" spans="1:13" ht="12.75">
      <c r="A11" s="132" t="s">
        <v>10</v>
      </c>
      <c r="B11" s="110"/>
      <c r="C11" s="111"/>
      <c r="D11" s="22"/>
      <c r="E11" s="22"/>
      <c r="F11" s="22">
        <f>INVERSION!E22</f>
        <v>182</v>
      </c>
      <c r="G11" s="22"/>
      <c r="H11" s="22"/>
      <c r="I11" s="22">
        <f t="shared" si="0"/>
        <v>182</v>
      </c>
      <c r="J11" s="22"/>
      <c r="K11" s="22"/>
      <c r="L11" s="22">
        <f t="shared" si="1"/>
        <v>182</v>
      </c>
      <c r="M11" s="23"/>
    </row>
    <row r="12" spans="1:13" ht="12.75">
      <c r="A12" s="132" t="s">
        <v>11</v>
      </c>
      <c r="B12" s="110"/>
      <c r="C12" s="111"/>
      <c r="D12" s="22"/>
      <c r="E12" s="22"/>
      <c r="F12" s="22">
        <f>INVERSION!E23</f>
        <v>260</v>
      </c>
      <c r="G12" s="22"/>
      <c r="H12" s="22"/>
      <c r="I12" s="22">
        <f t="shared" si="0"/>
        <v>260</v>
      </c>
      <c r="J12" s="22"/>
      <c r="K12" s="22"/>
      <c r="L12" s="22">
        <f t="shared" si="1"/>
        <v>260</v>
      </c>
      <c r="M12" s="23"/>
    </row>
    <row r="13" spans="1:13" ht="12.75">
      <c r="A13" s="132" t="s">
        <v>32</v>
      </c>
      <c r="B13" s="110"/>
      <c r="C13" s="111"/>
      <c r="D13" s="22"/>
      <c r="E13" s="22"/>
      <c r="F13" s="22">
        <f>INVERSION!E24</f>
        <v>52</v>
      </c>
      <c r="G13" s="22"/>
      <c r="H13" s="22"/>
      <c r="I13" s="22">
        <f t="shared" si="0"/>
        <v>52</v>
      </c>
      <c r="J13" s="22"/>
      <c r="K13" s="22"/>
      <c r="L13" s="22">
        <f t="shared" si="1"/>
        <v>52</v>
      </c>
      <c r="M13" s="23"/>
    </row>
    <row r="14" spans="1:13" ht="12.75">
      <c r="A14" s="132" t="s">
        <v>86</v>
      </c>
      <c r="B14" s="110"/>
      <c r="C14" s="111"/>
      <c r="D14" s="22"/>
      <c r="E14" s="22"/>
      <c r="F14" s="22">
        <f>INVERSION!E25</f>
        <v>52</v>
      </c>
      <c r="G14" s="22"/>
      <c r="H14" s="22"/>
      <c r="I14" s="22">
        <f t="shared" si="0"/>
        <v>52</v>
      </c>
      <c r="J14" s="22"/>
      <c r="K14" s="22"/>
      <c r="L14" s="22">
        <f t="shared" si="1"/>
        <v>52</v>
      </c>
      <c r="M14" s="23"/>
    </row>
    <row r="15" spans="1:13" ht="12.75">
      <c r="A15" s="136" t="s">
        <v>98</v>
      </c>
      <c r="B15" s="110"/>
      <c r="C15" s="111"/>
      <c r="D15" s="22"/>
      <c r="E15" s="22"/>
      <c r="F15" s="22">
        <f>INVERSION!E26</f>
        <v>3</v>
      </c>
      <c r="G15" s="22"/>
      <c r="H15" s="22"/>
      <c r="I15" s="22">
        <f t="shared" si="0"/>
        <v>3</v>
      </c>
      <c r="J15" s="22"/>
      <c r="K15" s="22"/>
      <c r="L15" s="22">
        <f t="shared" si="1"/>
        <v>3</v>
      </c>
      <c r="M15" s="23"/>
    </row>
    <row r="16" spans="1:13" ht="12.75">
      <c r="A16" s="132" t="s">
        <v>92</v>
      </c>
      <c r="B16" s="110"/>
      <c r="C16" s="111"/>
      <c r="D16" s="22"/>
      <c r="E16" s="22"/>
      <c r="F16" s="22">
        <f>INVERSION!E27</f>
        <v>52</v>
      </c>
      <c r="G16" s="22"/>
      <c r="H16" s="22"/>
      <c r="I16" s="22">
        <f t="shared" si="0"/>
        <v>52</v>
      </c>
      <c r="J16" s="22"/>
      <c r="K16" s="22"/>
      <c r="L16" s="22">
        <f t="shared" si="1"/>
        <v>52</v>
      </c>
      <c r="M16" s="23"/>
    </row>
    <row r="17" spans="1:13" ht="12.75">
      <c r="A17" s="132" t="s">
        <v>15</v>
      </c>
      <c r="B17" s="110"/>
      <c r="C17" s="111"/>
      <c r="D17" s="22"/>
      <c r="E17" s="22"/>
      <c r="F17" s="22">
        <f>INVERSION!E31</f>
        <v>2200</v>
      </c>
      <c r="G17" s="22"/>
      <c r="H17" s="22"/>
      <c r="I17" s="22">
        <f t="shared" si="0"/>
        <v>2200</v>
      </c>
      <c r="J17" s="22"/>
      <c r="K17" s="22"/>
      <c r="L17" s="22">
        <f t="shared" si="1"/>
        <v>2200</v>
      </c>
      <c r="M17" s="23"/>
    </row>
    <row r="18" spans="1:13" ht="12.75">
      <c r="A18" s="132" t="s">
        <v>56</v>
      </c>
      <c r="B18" s="110"/>
      <c r="C18" s="111"/>
      <c r="D18" s="22"/>
      <c r="E18" s="22"/>
      <c r="F18" s="22">
        <f>INVERSION!E32</f>
        <v>50</v>
      </c>
      <c r="G18" s="22"/>
      <c r="H18" s="22"/>
      <c r="I18" s="22">
        <f t="shared" si="0"/>
        <v>50</v>
      </c>
      <c r="J18" s="22"/>
      <c r="K18" s="22"/>
      <c r="L18" s="22">
        <f t="shared" si="1"/>
        <v>50</v>
      </c>
      <c r="M18" s="23"/>
    </row>
    <row r="19" spans="1:13" ht="12.75">
      <c r="A19" s="132" t="s">
        <v>270</v>
      </c>
      <c r="B19" s="110"/>
      <c r="C19" s="111"/>
      <c r="D19" s="22"/>
      <c r="E19" s="22"/>
      <c r="F19" s="22">
        <f>INVERSION!E33</f>
        <v>300</v>
      </c>
      <c r="G19" s="22"/>
      <c r="H19" s="22"/>
      <c r="I19" s="22">
        <f t="shared" si="0"/>
        <v>300</v>
      </c>
      <c r="J19" s="22"/>
      <c r="K19" s="22"/>
      <c r="L19" s="22">
        <f t="shared" si="1"/>
        <v>300</v>
      </c>
      <c r="M19" s="23"/>
    </row>
    <row r="20" spans="1:13" ht="12.75">
      <c r="A20" s="132" t="s">
        <v>37</v>
      </c>
      <c r="B20" s="110"/>
      <c r="C20" s="111"/>
      <c r="D20" s="22"/>
      <c r="E20" s="22"/>
      <c r="F20" s="22">
        <f>INVERSION!E34</f>
        <v>100</v>
      </c>
      <c r="G20" s="22"/>
      <c r="H20" s="22"/>
      <c r="I20" s="22">
        <f t="shared" si="0"/>
        <v>100</v>
      </c>
      <c r="J20" s="22"/>
      <c r="K20" s="22"/>
      <c r="L20" s="22">
        <f t="shared" si="1"/>
        <v>100</v>
      </c>
      <c r="M20" s="23"/>
    </row>
    <row r="21" spans="1:13" ht="12.75">
      <c r="A21" s="132" t="s">
        <v>14</v>
      </c>
      <c r="B21" s="110"/>
      <c r="C21" s="111"/>
      <c r="D21" s="22"/>
      <c r="E21" s="22"/>
      <c r="F21" s="22">
        <f>INVERSION!E35</f>
        <v>30</v>
      </c>
      <c r="G21" s="22"/>
      <c r="H21" s="22"/>
      <c r="I21" s="22">
        <f t="shared" si="0"/>
        <v>30</v>
      </c>
      <c r="J21" s="22"/>
      <c r="K21" s="22"/>
      <c r="L21" s="22">
        <f t="shared" si="1"/>
        <v>30</v>
      </c>
      <c r="M21" s="23"/>
    </row>
    <row r="22" spans="1:13" ht="12.75">
      <c r="A22" s="132" t="s">
        <v>13</v>
      </c>
      <c r="B22" s="110"/>
      <c r="C22" s="111"/>
      <c r="D22" s="22"/>
      <c r="E22" s="22"/>
      <c r="F22" s="22">
        <f>INVERSION!E36</f>
        <v>40</v>
      </c>
      <c r="G22" s="22"/>
      <c r="H22" s="22"/>
      <c r="I22" s="22">
        <f t="shared" si="0"/>
        <v>40</v>
      </c>
      <c r="J22" s="22"/>
      <c r="K22" s="22"/>
      <c r="L22" s="22">
        <f t="shared" si="1"/>
        <v>40</v>
      </c>
      <c r="M22" s="23"/>
    </row>
    <row r="23" spans="1:13" ht="13.5" thickBot="1">
      <c r="A23" s="208"/>
      <c r="B23" s="209"/>
      <c r="C23" s="210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3" ht="13.5" thickBot="1">
      <c r="A24" s="112" t="s">
        <v>124</v>
      </c>
      <c r="B24" s="113"/>
      <c r="C24" s="114"/>
      <c r="D24" s="115"/>
      <c r="E24" s="115"/>
      <c r="F24" s="116">
        <f>SUM(F7:F22)</f>
        <v>5973</v>
      </c>
      <c r="G24" s="116"/>
      <c r="H24" s="116"/>
      <c r="I24" s="116">
        <f>SUM(I7:I22)</f>
        <v>5973</v>
      </c>
      <c r="J24" s="116"/>
      <c r="K24" s="116"/>
      <c r="L24" s="116">
        <f>SUM(L7:L22)</f>
        <v>5973</v>
      </c>
      <c r="M24" s="117"/>
    </row>
  </sheetData>
  <mergeCells count="2">
    <mergeCell ref="A5:M5"/>
    <mergeCell ref="A3:M3"/>
  </mergeCells>
  <printOptions/>
  <pageMargins left="1.89" right="0.75" top="1.24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LUCIO VILLACRESES</dc:creator>
  <cp:keywords/>
  <dc:description/>
  <cp:lastModifiedBy>LUIS FERNANDO LUCIO VILLACRESES</cp:lastModifiedBy>
  <cp:lastPrinted>2006-08-12T16:00:26Z</cp:lastPrinted>
  <dcterms:created xsi:type="dcterms:W3CDTF">2006-02-03T01:27:36Z</dcterms:created>
  <dcterms:modified xsi:type="dcterms:W3CDTF">2006-08-12T16:07:51Z</dcterms:modified>
  <cp:category/>
  <cp:version/>
  <cp:contentType/>
  <cp:contentStatus/>
</cp:coreProperties>
</file>