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65431" windowWidth="19170" windowHeight="8775" tabRatio="596" activeTab="8"/>
  </bookViews>
  <sheets>
    <sheet name="PORTADA" sheetId="1" r:id="rId1"/>
    <sheet name="INTRO" sheetId="2" r:id="rId2"/>
    <sheet name="RESUMEN" sheetId="3" r:id="rId3"/>
    <sheet name="TEXTO1" sheetId="4" r:id="rId4"/>
    <sheet name="TEXTO2" sheetId="5" r:id="rId5"/>
    <sheet name="TEXTO3" sheetId="6" r:id="rId6"/>
    <sheet name="TEXTO4" sheetId="7" r:id="rId7"/>
    <sheet name="C1-PRODN" sheetId="8" r:id="rId8"/>
    <sheet name="C2-INV" sheetId="9" r:id="rId9"/>
    <sheet name="C3-COST" sheetId="10" r:id="rId10"/>
    <sheet name="C4-CRON" sheetId="11" r:id="rId11"/>
    <sheet name="C5-FLJO" sheetId="12" r:id="rId12"/>
    <sheet name="C6-CRED" sheetId="13" r:id="rId13"/>
    <sheet name="C7-UTIL" sheetId="14" r:id="rId14"/>
    <sheet name="C8-RENTA" sheetId="15" r:id="rId15"/>
    <sheet name="ANEXO (1)" sheetId="16" r:id="rId16"/>
    <sheet name="ANEXO (2)" sheetId="17" r:id="rId17"/>
    <sheet name="ANEXO (3)" sheetId="18" r:id="rId18"/>
    <sheet name="ANEXO (4)" sheetId="19" r:id="rId19"/>
    <sheet name="ANEXO (5)" sheetId="20" r:id="rId20"/>
    <sheet name="ANEXO (6)" sheetId="21" r:id="rId21"/>
    <sheet name="ANEXO (7)" sheetId="22" r:id="rId22"/>
    <sheet name="ANEXO (8)" sheetId="23" r:id="rId23"/>
    <sheet name="ANEXO (9)" sheetId="24" r:id="rId24"/>
    <sheet name="ANEXO (10)" sheetId="25" r:id="rId25"/>
  </sheets>
  <definedNames>
    <definedName name="_xlnm.Print_Area" localSheetId="15">'ANEXO (1)'!$A$1:$U$87</definedName>
    <definedName name="_xlnm.Print_Area" localSheetId="24">'ANEXO (10)'!$A$1:$U$87</definedName>
    <definedName name="_xlnm.Print_Area" localSheetId="16">'ANEXO (2)'!$A$1:$U$87</definedName>
    <definedName name="_xlnm.Print_Area" localSheetId="17">'ANEXO (3)'!$A$1:$U$87</definedName>
    <definedName name="_xlnm.Print_Area" localSheetId="18">'ANEXO (4)'!$A$1:$U$87</definedName>
    <definedName name="_xlnm.Print_Area" localSheetId="19">'ANEXO (5)'!$A$1:$U$86</definedName>
    <definedName name="_xlnm.Print_Area" localSheetId="20">'ANEXO (6)'!$A$1:$U$86</definedName>
    <definedName name="_xlnm.Print_Area" localSheetId="21">'ANEXO (7)'!$A$1:$U$87</definedName>
    <definedName name="_xlnm.Print_Area" localSheetId="22">'ANEXO (8)'!$A$1:$U$86</definedName>
    <definedName name="_xlnm.Print_Area" localSheetId="23">'ANEXO (9)'!$A$1:$U$87</definedName>
    <definedName name="_xlnm.Print_Area" localSheetId="7">'C1-PRODN'!$A$1:$R$40</definedName>
    <definedName name="_xlnm.Print_Area" localSheetId="8">'C2-INV'!$A$1:$U$73</definedName>
    <definedName name="_xlnm.Print_Area" localSheetId="9">'C3-COST'!$A$1:$L$46</definedName>
    <definedName name="_xlnm.Print_Area" localSheetId="11">'C5-FLJO'!$A$1:$Q$64</definedName>
    <definedName name="_xlnm.Print_Area" localSheetId="12">'C6-CRED'!$A$1:$L$46</definedName>
    <definedName name="_xlnm.Print_Area" localSheetId="13">'C7-UTIL'!$A$1:$Q$60</definedName>
    <definedName name="_xlnm.Print_Area" localSheetId="14">'C8-RENTA'!$A$1:$Q$59</definedName>
    <definedName name="_xlnm.Print_Area" localSheetId="1">'INTRO'!$A$1:$L$56</definedName>
    <definedName name="_xlnm.Print_Area" localSheetId="0">'PORTADA'!$A$1:$M$53</definedName>
    <definedName name="_xlnm.Print_Area" localSheetId="2">'RESUMEN'!$A$1:$Q$71</definedName>
    <definedName name="_xlnm.Print_Area" localSheetId="3">'TEXTO1'!$A$1:$R$57</definedName>
    <definedName name="_xlnm.Print_Area" localSheetId="4">'TEXTO2'!$A$1:$R$53</definedName>
    <definedName name="_xlnm.Print_Area" localSheetId="5">'TEXTO3'!$A$1:$R$54</definedName>
    <definedName name="_xlnm.Print_Area" localSheetId="6">'TEXTO4'!$A$1:$R$54</definedName>
  </definedNames>
  <calcPr fullCalcOnLoad="1"/>
</workbook>
</file>

<file path=xl/comments10.xml><?xml version="1.0" encoding="utf-8"?>
<comments xmlns="http://schemas.openxmlformats.org/spreadsheetml/2006/main">
  <authors>
    <author>Dino Francescutti</author>
    <author>A satisfied Microsoft Office user</author>
    <author>*</author>
  </authors>
  <commentList>
    <comment ref="F12" authorId="0">
      <text>
        <r>
          <rPr>
            <sz val="8"/>
            <rFont val="Tahoma"/>
            <family val="2"/>
          </rPr>
          <t xml:space="preserve">
</t>
        </r>
        <r>
          <rPr>
            <sz val="9"/>
            <rFont val="Tahoma"/>
            <family val="2"/>
          </rPr>
          <t xml:space="preserve">Insertar el tipo de período considerado: día, semana, mes o año.
</t>
        </r>
      </text>
    </comment>
    <comment ref="C13" authorId="1">
      <text>
        <r>
          <rPr>
            <sz val="8"/>
            <rFont val="Tahoma"/>
            <family val="0"/>
          </rPr>
          <t xml:space="preserve">
</t>
        </r>
        <r>
          <rPr>
            <sz val="9"/>
            <rFont val="Tahoma"/>
            <family val="2"/>
          </rPr>
          <t>Insertar las personas empleadas en la finca o empresa, pero cuyo trabajo no se vincula directamente con un producto especifico. 
Este personal podría incluir el gerente (y sub-gerentes en comercialización, materia prima, personal, etc. si la empresa es suficientemente grande), los de la unidad de contabilidad y administración, el chofer del camion o vehiculo de uso general, guardias, ingenieros de mantenimiento etc.
El tiempo (y costo) de los labradores y otros trabajadores en la finca o empresa deben ser considerados (cuando sea posible) en los Anexos de productos o bloques.</t>
        </r>
      </text>
    </comment>
    <comment ref="G13" authorId="1">
      <text>
        <r>
          <rPr>
            <sz val="8"/>
            <rFont val="Tahoma"/>
            <family val="0"/>
          </rPr>
          <t xml:space="preserve">
</t>
        </r>
        <r>
          <rPr>
            <sz val="9"/>
            <rFont val="Tahoma"/>
            <family val="2"/>
          </rPr>
          <t>Indicar el número de personas en cada categoría. Si hay solamente una persona (ej. un gerente) poner "1"</t>
        </r>
      </text>
    </comment>
    <comment ref="H13" authorId="1">
      <text>
        <r>
          <rPr>
            <sz val="8"/>
            <rFont val="Tahoma"/>
            <family val="0"/>
          </rPr>
          <t xml:space="preserve">
</t>
        </r>
        <r>
          <rPr>
            <sz val="9"/>
            <rFont val="Tahoma"/>
            <family val="2"/>
          </rPr>
          <t>Determinar el período de pago de las personas en la categoría (p.ej. jornal, semana, mes, año, etc.) y calcular el sueldo básico por cada período.</t>
        </r>
      </text>
    </comment>
    <comment ref="I13" authorId="1">
      <text>
        <r>
          <rPr>
            <sz val="8"/>
            <rFont val="Tahoma"/>
            <family val="0"/>
          </rPr>
          <t xml:space="preserve">
</t>
        </r>
        <r>
          <rPr>
            <sz val="9"/>
            <rFont val="Tahoma"/>
            <family val="2"/>
          </rPr>
          <t>El número de períodos por año depende en el período seleccionado (véase columna anterior). Si es un jornal, habrán 365 días por año si son pagados  todos los días. Si es un mes, habrán 12 por año.</t>
        </r>
      </text>
    </comment>
    <comment ref="J13" authorId="1">
      <text>
        <r>
          <rPr>
            <sz val="9"/>
            <rFont val="Tahoma"/>
            <family val="2"/>
          </rPr>
          <t xml:space="preserve">
En esta columna se agregan los costos asociados con el puesto, incluyendo prestaciones sociales (aproximadamente un 35%), viaticos (si la posición requiere viajes de negocio), uniformes, etc.</t>
        </r>
      </text>
    </comment>
    <comment ref="K13" authorId="1">
      <text>
        <r>
          <rPr>
            <sz val="8"/>
            <rFont val="Tahoma"/>
            <family val="0"/>
          </rPr>
          <t xml:space="preserve">
</t>
        </r>
        <r>
          <rPr>
            <sz val="9"/>
            <rFont val="Tahoma"/>
            <family val="2"/>
          </rPr>
          <t>El costo total por categoría se calcula automaticamente. No hay que insertar datos aqui.</t>
        </r>
      </text>
    </comment>
    <comment ref="C25" authorId="1">
      <text>
        <r>
          <rPr>
            <sz val="9"/>
            <rFont val="Tahoma"/>
            <family val="2"/>
          </rPr>
          <t xml:space="preserve">
La categoría "otros" abarca cualquier gasto que no esta asociado con un producto específico ni de personal.
Podrían incluir: agua, luz, teléfono, impuestos sobre el terreno, operación de un vehiculo de uso general, seguro, ropa protectiva para aplicación de insecticidas, etc.</t>
        </r>
      </text>
    </comment>
    <comment ref="G26" authorId="1">
      <text>
        <r>
          <rPr>
            <sz val="8"/>
            <rFont val="Tahoma"/>
            <family val="0"/>
          </rPr>
          <t xml:space="preserve">
</t>
        </r>
        <r>
          <rPr>
            <sz val="9"/>
            <rFont val="Tahoma"/>
            <family val="2"/>
          </rPr>
          <t>Especificar la unidad de medida de la categoría. Para muchos gastos es más facil pensar en términos de un mes (ej. luz, agua. teléfono, etc.), pero puede ser por kilometro (gastos del vehiculo) o por año (seguro o impuestos).</t>
        </r>
      </text>
    </comment>
    <comment ref="H26" authorId="1">
      <text>
        <r>
          <rPr>
            <sz val="8"/>
            <rFont val="Tahoma"/>
            <family val="0"/>
          </rPr>
          <t xml:space="preserve">
</t>
        </r>
        <r>
          <rPr>
            <sz val="9"/>
            <rFont val="Tahoma"/>
            <family val="2"/>
          </rPr>
          <t>Insertar el número de unidades (meses, kilometros, etc.) por año.</t>
        </r>
      </text>
    </comment>
    <comment ref="I26" authorId="1">
      <text>
        <r>
          <rPr>
            <sz val="8"/>
            <rFont val="Tahoma"/>
            <family val="0"/>
          </rPr>
          <t xml:space="preserve">
</t>
        </r>
        <r>
          <rPr>
            <sz val="9"/>
            <rFont val="Tahoma"/>
            <family val="2"/>
          </rPr>
          <t>Determinar o estimar el costo por unidad incluyendo impuestos y, cuando sea aplicable, entrega del punto de compra a la finca.</t>
        </r>
      </text>
    </comment>
    <comment ref="K26" authorId="1">
      <text>
        <r>
          <rPr>
            <sz val="9"/>
            <rFont val="Tahoma"/>
            <family val="2"/>
          </rPr>
          <t xml:space="preserve">
Se calcula el costo total de otros costos indirectos automaticamente.
No hay que insertar datos en esta celda.</t>
        </r>
      </text>
    </comment>
    <comment ref="I43" authorId="2">
      <text>
        <r>
          <rPr>
            <sz val="8"/>
            <rFont val="Tahoma"/>
            <family val="0"/>
          </rPr>
          <t xml:space="preserve">
</t>
        </r>
        <r>
          <rPr>
            <sz val="9"/>
            <rFont val="Tahoma"/>
            <family val="2"/>
          </rPr>
          <t xml:space="preserve">En base al uso de mano de obra para tareas indirectas (es decir, que no son de producción), estimar el número de años - persona equivalentes (aproximadamente 275 jornales por año equivalente)
</t>
        </r>
      </text>
    </comment>
  </commentList>
</comments>
</file>

<file path=xl/comments11.xml><?xml version="1.0" encoding="utf-8"?>
<comments xmlns="http://schemas.openxmlformats.org/spreadsheetml/2006/main">
  <authors>
    <author>A satisfied Microsoft Office user</author>
    <author>Dino Francescutti</author>
  </authors>
  <commentList>
    <comment ref="H7" authorId="0">
      <text>
        <r>
          <rPr>
            <sz val="10"/>
            <rFont val="Tahoma"/>
            <family val="2"/>
          </rPr>
          <t xml:space="preserve">
Indicar el mes del año en que se espera arrancar el subproyecto. De esto mes en adelante, el subproyecto tendrá que soportar costos de producción y costos indirectos.
Si la(s) actividad(es) no será(n) afectadas por el mes en que empieza el subproyecto (p.ej. artesanías, porque los gastos y los ingresos son iguales en todos los meses) se puede seleccionar </t>
        </r>
        <r>
          <rPr>
            <u val="single"/>
            <sz val="10"/>
            <rFont val="Tahoma"/>
            <family val="2"/>
          </rPr>
          <t>enero</t>
        </r>
        <r>
          <rPr>
            <sz val="10"/>
            <rFont val="Tahoma"/>
            <family val="2"/>
          </rPr>
          <t>.</t>
        </r>
      </text>
    </comment>
    <comment ref="E11" authorId="1">
      <text>
        <r>
          <rPr>
            <sz val="10"/>
            <rFont val="Tahoma"/>
            <family val="2"/>
          </rPr>
          <t xml:space="preserve">
Completar el resto del renglón cronológicamente partiendo del mes de inicio. 
</t>
        </r>
      </text>
    </comment>
  </commentList>
</comments>
</file>

<file path=xl/comments12.xml><?xml version="1.0" encoding="utf-8"?>
<comments xmlns="http://schemas.openxmlformats.org/spreadsheetml/2006/main">
  <authors>
    <author>A satisfied Microsoft Office user</author>
    <author>*</author>
  </authors>
  <commentList>
    <comment ref="D12" authorId="0">
      <text>
        <r>
          <rPr>
            <sz val="10"/>
            <rFont val="Tahoma"/>
            <family val="2"/>
          </rPr>
          <t xml:space="preserve">
Indicar abajo los bloques que generán ingresos durante el primer año. </t>
        </r>
      </text>
    </comment>
    <comment ref="D27" authorId="0">
      <text>
        <r>
          <rPr>
            <sz val="8"/>
            <rFont val="Tahoma"/>
            <family val="0"/>
          </rPr>
          <t xml:space="preserve">
</t>
        </r>
        <r>
          <rPr>
            <sz val="10"/>
            <rFont val="Tahoma"/>
            <family val="2"/>
          </rPr>
          <t xml:space="preserve">Indicar abajo los bloques en producción o cultivo durante el primer año.
</t>
        </r>
      </text>
    </comment>
    <comment ref="D42" authorId="0">
      <text>
        <r>
          <rPr>
            <sz val="8"/>
            <rFont val="Tahoma"/>
            <family val="0"/>
          </rPr>
          <t xml:space="preserve">
</t>
        </r>
        <r>
          <rPr>
            <sz val="10"/>
            <rFont val="Tahoma"/>
            <family val="2"/>
          </rPr>
          <t>Los costos de mantenimiento son insertados automaticamente, utilzando las cifras calculadas en Cuadro 2.
No hay que insertar datos en estas celdas.</t>
        </r>
      </text>
    </comment>
    <comment ref="D45" authorId="0">
      <text>
        <r>
          <rPr>
            <sz val="8"/>
            <rFont val="Tahoma"/>
            <family val="0"/>
          </rPr>
          <t xml:space="preserve">
</t>
        </r>
        <r>
          <rPr>
            <sz val="10"/>
            <rFont val="Tahoma"/>
            <family val="2"/>
          </rPr>
          <t>Los costos indirectos o fijos son insertidos automaticamente, utilizando las cifras calculadas en Cuadro 2 (Columnas 5 y 9).
No hay que insertar datos en estas celdas.</t>
        </r>
      </text>
    </comment>
    <comment ref="D54" authorId="0">
      <text>
        <r>
          <rPr>
            <sz val="8"/>
            <rFont val="Tahoma"/>
            <family val="0"/>
          </rPr>
          <t xml:space="preserve">
</t>
        </r>
        <r>
          <rPr>
            <sz val="10"/>
            <rFont val="Tahoma"/>
            <family val="2"/>
          </rPr>
          <t>El Flujo de Caja es la diferencia entre los ingresos y los gastos en un período de tiempo. En este modelo se utiliza un período de un mes. Si el flujo es positivo, los ingresos son más grandes que los gastos, y si el flujo es negativo, es el contrario.</t>
        </r>
      </text>
    </comment>
    <comment ref="J63" authorId="0">
      <text>
        <r>
          <rPr>
            <sz val="8"/>
            <rFont val="Tahoma"/>
            <family val="0"/>
          </rPr>
          <t xml:space="preserve">
</t>
        </r>
        <r>
          <rPr>
            <sz val="10"/>
            <rFont val="Tahoma"/>
            <family val="2"/>
          </rPr>
          <t>Insertar en esta celda cualquier donación o subsidio que recibirá el proyecto en cuanto al Capital de Trabajo.
Si no hay donación, o si el subsidio se trata de un préstamo sin intereses, deje en blanco la celda.
En el caso de una reducción o eliminación de interés en el préstamo de Capital de Trabajo, se puede reflejar esto por modificar la tasa de interés nominal en Cuadro 6, Columna 6.</t>
        </r>
      </text>
    </comment>
    <comment ref="H61" authorId="0">
      <text>
        <r>
          <rPr>
            <sz val="8"/>
            <rFont val="Tahoma"/>
            <family val="0"/>
          </rPr>
          <t xml:space="preserve">
</t>
        </r>
        <r>
          <rPr>
            <sz val="10"/>
            <rFont val="Tahoma"/>
            <family val="2"/>
          </rPr>
          <t xml:space="preserve">Hay que determinar los requerimientos de Capital de Trabajo  en base al flujo de caja arriba. La computadora ofrece una sugerencia inicial calculado del total de flujos negativos durante el primer año de operación. 
</t>
        </r>
      </text>
    </comment>
    <comment ref="D48" authorId="1">
      <text>
        <r>
          <rPr>
            <sz val="9"/>
            <rFont val="Tahoma"/>
            <family val="2"/>
          </rPr>
          <t xml:space="preserve">
Se puede utilizar esta línea para insertar otros costos de importancia no incluidos arriba.
En partticular, la línea puede ser útil para incluir los costos básicos de "mantenimiento" del inversionista, sea individuo, famila, grupo  etc. Tales costos podrían incluir fondos para la compra de alimentos  educación, atención médica etc. Hay que tener cuidado en no aumentar esta categoría con costos no esenciales, porque podría hacer no factible la inversión. </t>
        </r>
      </text>
    </comment>
    <comment ref="P61" authorId="0">
      <text>
        <r>
          <rPr>
            <sz val="8"/>
            <rFont val="Tahoma"/>
            <family val="0"/>
          </rPr>
          <t xml:space="preserve">
</t>
        </r>
        <r>
          <rPr>
            <sz val="10"/>
            <rFont val="Tahoma"/>
            <family val="2"/>
          </rPr>
          <t xml:space="preserve">Estimar el número de meses de capital de trabajo que se va necesitar. 
Típicamente, se pide un préstamo de Capital de Trabajo que cubrirá los meses de flujo negativo, más unos meses adicionales para acumular fondos para cancelar la deuda.
Sin embargo, no hay una norma rigida, y se debe usar su juicio en determinar la duración del préstamo. </t>
        </r>
      </text>
    </comment>
    <comment ref="D57" authorId="0">
      <text>
        <r>
          <rPr>
            <sz val="8"/>
            <rFont val="Tahoma"/>
            <family val="0"/>
          </rPr>
          <t xml:space="preserve">
</t>
        </r>
        <r>
          <rPr>
            <sz val="10"/>
            <rFont val="Tahoma"/>
            <family val="2"/>
          </rPr>
          <t>El Flujo de Caja acumulado es la suma progresiva de flujos de caja mensuales.</t>
        </r>
      </text>
    </comment>
  </commentList>
</comments>
</file>

<file path=xl/comments13.xml><?xml version="1.0" encoding="utf-8"?>
<comments xmlns="http://schemas.openxmlformats.org/spreadsheetml/2006/main">
  <authors>
    <author>A satisfied Microsoft Office user</author>
    <author>*</author>
  </authors>
  <commentList>
    <comment ref="F11" authorId="0">
      <text>
        <r>
          <rPr>
            <sz val="8"/>
            <rFont val="Tahoma"/>
            <family val="0"/>
          </rPr>
          <t xml:space="preserve">
</t>
        </r>
        <r>
          <rPr>
            <sz val="10"/>
            <rFont val="Tahoma"/>
            <family val="2"/>
          </rPr>
          <t>El monto total de cada tipo de préstamo (Capital de Trabajo, Principal y Secundario) se insertan automaticamente en base a cifras en los cuadros 2 y 5.</t>
        </r>
      </text>
    </comment>
    <comment ref="G11" authorId="0">
      <text>
        <r>
          <rPr>
            <sz val="8"/>
            <rFont val="Tahoma"/>
            <family val="0"/>
          </rPr>
          <t xml:space="preserve">
</t>
        </r>
        <r>
          <rPr>
            <sz val="10"/>
            <rFont val="Tahoma"/>
            <family val="2"/>
          </rPr>
          <t>La duración del préstamo Principal y del Capital de Trabajo se insertan automaticamente en base a elecciones especificadas en los cuadros anteriores (Cuadro 2 y 5). La duración del préstamo secundario (si existe) hay que insertar manualmente.</t>
        </r>
      </text>
    </comment>
    <comment ref="H11" authorId="0">
      <text>
        <r>
          <rPr>
            <sz val="8"/>
            <rFont val="Tahoma"/>
            <family val="0"/>
          </rPr>
          <t xml:space="preserve">
</t>
        </r>
        <r>
          <rPr>
            <sz val="10"/>
            <rFont val="Tahoma"/>
            <family val="2"/>
          </rPr>
          <t xml:space="preserve">Si el proyecto o agencia financiera ofrece períodos de gracia en cuanto a interés o capital para los préstamos, se puede indicarles aca. No se contempla períodos de gracia en cuanto a préstamos de Capital de Trabajo.
Un período de gracia es un período en que el prestamista no exige pago. 
</t>
        </r>
      </text>
    </comment>
    <comment ref="J11" authorId="0">
      <text>
        <r>
          <rPr>
            <sz val="8"/>
            <rFont val="Tahoma"/>
            <family val="0"/>
          </rPr>
          <t xml:space="preserve">
</t>
        </r>
        <r>
          <rPr>
            <sz val="10"/>
            <rFont val="Tahoma"/>
            <family val="2"/>
          </rPr>
          <t>La tasa de Interés nominal es la tasa de interés que se aplica el proyecto o agencia financiera al préstamo.
Inserta la tasa en forma decimal (es decir 14% = 0.14)</t>
        </r>
      </text>
    </comment>
    <comment ref="K11" authorId="0">
      <text>
        <r>
          <rPr>
            <sz val="10"/>
            <rFont val="Tahoma"/>
            <family val="2"/>
          </rPr>
          <t xml:space="preserve">
La tasa de inflación es la tasa calculada por el Banco Central del país. Hay que verificar la tasa actual por medio del proyecto o agencia financiera al momento de llevar a cabo el análisis.
Inserta la tasa en forma decimal (es decir 8% = 0.08)</t>
        </r>
      </text>
    </comment>
    <comment ref="L11" authorId="0">
      <text>
        <r>
          <rPr>
            <sz val="8"/>
            <rFont val="Tahoma"/>
            <family val="0"/>
          </rPr>
          <t xml:space="preserve">
</t>
        </r>
        <r>
          <rPr>
            <sz val="10"/>
            <rFont val="Tahoma"/>
            <family val="2"/>
          </rPr>
          <t xml:space="preserve">La tasa de interés real es la tasa de interés de cada préstamo </t>
        </r>
        <r>
          <rPr>
            <u val="single"/>
            <sz val="10"/>
            <rFont val="Tahoma"/>
            <family val="2"/>
          </rPr>
          <t>menos</t>
        </r>
        <r>
          <rPr>
            <sz val="10"/>
            <rFont val="Tahoma"/>
            <family val="2"/>
          </rPr>
          <t xml:space="preserve"> la tasa de inflación. Es la tasa que usa el modelo en el calculo del costo de financiamiento del proyecto.
Se utiliza la tasa de interés real debido al hecho que todos los costos e ingresos son presentados también en términos reales; es decir en términos de los precios de hoy, sin inflación. Por lo tanto, el costo de dinero (la tasa de interñes) debe seguir el mismo patrón.
Se podría ajustar todas las cifras (ingresos, costos, financiamiento) para tomar en cuenta la inflación, pero el resultado sería un modelo bastante más complejo y grande. Es más simple asumir que la inflación afecta todos los costos e ingresos igualmente, y eliminarlo de todas las cifras (incluyendo la tasa de interés).</t>
        </r>
      </text>
    </comment>
    <comment ref="E25" authorId="0">
      <text>
        <r>
          <rPr>
            <sz val="8"/>
            <rFont val="Tahoma"/>
            <family val="0"/>
          </rPr>
          <t xml:space="preserve">
</t>
        </r>
        <r>
          <rPr>
            <sz val="10"/>
            <rFont val="Tahoma"/>
            <family val="2"/>
          </rPr>
          <t>El pago anual asociado con el crédito principal es el monto que hay que pagar para cumplir con los términos del préstamo.
Si hay períodos de gracia, puede ser que no hay pagos en el primer uno o dos años, o que los pagos son reducidos porque solamente esta incluido el interés.
Una vez comenzados plenamente los pagos,  incluyen el repago del capital del préstamo además del pago de interés.</t>
        </r>
      </text>
    </comment>
    <comment ref="K25" authorId="0">
      <text>
        <r>
          <rPr>
            <sz val="8"/>
            <rFont val="Tahoma"/>
            <family val="0"/>
          </rPr>
          <t xml:space="preserve">
</t>
        </r>
        <r>
          <rPr>
            <sz val="10"/>
            <rFont val="Tahoma"/>
            <family val="2"/>
          </rPr>
          <t>El pago anual asociado con el crédito secundario es el monto que hay que pagar para cumplir con los términos del préstamo.
Si hay períodos de gracia, puede ser que no hay pagos en el primer uno o dos años, o que los pagos son reducidos porque solamente esta incluido el interés.
Una vez comenzados plenamente los pagos,  incluyen el repago del capital del préstamo además del pago de interés.</t>
        </r>
      </text>
    </comment>
    <comment ref="I11" authorId="0">
      <text>
        <r>
          <rPr>
            <sz val="8"/>
            <rFont val="Tahoma"/>
            <family val="0"/>
          </rPr>
          <t xml:space="preserve">
</t>
        </r>
        <r>
          <rPr>
            <sz val="10"/>
            <rFont val="Tahoma"/>
            <family val="2"/>
          </rPr>
          <t xml:space="preserve">Si el proyecto o agencia financiera ofrece períodos de gracia en cuanto a interés o capital para los préstamos, se puede indicarles aca. No se contempla períodos de gracia en cuanto a préstamos de Capital de Trabajo.
Un período de gracia es un período en que el prestamista no exige pago. 
</t>
        </r>
      </text>
    </comment>
    <comment ref="G17" authorId="1">
      <text>
        <r>
          <rPr>
            <sz val="9"/>
            <rFont val="Tahoma"/>
            <family val="2"/>
          </rPr>
          <t xml:space="preserve">
Seleccionar una duración para el préstamo secundario (en años)</t>
        </r>
        <r>
          <rPr>
            <sz val="8"/>
            <rFont val="Tahoma"/>
            <family val="0"/>
          </rPr>
          <t xml:space="preserve">
</t>
        </r>
      </text>
    </comment>
  </commentList>
</comments>
</file>

<file path=xl/comments14.xml><?xml version="1.0" encoding="utf-8"?>
<comments xmlns="http://schemas.openxmlformats.org/spreadsheetml/2006/main">
  <authors>
    <author>A satisfied Microsoft Office user</author>
    <author>*</author>
  </authors>
  <commentList>
    <comment ref="C14" authorId="0">
      <text>
        <r>
          <rPr>
            <sz val="8"/>
            <rFont val="Tahoma"/>
            <family val="0"/>
          </rPr>
          <t xml:space="preserve">
</t>
        </r>
        <r>
          <rPr>
            <sz val="10"/>
            <rFont val="Tahoma"/>
            <family val="2"/>
          </rPr>
          <t xml:space="preserve">Se insertan automaticamente los ingresos para cada año del proyecto, utilizando la cifras calculadas en Cuadro 1. </t>
        </r>
        <r>
          <rPr>
            <sz val="8"/>
            <rFont val="Tahoma"/>
            <family val="0"/>
          </rPr>
          <t xml:space="preserve">
</t>
        </r>
      </text>
    </comment>
    <comment ref="C17" authorId="0">
      <text>
        <r>
          <rPr>
            <sz val="8"/>
            <rFont val="Tahoma"/>
            <family val="0"/>
          </rPr>
          <t xml:space="preserve">
</t>
        </r>
        <r>
          <rPr>
            <sz val="10"/>
            <rFont val="Tahoma"/>
            <family val="2"/>
          </rPr>
          <t xml:space="preserve">Los ingresos que resultan de la venta de los bienes de capital al final de sus vidas útiles. Estos cálculos se realizan automáticamente.
</t>
        </r>
      </text>
    </comment>
    <comment ref="C20" authorId="0">
      <text>
        <r>
          <rPr>
            <sz val="8"/>
            <rFont val="Tahoma"/>
            <family val="0"/>
          </rPr>
          <t xml:space="preserve">
</t>
        </r>
        <r>
          <rPr>
            <sz val="10"/>
            <rFont val="Tahoma"/>
            <family val="2"/>
          </rPr>
          <t>Si se ha insertado un valor para una donación de capital de trabajo al fondo de Cuadro 5, dicho valor sera transferido automaticamente a esta linea.</t>
        </r>
      </text>
    </comment>
    <comment ref="C22" authorId="0">
      <text>
        <r>
          <rPr>
            <sz val="8"/>
            <rFont val="Tahoma"/>
            <family val="0"/>
          </rPr>
          <t xml:space="preserve">
</t>
        </r>
        <r>
          <rPr>
            <sz val="10"/>
            <rFont val="Tahoma"/>
            <family val="2"/>
          </rPr>
          <t>Esta es una categoria abierta, que permite al analista insertar cualquier ingreso adicional. Dicho ingreso podria incluir otras donaciones o ingresos escenciales.</t>
        </r>
      </text>
    </comment>
    <comment ref="C30" authorId="0">
      <text>
        <r>
          <rPr>
            <sz val="8"/>
            <rFont val="Tahoma"/>
            <family val="0"/>
          </rPr>
          <t xml:space="preserve">
</t>
        </r>
        <r>
          <rPr>
            <sz val="10"/>
            <rFont val="Tahoma"/>
            <family val="2"/>
          </rPr>
          <t xml:space="preserve">Se insertan automaticamente los costos para cada año del proyecto, utilizando la cifras calculadas en Cuadro 1. 
</t>
        </r>
        <r>
          <rPr>
            <sz val="8"/>
            <rFont val="Tahoma"/>
            <family val="0"/>
          </rPr>
          <t xml:space="preserve">
</t>
        </r>
      </text>
    </comment>
    <comment ref="C33" authorId="0">
      <text>
        <r>
          <rPr>
            <sz val="10"/>
            <rFont val="Tahoma"/>
            <family val="2"/>
          </rPr>
          <t xml:space="preserve">
Los costos indirectos (o fijos) totales se traen automáticamente del Cuadro 3. El modelo asume que los costos indirectos no cambian año con año.</t>
        </r>
      </text>
    </comment>
    <comment ref="C36" authorId="0">
      <text>
        <r>
          <rPr>
            <sz val="8"/>
            <rFont val="Tahoma"/>
            <family val="0"/>
          </rPr>
          <t xml:space="preserve">
</t>
        </r>
        <r>
          <rPr>
            <sz val="10"/>
            <rFont val="Tahoma"/>
            <family val="2"/>
          </rPr>
          <t>Los costos totales de mantenimiento se traen automáticamente del Cuadro 2.. El modelo asume que los costos de mantenimiento no cambian año con año.</t>
        </r>
        <r>
          <rPr>
            <sz val="8"/>
            <rFont val="Tahoma"/>
            <family val="0"/>
          </rPr>
          <t xml:space="preserve">
</t>
        </r>
      </text>
    </comment>
    <comment ref="C46" authorId="0">
      <text>
        <r>
          <rPr>
            <sz val="8"/>
            <rFont val="Tahoma"/>
            <family val="0"/>
          </rPr>
          <t xml:space="preserve">
</t>
        </r>
        <r>
          <rPr>
            <sz val="10"/>
            <rFont val="Tahoma"/>
            <family val="2"/>
          </rPr>
          <t>La utilidad antes de financiamiento significa los ingresos netos del proyecto antes de tomar en cuenta el costo de los préstamos utilizados, o los impuestos sobre la renta que podrían ser cobrados.</t>
        </r>
      </text>
    </comment>
    <comment ref="C49" authorId="0">
      <text>
        <r>
          <rPr>
            <sz val="8"/>
            <rFont val="Tahoma"/>
            <family val="0"/>
          </rPr>
          <t xml:space="preserve">
</t>
        </r>
        <r>
          <rPr>
            <sz val="10"/>
            <rFont val="Tahoma"/>
            <family val="2"/>
          </rPr>
          <t>El costo de financiamiento (Capital de Trabajo,  Largo y Mediano plazo) es calculado automaticamente por el modelo y las cifras apropiadas insertadas en cada año.</t>
        </r>
      </text>
    </comment>
    <comment ref="C50" authorId="1">
      <text>
        <r>
          <rPr>
            <sz val="8"/>
            <rFont val="Tahoma"/>
            <family val="0"/>
          </rPr>
          <t xml:space="preserve">
</t>
        </r>
        <r>
          <rPr>
            <sz val="10"/>
            <rFont val="Tahoma"/>
            <family val="2"/>
          </rPr>
          <t>Si la utilidad después de financiamiento en año 1 es negativo o no es mayor que la necesidad de capital de trabajo en año 1, el modelo automaticamente repetirá el préstamo de capital de trabajo en año 2 (y, por lo tanto, pagar interéses en año 2). No se cobra principal ni en el año 1 ni en el año 2</t>
        </r>
        <r>
          <rPr>
            <sz val="8"/>
            <rFont val="Tahoma"/>
            <family val="0"/>
          </rPr>
          <t xml:space="preserve">
</t>
        </r>
      </text>
    </comment>
    <comment ref="C51" authorId="1">
      <text>
        <r>
          <rPr>
            <sz val="8"/>
            <rFont val="Tahoma"/>
            <family val="0"/>
          </rPr>
          <t xml:space="preserve">
</t>
        </r>
        <r>
          <rPr>
            <sz val="10"/>
            <rFont val="Tahoma"/>
            <family val="2"/>
          </rPr>
          <t>El número de años en que hay costos de fianciamiento del préstamo depende de la duración del crédito seleccionado en Cuadro 2</t>
        </r>
        <r>
          <rPr>
            <sz val="8"/>
            <rFont val="Tahoma"/>
            <family val="0"/>
          </rPr>
          <t xml:space="preserve">
</t>
        </r>
      </text>
    </comment>
    <comment ref="C52" authorId="1">
      <text>
        <r>
          <rPr>
            <sz val="8"/>
            <rFont val="Tahoma"/>
            <family val="0"/>
          </rPr>
          <t xml:space="preserve">
</t>
        </r>
        <r>
          <rPr>
            <sz val="10"/>
            <rFont val="Tahoma"/>
            <family val="2"/>
          </rPr>
          <t>El número de años en que hay costos de fianciamiento del préstamo depende de la duración del crédito seleccionado en Cuadro 2</t>
        </r>
        <r>
          <rPr>
            <sz val="8"/>
            <rFont val="Tahoma"/>
            <family val="0"/>
          </rPr>
          <t xml:space="preserve">
</t>
        </r>
      </text>
    </comment>
    <comment ref="C59" authorId="1">
      <text>
        <r>
          <rPr>
            <sz val="8"/>
            <rFont val="Tahoma"/>
            <family val="0"/>
          </rPr>
          <t xml:space="preserve">
</t>
        </r>
        <r>
          <rPr>
            <sz val="10"/>
            <rFont val="Tahoma"/>
            <family val="2"/>
          </rPr>
          <t>Este modelo no intenta calcular obligaciones fiscales. Si la inversión genera una utilidad suficiente para attraer impuestos, habrá que sustraer dichos impuestos del flujo de caja.</t>
        </r>
        <r>
          <rPr>
            <sz val="8"/>
            <rFont val="Tahoma"/>
            <family val="0"/>
          </rPr>
          <t xml:space="preserve">
</t>
        </r>
      </text>
    </comment>
    <comment ref="C39" authorId="0">
      <text>
        <r>
          <rPr>
            <sz val="8"/>
            <rFont val="Tahoma"/>
            <family val="0"/>
          </rPr>
          <t xml:space="preserve">
</t>
        </r>
        <r>
          <rPr>
            <sz val="9"/>
            <rFont val="Tahoma"/>
            <family val="2"/>
          </rPr>
          <t>Esta línea permite la inclusión de costos de reemplazo de bienes al final de su vida útil. Este cálculo se realiza automáticamente.</t>
        </r>
        <r>
          <rPr>
            <sz val="8"/>
            <rFont val="Tahoma"/>
            <family val="0"/>
          </rPr>
          <t xml:space="preserve">
 </t>
        </r>
      </text>
    </comment>
  </commentList>
</comments>
</file>

<file path=xl/comments15.xml><?xml version="1.0" encoding="utf-8"?>
<comments xmlns="http://schemas.openxmlformats.org/spreadsheetml/2006/main">
  <authors>
    <author>A satisfied Microsoft Office user</author>
  </authors>
  <commentList>
    <comment ref="C14" authorId="0">
      <text>
        <r>
          <rPr>
            <sz val="8"/>
            <rFont val="Tahoma"/>
            <family val="2"/>
          </rPr>
          <t xml:space="preserve">
</t>
        </r>
        <r>
          <rPr>
            <sz val="9"/>
            <rFont val="Tahoma"/>
            <family val="2"/>
          </rPr>
          <t>Se insertan automaticamente los ingresos para cada año del proyecto, utilizando la cifras calculadas en Cuadro 1.</t>
        </r>
        <r>
          <rPr>
            <sz val="8"/>
            <rFont val="Tahoma"/>
            <family val="2"/>
          </rPr>
          <t xml:space="preserve"> 
</t>
        </r>
      </text>
    </comment>
    <comment ref="C17" authorId="0">
      <text>
        <r>
          <rPr>
            <sz val="8"/>
            <rFont val="Tahoma"/>
            <family val="0"/>
          </rPr>
          <t xml:space="preserve">
</t>
        </r>
        <r>
          <rPr>
            <sz val="9"/>
            <rFont val="Tahoma"/>
            <family val="2"/>
          </rPr>
          <t xml:space="preserve">Los ingresos que resultan de la venta de los bienes de capital al final de sus vidas útiles. Este cálculo se realiza automáticamente.
</t>
        </r>
      </text>
    </comment>
    <comment ref="C20" authorId="0">
      <text>
        <r>
          <rPr>
            <sz val="8"/>
            <rFont val="Tahoma"/>
            <family val="0"/>
          </rPr>
          <t xml:space="preserve">
</t>
        </r>
        <r>
          <rPr>
            <sz val="9"/>
            <rFont val="Tahoma"/>
            <family val="2"/>
          </rPr>
          <t xml:space="preserve">Esta fila incluye dos categorias de ingreso.
Primero, si se ha insertado un valor para una donación de capital de trabajo al fondo de Cuadro 5, dicho valor sera transferido automaticamente a esta linea.
Segundo, el valor del terreno y demás bienes con vida útil remanente debe estar incluido como un ingreso al final del proyecto, dado que dicho valor no se ha disminuido durante los 12 años. Este cálculos se realiza automáticamente.
</t>
        </r>
      </text>
    </comment>
    <comment ref="C23" authorId="0">
      <text>
        <r>
          <rPr>
            <sz val="8"/>
            <rFont val="Tahoma"/>
            <family val="0"/>
          </rPr>
          <t xml:space="preserve">
</t>
        </r>
        <r>
          <rPr>
            <sz val="9"/>
            <rFont val="Tahoma"/>
            <family val="2"/>
          </rPr>
          <t>Esta es una categoria abierta, que permite al analista insertar cualquier ingreso adicional. Dicho ingreso podria incluir otras donaciones o ingresos escenciales.</t>
        </r>
      </text>
    </comment>
    <comment ref="C31" authorId="0">
      <text>
        <r>
          <rPr>
            <sz val="8"/>
            <rFont val="Tahoma"/>
            <family val="0"/>
          </rPr>
          <t xml:space="preserve">
</t>
        </r>
        <r>
          <rPr>
            <sz val="9"/>
            <rFont val="Tahoma"/>
            <family val="2"/>
          </rPr>
          <t xml:space="preserve">Se insertan automaticamente los costos para cada año del proyecto, utilizando la cifras calculadas en Cuadro 1. </t>
        </r>
        <r>
          <rPr>
            <sz val="8"/>
            <rFont val="Tahoma"/>
            <family val="0"/>
          </rPr>
          <t xml:space="preserve">
</t>
        </r>
      </text>
    </comment>
    <comment ref="C34" authorId="0">
      <text>
        <r>
          <rPr>
            <sz val="8"/>
            <rFont val="Tahoma"/>
            <family val="0"/>
          </rPr>
          <t xml:space="preserve">
</t>
        </r>
        <r>
          <rPr>
            <sz val="9"/>
            <rFont val="Tahoma"/>
            <family val="2"/>
          </rPr>
          <t>Los costos indirectos (o fijos) totales se calculan en base a Cuadro 3, y estan insertados automaticamente. El modelo asume que los costos indirectos no cambian año con año.</t>
        </r>
        <r>
          <rPr>
            <sz val="8"/>
            <rFont val="Tahoma"/>
            <family val="0"/>
          </rPr>
          <t xml:space="preserve">
</t>
        </r>
      </text>
    </comment>
    <comment ref="C37" authorId="0">
      <text>
        <r>
          <rPr>
            <sz val="8"/>
            <rFont val="Tahoma"/>
            <family val="0"/>
          </rPr>
          <t xml:space="preserve">
</t>
        </r>
        <r>
          <rPr>
            <sz val="9"/>
            <rFont val="Tahoma"/>
            <family val="2"/>
          </rPr>
          <t>Los costos totales de mantenimiento se calculan en base a Cuadro 2, y estan insertidos automaticamente. El modelo asume que los costos de mantenimiento no cambian de año por año.</t>
        </r>
        <r>
          <rPr>
            <sz val="8"/>
            <rFont val="Tahoma"/>
            <family val="0"/>
          </rPr>
          <t xml:space="preserve">
</t>
        </r>
      </text>
    </comment>
    <comment ref="C40" authorId="0">
      <text>
        <r>
          <rPr>
            <sz val="8"/>
            <rFont val="Tahoma"/>
            <family val="0"/>
          </rPr>
          <t xml:space="preserve">
</t>
        </r>
        <r>
          <rPr>
            <sz val="9"/>
            <rFont val="Tahoma"/>
            <family val="2"/>
          </rPr>
          <t>Esta línea permite la inclusión de costos de reemplazo de bienes al final de su vida útil. Este cálculo se realiza automáticamente.</t>
        </r>
        <r>
          <rPr>
            <sz val="8"/>
            <rFont val="Tahoma"/>
            <family val="0"/>
          </rPr>
          <t xml:space="preserve">
 </t>
        </r>
      </text>
    </comment>
    <comment ref="C43" authorId="0">
      <text>
        <r>
          <rPr>
            <sz val="8"/>
            <rFont val="Tahoma"/>
            <family val="0"/>
          </rPr>
          <t xml:space="preserve">
</t>
        </r>
        <r>
          <rPr>
            <sz val="9"/>
            <rFont val="Tahoma"/>
            <family val="2"/>
          </rPr>
          <t>En el caso del análisis financiero (y no de efectivo) se incluye el costo de la inversión total en el primer año, pero no el costo de financiamiento.
Así, el modelo inserta el total de la inversión (después de subsidios o donaciones) utilizando las cifras generadas en Cuadro 2a, Columna 3.</t>
        </r>
      </text>
    </comment>
    <comment ref="C50" authorId="0">
      <text>
        <r>
          <rPr>
            <sz val="8"/>
            <rFont val="Tahoma"/>
            <family val="0"/>
          </rPr>
          <t xml:space="preserve">
</t>
        </r>
        <r>
          <rPr>
            <sz val="9"/>
            <rFont val="Tahoma"/>
            <family val="2"/>
          </rPr>
          <t>La utilidad antes de financiamiento significa la rentabilidad del proyecto antes de tomar en cuenta el costo de los préstamos utilizados, o los impuestos sobre la renta que podrían ser cobrados.</t>
        </r>
      </text>
    </comment>
    <comment ref="J53" authorId="0">
      <text>
        <r>
          <rPr>
            <sz val="8"/>
            <rFont val="Tahoma"/>
            <family val="0"/>
          </rPr>
          <t xml:space="preserve">
</t>
        </r>
        <r>
          <rPr>
            <sz val="10"/>
            <rFont val="Tahoma"/>
            <family val="2"/>
          </rPr>
          <t>El TIRF y  el VAN deduciendo donaciones, miden la rentabilidad de la inversión directa de los beneficiarios. Los recursos financierso recibidos en donación se restan de la inversión total y por ende no son tomadose en cuenta. Bajo este escenario, se puede visualizar si la inversión es conveniente a los beneficiarios pero no a la sociedad en su conjunto.</t>
        </r>
      </text>
    </comment>
    <comment ref="O53" authorId="0">
      <text>
        <r>
          <rPr>
            <sz val="8"/>
            <rFont val="Tahoma"/>
            <family val="0"/>
          </rPr>
          <t xml:space="preserve">
</t>
        </r>
        <r>
          <rPr>
            <sz val="10"/>
            <rFont val="Tahoma"/>
            <family val="2"/>
          </rPr>
          <t>El TIRF y el VAN sin deducir donaciones, miden la rentabilidad del subproyecto considerando como parte de al inversión los recursos en donación, o sea la rentabilidad de la inversión como si no hubiera habido una donación. Así se ofrece una estimación de la importancia de las donaciones en lograr la rentabilidad de la inversión.</t>
        </r>
      </text>
    </comment>
    <comment ref="I55" authorId="0">
      <text>
        <r>
          <rPr>
            <sz val="10"/>
            <rFont val="Tahoma"/>
            <family val="2"/>
          </rPr>
          <t xml:space="preserve">
La Tasa Interna de Retorno Financiero es la tasa de descuento anual (el inverso de la tasa de interés) que reducirá todos los ingresos netos (es decir después de todos costos menos financiamiento) recibidos durante los años del proyecto a un valor de zero en la actualidad.
En otras palabras, si un inversionista esta considerando colocar dinero en un proyecto, y el proyecto rinde una TIRF de un 10%, solamente debe invertir si el retorno máximo disponible por medio de otras inversiones (acciones, bonos, otros proyectos) es menos de 10% (asumiendo los riesgos de los proyectos son iguales).</t>
        </r>
      </text>
    </comment>
    <comment ref="I57" authorId="0">
      <text>
        <r>
          <rPr>
            <sz val="10"/>
            <rFont val="Tahoma"/>
            <family val="2"/>
          </rPr>
          <t xml:space="preserve">
El Valor Actual Neto es el valor, en dinero de hoy, de todos los ingresos netos recibidos durante el curso del proyecto, después de descontar los beneficios por una tasa seleccionada.
Normalmente, se utiliza una tasa de descuento de un 12% (determinado hacia varios años por el Banco Mundial como el valor verdadero del dinero en una muestra de países).
Un VAN positivo (más que 0) significa que el proyecto puede soportar la tasa de descuento de un 12% y todavía rendir una utilidad.</t>
        </r>
      </text>
    </comment>
  </commentList>
</comments>
</file>

<file path=xl/comments16.xml><?xml version="1.0" encoding="utf-8"?>
<comments xmlns="http://schemas.openxmlformats.org/spreadsheetml/2006/main">
  <authors>
    <author>Un usuario de Microsoft Office satisfecho</author>
    <author>*</author>
  </authors>
  <commentList>
    <comment ref="D7" authorId="0">
      <text>
        <r>
          <rPr>
            <sz val="8"/>
            <rFont val="Tahoma"/>
            <family val="0"/>
          </rPr>
          <t xml:space="preserve">
Insertar el nombre del producto a que se refiere este anexo.
</t>
        </r>
      </text>
    </comment>
    <comment ref="P7" authorId="0">
      <text>
        <r>
          <rPr>
            <sz val="8"/>
            <rFont val="Tahoma"/>
            <family val="0"/>
          </rPr>
          <t xml:space="preserve">
Aqui se refieren a los ciclos de producción del cultivo o producto. Cultivos como hortalizas pueden tener un ciclo de 3 o 4 meses, mientras la producción de aves puede involucrar un ciclo de 2.5 meses. En el caso de artesanías o agroindustría, donde la producción ocure todo el año (o mientras hay materia prima), puede ser más conveniente hablar de un ciclo mensual, dado que muchas de las cuentas (sueldos, electricidad, etc.) se pagan cada mes.
En cuanto a los cultivos perennes, o animales de cría, el ciclo puede durar varios años (poe ejemplo:10 años = 120 meses). Así, se puede calcular todos los gastos de producción (menos la inversión inicial que debe aparacer en Cuadro 6) durante la vida del cultivo o animal, además de calcular los ingresos totales en el mismo período. 
</t>
        </r>
      </text>
    </comment>
    <comment ref="T7" authorId="0">
      <text>
        <r>
          <rPr>
            <sz val="8"/>
            <rFont val="Tahoma"/>
            <family val="0"/>
          </rPr>
          <t xml:space="preserve">
El número de ciclos por año depende en si el proceso de producción ocurre durante todo el año. 
Si la producción es un proceso permanente (por ejemplo un cultivo perenne, avicultura, o artesanías) se divide 12 por la duración de cada ciclo (Celda 2 a la izquierda). Así la avicultura, con una duración de 2.5 meses por ciclo, tendrá 12/2.5 = 4.8 ciclos por año.
Sin embargo, si la producción no es permanente, tiene que identificar el número de ciclos. Así, en una planta agroindustrial que funciona en base a un ciclo mensual, pero solamente opera de junio a diciembre (inclusivo), el número de ciclos será 7. Una hortaliza puede tener un ciclo de 4 meses y ser cultivado en dos ciclos por año.</t>
        </r>
      </text>
    </comment>
    <comment ref="C16" authorId="0">
      <text>
        <r>
          <rPr>
            <sz val="8"/>
            <rFont val="Tahoma"/>
            <family val="0"/>
          </rPr>
          <t xml:space="preserve">
Identificar y insertir las categorías de ingresos que resultan de la produccion del producto o bloque. Dichos ingresos deben resultar del mismo proceso de produccion (p.ej. lana y carne de oveja).</t>
        </r>
      </text>
    </comment>
    <comment ref="F16" authorId="0">
      <text>
        <r>
          <rPr>
            <sz val="8"/>
            <rFont val="Tahoma"/>
            <family val="0"/>
          </rPr>
          <t xml:space="preserve">
Especificar la unidad de venta del producto, sea en kilos, cabezas, piezas, quintales, litros, cajas, etc.</t>
        </r>
      </text>
    </comment>
    <comment ref="H16" authorId="0">
      <text>
        <r>
          <rPr>
            <sz val="8"/>
            <rFont val="Tahoma"/>
            <family val="0"/>
          </rPr>
          <t xml:space="preserve">
Insertar la producción total por unidad de produccion por ciclo en unidades de venta especificadas en Columna 6.
Se debe excluir cualquier proporcion de la produccion que no se puede aprovechar debido a deshechos, perdidas o problemas de calidad. Asi, si se cosecha 5t/ha pero solamente puede utilizar 4.5t, se debe utilizar la segunda cifra.</t>
        </r>
      </text>
    </comment>
    <comment ref="J16" authorId="0">
      <text>
        <r>
          <rPr>
            <sz val="8"/>
            <rFont val="Tahoma"/>
            <family val="0"/>
          </rPr>
          <t xml:space="preserve">
El volumen del producto (en unidades de venta - véase Columna 6) destinado al autoconsumo. Es decir, para que no recibirán los productores dinero en efectivo.</t>
        </r>
      </text>
    </comment>
    <comment ref="L16" authorId="0">
      <text>
        <r>
          <rPr>
            <sz val="8"/>
            <rFont val="Tahoma"/>
            <family val="0"/>
          </rPr>
          <t xml:space="preserve">
El volumen de venta se calcula automaticamente en base a la producción total (Columna 7) menos el autoconsumo (Columna 8).
No se insertir datos en esta celda.</t>
        </r>
      </text>
    </comment>
    <comment ref="N16" authorId="0">
      <text>
        <r>
          <rPr>
            <sz val="8"/>
            <rFont val="Tahoma"/>
            <family val="0"/>
          </rPr>
          <t xml:space="preserve">
Indicar el precio de venta promedio previsto. Si no se vende el producto - ej: se destina al autoconsumo o uso en una planta procesadora - hay que determinar el precio en el mercado más cercano.</t>
        </r>
      </text>
    </comment>
    <comment ref="P16" authorId="0">
      <text>
        <r>
          <rPr>
            <sz val="8"/>
            <rFont val="Tahoma"/>
            <family val="0"/>
          </rPr>
          <t xml:space="preserve">
Si no se entrega el producto al comprador en el sitio de producción (la finca, la planta, etc.), indicar el costo de transporte (por unidad de venta) hasta el punto de venta.</t>
        </r>
      </text>
    </comment>
    <comment ref="R16" authorId="0">
      <text>
        <r>
          <rPr>
            <sz val="8"/>
            <rFont val="Tahoma"/>
            <family val="0"/>
          </rPr>
          <t xml:space="preserve">
El ingreso total anual se calcula automaticamente, por multiplicar el volumen total de producción por ciclo (Columna 7) con el número de ciclos por año (Celda 4). Se multiplica dicho total por el precio de venta (Columna 10) menos el costo de transporte (Columna 11).
No se insertian datos en esta celda.</t>
        </r>
      </text>
    </comment>
    <comment ref="T16" authorId="0">
      <text>
        <r>
          <rPr>
            <sz val="8"/>
            <rFont val="Tahoma"/>
            <family val="0"/>
          </rPr>
          <t xml:space="preserve">
El ingreso anual en efectivo se calcula automaticamente, por multiplicar el volumen de producción vendido por ciclo (Columna 9) con el número de ciclos por año (Celda 4). Se multiplica dicho total por el precio de venta (Columna 10) menos el costo de transporte (Columna 11).
No se insertir datos en esta celda.</t>
        </r>
      </text>
    </comment>
    <comment ref="C35" authorId="0">
      <text>
        <r>
          <rPr>
            <sz val="8"/>
            <rFont val="Tahoma"/>
            <family val="0"/>
          </rPr>
          <t xml:space="preserve">Identificar e insertar las categorías principales de costos que se aplican a la producción del producto.
En el caso de producción agropecuaria, estos costos pueden incluir fertilizantes, semillas, agroquimicos y tratamientos anti-parasiticos, y contenidores para el producto (sacos, cajas, etc.),
También pueden incluir costos de riego (combustible de la bomba) si el riego esta dedicado al cultivo.
</t>
        </r>
      </text>
    </comment>
    <comment ref="F35" authorId="0">
      <text>
        <r>
          <rPr>
            <sz val="8"/>
            <rFont val="Tahoma"/>
            <family val="0"/>
          </rPr>
          <t xml:space="preserve">
Especificar la unidad de uso o compra del insumo, materia prima, o mano de obra, sea en kilos, jornales, quintales, litros, cajas, etc.</t>
        </r>
      </text>
    </comment>
    <comment ref="H35" authorId="0">
      <text>
        <r>
          <rPr>
            <sz val="8"/>
            <rFont val="Tahoma"/>
            <family val="0"/>
          </rPr>
          <t xml:space="preserve">
La producción total por ciclo se calcula automaticamente, por multiplicar el volumen de producción en cada unidad (Columna 7) por el número de unidades de producción (Columna 6).
No se insertan datos en esta celda.</t>
        </r>
      </text>
    </comment>
    <comment ref="J35" authorId="0">
      <text>
        <r>
          <rPr>
            <sz val="8"/>
            <rFont val="Tahoma"/>
            <family val="0"/>
          </rPr>
          <t xml:space="preserve">
El volumen del insumo (en unidades de compra - véase Columna 15) conseguido sin costo en efectivo. Tipicamente resulta de autoproduccion del insumo o materia primo, o del uso de mano de obra familiar. </t>
        </r>
      </text>
    </comment>
    <comment ref="L35" authorId="0">
      <text>
        <r>
          <rPr>
            <sz val="8"/>
            <rFont val="Tahoma"/>
            <family val="0"/>
          </rPr>
          <t xml:space="preserve">
El volumen de compra de un insumo o mano de obra se calcula automaticamente en base al uso total (Columna 16) menos la disponibilidad de recursos propios (Columna 17).
No se insertan datos en esta celda.</t>
        </r>
      </text>
    </comment>
    <comment ref="N35" authorId="0">
      <text>
        <r>
          <rPr>
            <sz val="8"/>
            <rFont val="Tahoma"/>
            <family val="0"/>
          </rPr>
          <t xml:space="preserve">
Indicar el precio de compra promedio previsto. Si no se compra el insumo o mano de obra - ej: mano de obra familiar, o insumos generados en la finca misma - hay que determinar un precio en base al mercado más cercano.</t>
        </r>
      </text>
    </comment>
    <comment ref="P35" authorId="0">
      <text>
        <r>
          <rPr>
            <sz val="8"/>
            <rFont val="Tahoma"/>
            <family val="0"/>
          </rPr>
          <t xml:space="preserve">
Si no se entrega el vendedor el insumo al sitio de producción (la finca, la planta, etc.), indicar el costo de transporte (por unidad de venta) desde el punto de compra a la finca o planta etc..</t>
        </r>
      </text>
    </comment>
    <comment ref="S35" authorId="0">
      <text>
        <r>
          <rPr>
            <sz val="8"/>
            <rFont val="Tahoma"/>
            <family val="0"/>
          </rPr>
          <t xml:space="preserve">
El costo total anual se calcula automaticamente, por multiplicar 
El volumen total de consumo por ciclo (Columna 16) con el número de ciclos por año (Celda 4). Se multiplica dicho total por el precio de compra (Columna 19) más el costo de transporte (Columna 20).
No se insertan datos en esta celda.</t>
        </r>
      </text>
    </comment>
    <comment ref="U35" authorId="0">
      <text>
        <r>
          <rPr>
            <sz val="8"/>
            <rFont val="Tahoma"/>
            <family val="0"/>
          </rPr>
          <t xml:space="preserve">
El costo anual en efectivo se calcula automaticamente, por multiplicar el volumen de insumos o mano de obra comprado por ciclo (Columna 18) con el número de ciclos por año (Celda 4). Se multiplica dicho total por el precio de compra (Columna 19) más el costo de transporte (Columna 20).
No se insertan datos en esta celda.</t>
        </r>
      </text>
    </comment>
    <comment ref="F86" authorId="1">
      <text>
        <r>
          <rPr>
            <sz val="8"/>
            <rFont val="Tahoma"/>
            <family val="0"/>
          </rPr>
          <t xml:space="preserve">
La generación de empleo por parte del bloque se calcula automáticamente en base al uso de mano de obra arriba. Se considera 275 jornales -persona por año - persona equivalente, considerando un día semanal de descanso mas 15 días de descanso adicionales por año.
</t>
        </r>
      </text>
    </comment>
    <comment ref="J7" authorId="0">
      <text>
        <r>
          <rPr>
            <sz val="8"/>
            <rFont val="Tahoma"/>
            <family val="0"/>
          </rPr>
          <t xml:space="preserve">
Especificar la unidad de produccion utilizada. Ejemplos: 
Agricultura integral - finca de 3 hectáreas, stc.
Cultivos de ciclo corto, o perennes - manzana, hectárea, etc.
Ganado - cabeza, hato de 10 cabezas, hectárea, área de 100 hectáreas, etc.
Animales menores - galpón (pollos), Módulo de 100 reproductores (carácol), etc. 
Agroindustria de procesamiento - agroindustria, caja, lote de 10 kilos, saco, etc.
Postcosecha y/o comercialización - quintal, tonelada, etc.
Artesanías - taller, pieza, lote de 100 piezas, etc.
Pesca o ecoturismo de mar - embarcación y encargados, etc.
Ecoturismo - cabaña, módulo de 10 cabañas y servicios, etc.
Acuacultura - piscina o estanque, módulo de 10 estanques, etc.
Transporte - vehículo, embarcación, etc.
Forestación o reforestación - hectárea, plantación de 100 plantas, etc.
Manejo de fauna silvestre - área de 100 hectáreas, zoocritadero, hato, etc.
Manejo de microcuenca - área de 1000 hectáreas, etc.
Caminos vecinales - conjunto de 5 comunidades beneficiadas, etc.
Aulas escolares o similar - comunidad, 3 comunidades, 30 familias dispersas, etc.</t>
        </r>
      </text>
    </comment>
  </commentList>
</comments>
</file>

<file path=xl/comments17.xml><?xml version="1.0" encoding="utf-8"?>
<comments xmlns="http://schemas.openxmlformats.org/spreadsheetml/2006/main">
  <authors>
    <author>Un usuario de Microsoft Office satisfecho</author>
    <author>*</author>
  </authors>
  <commentList>
    <comment ref="D7" authorId="0">
      <text>
        <r>
          <rPr>
            <sz val="8"/>
            <rFont val="Tahoma"/>
            <family val="0"/>
          </rPr>
          <t xml:space="preserve">
Insertar el nombre del producto a que se refiere este anexo.
</t>
        </r>
      </text>
    </comment>
    <comment ref="P7" authorId="0">
      <text>
        <r>
          <rPr>
            <sz val="8"/>
            <rFont val="Tahoma"/>
            <family val="0"/>
          </rPr>
          <t xml:space="preserve">
Aqui se refieren a los ciclos de producción del cultivo o producto. Cultivos como hortalizas pueden tener un ciclo de 3 o 4 meses, mientras la producción de aves puede involucrar un ciclo de 2.5 meses. En el caso de artesanías o agroindustría, donde la producción ocure todo el año (o mientras hay materia prima), puede ser más conveniente hablar de un ciclo mensual, dado que muchas de las cuentas (sueldos, electricidad, etc.) se pagan cada mes.
En cuanto a los cultivos perennes, o animales de cría, el ciclo puede durar varios años (poe ejemplo:10 años = 120 meses). Así, se puede calcular todos los gastos de producción (menos la inversión inicial que debe aparacer en Cuadro 6) durante la vida del cultivo o animal, además de calcular los ingresos totales en el mismo período. 
</t>
        </r>
      </text>
    </comment>
    <comment ref="T7" authorId="0">
      <text>
        <r>
          <rPr>
            <sz val="8"/>
            <rFont val="Tahoma"/>
            <family val="0"/>
          </rPr>
          <t xml:space="preserve">
El número de ciclos por año depende en si el proceso de producción ocurre durante todo el año. 
Si la producción es un proceso permanente (por ejemplo un cultivo perenne, avicultura, o artesanías) se divide 12 por la duración de cada ciclo (Celda 2 a la izquierda). Así la avicultura, con una duración de 2.5 meses por ciclo, tendrá 12/2.5 = 4.8 ciclos por año.
Sin embargo, si la producción no es permanente, tiene que identificar el número de ciclos. Así, en una planta agroindustrial que funciona en base a un ciclo mensual, pero solamente opera de junio a diciembre (inclusivo), el número de ciclos será 7. Una hortaliza puede tener un ciclo de 4 meses y ser cultivado en dos ciclos por año.</t>
        </r>
      </text>
    </comment>
    <comment ref="C16" authorId="0">
      <text>
        <r>
          <rPr>
            <sz val="8"/>
            <rFont val="Tahoma"/>
            <family val="0"/>
          </rPr>
          <t xml:space="preserve">
Identificar y insertir las categorías de ingresos que resultan de la produccion del producto o bloque. Dichos ingresos deben resultar del mismo proceso de produccion (p.ej. lana y carne de oveja).</t>
        </r>
      </text>
    </comment>
    <comment ref="F16" authorId="0">
      <text>
        <r>
          <rPr>
            <sz val="8"/>
            <rFont val="Tahoma"/>
            <family val="0"/>
          </rPr>
          <t xml:space="preserve">
Especificar la unidad de venta del producto, sea en kilos, cabezas, piezas, quintales, litros, cajas, etc.</t>
        </r>
      </text>
    </comment>
    <comment ref="H16" authorId="0">
      <text>
        <r>
          <rPr>
            <sz val="8"/>
            <rFont val="Tahoma"/>
            <family val="0"/>
          </rPr>
          <t xml:space="preserve">
Insertar la producción total por unidad de produccion por ciclo en unidades de venta especificadas en Columna 6.
Se debe excluir cualquier proporcion de la produccion que no se puede aprovechar debido a deshechos, perdidas o problemas de calidad. Asi, si se cosecha 5t/ha pero solamente puede utilizar 4.5t, se debe utilizar la segunda cifra.</t>
        </r>
      </text>
    </comment>
    <comment ref="J16" authorId="0">
      <text>
        <r>
          <rPr>
            <sz val="8"/>
            <rFont val="Tahoma"/>
            <family val="0"/>
          </rPr>
          <t xml:space="preserve">
El volumen del producto (en unidades de venta - véase Columna 6) destinado al autoconsumo. Es decir, para que no recibirán los productores dinero en efectivo.</t>
        </r>
      </text>
    </comment>
    <comment ref="L16" authorId="0">
      <text>
        <r>
          <rPr>
            <sz val="8"/>
            <rFont val="Tahoma"/>
            <family val="0"/>
          </rPr>
          <t xml:space="preserve">
El volumen de venta se calcula automaticamente en base a la producción total (Columna 7) menos el autoconsumo (Columna 8).
No se insertir datos en esta celda.</t>
        </r>
      </text>
    </comment>
    <comment ref="N16" authorId="0">
      <text>
        <r>
          <rPr>
            <sz val="8"/>
            <rFont val="Tahoma"/>
            <family val="0"/>
          </rPr>
          <t xml:space="preserve">
Indicar el precio de venta promedio previsto. Si no se vende el producto - ej: se destina al autoconsumo o uso en una planta procesadora - hay que determinar el precio en el mercado más cercano.</t>
        </r>
      </text>
    </comment>
    <comment ref="P16" authorId="0">
      <text>
        <r>
          <rPr>
            <sz val="8"/>
            <rFont val="Tahoma"/>
            <family val="0"/>
          </rPr>
          <t xml:space="preserve">
Si no se entrega el producto al comprador en el sitio de producción (la finca, la planta, etc.), indicar el costo de transporte (por unidad de venta) hasta el punto de venta.</t>
        </r>
      </text>
    </comment>
    <comment ref="R16" authorId="0">
      <text>
        <r>
          <rPr>
            <sz val="8"/>
            <rFont val="Tahoma"/>
            <family val="0"/>
          </rPr>
          <t xml:space="preserve">
El ingreso total anual se calcula automaticamente, por multiplicar el volumen total de producción por ciclo (Columna 7) con el número de ciclos por año (Celda 4). Se multiplica dicho total por el precio de venta (Columna 10) menos el costo de transporte (Columna 11).
No se insertian datos en esta celda.</t>
        </r>
      </text>
    </comment>
    <comment ref="T16" authorId="0">
      <text>
        <r>
          <rPr>
            <sz val="8"/>
            <rFont val="Tahoma"/>
            <family val="0"/>
          </rPr>
          <t xml:space="preserve">
El ingreso anual en efectivo se calcula automaticamente, por multiplicar el volumen de producción vendido por ciclo (Columna 9) con el número de ciclos por año (Celda 4). Se multiplica dicho total por el precio de venta (Columna 10) menos el costo de transporte (Columna 11).
No se insertir datos en esta celda.</t>
        </r>
      </text>
    </comment>
    <comment ref="C35" authorId="0">
      <text>
        <r>
          <rPr>
            <sz val="8"/>
            <rFont val="Tahoma"/>
            <family val="0"/>
          </rPr>
          <t xml:space="preserve">Identificar e insertar las categorías principales de costos que se aplican a la producción del producto.
En el caso de producción agropecuaria, estos costos pueden incluir fertilizantes, semillas, agroquimicos y tratamientos anti-parasiticos, y contenidores para el producto (sacos, cajas, etc.),
También pueden incluir costos de riego (combustible de la bomba) si el riego esta dedicado al cultivo.
</t>
        </r>
      </text>
    </comment>
    <comment ref="F35" authorId="0">
      <text>
        <r>
          <rPr>
            <sz val="8"/>
            <rFont val="Tahoma"/>
            <family val="0"/>
          </rPr>
          <t xml:space="preserve">
Especificar la unidad de uso o compra del insumo, materia prima, o mano de obra, sea en kilos, jornales, quintales, litros, cajas, etc.</t>
        </r>
      </text>
    </comment>
    <comment ref="H35" authorId="0">
      <text>
        <r>
          <rPr>
            <sz val="8"/>
            <rFont val="Tahoma"/>
            <family val="0"/>
          </rPr>
          <t xml:space="preserve">
La producción total por ciclo se calcula automaticamente, por multiplicar el volumen de producción en cada unidad (Columna 7) por el número de unidades de producción (Columna 6).
No se insertan datos en esta celda.</t>
        </r>
      </text>
    </comment>
    <comment ref="J35" authorId="0">
      <text>
        <r>
          <rPr>
            <sz val="8"/>
            <rFont val="Tahoma"/>
            <family val="0"/>
          </rPr>
          <t xml:space="preserve">
El volumen del insumo (en unidades de compra - véase Columna 15) conseguido sin costo en efectivo. Tipicamente resulta de autoproduccion del insumo o materia primo, o del uso de mano de obra familiar. </t>
        </r>
      </text>
    </comment>
    <comment ref="L35" authorId="0">
      <text>
        <r>
          <rPr>
            <sz val="8"/>
            <rFont val="Tahoma"/>
            <family val="0"/>
          </rPr>
          <t xml:space="preserve">
El volumen de compra de un insumo o mano de obra se calcula automaticamente en base al uso total (Columna 16) menos la disponibilidad de recursos propios (Columna 17).
No se insertan datos en esta celda.</t>
        </r>
      </text>
    </comment>
    <comment ref="N35" authorId="0">
      <text>
        <r>
          <rPr>
            <sz val="8"/>
            <rFont val="Tahoma"/>
            <family val="0"/>
          </rPr>
          <t xml:space="preserve">
Indicar el precio de compra promedio previsto. Si no se compra el insumo o mano de obra - ej: mano de obra familiar, o insumos generados en la finca misma - hay que determinar un precio en base al mercado más cercano.</t>
        </r>
      </text>
    </comment>
    <comment ref="P35" authorId="0">
      <text>
        <r>
          <rPr>
            <sz val="8"/>
            <rFont val="Tahoma"/>
            <family val="0"/>
          </rPr>
          <t xml:space="preserve">
Si no se entrega el vendedor el insumo al sitio de producción (la finca, la planta, etc.), indicar el costo de transporte (por unidad de venta) desde el punto de compra a la finca o planta etc..</t>
        </r>
      </text>
    </comment>
    <comment ref="S35" authorId="0">
      <text>
        <r>
          <rPr>
            <sz val="8"/>
            <rFont val="Tahoma"/>
            <family val="0"/>
          </rPr>
          <t xml:space="preserve">
El costo total anual se calcula automaticamente, por multiplicar 
El volumen total de consumo por ciclo (Columna 16) con el número de ciclos por año (Celda 4). Se multiplica dicho total por el precio de compra (Columna 19) más el costo de transporte (Columna 20).
No se insertan datos en esta celda.</t>
        </r>
      </text>
    </comment>
    <comment ref="U35" authorId="0">
      <text>
        <r>
          <rPr>
            <sz val="8"/>
            <rFont val="Tahoma"/>
            <family val="0"/>
          </rPr>
          <t xml:space="preserve">
El costo anual en efectivo se calcula automaticamente, por multiplicar el volumen de insumos o mano de obra comprado por ciclo (Columna 18) con el número de ciclos por año (Celda 4). Se multiplica dicho total por el precio de compra (Columna 19) más el costo de transporte (Columna 20).
No se insertan datos en esta celda.</t>
        </r>
      </text>
    </comment>
    <comment ref="F86" authorId="1">
      <text>
        <r>
          <rPr>
            <sz val="8"/>
            <rFont val="Tahoma"/>
            <family val="0"/>
          </rPr>
          <t xml:space="preserve">
La generación de empleo por parte del bloque se calcula automáticamente en base al uso de mano de obra arriba. Se considera 275 jornales -persona por año - persona equivalente, considerando un día semanal de descanso mas 15 días de descanso adicionales por año.
</t>
        </r>
      </text>
    </comment>
    <comment ref="J7" authorId="0">
      <text>
        <r>
          <rPr>
            <sz val="8"/>
            <rFont val="Tahoma"/>
            <family val="0"/>
          </rPr>
          <t xml:space="preserve">
Especificar la unidad de produccion utilizada. Ejemplos: 
Agricultura integral - finca de 3 hectáreas, stc.
Cultivos de ciclo corto, o perennes - manzana, hectárea, etc.
Ganado - cabeza, hato de 10 cabezas, hectárea, área de 100 hectáreas, etc.
Animales menores - galpón (pollos), Módulo de 100 reproductores (carácol), etc. 
Agroindustria de procesamiento - agroindustria, caja, lote de 10 kilos, saco, etc.
Postcosecha y/o comercialización - quintal, tonelada, etc.
Artesanías - taller, pieza, lote de 100 piezas, etc.
Pesca o ecoturismo de mar - embarcación y encargados, etc.
Ecoturismo - cabaña, módulo de 10 cabañas y servicios, etc.
Acuacultura - piscina o estanque, módulo de 10 estanques, etc.
Transporte - vehículo, embarcación, etc.
Forestación o reforestación - hectárea, plantación de 100 plantas, etc.
Manejo de fauna silvestre - área de 100 hectáreas, zoocritadero, hato, etc.
Manejo de microcuenca - área de 1000 hectáreas, etc.
Caminos vecinales - conjunto de 5 comunidades beneficiadas, etc.
Aulas escolares o similar - comunidad, 3 comunidades, 30 familias dispersas, etc.</t>
        </r>
      </text>
    </comment>
  </commentList>
</comments>
</file>

<file path=xl/comments18.xml><?xml version="1.0" encoding="utf-8"?>
<comments xmlns="http://schemas.openxmlformats.org/spreadsheetml/2006/main">
  <authors>
    <author>Un usuario de Microsoft Office satisfecho</author>
    <author>*</author>
  </authors>
  <commentList>
    <comment ref="D7" authorId="0">
      <text>
        <r>
          <rPr>
            <sz val="8"/>
            <rFont val="Tahoma"/>
            <family val="0"/>
          </rPr>
          <t xml:space="preserve">
Insertar el nombre del producto a que se refiere este anexo.
</t>
        </r>
      </text>
    </comment>
    <comment ref="P7" authorId="0">
      <text>
        <r>
          <rPr>
            <sz val="8"/>
            <rFont val="Tahoma"/>
            <family val="0"/>
          </rPr>
          <t xml:space="preserve">
Aqui se refieren a los ciclos de producción del cultivo o producto. Cultivos como hortalizas pueden tener un ciclo de 3 o 4 meses, mientras la producción de aves puede involucrar un ciclo de 2.5 meses. En el caso de artesanías o agroindustría, donde la producción ocure todo el año (o mientras hay materia prima), puede ser más conveniente hablar de un ciclo mensual, dado que muchas de las cuentas (sueldos, electricidad, etc.) se pagan cada mes.
En cuanto a los cultivos perennes, o animales de cría, el ciclo puede durar varios años (poe ejemplo:10 años = 120 meses). Así, se puede calcular todos los gastos de producción (menos la inversión inicial que debe aparacer en Cuadro 6) durante la vida del cultivo o animal, además de calcular los ingresos totales en el mismo período. 
</t>
        </r>
      </text>
    </comment>
    <comment ref="T7" authorId="0">
      <text>
        <r>
          <rPr>
            <sz val="8"/>
            <rFont val="Tahoma"/>
            <family val="0"/>
          </rPr>
          <t xml:space="preserve">
El número de ciclos por año depende en si el proceso de producción ocurre durante todo el año. 
Si la producción es un proceso permanente (por ejemplo un cultivo perenne, avicultura, o artesanías) se divide 12 por la duración de cada ciclo (Celda 2 a la izquierda). Así la avicultura, con una duración de 2.5 meses por ciclo, tendrá 12/2.5 = 4.8 ciclos por año.
Sin embargo, si la producción no es permanente, tiene que identificar el número de ciclos. Así, en una planta agroindustrial que funciona en base a un ciclo mensual, pero solamente opera de junio a diciembre (inclusivo), el número de ciclos será 7. Una hortaliza puede tener un ciclo de 4 meses y ser cultivado en dos ciclos por año.</t>
        </r>
      </text>
    </comment>
    <comment ref="C16" authorId="0">
      <text>
        <r>
          <rPr>
            <sz val="8"/>
            <rFont val="Tahoma"/>
            <family val="0"/>
          </rPr>
          <t xml:space="preserve">
Identificar y insertir las categorías de ingresos que resultan de la produccion del producto o bloque. Dichos ingresos deben resultar del mismo proceso de produccion (p.ej. lana y carne de oveja).</t>
        </r>
      </text>
    </comment>
    <comment ref="F16" authorId="0">
      <text>
        <r>
          <rPr>
            <sz val="8"/>
            <rFont val="Tahoma"/>
            <family val="0"/>
          </rPr>
          <t xml:space="preserve">
Especificar la unidad de venta del producto, sea en kilos, cabezas, piezas, quintales, litros, cajas, etc.</t>
        </r>
      </text>
    </comment>
    <comment ref="H16" authorId="0">
      <text>
        <r>
          <rPr>
            <sz val="8"/>
            <rFont val="Tahoma"/>
            <family val="0"/>
          </rPr>
          <t xml:space="preserve">
Insertar la producción total por unidad de produccion por ciclo en unidades de venta especificadas en Columna 6.
Se debe excluir cualquier proporcion de la produccion que no se puede aprovechar debido a deshechos, perdidas o problemas de calidad. Asi, si se cosecha 5t/ha pero solamente puede utilizar 4.5t, se debe utilizar la segunda cifra.</t>
        </r>
      </text>
    </comment>
    <comment ref="J16" authorId="0">
      <text>
        <r>
          <rPr>
            <sz val="8"/>
            <rFont val="Tahoma"/>
            <family val="0"/>
          </rPr>
          <t xml:space="preserve">
El volumen del producto (en unidades de venta - véase Columna 6) destinado al autoconsumo. Es decir, para que no recibirán los productores dinero en efectivo.</t>
        </r>
      </text>
    </comment>
    <comment ref="L16" authorId="0">
      <text>
        <r>
          <rPr>
            <sz val="8"/>
            <rFont val="Tahoma"/>
            <family val="0"/>
          </rPr>
          <t xml:space="preserve">
El volumen de venta se calcula automaticamente en base a la producción total (Columna 7) menos el autoconsumo (Columna 8).
No se insertir datos en esta celda.</t>
        </r>
      </text>
    </comment>
    <comment ref="N16" authorId="0">
      <text>
        <r>
          <rPr>
            <sz val="8"/>
            <rFont val="Tahoma"/>
            <family val="0"/>
          </rPr>
          <t xml:space="preserve">
Indicar el precio de venta promedio previsto. Si no se vende el producto - ej: se destina al autoconsumo o uso en una planta procesadora - hay que determinar el precio en el mercado más cercano.</t>
        </r>
      </text>
    </comment>
    <comment ref="P16" authorId="0">
      <text>
        <r>
          <rPr>
            <sz val="8"/>
            <rFont val="Tahoma"/>
            <family val="0"/>
          </rPr>
          <t xml:space="preserve">
Si no se entrega el producto al comprador en el sitio de producción (la finca, la planta, etc.), indicar el costo de transporte (por unidad de venta) hasta el punto de venta.</t>
        </r>
      </text>
    </comment>
    <comment ref="R16" authorId="0">
      <text>
        <r>
          <rPr>
            <sz val="8"/>
            <rFont val="Tahoma"/>
            <family val="0"/>
          </rPr>
          <t xml:space="preserve">
El ingreso total anual se calcula automaticamente, por multiplicar el volumen total de producción por ciclo (Columna 7) con el número de ciclos por año (Celda 4). Se multiplica dicho total por el precio de venta (Columna 10) menos el costo de transporte (Columna 11).
No se insertian datos en esta celda.</t>
        </r>
      </text>
    </comment>
    <comment ref="T16" authorId="0">
      <text>
        <r>
          <rPr>
            <sz val="8"/>
            <rFont val="Tahoma"/>
            <family val="0"/>
          </rPr>
          <t xml:space="preserve">
El ingreso anual en efectivo se calcula automaticamente, por multiplicar el volumen de producción vendido por ciclo (Columna 9) con el número de ciclos por año (Celda 4). Se multiplica dicho total por el precio de venta (Columna 10) menos el costo de transporte (Columna 11).
No se insertir datos en esta celda.</t>
        </r>
      </text>
    </comment>
    <comment ref="C35" authorId="0">
      <text>
        <r>
          <rPr>
            <sz val="8"/>
            <rFont val="Tahoma"/>
            <family val="0"/>
          </rPr>
          <t xml:space="preserve">Identificar e insertar las categorías principales de costos que se aplican a la producción del producto.
En el caso de producción agropecuaria, estos costos pueden incluir fertilizantes, semillas, agroquimicos y tratamientos anti-parasiticos, y contenidores para el producto (sacos, cajas, etc.),
También pueden incluir costos de riego (combustible de la bomba) si el riego esta dedicado al cultivo.
</t>
        </r>
      </text>
    </comment>
    <comment ref="F35" authorId="0">
      <text>
        <r>
          <rPr>
            <sz val="8"/>
            <rFont val="Tahoma"/>
            <family val="0"/>
          </rPr>
          <t xml:space="preserve">
Especificar la unidad de uso o compra del insumo, materia prima, o mano de obra, sea en kilos, jornales, quintales, litros, cajas, etc.</t>
        </r>
      </text>
    </comment>
    <comment ref="H35" authorId="0">
      <text>
        <r>
          <rPr>
            <sz val="8"/>
            <rFont val="Tahoma"/>
            <family val="0"/>
          </rPr>
          <t xml:space="preserve">
La producción total por ciclo se calcula automaticamente, por multiplicar el volumen de producción en cada unidad (Columna 7) por el número de unidades de producción (Columna 6).
No se insertan datos en esta celda.</t>
        </r>
      </text>
    </comment>
    <comment ref="J35" authorId="0">
      <text>
        <r>
          <rPr>
            <sz val="8"/>
            <rFont val="Tahoma"/>
            <family val="0"/>
          </rPr>
          <t xml:space="preserve">
El volumen del insumo (en unidades de compra - véase Columna 15) conseguido sin costo en efectivo. Tipicamente resulta de autoproduccion del insumo o materia primo, o del uso de mano de obra familiar. </t>
        </r>
      </text>
    </comment>
    <comment ref="L35" authorId="0">
      <text>
        <r>
          <rPr>
            <sz val="8"/>
            <rFont val="Tahoma"/>
            <family val="0"/>
          </rPr>
          <t xml:space="preserve">
El volumen de compra de un insumo o mano de obra se calcula automaticamente en base al uso total (Columna 16) menos la disponibilidad de recursos propios (Columna 17).
No se insertan datos en esta celda.</t>
        </r>
      </text>
    </comment>
    <comment ref="N35" authorId="0">
      <text>
        <r>
          <rPr>
            <sz val="8"/>
            <rFont val="Tahoma"/>
            <family val="0"/>
          </rPr>
          <t xml:space="preserve">
Indicar el precio de compra promedio previsto. Si no se compra el insumo o mano de obra - ej: mano de obra familiar, o insumos generados en la finca misma - hay que determinar un precio en base al mercado más cercano.</t>
        </r>
      </text>
    </comment>
    <comment ref="P35" authorId="0">
      <text>
        <r>
          <rPr>
            <sz val="8"/>
            <rFont val="Tahoma"/>
            <family val="0"/>
          </rPr>
          <t xml:space="preserve">
Si no se entrega el vendedor el insumo al sitio de producción (la finca, la planta, etc.), indicar el costo de transporte (por unidad de venta) desde el punto de compra a la finca o planta etc..</t>
        </r>
      </text>
    </comment>
    <comment ref="S35" authorId="0">
      <text>
        <r>
          <rPr>
            <sz val="8"/>
            <rFont val="Tahoma"/>
            <family val="0"/>
          </rPr>
          <t xml:space="preserve">
El costo total anual se calcula automaticamente, por multiplicar 
El volumen total de consumo por ciclo (Columna 16) con el número de ciclos por año (Celda 4). Se multiplica dicho total por el precio de compra (Columna 19) más el costo de transporte (Columna 20).
No se insertan datos en esta celda.</t>
        </r>
      </text>
    </comment>
    <comment ref="U35" authorId="0">
      <text>
        <r>
          <rPr>
            <sz val="8"/>
            <rFont val="Tahoma"/>
            <family val="0"/>
          </rPr>
          <t xml:space="preserve">
El costo anual en efectivo se calcula automaticamente, por multiplicar el volumen de insumos o mano de obra comprado por ciclo (Columna 18) con el número de ciclos por año (Celda 4). Se multiplica dicho total por el precio de compra (Columna 19) más el costo de transporte (Columna 20).
No se insertan datos en esta celda.</t>
        </r>
      </text>
    </comment>
    <comment ref="F86" authorId="1">
      <text>
        <r>
          <rPr>
            <sz val="8"/>
            <rFont val="Tahoma"/>
            <family val="0"/>
          </rPr>
          <t xml:space="preserve">
La generación de empleo por parte del bloque se calcula automáticamente en base al uso de mano de obra arriba. Se considera 275 jornales -persona por año - persona equivalente, considerando un día semanal de descanso mas 15 días de descanso adicionales por año.
</t>
        </r>
      </text>
    </comment>
    <comment ref="J7" authorId="0">
      <text>
        <r>
          <rPr>
            <sz val="8"/>
            <rFont val="Tahoma"/>
            <family val="0"/>
          </rPr>
          <t xml:space="preserve">
Especificar la unidad de produccion utilizada. Ejemplos: 
Agricultura integral - finca de 3 hectáreas, stc.
Cultivos de ciclo corto, o perennes - manzana, hectárea, etc.
Ganado - cabeza, hato de 10 cabezas, hectárea, área de 100 hectáreas, etc.
Animales menores - galpón (pollos), Módulo de 100 reproductores (carácol), etc. 
Agroindustria de procesamiento - agroindustria, caja, lote de 10 kilos, saco, etc.
Postcosecha y/o comercialización - quintal, tonelada, etc.
Artesanías - taller, pieza, lote de 100 piezas, etc.
Pesca o ecoturismo de mar - embarcación y encargados, etc.
Ecoturismo - cabaña, módulo de 10 cabañas y servicios, etc.
Acuacultura - piscina o estanque, módulo de 10 estanques, etc.
Transporte - vehículo, embarcación, etc.
Forestación o reforestación - hectárea, plantación de 100 plantas, etc.
Manejo de fauna silvestre - área de 100 hectáreas, zoocritadero, hato, etc.
Manejo de microcuenca - área de 1000 hectáreas, etc.
Caminos vecinales - conjunto de 5 comunidades beneficiadas, etc.
Aulas escolares o similar - comunidad, 3 comunidades, 30 familias dispersas, etc.</t>
        </r>
      </text>
    </comment>
  </commentList>
</comments>
</file>

<file path=xl/comments19.xml><?xml version="1.0" encoding="utf-8"?>
<comments xmlns="http://schemas.openxmlformats.org/spreadsheetml/2006/main">
  <authors>
    <author>Un usuario de Microsoft Office satisfecho</author>
    <author>*</author>
  </authors>
  <commentList>
    <comment ref="D7" authorId="0">
      <text>
        <r>
          <rPr>
            <sz val="8"/>
            <rFont val="Tahoma"/>
            <family val="0"/>
          </rPr>
          <t xml:space="preserve">
Insertar el nombre del producto a que se refiere este anexo.
</t>
        </r>
      </text>
    </comment>
    <comment ref="P7" authorId="0">
      <text>
        <r>
          <rPr>
            <sz val="8"/>
            <rFont val="Tahoma"/>
            <family val="0"/>
          </rPr>
          <t xml:space="preserve">
Aqui se refieren a los ciclos de producción del cultivo o producto. Cultivos como hortalizas pueden tener un ciclo de 3 o 4 meses, mientras la producción de aves puede involucrar un ciclo de 2.5 meses. En el caso de artesanías o agroindustría, donde la producción ocure todo el año (o mientras hay materia prima), puede ser más conveniente hablar de un ciclo mensual, dado que muchas de las cuentas (sueldos, electricidad, etc.) se pagan cada mes.
En cuanto a los cultivos perennes, o animales de cría, el ciclo puede durar varios años (poe ejemplo:10 años = 120 meses). Así, se puede calcular todos los gastos de producción (menos la inversión inicial que debe aparacer en Cuadro 6) durante la vida del cultivo o animal, además de calcular los ingresos totales en el mismo período. 
</t>
        </r>
      </text>
    </comment>
    <comment ref="T7" authorId="0">
      <text>
        <r>
          <rPr>
            <sz val="8"/>
            <rFont val="Tahoma"/>
            <family val="0"/>
          </rPr>
          <t xml:space="preserve">
El número de ciclos por año depende en si el proceso de producción ocurre durante todo el año. 
Si la producción es un proceso permanente (por ejemplo un cultivo perenne, avicultura, o artesanías) se divide 12 por la duración de cada ciclo (Celda 2 a la izquierda). Así la avicultura, con una duración de 2.5 meses por ciclo, tendrá 12/2.5 = 4.8 ciclos por año.
Sin embargo, si la producción no es permanente, tiene que identificar el número de ciclos. Así, en una planta agroindustrial que funciona en base a un ciclo mensual, pero solamente opera de junio a diciembre (inclusivo), el número de ciclos será 7. Una hortaliza puede tener un ciclo de 4 meses y ser cultivado en dos ciclos por año.</t>
        </r>
      </text>
    </comment>
    <comment ref="C16" authorId="0">
      <text>
        <r>
          <rPr>
            <sz val="8"/>
            <rFont val="Tahoma"/>
            <family val="0"/>
          </rPr>
          <t xml:space="preserve">
Identificar y insertir las categorías de ingresos que resultan de la produccion del producto o bloque. Dichos ingresos deben resultar del mismo proceso de produccion (p.ej. lana y carne de oveja).</t>
        </r>
      </text>
    </comment>
    <comment ref="F16" authorId="0">
      <text>
        <r>
          <rPr>
            <sz val="8"/>
            <rFont val="Tahoma"/>
            <family val="0"/>
          </rPr>
          <t xml:space="preserve">
Especificar la unidad de venta del producto, sea en kilos, cabezas, piezas, quintales, litros, cajas, etc.</t>
        </r>
      </text>
    </comment>
    <comment ref="H16" authorId="0">
      <text>
        <r>
          <rPr>
            <sz val="8"/>
            <rFont val="Tahoma"/>
            <family val="0"/>
          </rPr>
          <t xml:space="preserve">
Insertar la producción total por unidad de produccion por ciclo en unidades de venta especificadas en Columna 6.
Se debe excluir cualquier proporcion de la produccion que no se puede aprovechar debido a deshechos, perdidas o problemas de calidad. Asi, si se cosecha 5t/ha pero solamente puede utilizar 4.5t, se debe utilizar la segunda cifra.</t>
        </r>
      </text>
    </comment>
    <comment ref="J16" authorId="0">
      <text>
        <r>
          <rPr>
            <sz val="8"/>
            <rFont val="Tahoma"/>
            <family val="0"/>
          </rPr>
          <t xml:space="preserve">
El volumen del producto (en unidades de venta - véase Columna 6) destinado al autoconsumo. Es decir, para que no recibirán los productores dinero en efectivo.</t>
        </r>
      </text>
    </comment>
    <comment ref="L16" authorId="0">
      <text>
        <r>
          <rPr>
            <sz val="8"/>
            <rFont val="Tahoma"/>
            <family val="0"/>
          </rPr>
          <t xml:space="preserve">
El volumen de venta se calcula automaticamente en base a la producción total (Columna 7) menos el autoconsumo (Columna 8).
No se insertir datos en esta celda.</t>
        </r>
      </text>
    </comment>
    <comment ref="N16" authorId="0">
      <text>
        <r>
          <rPr>
            <sz val="8"/>
            <rFont val="Tahoma"/>
            <family val="0"/>
          </rPr>
          <t xml:space="preserve">
Indicar el precio de venta promedio previsto. Si no se vende el producto - ej: se destina al autoconsumo o uso en una planta procesadora - hay que determinar el precio en el mercado más cercano.</t>
        </r>
      </text>
    </comment>
    <comment ref="P16" authorId="0">
      <text>
        <r>
          <rPr>
            <sz val="8"/>
            <rFont val="Tahoma"/>
            <family val="0"/>
          </rPr>
          <t xml:space="preserve">
Si no se entrega el producto al comprador en el sitio de producción (la finca, la planta, etc.), indicar el costo de transporte (por unidad de venta) hasta el punto de venta.</t>
        </r>
      </text>
    </comment>
    <comment ref="R16" authorId="0">
      <text>
        <r>
          <rPr>
            <sz val="8"/>
            <rFont val="Tahoma"/>
            <family val="0"/>
          </rPr>
          <t xml:space="preserve">
El ingreso total anual se calcula automaticamente, por multiplicar el volumen total de producción por ciclo (Columna 7) con el número de ciclos por año (Celda 4). Se multiplica dicho total por el precio de venta (Columna 10) menos el costo de transporte (Columna 11).
No se insertian datos en esta celda.</t>
        </r>
      </text>
    </comment>
    <comment ref="T16" authorId="0">
      <text>
        <r>
          <rPr>
            <sz val="8"/>
            <rFont val="Tahoma"/>
            <family val="0"/>
          </rPr>
          <t xml:space="preserve">
El ingreso anual en efectivo se calcula automaticamente, por multiplicar el volumen de producción vendido por ciclo (Columna 9) con el número de ciclos por año (Celda 4). Se multiplica dicho total por el precio de venta (Columna 10) menos el costo de transporte (Columna 11).
No se insertir datos en esta celda.</t>
        </r>
      </text>
    </comment>
    <comment ref="C35" authorId="0">
      <text>
        <r>
          <rPr>
            <sz val="8"/>
            <rFont val="Tahoma"/>
            <family val="0"/>
          </rPr>
          <t xml:space="preserve">Identificar e insertar las categorías principales de costos que se aplican a la producción del producto.
En el caso de producción agropecuaria, estos costos pueden incluir fertilizantes, semillas, agroquimicos y tratamientos anti-parasiticos, y contenidores para el producto (sacos, cajas, etc.),
También pueden incluir costos de riego (combustible de la bomba) si el riego esta dedicado al cultivo.
</t>
        </r>
      </text>
    </comment>
    <comment ref="F35" authorId="0">
      <text>
        <r>
          <rPr>
            <sz val="8"/>
            <rFont val="Tahoma"/>
            <family val="0"/>
          </rPr>
          <t xml:space="preserve">
Especificar la unidad de uso o compra del insumo, materia prima, o mano de obra, sea en kilos, jornales, quintales, litros, cajas, etc.</t>
        </r>
      </text>
    </comment>
    <comment ref="H35" authorId="0">
      <text>
        <r>
          <rPr>
            <sz val="8"/>
            <rFont val="Tahoma"/>
            <family val="0"/>
          </rPr>
          <t xml:space="preserve">
La producción total por ciclo se calcula automaticamente, por multiplicar el volumen de producción en cada unidad (Columna 7) por el número de unidades de producción (Columna 6).
No se insertan datos en esta celda.</t>
        </r>
      </text>
    </comment>
    <comment ref="J35" authorId="0">
      <text>
        <r>
          <rPr>
            <sz val="8"/>
            <rFont val="Tahoma"/>
            <family val="0"/>
          </rPr>
          <t xml:space="preserve">
El volumen del insumo (en unidades de compra - véase Columna 15) conseguido sin costo en efectivo. Tipicamente resulta de autoproduccion del insumo o materia primo, o del uso de mano de obra familiar. </t>
        </r>
      </text>
    </comment>
    <comment ref="L35" authorId="0">
      <text>
        <r>
          <rPr>
            <sz val="8"/>
            <rFont val="Tahoma"/>
            <family val="0"/>
          </rPr>
          <t xml:space="preserve">
El volumen de compra de un insumo o mano de obra se calcula automaticamente en base al uso total (Columna 16) menos la disponibilidad de recursos propios (Columna 17).
No se insertan datos en esta celda.</t>
        </r>
      </text>
    </comment>
    <comment ref="N35" authorId="0">
      <text>
        <r>
          <rPr>
            <sz val="8"/>
            <rFont val="Tahoma"/>
            <family val="0"/>
          </rPr>
          <t xml:space="preserve">
Indicar el precio de compra promedio previsto. Si no se compra el insumo o mano de obra - ej: mano de obra familiar, o insumos generados en la finca misma - hay que determinar un precio en base al mercado más cercano.</t>
        </r>
      </text>
    </comment>
    <comment ref="P35" authorId="0">
      <text>
        <r>
          <rPr>
            <sz val="8"/>
            <rFont val="Tahoma"/>
            <family val="0"/>
          </rPr>
          <t xml:space="preserve">
Si no se entrega el vendedor el insumo al sitio de producción (la finca, la planta, etc.), indicar el costo de transporte (por unidad de venta) desde el punto de compra a la finca o planta etc..</t>
        </r>
      </text>
    </comment>
    <comment ref="S35" authorId="0">
      <text>
        <r>
          <rPr>
            <sz val="8"/>
            <rFont val="Tahoma"/>
            <family val="0"/>
          </rPr>
          <t xml:space="preserve">
El costo total anual se calcula automaticamente, por multiplicar 
El volumen total de consumo por ciclo (Columna 16) con el número de ciclos por año (Celda 4). Se multiplica dicho total por el precio de compra (Columna 19) más el costo de transporte (Columna 20).
No se insertan datos en esta celda.</t>
        </r>
      </text>
    </comment>
    <comment ref="U35" authorId="0">
      <text>
        <r>
          <rPr>
            <sz val="8"/>
            <rFont val="Tahoma"/>
            <family val="0"/>
          </rPr>
          <t xml:space="preserve">
El costo anual en efectivo se calcula automaticamente, por multiplicar el volumen de insumos o mano de obra comprado por ciclo (Columna 18) con el número de ciclos por año (Celda 4). Se multiplica dicho total por el precio de compra (Columna 19) más el costo de transporte (Columna 20).
No se insertan datos en esta celda.</t>
        </r>
      </text>
    </comment>
    <comment ref="F86" authorId="1">
      <text>
        <r>
          <rPr>
            <sz val="8"/>
            <rFont val="Tahoma"/>
            <family val="0"/>
          </rPr>
          <t xml:space="preserve">
La generación de empleo por parte del bloque se calcula automáticamente en base al uso de mano de obra arriba. Se considera 275 jornales -persona por año - persona equivalente, considerando un día semanal de descanso mas 15 días de descanso adicionales por año.
</t>
        </r>
      </text>
    </comment>
    <comment ref="J7" authorId="0">
      <text>
        <r>
          <rPr>
            <sz val="8"/>
            <rFont val="Tahoma"/>
            <family val="0"/>
          </rPr>
          <t xml:space="preserve">
Especificar la unidad de produccion utilizada. Ejemplos: 
Agricultura integral - finca de 3 hectáreas, stc.
Cultivos de ciclo corto, o perennes - manzana, hectárea, etc.
Ganado - cabeza, hato de 10 cabezas, hectárea, área de 100 hectáreas, etc.
Animales menores - galpón (pollos), Módulo de 100 reproductores (carácol), etc. 
Agroindustria de procesamiento - agroindustria, caja, lote de 10 kilos, saco, etc.
Postcosecha y/o comercialización - quintal, tonelada, etc.
Artesanías - taller, pieza, lote de 100 piezas, etc.
Pesca o ecoturismo de mar - embarcación y encargados, etc.
Ecoturismo - cabaña, módulo de 10 cabañas y servicios, etc.
Acuacultura - piscina o estanque, módulo de 10 estanques, etc.
Transporte - vehículo, embarcación, etc.
Forestación o reforestación - hectárea, plantación de 100 plantas, etc.
Manejo de fauna silvestre - área de 100 hectáreas, zoocritadero, hato, etc.
Manejo de microcuenca - área de 1000 hectáreas, etc.
Caminos vecinales - conjunto de 5 comunidades beneficiadas, etc.
Aulas escolares o similar - comunidad, 3 comunidades, 30 familias dispersas, etc.</t>
        </r>
      </text>
    </comment>
  </commentList>
</comments>
</file>

<file path=xl/comments2.xml><?xml version="1.0" encoding="utf-8"?>
<comments xmlns="http://schemas.openxmlformats.org/spreadsheetml/2006/main">
  <authors>
    <author>A satisfied Microsoft Office user</author>
  </authors>
  <commentList>
    <comment ref="K51" authorId="0">
      <text>
        <r>
          <rPr>
            <sz val="9"/>
            <rFont val="Tahoma"/>
            <family val="2"/>
          </rPr>
          <t xml:space="preserve">
Ejemplo de una nota de ayuda electrónica</t>
        </r>
      </text>
    </comment>
  </commentList>
</comments>
</file>

<file path=xl/comments20.xml><?xml version="1.0" encoding="utf-8"?>
<comments xmlns="http://schemas.openxmlformats.org/spreadsheetml/2006/main">
  <authors>
    <author>Un usuario de Microsoft Office satisfecho</author>
    <author>*</author>
  </authors>
  <commentList>
    <comment ref="D7" authorId="0">
      <text>
        <r>
          <rPr>
            <sz val="8"/>
            <rFont val="Tahoma"/>
            <family val="0"/>
          </rPr>
          <t xml:space="preserve">
Insertar el nombre del producto a que se refiere este anexo.
</t>
        </r>
      </text>
    </comment>
    <comment ref="P7" authorId="0">
      <text>
        <r>
          <rPr>
            <sz val="8"/>
            <rFont val="Tahoma"/>
            <family val="0"/>
          </rPr>
          <t xml:space="preserve">
Aqui se refieren a los ciclos de producción del cultivo o producto. Cultivos como hortalizas pueden tener un ciclo de 3 o 4 meses, mientras la producción de aves puede involucrar un ciclo de 2.5 meses. En el caso de artesanías o agroindustría, donde la producción ocure todo el año (o mientras hay materia prima), puede ser más conveniente hablar de un ciclo mensual, dado que muchas de las cuentas (sueldos, electricidad, etc.) se pagan cada mes.
En cuanto a los cultivos perennes, o animales de cría, el ciclo puede durar varios años (poe ejemplo:10 años = 120 meses). Así, se puede calcular todos los gastos de producción (menos la inversión inicial que debe aparacer en Cuadro 6) durante la vida del cultivo o animal, además de calcular los ingresos totales en el mismo período. 
</t>
        </r>
      </text>
    </comment>
    <comment ref="T7" authorId="0">
      <text>
        <r>
          <rPr>
            <sz val="8"/>
            <rFont val="Tahoma"/>
            <family val="0"/>
          </rPr>
          <t xml:space="preserve">
El número de ciclos por año depende en si el proceso de producción ocurre durante todo el año. 
Si la producción es un proceso permanente (por ejemplo un cultivo perenne, avicultura, o artesanías) se divide 12 por la duración de cada ciclo (Celda 2 a la izquierda). Así la avicultura, con una duración de 2.5 meses por ciclo, tendrá 12/2.5 = 4.8 ciclos por año.
Sin embargo, si la producción no es permanente, tiene que identificar el número de ciclos. Así, en una planta agroindustrial que funciona en base a un ciclo mensual, pero solamente opera de junio a diciembre (inclusivo), el número de ciclos será 7. Una hortaliza puede tener un ciclo de 4 meses y ser cultivado en dos ciclos por año.</t>
        </r>
      </text>
    </comment>
    <comment ref="C16" authorId="0">
      <text>
        <r>
          <rPr>
            <sz val="8"/>
            <rFont val="Tahoma"/>
            <family val="0"/>
          </rPr>
          <t xml:space="preserve">
Identificar y insertir las categorías de ingresos que resultan de la produccion del producto o bloque. Dichos ingresos deben resultar del mismo proceso de produccion (p.ej. lana y carne de oveja).</t>
        </r>
      </text>
    </comment>
    <comment ref="F16" authorId="0">
      <text>
        <r>
          <rPr>
            <sz val="8"/>
            <rFont val="Tahoma"/>
            <family val="0"/>
          </rPr>
          <t xml:space="preserve">
Especificar la unidad de venta del producto, sea en kilos, cabezas, piezas, quintales, litros, cajas, etc.</t>
        </r>
      </text>
    </comment>
    <comment ref="H16" authorId="0">
      <text>
        <r>
          <rPr>
            <sz val="8"/>
            <rFont val="Tahoma"/>
            <family val="0"/>
          </rPr>
          <t xml:space="preserve">
Insertar la producción total por unidad de produccion por ciclo en unidades de venta especificadas en Columna 6.
Se debe excluir cualquier proporcion de la produccion que no se puede aprovechar debido a deshechos, perdidas o problemas de calidad. Asi, si se cosecha 5t/ha pero solamente puede utilizar 4.5t, se debe utilizar la segunda cifra.</t>
        </r>
      </text>
    </comment>
    <comment ref="J16" authorId="0">
      <text>
        <r>
          <rPr>
            <sz val="8"/>
            <rFont val="Tahoma"/>
            <family val="0"/>
          </rPr>
          <t xml:space="preserve">
El volumen del producto (en unidades de venta - véase Columna 6) destinado al autoconsumo. Es decir, para que no recibirán los productores dinero en efectivo.</t>
        </r>
      </text>
    </comment>
    <comment ref="L16" authorId="0">
      <text>
        <r>
          <rPr>
            <sz val="8"/>
            <rFont val="Tahoma"/>
            <family val="0"/>
          </rPr>
          <t xml:space="preserve">
El volumen de venta se calcula automaticamente en base a la producción total (Columna 7) menos el autoconsumo (Columna 8).
No se insertir datos en esta celda.</t>
        </r>
      </text>
    </comment>
    <comment ref="N16" authorId="0">
      <text>
        <r>
          <rPr>
            <sz val="8"/>
            <rFont val="Tahoma"/>
            <family val="0"/>
          </rPr>
          <t xml:space="preserve">
Indicar el precio de venta promedio previsto. Si no se vende el producto - ej: se destina al autoconsumo o uso en una planta procesadora - hay que determinar el precio en el mercado más cercano.</t>
        </r>
      </text>
    </comment>
    <comment ref="P16" authorId="0">
      <text>
        <r>
          <rPr>
            <sz val="8"/>
            <rFont val="Tahoma"/>
            <family val="0"/>
          </rPr>
          <t xml:space="preserve">
Si no se entrega el producto al comprador en el sitio de producción (la finca, la planta, etc.), indicar el costo de transporte (por unidad de venta) hasta el punto de venta.</t>
        </r>
      </text>
    </comment>
    <comment ref="R16" authorId="0">
      <text>
        <r>
          <rPr>
            <sz val="8"/>
            <rFont val="Tahoma"/>
            <family val="0"/>
          </rPr>
          <t xml:space="preserve">
El ingreso total anual se calcula automaticamente, por multiplicar el volumen total de producción por ciclo (Columna 7) con el número de ciclos por año (Celda 4). Se multiplica dicho total por el precio de venta (Columna 10) menos el costo de transporte (Columna 11).
No se insertian datos en esta celda.</t>
        </r>
      </text>
    </comment>
    <comment ref="T16" authorId="0">
      <text>
        <r>
          <rPr>
            <sz val="8"/>
            <rFont val="Tahoma"/>
            <family val="0"/>
          </rPr>
          <t xml:space="preserve">
El ingreso anual en efectivo se calcula automaticamente, por multiplicar el volumen de producción vendido por ciclo (Columna 9) con el número de ciclos por año (Celda 4). Se multiplica dicho total por el precio de venta (Columna 10) menos el costo de transporte (Columna 11).
No se insertir datos en esta celda.</t>
        </r>
      </text>
    </comment>
    <comment ref="C35" authorId="0">
      <text>
        <r>
          <rPr>
            <sz val="8"/>
            <rFont val="Tahoma"/>
            <family val="0"/>
          </rPr>
          <t xml:space="preserve">Identificar e insertar las categorías principales de costos que se aplican a la producción del producto.
En el caso de producción agropecuaria, estos costos pueden incluir fertilizantes, semillas, agroquimicos y tratamientos anti-parasiticos, y contenidores para el producto (sacos, cajas, etc.),
También pueden incluir costos de riego (combustible de la bomba) si el riego esta dedicado al cultivo.
</t>
        </r>
      </text>
    </comment>
    <comment ref="F35" authorId="0">
      <text>
        <r>
          <rPr>
            <sz val="8"/>
            <rFont val="Tahoma"/>
            <family val="0"/>
          </rPr>
          <t xml:space="preserve">
Especificar la unidad de uso o compra del insumo, materia prima, o mano de obra, sea en kilos, jornales, quintales, litros, cajas, etc.</t>
        </r>
      </text>
    </comment>
    <comment ref="H35" authorId="0">
      <text>
        <r>
          <rPr>
            <sz val="8"/>
            <rFont val="Tahoma"/>
            <family val="0"/>
          </rPr>
          <t xml:space="preserve">
La producción total por ciclo se calcula automaticamente, por multiplicar el volumen de producción en cada unidad (Columna 7) por el número de unidades de producción (Columna 6).
No se insertan datos en esta celda.</t>
        </r>
      </text>
    </comment>
    <comment ref="J35" authorId="0">
      <text>
        <r>
          <rPr>
            <sz val="8"/>
            <rFont val="Tahoma"/>
            <family val="0"/>
          </rPr>
          <t xml:space="preserve">
El volumen del insumo (en unidades de compra - véase Columna 15) conseguido sin costo en efectivo. Tipicamente resulta de autoproduccion del insumo o materia primo, o del uso de mano de obra familiar. </t>
        </r>
      </text>
    </comment>
    <comment ref="L35" authorId="0">
      <text>
        <r>
          <rPr>
            <sz val="8"/>
            <rFont val="Tahoma"/>
            <family val="0"/>
          </rPr>
          <t xml:space="preserve">
El volumen de compra de un insumo o mano de obra se calcula automaticamente en base al uso total (Columna 16) menos la disponibilidad de recursos propios (Columna 17).
No se insertan datos en esta celda.</t>
        </r>
      </text>
    </comment>
    <comment ref="N35" authorId="0">
      <text>
        <r>
          <rPr>
            <sz val="8"/>
            <rFont val="Tahoma"/>
            <family val="0"/>
          </rPr>
          <t xml:space="preserve">
Indicar el precio de compra promedio previsto. Si no se compra el insumo o mano de obra - ej: mano de obra familiar, o insumos generados en la finca misma - hay que determinar un precio en base al mercado más cercano.</t>
        </r>
      </text>
    </comment>
    <comment ref="P35" authorId="0">
      <text>
        <r>
          <rPr>
            <sz val="8"/>
            <rFont val="Tahoma"/>
            <family val="0"/>
          </rPr>
          <t xml:space="preserve">
Si no se entrega el vendedor el insumo al sitio de producción (la finca, la planta, etc.), indicar el costo de transporte (por unidad de venta) desde el punto de compra a la finca o planta etc..</t>
        </r>
      </text>
    </comment>
    <comment ref="S35" authorId="0">
      <text>
        <r>
          <rPr>
            <sz val="8"/>
            <rFont val="Tahoma"/>
            <family val="0"/>
          </rPr>
          <t xml:space="preserve">
El costo total anual se calcula automaticamente, por multiplicar 
El volumen total de consumo por ciclo (Columna 16) con el número de ciclos por año (Celda 4). Se multiplica dicho total por el precio de compra (Columna 19) más el costo de transporte (Columna 20).
No se insertan datos en esta celda.</t>
        </r>
      </text>
    </comment>
    <comment ref="U35" authorId="0">
      <text>
        <r>
          <rPr>
            <sz val="8"/>
            <rFont val="Tahoma"/>
            <family val="0"/>
          </rPr>
          <t xml:space="preserve">
El costo anual en efectivo se calcula automaticamente, por multiplicar el volumen de insumos o mano de obra comprado por ciclo (Columna 18) con el número de ciclos por año (Celda 4). Se multiplica dicho total por el precio de compra (Columna 19) más el costo de transporte (Columna 20).
No se insertan datos en esta celda.</t>
        </r>
      </text>
    </comment>
    <comment ref="F85" authorId="1">
      <text>
        <r>
          <rPr>
            <sz val="8"/>
            <rFont val="Tahoma"/>
            <family val="0"/>
          </rPr>
          <t xml:space="preserve">
La generación de empleo por parte del bloque se calcula automáticamente en base al uso de mano de obra arriba. Se considera 275 jornales -persona por año - persona equivalente, considerando un día semanal de descanso mas 15 días de descanso adicionales por año.
</t>
        </r>
      </text>
    </comment>
    <comment ref="J7" authorId="0">
      <text>
        <r>
          <rPr>
            <sz val="8"/>
            <rFont val="Tahoma"/>
            <family val="0"/>
          </rPr>
          <t xml:space="preserve">
Especificar la unidad de produccion utilizada. Ejemplos: 
Agricultura integral - finca de 3 hectáreas, stc.
Cultivos de ciclo corto, o perennes - manzana, hectárea, etc.
Ganado - cabeza, hato de 10 cabezas, hectárea, área de 100 hectáreas, etc.
Animales menores - galpón (pollos), Módulo de 100 reproductores (carácol), etc. 
Agroindustria de procesamiento - agroindustria, caja, lote de 10 kilos, saco, etc.
Postcosecha y/o comercialización - quintal, tonelada, etc.
Artesanías - taller, pieza, lote de 100 piezas, etc.
Pesca o ecoturismo de mar - embarcación y encargados, etc.
Ecoturismo - cabaña, módulo de 10 cabañas y servicios, etc.
Acuacultura - piscina o estanque, módulo de 10 estanques, etc.
Transporte - vehículo, embarcación, etc.
Forestación o reforestación - hectárea, plantación de 100 plantas, etc.
Manejo de fauna silvestre - área de 100 hectáreas, zoocritadero, hato, etc.
Manejo de microcuenca - área de 1000 hectáreas, etc.
Caminos vecinales - conjunto de 5 comunidades beneficiadas, etc.
Aulas escolares o similar - comunidad, 3 comunidades, 30 familias dispersas, etc.</t>
        </r>
      </text>
    </comment>
  </commentList>
</comments>
</file>

<file path=xl/comments21.xml><?xml version="1.0" encoding="utf-8"?>
<comments xmlns="http://schemas.openxmlformats.org/spreadsheetml/2006/main">
  <authors>
    <author>Un usuario de Microsoft Office satisfecho</author>
    <author>*</author>
  </authors>
  <commentList>
    <comment ref="D7" authorId="0">
      <text>
        <r>
          <rPr>
            <sz val="8"/>
            <rFont val="Tahoma"/>
            <family val="0"/>
          </rPr>
          <t xml:space="preserve">
Insertar el nombre del producto a que se refiere este anexo.
</t>
        </r>
      </text>
    </comment>
    <comment ref="P7" authorId="0">
      <text>
        <r>
          <rPr>
            <sz val="8"/>
            <rFont val="Tahoma"/>
            <family val="0"/>
          </rPr>
          <t xml:space="preserve">
Aqui se refieren a los ciclos de producción del cultivo o producto. Cultivos como hortalizas pueden tener un ciclo de 3 o 4 meses, mientras la producción de aves puede involucrar un ciclo de 2.5 meses. En el caso de artesanías o agroindustría, donde la producción ocure todo el año (o mientras hay materia prima), puede ser más conveniente hablar de un ciclo mensual, dado que muchas de las cuentas (sueldos, electricidad, etc.) se pagan cada mes.
En cuanto a los cultivos perennes, o animales de cría, el ciclo puede durar varios años (poe ejemplo:10 años = 120 meses). Así, se puede calcular todos los gastos de producción (menos la inversión inicial que debe aparacer en Cuadro 6) durante la vida del cultivo o animal, además de calcular los ingresos totales en el mismo período. 
</t>
        </r>
      </text>
    </comment>
    <comment ref="T7" authorId="0">
      <text>
        <r>
          <rPr>
            <sz val="8"/>
            <rFont val="Tahoma"/>
            <family val="0"/>
          </rPr>
          <t xml:space="preserve">
El número de ciclos por año depende en si el proceso de producción ocurre durante todo el año. 
Si la producción es un proceso permanente (por ejemplo un cultivo perenne, avicultura, o artesanías) se divide 12 por la duración de cada ciclo (Celda 2 a la izquierda). Así la avicultura, con una duración de 2.5 meses por ciclo, tendrá 12/2.5 = 4.8 ciclos por año.
Sin embargo, si la producción no es permanente, tiene que identificar el número de ciclos. Así, en una planta agroindustrial que funciona en base a un ciclo mensual, pero solamente opera de junio a diciembre (inclusivo), el número de ciclos será 7. Una hortaliza puede tener un ciclo de 4 meses y ser cultivado en dos ciclos por año.</t>
        </r>
      </text>
    </comment>
    <comment ref="C16" authorId="0">
      <text>
        <r>
          <rPr>
            <sz val="8"/>
            <rFont val="Tahoma"/>
            <family val="0"/>
          </rPr>
          <t xml:space="preserve">
Identificar y insertir las categorías de ingresos que resultan de la produccion del producto o bloque. Dichos ingresos deben resultar del mismo proceso de produccion (p.ej. lana y carne de oveja).</t>
        </r>
      </text>
    </comment>
    <comment ref="F16" authorId="0">
      <text>
        <r>
          <rPr>
            <sz val="8"/>
            <rFont val="Tahoma"/>
            <family val="0"/>
          </rPr>
          <t xml:space="preserve">
Especificar la unidad de venta del producto, sea en kilos, cabezas, piezas, quintales, litros, cajas, etc.</t>
        </r>
      </text>
    </comment>
    <comment ref="H16" authorId="0">
      <text>
        <r>
          <rPr>
            <sz val="8"/>
            <rFont val="Tahoma"/>
            <family val="0"/>
          </rPr>
          <t xml:space="preserve">
Insertar la producción total por unidad de produccion por ciclo en unidades de venta especificadas en Columna 6.
Se debe excluir cualquier proporcion de la produccion que no se puede aprovechar debido a deshechos, perdidas o problemas de calidad. Asi, si se cosecha 5t/ha pero solamente puede utilizar 4.5t, se debe utilizar la segunda cifra.</t>
        </r>
      </text>
    </comment>
    <comment ref="J16" authorId="0">
      <text>
        <r>
          <rPr>
            <sz val="8"/>
            <rFont val="Tahoma"/>
            <family val="0"/>
          </rPr>
          <t xml:space="preserve">
El volumen del producto (en unidades de venta - véase Columna 6) destinado al autoconsumo. Es decir, para que no recibirán los productores dinero en efectivo.</t>
        </r>
      </text>
    </comment>
    <comment ref="L16" authorId="0">
      <text>
        <r>
          <rPr>
            <sz val="8"/>
            <rFont val="Tahoma"/>
            <family val="0"/>
          </rPr>
          <t xml:space="preserve">
El volumen de venta se calcula automaticamente en base a la producción total (Columna 7) menos el autoconsumo (Columna 8).
No se insertir datos en esta celda.</t>
        </r>
      </text>
    </comment>
    <comment ref="N16" authorId="0">
      <text>
        <r>
          <rPr>
            <sz val="8"/>
            <rFont val="Tahoma"/>
            <family val="0"/>
          </rPr>
          <t xml:space="preserve">
Indicar el precio de venta promedio previsto. Si no se vende el producto - ej: se destina al autoconsumo o uso en una planta procesadora - hay que determinar el precio en el mercado más cercano.</t>
        </r>
      </text>
    </comment>
    <comment ref="P16" authorId="0">
      <text>
        <r>
          <rPr>
            <sz val="8"/>
            <rFont val="Tahoma"/>
            <family val="0"/>
          </rPr>
          <t xml:space="preserve">
Si no se entrega el producto al comprador en el sitio de producción (la finca, la planta, etc.), indicar el costo de transporte (por unidad de venta) hasta el punto de venta.</t>
        </r>
      </text>
    </comment>
    <comment ref="R16" authorId="0">
      <text>
        <r>
          <rPr>
            <sz val="8"/>
            <rFont val="Tahoma"/>
            <family val="0"/>
          </rPr>
          <t xml:space="preserve">
El ingreso total anual se calcula automaticamente, por multiplicar el volumen total de producción por ciclo (Columna 7) con el número de ciclos por año (Celda 4). Se multiplica dicho total por el precio de venta (Columna 10) menos el costo de transporte (Columna 11).
No se insertian datos en esta celda.</t>
        </r>
      </text>
    </comment>
    <comment ref="T16" authorId="0">
      <text>
        <r>
          <rPr>
            <sz val="8"/>
            <rFont val="Tahoma"/>
            <family val="0"/>
          </rPr>
          <t xml:space="preserve">
El ingreso anual en efectivo se calcula automaticamente, por multiplicar el volumen de producción vendido por ciclo (Columna 9) con el número de ciclos por año (Celda 4). Se multiplica dicho total por el precio de venta (Columna 10) menos el costo de transporte (Columna 11).
No se insertir datos en esta celda.</t>
        </r>
      </text>
    </comment>
    <comment ref="C35" authorId="0">
      <text>
        <r>
          <rPr>
            <sz val="8"/>
            <rFont val="Tahoma"/>
            <family val="0"/>
          </rPr>
          <t xml:space="preserve">Identificar e insertar las categorías principales de costos que se aplican a la producción del producto.
En el caso de producción agropecuaria, estos costos pueden incluir fertilizantes, semillas, agroquimicos y tratamientos anti-parasiticos, y contenidores para el producto (sacos, cajas, etc.),
También pueden incluir costos de riego (combustible de la bomba) si el riego esta dedicado al cultivo.
</t>
        </r>
      </text>
    </comment>
    <comment ref="F35" authorId="0">
      <text>
        <r>
          <rPr>
            <sz val="8"/>
            <rFont val="Tahoma"/>
            <family val="0"/>
          </rPr>
          <t xml:space="preserve">
Especificar la unidad de uso o compra del insumo, materia prima, o mano de obra, sea en kilos, jornales, quintales, litros, cajas, etc.</t>
        </r>
      </text>
    </comment>
    <comment ref="H35" authorId="0">
      <text>
        <r>
          <rPr>
            <sz val="8"/>
            <rFont val="Tahoma"/>
            <family val="0"/>
          </rPr>
          <t xml:space="preserve">
La producción total por ciclo se calcula automaticamente, por multiplicar el volumen de producción en cada unidad (Columna 7) por el número de unidades de producción (Columna 6).
No se insertan datos en esta celda.</t>
        </r>
      </text>
    </comment>
    <comment ref="J35" authorId="0">
      <text>
        <r>
          <rPr>
            <sz val="8"/>
            <rFont val="Tahoma"/>
            <family val="0"/>
          </rPr>
          <t xml:space="preserve">
El volumen del insumo (en unidades de compra - véase Columna 15) conseguido sin costo en efectivo. Tipicamente resulta de autoproduccion del insumo o materia primo, o del uso de mano de obra familiar. </t>
        </r>
      </text>
    </comment>
    <comment ref="L35" authorId="0">
      <text>
        <r>
          <rPr>
            <sz val="8"/>
            <rFont val="Tahoma"/>
            <family val="0"/>
          </rPr>
          <t xml:space="preserve">
El volumen de compra de un insumo o mano de obra se calcula automaticamente en base al uso total (Columna 16) menos la disponibilidad de recursos propios (Columna 17).
No se insertan datos en esta celda.</t>
        </r>
      </text>
    </comment>
    <comment ref="N35" authorId="0">
      <text>
        <r>
          <rPr>
            <sz val="8"/>
            <rFont val="Tahoma"/>
            <family val="0"/>
          </rPr>
          <t xml:space="preserve">
Indicar el precio de compra promedio previsto. Si no se compra el insumo o mano de obra - ej: mano de obra familiar, o insumos generados en la finca misma - hay que determinar un precio en base al mercado más cercano.</t>
        </r>
      </text>
    </comment>
    <comment ref="P35" authorId="0">
      <text>
        <r>
          <rPr>
            <sz val="8"/>
            <rFont val="Tahoma"/>
            <family val="0"/>
          </rPr>
          <t xml:space="preserve">
Si no se entrega el vendedor el insumo al sitio de producción (la finca, la planta, etc.), indicar el costo de transporte (por unidad de venta) desde el punto de compra a la finca o planta etc..</t>
        </r>
      </text>
    </comment>
    <comment ref="S35" authorId="0">
      <text>
        <r>
          <rPr>
            <sz val="8"/>
            <rFont val="Tahoma"/>
            <family val="0"/>
          </rPr>
          <t xml:space="preserve">
El costo total anual se calcula automaticamente, por multiplicar 
El volumen total de consumo por ciclo (Columna 16) con el número de ciclos por año (Celda 4). Se multiplica dicho total por el precio de compra (Columna 19) más el costo de transporte (Columna 20).
No se insertan datos en esta celda.</t>
        </r>
      </text>
    </comment>
    <comment ref="U35" authorId="0">
      <text>
        <r>
          <rPr>
            <sz val="8"/>
            <rFont val="Tahoma"/>
            <family val="0"/>
          </rPr>
          <t xml:space="preserve">
El costo anual en efectivo se calcula automaticamente, por multiplicar el volumen de insumos o mano de obra comprado por ciclo (Columna 18) con el número de ciclos por año (Celda 4). Se multiplica dicho total por el precio de compra (Columna 19) más el costo de transporte (Columna 20).
No se insertan datos en esta celda.</t>
        </r>
      </text>
    </comment>
    <comment ref="F85" authorId="1">
      <text>
        <r>
          <rPr>
            <sz val="8"/>
            <rFont val="Tahoma"/>
            <family val="0"/>
          </rPr>
          <t xml:space="preserve">
La generación de empleo por parte del bloque se calcula automáticamente en base al uso de mano de obra arriba. Se considera 275 jornales -persona por año - persona equivalente, considerando un día semanal de descanso mas 15 días de descanso adicionales por año.
</t>
        </r>
      </text>
    </comment>
    <comment ref="J7" authorId="0">
      <text>
        <r>
          <rPr>
            <sz val="8"/>
            <rFont val="Tahoma"/>
            <family val="0"/>
          </rPr>
          <t xml:space="preserve">
Especificar la unidad de produccion utilizada. Ejemplos: 
Agricultura integral - finca de 3 hectáreas, stc.
Cultivos de ciclo corto, o perennes - manzana, hectárea, etc.
Ganado - cabeza, hato de 10 cabezas, hectárea, área de 100 hectáreas, etc.
Animales menores - galpón (pollos), Módulo de 100 reproductores (carácol), etc. 
Agroindustria de procesamiento - agroindustria, caja, lote de 10 kilos, saco, etc.
Postcosecha y/o comercialización - quintal, tonelada, etc.
Artesanías - taller, pieza, lote de 100 piezas, etc.
Pesca o ecoturismo de mar - embarcación y encargados, etc.
Ecoturismo - cabaña, módulo de 10 cabañas y servicios, etc.
Acuacultura - piscina o estanque, módulo de 10 estanques, etc.
Transporte - vehículo, embarcación, etc.
Forestación o reforestación - hectárea, plantación de 100 plantas, etc.
Manejo de fauna silvestre - área de 100 hectáreas, zoocritadero, hato, etc.
Manejo de microcuenca - área de 1000 hectáreas, etc.
Caminos vecinales - conjunto de 5 comunidades beneficiadas, etc.
Aulas escolares o similar - comunidad, 3 comunidades, 30 familias dispersas, etc.</t>
        </r>
      </text>
    </comment>
  </commentList>
</comments>
</file>

<file path=xl/comments22.xml><?xml version="1.0" encoding="utf-8"?>
<comments xmlns="http://schemas.openxmlformats.org/spreadsheetml/2006/main">
  <authors>
    <author>Un usuario de Microsoft Office satisfecho</author>
    <author>*</author>
  </authors>
  <commentList>
    <comment ref="D7" authorId="0">
      <text>
        <r>
          <rPr>
            <sz val="8"/>
            <rFont val="Tahoma"/>
            <family val="0"/>
          </rPr>
          <t xml:space="preserve">
Insertar el nombre del producto a que se refiere este anexo.
</t>
        </r>
      </text>
    </comment>
    <comment ref="P7" authorId="0">
      <text>
        <r>
          <rPr>
            <sz val="8"/>
            <rFont val="Tahoma"/>
            <family val="0"/>
          </rPr>
          <t xml:space="preserve">
Aqui se refieren a los ciclos de producción del cultivo o producto. Cultivos como hortalizas pueden tener un ciclo de 3 o 4 meses, mientras la producción de aves puede involucrar un ciclo de 2.5 meses. En el caso de artesanías o agroindustría, donde la producción ocure todo el año (o mientras hay materia prima), puede ser más conveniente hablar de un ciclo mensual, dado que muchas de las cuentas (sueldos, electricidad, etc.) se pagan cada mes.
En cuanto a los cultivos perennes, o animales de cría, el ciclo puede durar varios años (poe ejemplo:10 años = 120 meses). Así, se puede calcular todos los gastos de producción (menos la inversión inicial que debe aparacer en Cuadro 6) durante la vida del cultivo o animal, además de calcular los ingresos totales en el mismo período. 
</t>
        </r>
      </text>
    </comment>
    <comment ref="T7" authorId="0">
      <text>
        <r>
          <rPr>
            <sz val="8"/>
            <rFont val="Tahoma"/>
            <family val="0"/>
          </rPr>
          <t xml:space="preserve">
El número de ciclos por año depende en si el proceso de producción ocurre durante todo el año. 
Si la producción es un proceso permanente (por ejemplo un cultivo perenne, avicultura, o artesanías) se divide 12 por la duración de cada ciclo (Celda 2 a la izquierda). Así la avicultura, con una duración de 2.5 meses por ciclo, tendrá 12/2.5 = 4.8 ciclos por año.
Sin embargo, si la producción no es permanente, tiene que identificar el número de ciclos. Así, en una planta agroindustrial que funciona en base a un ciclo mensual, pero solamente opera de junio a diciembre (inclusivo), el número de ciclos será 7. Una hortaliza puede tener un ciclo de 4 meses y ser cultivado en dos ciclos por año.</t>
        </r>
      </text>
    </comment>
    <comment ref="C16" authorId="0">
      <text>
        <r>
          <rPr>
            <sz val="8"/>
            <rFont val="Tahoma"/>
            <family val="0"/>
          </rPr>
          <t xml:space="preserve">
Identificar y insertir las categorías de ingresos que resultan de la produccion del producto o bloque. Dichos ingresos deben resultar del mismo proceso de produccion (p.ej. lana y carne de oveja).</t>
        </r>
      </text>
    </comment>
    <comment ref="F16" authorId="0">
      <text>
        <r>
          <rPr>
            <sz val="8"/>
            <rFont val="Tahoma"/>
            <family val="0"/>
          </rPr>
          <t xml:space="preserve">
Especificar la unidad de venta del producto, sea en kilos, cabezas, piezas, quintales, litros, cajas, etc.</t>
        </r>
      </text>
    </comment>
    <comment ref="H16" authorId="0">
      <text>
        <r>
          <rPr>
            <sz val="8"/>
            <rFont val="Tahoma"/>
            <family val="0"/>
          </rPr>
          <t xml:space="preserve">
Insertar la producción total por unidad de produccion por ciclo en unidades de venta especificadas en Columna 6.
Se debe excluir cualquier proporcion de la produccion que no se puede aprovechar debido a deshechos, perdidas o problemas de calidad. Asi, si se cosecha 5t/ha pero solamente puede utilizar 4.5t, se debe utilizar la segunda cifra.</t>
        </r>
      </text>
    </comment>
    <comment ref="J16" authorId="0">
      <text>
        <r>
          <rPr>
            <sz val="8"/>
            <rFont val="Tahoma"/>
            <family val="0"/>
          </rPr>
          <t xml:space="preserve">
El volumen del producto (en unidades de venta - véase Columna 6) destinado al autoconsumo. Es decir, para que no recibirán los productores dinero en efectivo.</t>
        </r>
      </text>
    </comment>
    <comment ref="L16" authorId="0">
      <text>
        <r>
          <rPr>
            <sz val="8"/>
            <rFont val="Tahoma"/>
            <family val="0"/>
          </rPr>
          <t xml:space="preserve">
El volumen de venta se calcula automaticamente en base a la producción total (Columna 7) menos el autoconsumo (Columna 8).
No se insertir datos en esta celda.</t>
        </r>
      </text>
    </comment>
    <comment ref="N16" authorId="0">
      <text>
        <r>
          <rPr>
            <sz val="8"/>
            <rFont val="Tahoma"/>
            <family val="0"/>
          </rPr>
          <t xml:space="preserve">
Indicar el precio de venta promedio previsto. Si no se vende el producto - ej: se destina al autoconsumo o uso en una planta procesadora - hay que determinar el precio en el mercado más cercano.</t>
        </r>
      </text>
    </comment>
    <comment ref="P16" authorId="0">
      <text>
        <r>
          <rPr>
            <sz val="8"/>
            <rFont val="Tahoma"/>
            <family val="0"/>
          </rPr>
          <t xml:space="preserve">
Si no se entrega el producto al comprador en el sitio de producción (la finca, la planta, etc.), indicar el costo de transporte (por unidad de venta) hasta el punto de venta.</t>
        </r>
      </text>
    </comment>
    <comment ref="R16" authorId="0">
      <text>
        <r>
          <rPr>
            <sz val="8"/>
            <rFont val="Tahoma"/>
            <family val="0"/>
          </rPr>
          <t xml:space="preserve">
El ingreso total anual se calcula automaticamente, por multiplicar el volumen total de producción por ciclo (Columna 7) con el número de ciclos por año (Celda 4). Se multiplica dicho total por el precio de venta (Columna 10) menos el costo de transporte (Columna 11).
No se insertian datos en esta celda.</t>
        </r>
      </text>
    </comment>
    <comment ref="T16" authorId="0">
      <text>
        <r>
          <rPr>
            <sz val="8"/>
            <rFont val="Tahoma"/>
            <family val="0"/>
          </rPr>
          <t xml:space="preserve">
El ingreso anual en efectivo se calcula automaticamente, por multiplicar el volumen de producción vendido por ciclo (Columna 9) con el número de ciclos por año (Celda 4). Se multiplica dicho total por el precio de venta (Columna 10) menos el costo de transporte (Columna 11).
No se insertir datos en esta celda.</t>
        </r>
      </text>
    </comment>
    <comment ref="C35" authorId="0">
      <text>
        <r>
          <rPr>
            <sz val="8"/>
            <rFont val="Tahoma"/>
            <family val="0"/>
          </rPr>
          <t xml:space="preserve">Identificar e insertar las categorías principales de costos que se aplican a la producción del producto.
En el caso de producción agropecuaria, estos costos pueden incluir fertilizantes, semillas, agroquimicos y tratamientos anti-parasiticos, y contenidores para el producto (sacos, cajas, etc.),
También pueden incluir costos de riego (combustible de la bomba) si el riego esta dedicado al cultivo.
</t>
        </r>
      </text>
    </comment>
    <comment ref="F35" authorId="0">
      <text>
        <r>
          <rPr>
            <sz val="8"/>
            <rFont val="Tahoma"/>
            <family val="0"/>
          </rPr>
          <t xml:space="preserve">
Especificar la unidad de uso o compra del insumo, materia prima, o mano de obra, sea en kilos, jornales, quintales, litros, cajas, etc.</t>
        </r>
      </text>
    </comment>
    <comment ref="H35" authorId="0">
      <text>
        <r>
          <rPr>
            <sz val="8"/>
            <rFont val="Tahoma"/>
            <family val="0"/>
          </rPr>
          <t xml:space="preserve">
La producción total por ciclo se calcula automaticamente, por multiplicar el volumen de producción en cada unidad (Columna 7) por el número de unidades de producción (Columna 6).
No se insertan datos en esta celda.</t>
        </r>
      </text>
    </comment>
    <comment ref="J35" authorId="0">
      <text>
        <r>
          <rPr>
            <sz val="8"/>
            <rFont val="Tahoma"/>
            <family val="0"/>
          </rPr>
          <t xml:space="preserve">
El volumen del insumo (en unidades de compra - véase Columna 15) conseguido sin costo en efectivo. Tipicamente resulta de autoproduccion del insumo o materia primo, o del uso de mano de obra familiar. </t>
        </r>
      </text>
    </comment>
    <comment ref="L35" authorId="0">
      <text>
        <r>
          <rPr>
            <sz val="8"/>
            <rFont val="Tahoma"/>
            <family val="0"/>
          </rPr>
          <t xml:space="preserve">
El volumen de compra de un insumo o mano de obra se calcula automaticamente en base al uso total (Columna 16) menos la disponibilidad de recursos propios (Columna 17).
No se insertan datos en esta celda.</t>
        </r>
      </text>
    </comment>
    <comment ref="N35" authorId="0">
      <text>
        <r>
          <rPr>
            <sz val="8"/>
            <rFont val="Tahoma"/>
            <family val="0"/>
          </rPr>
          <t xml:space="preserve">
Indicar el precio de compra promedio previsto. Si no se compra el insumo o mano de obra - ej: mano de obra familiar, o insumos generados en la finca misma - hay que determinar un precio en base al mercado más cercano.</t>
        </r>
      </text>
    </comment>
    <comment ref="P35" authorId="0">
      <text>
        <r>
          <rPr>
            <sz val="8"/>
            <rFont val="Tahoma"/>
            <family val="0"/>
          </rPr>
          <t xml:space="preserve">
Si no se entrega el vendedor el insumo al sitio de producción (la finca, la planta, etc.), indicar el costo de transporte (por unidad de venta) desde el punto de compra a la finca o planta etc..</t>
        </r>
      </text>
    </comment>
    <comment ref="S35" authorId="0">
      <text>
        <r>
          <rPr>
            <sz val="8"/>
            <rFont val="Tahoma"/>
            <family val="0"/>
          </rPr>
          <t xml:space="preserve">
El costo total anual se calcula automaticamente, por multiplicar 
El volumen total de consumo por ciclo (Columna 16) con el número de ciclos por año (Celda 4). Se multiplica dicho total por el precio de compra (Columna 19) más el costo de transporte (Columna 20).
No se insertan datos en esta celda.</t>
        </r>
      </text>
    </comment>
    <comment ref="U35" authorId="0">
      <text>
        <r>
          <rPr>
            <sz val="8"/>
            <rFont val="Tahoma"/>
            <family val="0"/>
          </rPr>
          <t xml:space="preserve">
El costo anual en efectivo se calcula automaticamente, por multiplicar el volumen de insumos o mano de obra comprado por ciclo (Columna 18) con el número de ciclos por año (Celda 4). Se multiplica dicho total por el precio de compra (Columna 19) más el costo de transporte (Columna 20).
No se insertan datos en esta celda.</t>
        </r>
      </text>
    </comment>
    <comment ref="F86" authorId="1">
      <text>
        <r>
          <rPr>
            <sz val="8"/>
            <rFont val="Tahoma"/>
            <family val="0"/>
          </rPr>
          <t xml:space="preserve">
La generación de empleo por parte del bloque se calcula automáticamente en base al uso de mano de obra arriba. Se considera 275 jornales -persona por año - persona equivalente, considerando un día semanal de descanso mas 15 días de descanso adicionales por año.
</t>
        </r>
      </text>
    </comment>
    <comment ref="J7" authorId="0">
      <text>
        <r>
          <rPr>
            <sz val="8"/>
            <rFont val="Tahoma"/>
            <family val="0"/>
          </rPr>
          <t xml:space="preserve">
Especificar la unidad de produccion utilizada. Ejemplos: 
Agricultura integral - finca de 3 hectáreas, stc.
Cultivos de ciclo corto, o perennes - manzana, hectárea, etc.
Ganado - cabeza, hato de 10 cabezas, hectárea, área de 100 hectáreas, etc.
Animales menores - galpón (pollos), Módulo de 100 reproductores (carácol), etc. 
Agroindustria de procesamiento - agroindustria, caja, lote de 10 kilos, saco, etc.
Postcosecha y/o comercialización - quintal, tonelada, etc.
Artesanías - taller, pieza, lote de 100 piezas, etc.
Pesca o ecoturismo de mar - embarcación y encargados, etc.
Ecoturismo - cabaña, módulo de 10 cabañas y servicios, etc.
Acuacultura - piscina o estanque, módulo de 10 estanques, etc.
Transporte - vehículo, embarcación, etc.
Forestación o reforestación - hectárea, plantación de 100 plantas, etc.
Manejo de fauna silvestre - área de 100 hectáreas, zoocritadero, hato, etc.
Manejo de microcuenca - área de 1000 hectáreas, etc.
Caminos vecinales - conjunto de 5 comunidades beneficiadas, etc.
Aulas escolares o similar - comunidad, 3 comunidades, 30 familias dispersas, etc.</t>
        </r>
      </text>
    </comment>
  </commentList>
</comments>
</file>

<file path=xl/comments23.xml><?xml version="1.0" encoding="utf-8"?>
<comments xmlns="http://schemas.openxmlformats.org/spreadsheetml/2006/main">
  <authors>
    <author>Un usuario de Microsoft Office satisfecho</author>
    <author>*</author>
  </authors>
  <commentList>
    <comment ref="D7" authorId="0">
      <text>
        <r>
          <rPr>
            <sz val="8"/>
            <rFont val="Tahoma"/>
            <family val="0"/>
          </rPr>
          <t xml:space="preserve">
Insertar el nombre del producto a que se refiere este anexo.
</t>
        </r>
      </text>
    </comment>
    <comment ref="P7" authorId="0">
      <text>
        <r>
          <rPr>
            <sz val="8"/>
            <rFont val="Tahoma"/>
            <family val="0"/>
          </rPr>
          <t xml:space="preserve">
Aqui se refieren a los ciclos de producción del cultivo o producto. Cultivos como hortalizas pueden tener un ciclo de 3 o 4 meses, mientras la producción de aves puede involucrar un ciclo de 2.5 meses. En el caso de artesanías o agroindustría, donde la producción ocure todo el año (o mientras hay materia prima), puede ser más conveniente hablar de un ciclo mensual, dado que muchas de las cuentas (sueldos, electricidad, etc.) se pagan cada mes.
En cuanto a los cultivos perennes, o animales de cría, el ciclo puede durar varios años (poe ejemplo:10 años = 120 meses). Así, se puede calcular todos los gastos de producción (menos la inversión inicial que debe aparacer en Cuadro 6) durante la vida del cultivo o animal, además de calcular los ingresos totales en el mismo período. 
</t>
        </r>
      </text>
    </comment>
    <comment ref="T7" authorId="0">
      <text>
        <r>
          <rPr>
            <sz val="8"/>
            <rFont val="Tahoma"/>
            <family val="0"/>
          </rPr>
          <t xml:space="preserve">
El número de ciclos por año depende en si el proceso de producción ocurre durante todo el año. 
Si la producción es un proceso permanente (por ejemplo un cultivo perenne, avicultura, o artesanías) se divide 12 por la duración de cada ciclo (Celda 2 a la izquierda). Así la avicultura, con una duración de 2.5 meses por ciclo, tendrá 12/2.5 = 4.8 ciclos por año.
Sin embargo, si la producción no es permanente, tiene que identificar el número de ciclos. Así, en una planta agroindustrial que funciona en base a un ciclo mensual, pero solamente opera de junio a diciembre (inclusivo), el número de ciclos será 7. Una hortaliza puede tener un ciclo de 4 meses y ser cultivado en dos ciclos por año.</t>
        </r>
      </text>
    </comment>
    <comment ref="C16" authorId="0">
      <text>
        <r>
          <rPr>
            <sz val="8"/>
            <rFont val="Tahoma"/>
            <family val="0"/>
          </rPr>
          <t xml:space="preserve">
Identificar y insertir las categorías de ingresos que resultan de la produccion del producto o bloque. Dichos ingresos deben resultar del mismo proceso de produccion (p.ej. lana y carne de oveja).</t>
        </r>
      </text>
    </comment>
    <comment ref="F16" authorId="0">
      <text>
        <r>
          <rPr>
            <sz val="8"/>
            <rFont val="Tahoma"/>
            <family val="0"/>
          </rPr>
          <t xml:space="preserve">
Especificar la unidad de venta del producto, sea en kilos, cabezas, piezas, quintales, litros, cajas, etc.</t>
        </r>
      </text>
    </comment>
    <comment ref="H16" authorId="0">
      <text>
        <r>
          <rPr>
            <sz val="8"/>
            <rFont val="Tahoma"/>
            <family val="0"/>
          </rPr>
          <t xml:space="preserve">
Insertar la producción total por unidad de produccion por ciclo en unidades de venta especificadas en Columna 6.
Se debe excluir cualquier proporcion de la produccion que no se puede aprovechar debido a deshechos, perdidas o problemas de calidad. Asi, si se cosecha 5t/ha pero solamente puede utilizar 4.5t, se debe utilizar la segunda cifra.</t>
        </r>
      </text>
    </comment>
    <comment ref="J16" authorId="0">
      <text>
        <r>
          <rPr>
            <sz val="8"/>
            <rFont val="Tahoma"/>
            <family val="0"/>
          </rPr>
          <t xml:space="preserve">
El volumen del producto (en unidades de venta - véase Columna 6) destinado al autoconsumo. Es decir, para que no recibirán los productores dinero en efectivo.</t>
        </r>
      </text>
    </comment>
    <comment ref="L16" authorId="0">
      <text>
        <r>
          <rPr>
            <sz val="8"/>
            <rFont val="Tahoma"/>
            <family val="0"/>
          </rPr>
          <t xml:space="preserve">
El volumen de venta se calcula automaticamente en base a la producción total (Columna 7) menos el autoconsumo (Columna 8).
No se insertir datos en esta celda.</t>
        </r>
      </text>
    </comment>
    <comment ref="N16" authorId="0">
      <text>
        <r>
          <rPr>
            <sz val="8"/>
            <rFont val="Tahoma"/>
            <family val="0"/>
          </rPr>
          <t xml:space="preserve">
Indicar el precio de venta promedio previsto. Si no se vende el producto - ej: se destina al autoconsumo o uso en una planta procesadora - hay que determinar el precio en el mercado más cercano.</t>
        </r>
      </text>
    </comment>
    <comment ref="P16" authorId="0">
      <text>
        <r>
          <rPr>
            <sz val="8"/>
            <rFont val="Tahoma"/>
            <family val="0"/>
          </rPr>
          <t xml:space="preserve">
Si no se entrega el producto al comprador en el sitio de producción (la finca, la planta, etc.), indicar el costo de transporte (por unidad de venta) hasta el punto de venta.</t>
        </r>
      </text>
    </comment>
    <comment ref="R16" authorId="0">
      <text>
        <r>
          <rPr>
            <sz val="8"/>
            <rFont val="Tahoma"/>
            <family val="0"/>
          </rPr>
          <t xml:space="preserve">
El ingreso total anual se calcula automaticamente, por multiplicar el volumen total de producción por ciclo (Columna 7) con el número de ciclos por año (Celda 4). Se multiplica dicho total por el precio de venta (Columna 10) menos el costo de transporte (Columna 11).
No se insertian datos en esta celda.</t>
        </r>
      </text>
    </comment>
    <comment ref="T16" authorId="0">
      <text>
        <r>
          <rPr>
            <sz val="8"/>
            <rFont val="Tahoma"/>
            <family val="0"/>
          </rPr>
          <t xml:space="preserve">
El ingreso anual en efectivo se calcula automaticamente, por multiplicar el volumen de producción vendido por ciclo (Columna 9) con el número de ciclos por año (Celda 4). Se multiplica dicho total por el precio de venta (Columna 10) menos el costo de transporte (Columna 11).
No se insertir datos en esta celda.</t>
        </r>
      </text>
    </comment>
    <comment ref="C35" authorId="0">
      <text>
        <r>
          <rPr>
            <sz val="8"/>
            <rFont val="Tahoma"/>
            <family val="0"/>
          </rPr>
          <t xml:space="preserve">Identificar e insertar las categorías principales de costos que se aplican a la producción del producto.
En el caso de producción agropecuaria, estos costos pueden incluir fertilizantes, semillas, agroquimicos y tratamientos anti-parasiticos, y contenidores para el producto (sacos, cajas, etc.),
También pueden incluir costos de riego (combustible de la bomba) si el riego esta dedicado al cultivo.
</t>
        </r>
      </text>
    </comment>
    <comment ref="F35" authorId="0">
      <text>
        <r>
          <rPr>
            <sz val="8"/>
            <rFont val="Tahoma"/>
            <family val="0"/>
          </rPr>
          <t xml:space="preserve">
Especificar la unidad de uso o compra del insumo, materia prima, o mano de obra, sea en kilos, jornales, quintales, litros, cajas, etc.</t>
        </r>
      </text>
    </comment>
    <comment ref="H35" authorId="0">
      <text>
        <r>
          <rPr>
            <sz val="8"/>
            <rFont val="Tahoma"/>
            <family val="0"/>
          </rPr>
          <t xml:space="preserve">
La producción total por ciclo se calcula automaticamente, por multiplicar el volumen de producción en cada unidad (Columna 7) por el número de unidades de producción (Columna 6).
No se insertan datos en esta celda.</t>
        </r>
      </text>
    </comment>
    <comment ref="J35" authorId="0">
      <text>
        <r>
          <rPr>
            <sz val="8"/>
            <rFont val="Tahoma"/>
            <family val="0"/>
          </rPr>
          <t xml:space="preserve">
El volumen del insumo (en unidades de compra - véase Columna 15) conseguido sin costo en efectivo. Tipicamente resulta de autoproduccion del insumo o materia primo, o del uso de mano de obra familiar. </t>
        </r>
      </text>
    </comment>
    <comment ref="L35" authorId="0">
      <text>
        <r>
          <rPr>
            <sz val="8"/>
            <rFont val="Tahoma"/>
            <family val="0"/>
          </rPr>
          <t xml:space="preserve">
El volumen de compra de un insumo o mano de obra se calcula automaticamente en base al uso total (Columna 16) menos la disponibilidad de recursos propios (Columna 17).
No se insertan datos en esta celda.</t>
        </r>
      </text>
    </comment>
    <comment ref="N35" authorId="0">
      <text>
        <r>
          <rPr>
            <sz val="8"/>
            <rFont val="Tahoma"/>
            <family val="0"/>
          </rPr>
          <t xml:space="preserve">
Indicar el precio de compra promedio previsto. Si no se compra el insumo o mano de obra - ej: mano de obra familiar, o insumos generados en la finca misma - hay que determinar un precio en base al mercado más cercano.</t>
        </r>
      </text>
    </comment>
    <comment ref="P35" authorId="0">
      <text>
        <r>
          <rPr>
            <sz val="8"/>
            <rFont val="Tahoma"/>
            <family val="0"/>
          </rPr>
          <t xml:space="preserve">
Si no se entrega el vendedor el insumo al sitio de producción (la finca, la planta, etc.), indicar el costo de transporte (por unidad de venta) desde el punto de compra a la finca o planta etc..</t>
        </r>
      </text>
    </comment>
    <comment ref="S35" authorId="0">
      <text>
        <r>
          <rPr>
            <sz val="8"/>
            <rFont val="Tahoma"/>
            <family val="0"/>
          </rPr>
          <t xml:space="preserve">
El costo total anual se calcula automaticamente, por multiplicar 
El volumen total de consumo por ciclo (Columna 16) con el número de ciclos por año (Celda 4). Se multiplica dicho total por el precio de compra (Columna 19) más el costo de transporte (Columna 20).
No se insertan datos en esta celda.</t>
        </r>
      </text>
    </comment>
    <comment ref="U35" authorId="0">
      <text>
        <r>
          <rPr>
            <sz val="8"/>
            <rFont val="Tahoma"/>
            <family val="0"/>
          </rPr>
          <t xml:space="preserve">
El costo anual en efectivo se calcula automaticamente, por multiplicar el volumen de insumos o mano de obra comprado por ciclo (Columna 18) con el número de ciclos por año (Celda 4). Se multiplica dicho total por el precio de compra (Columna 19) más el costo de transporte (Columna 20).
No se insertan datos en esta celda.</t>
        </r>
      </text>
    </comment>
    <comment ref="F85" authorId="1">
      <text>
        <r>
          <rPr>
            <sz val="8"/>
            <rFont val="Tahoma"/>
            <family val="0"/>
          </rPr>
          <t xml:space="preserve">
La generación de empleo por parte del bloque se calcula automáticamente en base al uso de mano de obra arriba. Se considera 275 jornales -persona por año - persona equivalente, considerando un día semanal de descanso mas 15 días de descanso adicionales por año.
</t>
        </r>
      </text>
    </comment>
    <comment ref="J7" authorId="0">
      <text>
        <r>
          <rPr>
            <sz val="8"/>
            <rFont val="Tahoma"/>
            <family val="0"/>
          </rPr>
          <t xml:space="preserve">
Especificar la unidad de produccion utilizada. Ejemplos: 
Agricultura integral - finca de 3 hectáreas, stc.
Cultivos de ciclo corto, o perennes - manzana, hectárea, etc.
Ganado - cabeza, hato de 10 cabezas, hectárea, área de 100 hectáreas, etc.
Animales menores - galpón (pollos), Módulo de 100 reproductores (carácol), etc. 
Agroindustria de procesamiento - agroindustria, caja, lote de 10 kilos, saco, etc.
Postcosecha y/o comercialización - quintal, tonelada, etc.
Artesanías - taller, pieza, lote de 100 piezas, etc.
Pesca o ecoturismo de mar - embarcación y encargados, etc.
Ecoturismo - cabaña, módulo de 10 cabañas y servicios, etc.
Acuacultura - piscina o estanque, módulo de 10 estanques, etc.
Transporte - vehículo, embarcación, etc.
Forestación o reforestación - hectárea, plantación de 100 plantas, etc.
Manejo de fauna silvestre - área de 100 hectáreas, zoocritadero, hato, etc.
Manejo de microcuenca - área de 1000 hectáreas, etc.
Caminos vecinales - conjunto de 5 comunidades beneficiadas, etc.
Aulas escolares o similar - comunidad, 3 comunidades, 30 familias dispersas, etc.</t>
        </r>
      </text>
    </comment>
  </commentList>
</comments>
</file>

<file path=xl/comments24.xml><?xml version="1.0" encoding="utf-8"?>
<comments xmlns="http://schemas.openxmlformats.org/spreadsheetml/2006/main">
  <authors>
    <author>Un usuario de Microsoft Office satisfecho</author>
    <author>*</author>
  </authors>
  <commentList>
    <comment ref="D7" authorId="0">
      <text>
        <r>
          <rPr>
            <sz val="8"/>
            <rFont val="Tahoma"/>
            <family val="0"/>
          </rPr>
          <t xml:space="preserve">
Insertar el nombre del producto a que se refiere este anexo.
</t>
        </r>
      </text>
    </comment>
    <comment ref="P7" authorId="0">
      <text>
        <r>
          <rPr>
            <sz val="8"/>
            <rFont val="Tahoma"/>
            <family val="0"/>
          </rPr>
          <t xml:space="preserve">
Aqui se refieren a los ciclos de producción del cultivo o producto. Cultivos como hortalizas pueden tener un ciclo de 3 o 4 meses, mientras la producción de aves puede involucrar un ciclo de 2.5 meses. En el caso de artesanías o agroindustría, donde la producción ocure todo el año (o mientras hay materia prima), puede ser más conveniente hablar de un ciclo mensual, dado que muchas de las cuentas (sueldos, electricidad, etc.) se pagan cada mes.
En cuanto a los cultivos perennes, o animales de cría, el ciclo puede durar varios años (poe ejemplo:10 años = 120 meses). Así, se puede calcular todos los gastos de producción (menos la inversión inicial que debe aparacer en Cuadro 6) durante la vida del cultivo o animal, además de calcular los ingresos totales en el mismo período. 
</t>
        </r>
      </text>
    </comment>
    <comment ref="T7" authorId="0">
      <text>
        <r>
          <rPr>
            <sz val="8"/>
            <rFont val="Tahoma"/>
            <family val="0"/>
          </rPr>
          <t xml:space="preserve">
El número de ciclos por año depende en si el proceso de producción ocurre durante todo el año. 
Si la producción es un proceso permanente (por ejemplo un cultivo perenne, avicultura, o artesanías) se divide 12 por la duración de cada ciclo (Celda 2 a la izquierda). Así la avicultura, con una duración de 2.5 meses por ciclo, tendrá 12/2.5 = 4.8 ciclos por año.
Sin embargo, si la producción no es permanente, tiene que identificar el número de ciclos. Así, en una planta agroindustrial que funciona en base a un ciclo mensual, pero solamente opera de junio a diciembre (inclusivo), el número de ciclos será 7. Una hortaliza puede tener un ciclo de 4 meses y ser cultivado en dos ciclos por año.</t>
        </r>
      </text>
    </comment>
    <comment ref="C16" authorId="0">
      <text>
        <r>
          <rPr>
            <sz val="8"/>
            <rFont val="Tahoma"/>
            <family val="0"/>
          </rPr>
          <t xml:space="preserve">
Identificar y insertir las categorías de ingresos que resultan de la produccion del producto o bloque. Dichos ingresos deben resultar del mismo proceso de produccion (p.ej. lana y carne de oveja).</t>
        </r>
      </text>
    </comment>
    <comment ref="F16" authorId="0">
      <text>
        <r>
          <rPr>
            <sz val="8"/>
            <rFont val="Tahoma"/>
            <family val="0"/>
          </rPr>
          <t xml:space="preserve">
Especificar la unidad de venta del producto, sea en kilos, cabezas, piezas, quintales, litros, cajas, etc.</t>
        </r>
      </text>
    </comment>
    <comment ref="H16" authorId="0">
      <text>
        <r>
          <rPr>
            <sz val="8"/>
            <rFont val="Tahoma"/>
            <family val="0"/>
          </rPr>
          <t xml:space="preserve">
Insertar la producción total por unidad de produccion por ciclo en unidades de venta especificadas en Columna 6.
Se debe excluir cualquier proporcion de la produccion que no se puede aprovechar debido a deshechos, perdidas o problemas de calidad. Asi, si se cosecha 5t/ha pero solamente puede utilizar 4.5t, se debe utilizar la segunda cifra.</t>
        </r>
      </text>
    </comment>
    <comment ref="J16" authorId="0">
      <text>
        <r>
          <rPr>
            <sz val="8"/>
            <rFont val="Tahoma"/>
            <family val="0"/>
          </rPr>
          <t xml:space="preserve">
El volumen del producto (en unidades de venta - véase Columna 6) destinado al autoconsumo. Es decir, para que no recibirán los productores dinero en efectivo.</t>
        </r>
      </text>
    </comment>
    <comment ref="L16" authorId="0">
      <text>
        <r>
          <rPr>
            <sz val="8"/>
            <rFont val="Tahoma"/>
            <family val="0"/>
          </rPr>
          <t xml:space="preserve">
El volumen de venta se calcula automaticamente en base a la producción total (Columna 7) menos el autoconsumo (Columna 8).
No se insertir datos en esta celda.</t>
        </r>
      </text>
    </comment>
    <comment ref="N16" authorId="0">
      <text>
        <r>
          <rPr>
            <sz val="8"/>
            <rFont val="Tahoma"/>
            <family val="0"/>
          </rPr>
          <t xml:space="preserve">
Indicar el precio de venta promedio previsto. Si no se vende el producto - ej: se destina al autoconsumo o uso en una planta procesadora - hay que determinar el precio en el mercado más cercano.</t>
        </r>
      </text>
    </comment>
    <comment ref="P16" authorId="0">
      <text>
        <r>
          <rPr>
            <sz val="8"/>
            <rFont val="Tahoma"/>
            <family val="0"/>
          </rPr>
          <t xml:space="preserve">
Si no se entrega el producto al comprador en el sitio de producción (la finca, la planta, etc.), indicar el costo de transporte (por unidad de venta) hasta el punto de venta.</t>
        </r>
      </text>
    </comment>
    <comment ref="R16" authorId="0">
      <text>
        <r>
          <rPr>
            <sz val="8"/>
            <rFont val="Tahoma"/>
            <family val="0"/>
          </rPr>
          <t xml:space="preserve">
El ingreso total anual se calcula automaticamente, por multiplicar el volumen total de producción por ciclo (Columna 7) con el número de ciclos por año (Celda 4). Se multiplica dicho total por el precio de venta (Columna 10) menos el costo de transporte (Columna 11).
No se insertian datos en esta celda.</t>
        </r>
      </text>
    </comment>
    <comment ref="T16" authorId="0">
      <text>
        <r>
          <rPr>
            <sz val="8"/>
            <rFont val="Tahoma"/>
            <family val="0"/>
          </rPr>
          <t xml:space="preserve">
El ingreso anual en efectivo se calcula automaticamente, por multiplicar el volumen de producción vendido por ciclo (Columna 9) con el número de ciclos por año (Celda 4). Se multiplica dicho total por el precio de venta (Columna 10) menos el costo de transporte (Columna 11).
No se insertir datos en esta celda.</t>
        </r>
      </text>
    </comment>
    <comment ref="C35" authorId="0">
      <text>
        <r>
          <rPr>
            <sz val="8"/>
            <rFont val="Tahoma"/>
            <family val="0"/>
          </rPr>
          <t xml:space="preserve">Identificar e insertar las categorías principales de costos que se aplican a la producción del producto.
En el caso de producción agropecuaria, estos costos pueden incluir fertilizantes, semillas, agroquimicos y tratamientos anti-parasiticos, y contenidores para el producto (sacos, cajas, etc.),
También pueden incluir costos de riego (combustible de la bomba) si el riego esta dedicado al cultivo.
</t>
        </r>
      </text>
    </comment>
    <comment ref="F35" authorId="0">
      <text>
        <r>
          <rPr>
            <sz val="8"/>
            <rFont val="Tahoma"/>
            <family val="0"/>
          </rPr>
          <t xml:space="preserve">
Especificar la unidad de uso o compra del insumo, materia prima, o mano de obra, sea en kilos, jornales, quintales, litros, cajas, etc.</t>
        </r>
      </text>
    </comment>
    <comment ref="H35" authorId="0">
      <text>
        <r>
          <rPr>
            <sz val="8"/>
            <rFont val="Tahoma"/>
            <family val="0"/>
          </rPr>
          <t xml:space="preserve">
La producción total por ciclo se calcula automaticamente, por multiplicar el volumen de producción en cada unidad (Columna 7) por el número de unidades de producción (Columna 6).
No se insertan datos en esta celda.</t>
        </r>
      </text>
    </comment>
    <comment ref="J35" authorId="0">
      <text>
        <r>
          <rPr>
            <sz val="8"/>
            <rFont val="Tahoma"/>
            <family val="0"/>
          </rPr>
          <t xml:space="preserve">
El volumen del insumo (en unidades de compra - véase Columna 15) conseguido sin costo en efectivo. Tipicamente resulta de autoproduccion del insumo o materia primo, o del uso de mano de obra familiar. </t>
        </r>
      </text>
    </comment>
    <comment ref="L35" authorId="0">
      <text>
        <r>
          <rPr>
            <sz val="8"/>
            <rFont val="Tahoma"/>
            <family val="0"/>
          </rPr>
          <t xml:space="preserve">
El volumen de compra de un insumo o mano de obra se calcula automaticamente en base al uso total (Columna 16) menos la disponibilidad de recursos propios (Columna 17).
No se insertan datos en esta celda.</t>
        </r>
      </text>
    </comment>
    <comment ref="N35" authorId="0">
      <text>
        <r>
          <rPr>
            <sz val="8"/>
            <rFont val="Tahoma"/>
            <family val="0"/>
          </rPr>
          <t xml:space="preserve">
Indicar el precio de compra promedio previsto. Si no se compra el insumo o mano de obra - ej: mano de obra familiar, o insumos generados en la finca misma - hay que determinar un precio en base al mercado más cercano.</t>
        </r>
      </text>
    </comment>
    <comment ref="P35" authorId="0">
      <text>
        <r>
          <rPr>
            <sz val="8"/>
            <rFont val="Tahoma"/>
            <family val="0"/>
          </rPr>
          <t xml:space="preserve">
Si no se entrega el vendedor el insumo al sitio de producción (la finca, la planta, etc.), indicar el costo de transporte (por unidad de venta) desde el punto de compra a la finca o planta etc..</t>
        </r>
      </text>
    </comment>
    <comment ref="S35" authorId="0">
      <text>
        <r>
          <rPr>
            <sz val="8"/>
            <rFont val="Tahoma"/>
            <family val="0"/>
          </rPr>
          <t xml:space="preserve">
El costo total anual se calcula automaticamente, por multiplicar 
El volumen total de consumo por ciclo (Columna 16) con el número de ciclos por año (Celda 4). Se multiplica dicho total por el precio de compra (Columna 19) más el costo de transporte (Columna 20).
No se insertan datos en esta celda.</t>
        </r>
      </text>
    </comment>
    <comment ref="U35" authorId="0">
      <text>
        <r>
          <rPr>
            <sz val="8"/>
            <rFont val="Tahoma"/>
            <family val="0"/>
          </rPr>
          <t xml:space="preserve">
El costo anual en efectivo se calcula automaticamente, por multiplicar el volumen de insumos o mano de obra comprado por ciclo (Columna 18) con el número de ciclos por año (Celda 4). Se multiplica dicho total por el precio de compra (Columna 19) más el costo de transporte (Columna 20).
No se insertan datos en esta celda.</t>
        </r>
      </text>
    </comment>
    <comment ref="F86" authorId="1">
      <text>
        <r>
          <rPr>
            <sz val="8"/>
            <rFont val="Tahoma"/>
            <family val="0"/>
          </rPr>
          <t xml:space="preserve">
La generación de empleo por parte del bloque se calcula automáticamente en base al uso de mano de obra arriba. Se considera 275 jornales -persona por año - persona equivalente, considerando un día semanal de descanso mas 15 días de descanso adicionales por año.
</t>
        </r>
      </text>
    </comment>
    <comment ref="J7" authorId="0">
      <text>
        <r>
          <rPr>
            <sz val="8"/>
            <rFont val="Tahoma"/>
            <family val="0"/>
          </rPr>
          <t xml:space="preserve">
Especificar la unidad de produccion utilizada. Ejemplos: 
Agricultura integral - finca de 3 hectáreas, stc.
Cultivos de ciclo corto, o perennes - manzana, hectárea, etc.
Ganado - cabeza, hato de 10 cabezas, hectárea, área de 100 hectáreas, etc.
Animales menores - galpón (pollos), Módulo de 100 reproductores (carácol), etc. 
Agroindustria de procesamiento - agroindustria, caja, lote de 10 kilos, saco, etc.
Postcosecha y/o comercialización - quintal, tonelada, etc.
Artesanías - taller, pieza, lote de 100 piezas, etc.
Pesca o ecoturismo de mar - embarcación y encargados, etc.
Ecoturismo - cabaña, módulo de 10 cabañas y servicios, etc.
Acuacultura - piscina o estanque, módulo de 10 estanques, etc.
Transporte - vehículo, embarcación, etc.
Forestación o reforestación - hectárea, plantación de 100 plantas, etc.
Manejo de fauna silvestre - área de 100 hectáreas, zoocritadero, hato, etc.
Manejo de microcuenca - área de 1000 hectáreas, etc.
Caminos vecinales - conjunto de 5 comunidades beneficiadas, etc.
Aulas escolares o similar - comunidad, 3 comunidades, 30 familias dispersas, etc.</t>
        </r>
      </text>
    </comment>
  </commentList>
</comments>
</file>

<file path=xl/comments25.xml><?xml version="1.0" encoding="utf-8"?>
<comments xmlns="http://schemas.openxmlformats.org/spreadsheetml/2006/main">
  <authors>
    <author>Un usuario de Microsoft Office satisfecho</author>
    <author>*</author>
  </authors>
  <commentList>
    <comment ref="D7" authorId="0">
      <text>
        <r>
          <rPr>
            <sz val="8"/>
            <rFont val="Tahoma"/>
            <family val="0"/>
          </rPr>
          <t xml:space="preserve">
Insertar el nombre del producto a que se refiere este anexo.
</t>
        </r>
      </text>
    </comment>
    <comment ref="P7" authorId="0">
      <text>
        <r>
          <rPr>
            <sz val="8"/>
            <rFont val="Tahoma"/>
            <family val="0"/>
          </rPr>
          <t xml:space="preserve">
Aqui se refieren a los ciclos de producción del cultivo o producto. Cultivos como hortalizas pueden tener un ciclo de 3 o 4 meses, mientras la producción de aves puede involucrar un ciclo de 2.5 meses. En el caso de artesanías o agroindustría, donde la producción ocure todo el año (o mientras hay materia prima), puede ser más conveniente hablar de un ciclo mensual, dado que muchas de las cuentas (sueldos, electricidad, etc.) se pagan cada mes.
En cuanto a los cultivos perennes, o animales de cría, el ciclo puede durar varios años (poe ejemplo:10 años = 120 meses). Así, se puede calcular todos los gastos de producción (menos la inversión inicial que debe aparacer en Cuadro 6) durante la vida del cultivo o animal, además de calcular los ingresos totales en el mismo período. 
</t>
        </r>
      </text>
    </comment>
    <comment ref="T7" authorId="0">
      <text>
        <r>
          <rPr>
            <sz val="8"/>
            <rFont val="Tahoma"/>
            <family val="0"/>
          </rPr>
          <t xml:space="preserve">
El número de ciclos por año depende en si el proceso de producción ocurre durante todo el año. 
Si la producción es un proceso permanente (por ejemplo un cultivo perenne, avicultura, o artesanías) se divide 12 por la duración de cada ciclo (Celda 2 a la izquierda). Así la avicultura, con una duración de 2.5 meses por ciclo, tendrá 12/2.5 = 4.8 ciclos por año.
Sin embargo, si la producción no es permanente, tiene que identificar el número de ciclos. Así, en una planta agroindustrial que funciona en base a un ciclo mensual, pero solamente opera de junio a diciembre (inclusivo), el número de ciclos será 7. Una hortaliza puede tener un ciclo de 4 meses y ser cultivado en dos ciclos por año.</t>
        </r>
      </text>
    </comment>
    <comment ref="C16" authorId="0">
      <text>
        <r>
          <rPr>
            <sz val="8"/>
            <rFont val="Tahoma"/>
            <family val="0"/>
          </rPr>
          <t xml:space="preserve">
Identificar y insertir las categorías de ingresos que resultan de la produccion del producto o bloque. Dichos ingresos deben resultar del mismo proceso de produccion (p.ej. lana y carne de oveja).</t>
        </r>
      </text>
    </comment>
    <comment ref="F16" authorId="0">
      <text>
        <r>
          <rPr>
            <sz val="8"/>
            <rFont val="Tahoma"/>
            <family val="0"/>
          </rPr>
          <t xml:space="preserve">
Especificar la unidad de venta del producto, sea en kilos, cabezas, piezas, quintales, litros, cajas, etc.</t>
        </r>
      </text>
    </comment>
    <comment ref="H16" authorId="0">
      <text>
        <r>
          <rPr>
            <sz val="8"/>
            <rFont val="Tahoma"/>
            <family val="0"/>
          </rPr>
          <t xml:space="preserve">
Insertar la producción total por unidad de produccion por ciclo en unidades de venta especificadas en Columna 6.
Se debe excluir cualquier proporcion de la produccion que no se puede aprovechar debido a deshechos, perdidas o problemas de calidad. Asi, si se cosecha 5t/ha pero solamente puede utilizar 4.5t, se debe utilizar la segunda cifra.</t>
        </r>
      </text>
    </comment>
    <comment ref="J16" authorId="0">
      <text>
        <r>
          <rPr>
            <sz val="8"/>
            <rFont val="Tahoma"/>
            <family val="0"/>
          </rPr>
          <t xml:space="preserve">
El volumen del producto (en unidades de venta - véase Columna 6) destinado al autoconsumo. Es decir, para que no recibirán los productores dinero en efectivo.</t>
        </r>
      </text>
    </comment>
    <comment ref="L16" authorId="0">
      <text>
        <r>
          <rPr>
            <sz val="8"/>
            <rFont val="Tahoma"/>
            <family val="0"/>
          </rPr>
          <t xml:space="preserve">
El volumen de venta se calcula automaticamente en base a la producción total (Columna 7) menos el autoconsumo (Columna 8).
No se insertir datos en esta celda.</t>
        </r>
      </text>
    </comment>
    <comment ref="N16" authorId="0">
      <text>
        <r>
          <rPr>
            <sz val="8"/>
            <rFont val="Tahoma"/>
            <family val="0"/>
          </rPr>
          <t xml:space="preserve">
Indicar el precio de venta promedio previsto. Si no se vende el producto - ej: se destina al autoconsumo o uso en una planta procesadora - hay que determinar el precio en el mercado más cercano.</t>
        </r>
      </text>
    </comment>
    <comment ref="P16" authorId="0">
      <text>
        <r>
          <rPr>
            <sz val="8"/>
            <rFont val="Tahoma"/>
            <family val="0"/>
          </rPr>
          <t xml:space="preserve">
Si no se entrega el producto al comprador en el sitio de producción (la finca, la planta, etc.), indicar el costo de transporte (por unidad de venta) hasta el punto de venta.</t>
        </r>
      </text>
    </comment>
    <comment ref="R16" authorId="0">
      <text>
        <r>
          <rPr>
            <sz val="8"/>
            <rFont val="Tahoma"/>
            <family val="0"/>
          </rPr>
          <t xml:space="preserve">
El ingreso total anual se calcula automaticamente, por multiplicar el volumen total de producción por ciclo (Columna 7) con el número de ciclos por año (Celda 4). Se multiplica dicho total por el precio de venta (Columna 10) menos el costo de transporte (Columna 11).
No se insertian datos en esta celda.</t>
        </r>
      </text>
    </comment>
    <comment ref="T16" authorId="0">
      <text>
        <r>
          <rPr>
            <sz val="8"/>
            <rFont val="Tahoma"/>
            <family val="0"/>
          </rPr>
          <t xml:space="preserve">
El ingreso anual en efectivo se calcula automaticamente, por multiplicar el volumen de producción vendido por ciclo (Columna 9) con el número de ciclos por año (Celda 4). Se multiplica dicho total por el precio de venta (Columna 10) menos el costo de transporte (Columna 11).
No se insertir datos en esta celda.</t>
        </r>
      </text>
    </comment>
    <comment ref="C35" authorId="0">
      <text>
        <r>
          <rPr>
            <sz val="8"/>
            <rFont val="Tahoma"/>
            <family val="0"/>
          </rPr>
          <t xml:space="preserve">Identificar e insertar las categorías principales de costos que se aplican a la producción del producto.
En el caso de producción agropecuaria, estos costos pueden incluir fertilizantes, semillas, agroquimicos y tratamientos anti-parasiticos, y contenidores para el producto (sacos, cajas, etc.),
También pueden incluir costos de riego (combustible de la bomba) si el riego esta dedicado al cultivo.
</t>
        </r>
      </text>
    </comment>
    <comment ref="F35" authorId="0">
      <text>
        <r>
          <rPr>
            <sz val="8"/>
            <rFont val="Tahoma"/>
            <family val="0"/>
          </rPr>
          <t xml:space="preserve">
Especificar la unidad de uso o compra del insumo, materia prima, o mano de obra, sea en kilos, jornales, quintales, litros, cajas, etc.</t>
        </r>
      </text>
    </comment>
    <comment ref="H35" authorId="0">
      <text>
        <r>
          <rPr>
            <sz val="8"/>
            <rFont val="Tahoma"/>
            <family val="0"/>
          </rPr>
          <t xml:space="preserve">
La producción total por ciclo se calcula automaticamente, por multiplicar el volumen de producción en cada unidad (Columna 7) por el número de unidades de producción (Columna 6).
No se insertan datos en esta celda.</t>
        </r>
      </text>
    </comment>
    <comment ref="J35" authorId="0">
      <text>
        <r>
          <rPr>
            <sz val="8"/>
            <rFont val="Tahoma"/>
            <family val="0"/>
          </rPr>
          <t xml:space="preserve">
El volumen del insumo (en unidades de compra - véase Columna 15) conseguido sin costo en efectivo. Tipicamente resulta de autoproduccion del insumo o materia primo, o del uso de mano de obra familiar. </t>
        </r>
      </text>
    </comment>
    <comment ref="L35" authorId="0">
      <text>
        <r>
          <rPr>
            <sz val="8"/>
            <rFont val="Tahoma"/>
            <family val="0"/>
          </rPr>
          <t xml:space="preserve">
El volumen de compra de un insumo o mano de obra se calcula automaticamente en base al uso total (Columna 16) menos la disponibilidad de recursos propios (Columna 17).
No se insertan datos en esta celda.</t>
        </r>
      </text>
    </comment>
    <comment ref="N35" authorId="0">
      <text>
        <r>
          <rPr>
            <sz val="8"/>
            <rFont val="Tahoma"/>
            <family val="0"/>
          </rPr>
          <t xml:space="preserve">
Indicar el precio de compra promedio previsto. Si no se compra el insumo o mano de obra - ej: mano de obra familiar, o insumos generados en la finca misma - hay que determinar un precio en base al mercado más cercano.</t>
        </r>
      </text>
    </comment>
    <comment ref="P35" authorId="0">
      <text>
        <r>
          <rPr>
            <sz val="8"/>
            <rFont val="Tahoma"/>
            <family val="0"/>
          </rPr>
          <t xml:space="preserve">
Si no se entrega el vendedor el insumo al sitio de producción (la finca, la planta, etc.), indicar el costo de transporte (por unidad de venta) desde el punto de compra a la finca o planta etc..</t>
        </r>
      </text>
    </comment>
    <comment ref="S35" authorId="0">
      <text>
        <r>
          <rPr>
            <sz val="8"/>
            <rFont val="Tahoma"/>
            <family val="0"/>
          </rPr>
          <t xml:space="preserve">
El costo total anual se calcula automaticamente, por multiplicar 
El volumen total de consumo por ciclo (Columna 16) con el número de ciclos por año (Celda 4). Se multiplica dicho total por el precio de compra (Columna 19) más el costo de transporte (Columna 20).
No se insertan datos en esta celda.</t>
        </r>
      </text>
    </comment>
    <comment ref="U35" authorId="0">
      <text>
        <r>
          <rPr>
            <sz val="8"/>
            <rFont val="Tahoma"/>
            <family val="0"/>
          </rPr>
          <t xml:space="preserve">
El costo anual en efectivo se calcula automaticamente, por multiplicar el volumen de insumos o mano de obra comprado por ciclo (Columna 18) con el número de ciclos por año (Celda 4). Se multiplica dicho total por el precio de compra (Columna 19) más el costo de transporte (Columna 20).
No se insertan datos en esta celda.</t>
        </r>
      </text>
    </comment>
    <comment ref="F86" authorId="1">
      <text>
        <r>
          <rPr>
            <sz val="8"/>
            <rFont val="Tahoma"/>
            <family val="0"/>
          </rPr>
          <t xml:space="preserve">
La generación de empleo por parte del bloque se calcula automáticamente en base al uso de mano de obra arriba. Se considera 275 jornales -persona por año - persona equivalente, considerando un día semanal de descanso mas 15 días de descanso adicionales por año.
</t>
        </r>
      </text>
    </comment>
    <comment ref="J7" authorId="0">
      <text>
        <r>
          <rPr>
            <sz val="8"/>
            <rFont val="Tahoma"/>
            <family val="0"/>
          </rPr>
          <t xml:space="preserve">
Especificar la unidad de produccion utilizada. Ejemplos: 
Agricultura integral - finca de 3 hectáreas, stc.
Cultivos de ciclo corto, o perennes - manzana, hectárea, etc.
Ganado - cabeza, hato de 10 cabezas, hectárea, área de 100 hectáreas, etc.
Animales menores - galpón (pollos), Módulo de 100 reproductores (carácol), etc. 
Agroindustria de procesamiento - agroindustria, caja, lote de 10 kilos, saco, etc.
Postcosecha y/o comercialización - quintal, tonelada, etc.
Artesanías - taller, pieza, lote de 100 piezas, etc.
Pesca o ecoturismo de mar - embarcación y encargados, etc.
Ecoturismo - cabaña, módulo de 10 cabañas y servicios, etc.
Acuacultura - piscina o estanque, módulo de 10 estanques, etc.
Transporte - vehículo, embarcación, etc.
Forestación o reforestación - hectárea, plantación de 100 plantas, etc.
Manejo de fauna silvestre - área de 100 hectáreas, zoocritadero, hato, etc.
Manejo de microcuenca - área de 1000 hectáreas, etc.
Caminos vecinales - conjunto de 5 comunidades beneficiadas, etc.
Aulas escolares o similar - comunidad, 3 comunidades, 30 familias dispersas, etc.</t>
        </r>
      </text>
    </comment>
  </commentList>
</comments>
</file>

<file path=xl/comments3.xml><?xml version="1.0" encoding="utf-8"?>
<comments xmlns="http://schemas.openxmlformats.org/spreadsheetml/2006/main">
  <authors>
    <author>argocd</author>
    <author>A satisfied Microsoft Office user</author>
    <author>*</author>
    <author>Un usuario de Microsoft Office satisfecho</author>
    <author>Francescutti</author>
  </authors>
  <commentList>
    <comment ref="A1" authorId="0">
      <text>
        <r>
          <rPr>
            <sz val="8"/>
            <rFont val="Tahoma"/>
            <family val="0"/>
          </rPr>
          <t>Especificar el número de familias en el grupo solicitante</t>
        </r>
      </text>
    </comment>
    <comment ref="L54" authorId="1">
      <text>
        <r>
          <rPr>
            <sz val="9"/>
            <rFont val="Tahoma"/>
            <family val="2"/>
          </rPr>
          <t xml:space="preserve">
La Tasa Interna de Retorno Financiera (TIRF) indica la tasa de descuento necesario para reducir las beneficios adicionales proveniente del proyecto a zero. Así, si el proyecto tiene un TIRF de un 17%, significa que el proyecto soportará un tasa de descuentode dicho nivel sin perder dinero.</t>
        </r>
      </text>
    </comment>
    <comment ref="H54" authorId="2">
      <text>
        <r>
          <rPr>
            <sz val="9"/>
            <rFont val="Tahoma"/>
            <family val="2"/>
          </rPr>
          <t xml:space="preserve">
El Valor Actual Neto indica la utilidad, en términos de valores de hoy, del proyecto, una vez decontado los ingresos futuros a la tasa de un 10% por año.</t>
        </r>
      </text>
    </comment>
    <comment ref="F13" authorId="2">
      <text>
        <r>
          <rPr>
            <sz val="8"/>
            <rFont val="Tahoma"/>
            <family val="0"/>
          </rPr>
          <t xml:space="preserve">
</t>
        </r>
        <r>
          <rPr>
            <sz val="9"/>
            <rFont val="Tahoma"/>
            <family val="2"/>
          </rPr>
          <t xml:space="preserve">Cultivos que se sembran y cosechan dentro de un periódo de menos de 12 meses (ej. granos básicos, hortalizas). Bananos y plátanos </t>
        </r>
        <r>
          <rPr>
            <u val="single"/>
            <sz val="9"/>
            <rFont val="Tahoma"/>
            <family val="2"/>
          </rPr>
          <t>NO</t>
        </r>
        <r>
          <rPr>
            <sz val="9"/>
            <rFont val="Tahoma"/>
            <family val="2"/>
          </rPr>
          <t xml:space="preserve"> encajan dentro de este grupo, a pesar de su cosecha temprana, ya que se cosechan por varios años.</t>
        </r>
        <r>
          <rPr>
            <sz val="8"/>
            <rFont val="Tahoma"/>
            <family val="0"/>
          </rPr>
          <t xml:space="preserve">
</t>
        </r>
      </text>
    </comment>
    <comment ref="J13" authorId="1">
      <text>
        <r>
          <rPr>
            <sz val="8"/>
            <rFont val="Tahoma"/>
            <family val="0"/>
          </rPr>
          <t xml:space="preserve">
</t>
        </r>
        <r>
          <rPr>
            <sz val="9"/>
            <rFont val="Times New Roman"/>
            <family val="1"/>
          </rPr>
          <t>Crianza de ovejas, cabras, cerdos, aves, abejas y  otros animales pequeños</t>
        </r>
      </text>
    </comment>
    <comment ref="O13" authorId="1">
      <text>
        <r>
          <rPr>
            <sz val="8"/>
            <rFont val="Tahoma"/>
            <family val="0"/>
          </rPr>
          <t xml:space="preserve">
</t>
        </r>
        <r>
          <rPr>
            <sz val="9"/>
            <rFont val="Times New Roman"/>
            <family val="1"/>
          </rPr>
          <t>Producción de artículos elaborados con uso intensivo de mano de obra (p.ej textiles, cerámica, artículos de cuero, joyería y objetos para el sector turístico.</t>
        </r>
      </text>
    </comment>
    <comment ref="F15" authorId="2">
      <text>
        <r>
          <rPr>
            <sz val="8"/>
            <rFont val="Tahoma"/>
            <family val="0"/>
          </rPr>
          <t xml:space="preserve">
</t>
        </r>
        <r>
          <rPr>
            <sz val="9"/>
            <rFont val="Tahoma"/>
            <family val="2"/>
          </rPr>
          <t>Cultivos (principalmente arboles o pastos) que no vuelven a sembrarse en menos de 2 años</t>
        </r>
        <r>
          <rPr>
            <sz val="8"/>
            <rFont val="Tahoma"/>
            <family val="0"/>
          </rPr>
          <t xml:space="preserve">
</t>
        </r>
      </text>
    </comment>
    <comment ref="J15" authorId="1">
      <text>
        <r>
          <rPr>
            <sz val="8"/>
            <rFont val="Tahoma"/>
            <family val="0"/>
          </rPr>
          <t xml:space="preserve">
</t>
        </r>
        <r>
          <rPr>
            <sz val="9"/>
            <rFont val="Times New Roman"/>
            <family val="1"/>
          </rPr>
          <t>Crianza de especies acuáticas tales como peces, ranas y camarones.</t>
        </r>
      </text>
    </comment>
    <comment ref="O15" authorId="1">
      <text>
        <r>
          <rPr>
            <sz val="10"/>
            <rFont val="Times New Roman"/>
            <family val="1"/>
          </rPr>
          <t xml:space="preserve">
</t>
        </r>
        <r>
          <rPr>
            <sz val="9"/>
            <rFont val="Times New Roman"/>
            <family val="1"/>
          </rPr>
          <t>Cualquier actividad que facilite la distribución y venta de productos, incluyendo tiendas, transporte, embalaje, almacenamiento y acopio.</t>
        </r>
      </text>
    </comment>
    <comment ref="F17" authorId="2">
      <text>
        <r>
          <rPr>
            <sz val="8"/>
            <rFont val="Tahoma"/>
            <family val="0"/>
          </rPr>
          <t xml:space="preserve">
</t>
        </r>
        <r>
          <rPr>
            <sz val="9"/>
            <rFont val="Tahoma"/>
            <family val="2"/>
          </rPr>
          <t xml:space="preserve">Si el proyecto involucra inversión en sistemas de riego, marque esta opción.
</t>
        </r>
      </text>
    </comment>
    <comment ref="J17" authorId="1">
      <text>
        <r>
          <rPr>
            <sz val="8"/>
            <rFont val="Tahoma"/>
            <family val="0"/>
          </rPr>
          <t xml:space="preserve">
</t>
        </r>
        <r>
          <rPr>
            <sz val="9"/>
            <rFont val="Times New Roman"/>
            <family val="1"/>
          </rPr>
          <t>Cualquier actividad que resulta en la transformación de una materia prima agopecuaria (p.ej. producción de jugos, pastas, harinas, quesos, congelados, deshidratados, etc.)</t>
        </r>
      </text>
    </comment>
    <comment ref="O17" authorId="1">
      <text>
        <r>
          <rPr>
            <sz val="8"/>
            <rFont val="Tahoma"/>
            <family val="0"/>
          </rPr>
          <t xml:space="preserve">
</t>
        </r>
        <r>
          <rPr>
            <sz val="9"/>
            <rFont val="Times New Roman"/>
            <family val="1"/>
          </rPr>
          <t>Turismo asociado con la apreciación del medio ambiente del área.</t>
        </r>
      </text>
    </comment>
    <comment ref="F19" authorId="2">
      <text>
        <r>
          <rPr>
            <sz val="8"/>
            <rFont val="Tahoma"/>
            <family val="0"/>
          </rPr>
          <t xml:space="preserve">
</t>
        </r>
        <r>
          <rPr>
            <sz val="9"/>
            <rFont val="Tahoma"/>
            <family val="2"/>
          </rPr>
          <t xml:space="preserve">Producción de arboles para la venta; o como plantas jovenes para resiembra en otro sitio, o tallado para madera o propósitos parecidos
</t>
        </r>
      </text>
    </comment>
    <comment ref="J19" authorId="1">
      <text>
        <r>
          <rPr>
            <sz val="8"/>
            <rFont val="Tahoma"/>
            <family val="0"/>
          </rPr>
          <t xml:space="preserve">
</t>
        </r>
        <r>
          <rPr>
            <sz val="9"/>
            <rFont val="Times New Roman"/>
            <family val="1"/>
          </rPr>
          <t>Cualquier servicio de transporte rural, incluyendo terrestre y fluvial, y de pasajeros o de carga</t>
        </r>
      </text>
    </comment>
    <comment ref="O19" authorId="2">
      <text>
        <r>
          <rPr>
            <sz val="8"/>
            <rFont val="Tahoma"/>
            <family val="0"/>
          </rPr>
          <t xml:space="preserve">
</t>
        </r>
        <r>
          <rPr>
            <sz val="9"/>
            <rFont val="Tahoma"/>
            <family val="2"/>
          </rPr>
          <t xml:space="preserve">Caminos, Agua Potable y otros, en caso de no haber fuentes de financiamiento alternativas.
</t>
        </r>
      </text>
    </comment>
    <comment ref="F21" authorId="1">
      <text>
        <r>
          <rPr>
            <sz val="8"/>
            <rFont val="Tahoma"/>
            <family val="0"/>
          </rPr>
          <t xml:space="preserve">
</t>
        </r>
        <r>
          <rPr>
            <sz val="9"/>
            <rFont val="Times New Roman"/>
            <family val="1"/>
          </rPr>
          <t>Animales tales como ganado vacuno para carne y/o leche</t>
        </r>
      </text>
    </comment>
    <comment ref="J21" authorId="1">
      <text>
        <r>
          <rPr>
            <sz val="8"/>
            <rFont val="Tahoma"/>
            <family val="0"/>
          </rPr>
          <t xml:space="preserve">
</t>
        </r>
        <r>
          <rPr>
            <sz val="9"/>
            <rFont val="Times New Roman"/>
            <family val="1"/>
          </rPr>
          <t>Cualquier actividad no especificada arriba (describir la actividad).</t>
        </r>
      </text>
    </comment>
    <comment ref="D27" authorId="1">
      <text>
        <r>
          <rPr>
            <sz val="8"/>
            <rFont val="Tahoma"/>
            <family val="0"/>
          </rPr>
          <t xml:space="preserve">
</t>
        </r>
        <r>
          <rPr>
            <sz val="9"/>
            <rFont val="Tahoma"/>
            <family val="2"/>
          </rPr>
          <t>Una vez insertada la tasa de cambio, los costos del proyecto se calculan automaticamente.
No se insertar datos en estas celdas.</t>
        </r>
      </text>
    </comment>
    <comment ref="J64" authorId="3">
      <text>
        <r>
          <rPr>
            <sz val="9"/>
            <rFont val="Tahoma"/>
            <family val="2"/>
          </rPr>
          <t xml:space="preserve">
CATEGORIA  A:  Proyectos sin impacto, o con un impacto positivo en el medioambiente. Ejemplos pueden incluir:
- Proyectos que aumentan de vegetación permanente (establecimiento de bosques, reforestación, cultivos permanentes, etc.)
- Proyectos que resultan en la protección de suelos (eliminación de cultivación en pendientes, construcción de terrazas y barreras - especialmente vivas - contra la erosión)
- Proyectos que resultan en una reducción en la utilización de recursos limitados (cambio de riego por aspersión a riego por goteo, utilización de cultivos mas resistentes a sequías, etc.)
- Proyectos que resultan en una reducción en el uso de agroquimicos (reemplazo de fertilizantes artificiales con abono orgánico, utilización de variedades resistente a enfermedades y por lo tanto no necesitan fungicidas, etc.)
- Proyectos de educación, asistencia técnica y capacitación que no tienen un impacto medioambiental, o que divulgan tecnologías que contribuyen a los impactos arriba descritos.</t>
        </r>
      </text>
    </comment>
    <comment ref="L64" authorId="3">
      <text>
        <r>
          <rPr>
            <sz val="9"/>
            <rFont val="Tahoma"/>
            <family val="2"/>
          </rPr>
          <t xml:space="preserve">
CATEGORIA  B:  Proyectos con un impacto medio-ambiental liviano o restringido y que son aceptables siempre y cuando el diseño del proyecto tome en cuenta la necesidad de mitigar cualquier impacto negativo (véase Anexo 1 del Manual de Preinversión para un listado de posibles medidas de mitigación). Ejemplos pueden incluir:
- Actividades agropecuarias de pequeña escala que no involucran áreas protegidas o fragiles
- Pequeñas actividades agroindustriales o artesanales, siempre y cuando haya provisión adecuada para el tratamiento de deshechos y desaguas
- Proyectos de ecoturismo
- Proyectos de transporte, siempre y cuando no den acceso a áreas previamente no explotadas o colonizadas
- Proyectos de construcción o rehabilitación de obras de infraestructura de pequeña escala, incluyendo riego, caminos, puentes, que no se encuentren en áreas protegidas o fragiles</t>
        </r>
      </text>
    </comment>
    <comment ref="N64" authorId="3">
      <text>
        <r>
          <rPr>
            <sz val="8"/>
            <rFont val="Tahoma"/>
            <family val="0"/>
          </rPr>
          <t xml:space="preserve">
</t>
        </r>
        <r>
          <rPr>
            <sz val="9"/>
            <rFont val="Tahoma"/>
            <family val="2"/>
          </rPr>
          <t>CATEGORIA  C: Proyectos que tienen el potencial de un impacto negativo significativo, si no hay medidas de mitigación incorporadas dentro del proyecto. Proyectos de categoría "C" requieren de un análisis de impacto medioambiental por un experto independiente. Pueden incluir:
- Proyectos de explotación de recursos naturales (aserraderos, extracción de minerales, drenaje de pantanos, etc.)
- Obras de infraestructura de escala mediana 
- Proyectos que involucran mecanización en  escala mediana.</t>
        </r>
      </text>
    </comment>
    <comment ref="P64" authorId="3">
      <text>
        <r>
          <rPr>
            <sz val="9"/>
            <rFont val="Tahoma"/>
            <family val="2"/>
          </rPr>
          <t xml:space="preserve">
CATEGORIA  D:  Proyectos que por su naturaleza o su ubicación geográfica tendrán un impacto negativo significativo e irreversible. Proyectos de esta categoría no se pueden financiar con recursos del Proyecto y sus agencias financieras asociadas. Pueden incluir:
- Colonización de áreas de bosque nátivo aún no explotado
- Plantas industriales de gran escala o que involucran el uso de quimicos tóxicos
- Proyectos que requieren la compra de equipo para tala de bosques o la extracción comercial de madera
- Construcción de caminos y otros métodos de acceso a áreas protegidas o aún no colonizados de bosques nátivos
- Proyectos que afectarán áreas con especies en riesgo o peligro de extinción
- Transformación de áreas boscosas en pastizales para ganadería</t>
        </r>
      </text>
    </comment>
    <comment ref="I59" authorId="4">
      <text>
        <r>
          <rPr>
            <sz val="9"/>
            <rFont val="Tahoma"/>
            <family val="2"/>
          </rPr>
          <t xml:space="preserve">Los Actores con participación directa serían en principio las familias de aquellos que aporten financieramente o en especie, a la ejecución de la inversión y/o a la operación del subproyecto. </t>
        </r>
      </text>
    </comment>
    <comment ref="O59" authorId="4">
      <text>
        <r>
          <rPr>
            <sz val="9"/>
            <rFont val="Tahoma"/>
            <family val="2"/>
          </rPr>
          <t xml:space="preserve">Los Actores con participación indirecta serían en principio las familias de aquellos que no aportan a la inversión u operación del subproyecto, pero si reciben beneficios por los resultados del mismo. </t>
        </r>
      </text>
    </comment>
  </commentList>
</comments>
</file>

<file path=xl/comments4.xml><?xml version="1.0" encoding="utf-8"?>
<comments xmlns="http://schemas.openxmlformats.org/spreadsheetml/2006/main">
  <authors>
    <author>A satisfied Microsoft Office user</author>
  </authors>
  <commentList>
    <comment ref="O1" authorId="0">
      <text>
        <r>
          <rPr>
            <sz val="8"/>
            <rFont val="Tahoma"/>
            <family val="0"/>
          </rPr>
          <t xml:space="preserve">
</t>
        </r>
        <r>
          <rPr>
            <sz val="9"/>
            <rFont val="Tahoma"/>
            <family val="2"/>
          </rPr>
          <t>El Proyecto asignará un número de registro a cada solicitud. No escribir en este espacio.</t>
        </r>
      </text>
    </comment>
    <comment ref="O4" authorId="0">
      <text>
        <r>
          <rPr>
            <sz val="9"/>
            <rFont val="Tahoma"/>
            <family val="2"/>
          </rPr>
          <t xml:space="preserve">
Registrar la fecha en que se completó el formulario</t>
        </r>
      </text>
    </comment>
    <comment ref="C6" authorId="0">
      <text>
        <r>
          <rPr>
            <sz val="9"/>
            <rFont val="Tahoma"/>
            <family val="2"/>
          </rPr>
          <t xml:space="preserve">
Utilizar el mismo nombre del subproyecto seleccionado en el análisis preliminar y escrito en el resumen (hoja anterior)</t>
        </r>
      </text>
    </comment>
    <comment ref="N6" authorId="0">
      <text>
        <r>
          <rPr>
            <sz val="9"/>
            <rFont val="Tahoma"/>
            <family val="2"/>
          </rPr>
          <t xml:space="preserve">
Insertar el número de registro asignado al análisis preliminar por el Proyecto</t>
        </r>
      </text>
    </comment>
    <comment ref="C12" authorId="0">
      <text>
        <r>
          <rPr>
            <sz val="9"/>
            <rFont val="Tahoma"/>
            <family val="2"/>
          </rPr>
          <t xml:space="preserve">
Escribir el nombre del analista que proporciona ayuda a los solicitantes para la preparación de la solicitud</t>
        </r>
      </text>
    </comment>
    <comment ref="I12" authorId="0">
      <text>
        <r>
          <rPr>
            <sz val="9"/>
            <rFont val="Tahoma"/>
            <family val="2"/>
          </rPr>
          <t xml:space="preserve">
Si el analista pertenece a un ONG, cooperativa, empresa u otra organización, escriba el nombre de la organización</t>
        </r>
      </text>
    </comment>
    <comment ref="O12" authorId="0">
      <text>
        <r>
          <rPr>
            <sz val="9"/>
            <rFont val="Tahoma"/>
            <family val="2"/>
          </rPr>
          <t xml:space="preserve">
Escribir el número de teléfono donde se puede contactar el analista antes mencionado.</t>
        </r>
      </text>
    </comment>
  </commentList>
</comments>
</file>

<file path=xl/comments8.xml><?xml version="1.0" encoding="utf-8"?>
<comments xmlns="http://schemas.openxmlformats.org/spreadsheetml/2006/main">
  <authors>
    <author>A satisfied Microsoft Office user</author>
    <author>Un usuario de Microsoft Office satisfecho</author>
  </authors>
  <commentList>
    <comment ref="M7" authorId="0">
      <text>
        <r>
          <rPr>
            <sz val="9"/>
            <rFont val="Tahoma"/>
            <family val="2"/>
          </rPr>
          <t xml:space="preserve">
Hay que determinar si el cultivo o actividad es simple o complejo:
Simple significa que ni el rendimiento ni el numero de unidades (superficie, numero de animales, etc.) cambian durante el periodo del proyecto (12 años). Un cultivo o actividad simple necesita solamente 1 bloque para describirlo.
Complejo significa que hay cambios en el rendimiento o el numero de unidades (superficie, etc.) durante el periodo. En este caso hay que armar un bloque para cada rendimiento o numero difierente. </t>
        </r>
      </text>
    </comment>
    <comment ref="D17" authorId="0">
      <text>
        <r>
          <rPr>
            <sz val="8"/>
            <rFont val="Tahoma"/>
            <family val="0"/>
          </rPr>
          <t xml:space="preserve">
</t>
        </r>
        <r>
          <rPr>
            <sz val="9"/>
            <rFont val="Tahoma"/>
            <family val="2"/>
          </rPr>
          <t>Calculado automaticamente como resultado de multiplicar el número de unidades por el ingreso por unidad (especificado al fondo de cada columna).</t>
        </r>
      </text>
    </comment>
    <comment ref="D18" authorId="0">
      <text>
        <r>
          <rPr>
            <sz val="8"/>
            <rFont val="Tahoma"/>
            <family val="0"/>
          </rPr>
          <t xml:space="preserve">
</t>
        </r>
        <r>
          <rPr>
            <sz val="9"/>
            <rFont val="Tahoma"/>
            <family val="2"/>
          </rPr>
          <t>Calculado automaticamente como resultado de multiplicar el numero de unidades por el costo por unidad (especificado al fondo de cada columna).</t>
        </r>
      </text>
    </comment>
    <comment ref="F17" authorId="0">
      <text>
        <r>
          <rPr>
            <sz val="8"/>
            <rFont val="Tahoma"/>
            <family val="0"/>
          </rPr>
          <t xml:space="preserve">
</t>
        </r>
        <r>
          <rPr>
            <sz val="9"/>
            <rFont val="Tahoma"/>
            <family val="2"/>
          </rPr>
          <t xml:space="preserve">Indicar la moneda local en que se mide ingresos y costs. </t>
        </r>
      </text>
    </comment>
    <comment ref="D16" authorId="1">
      <text>
        <r>
          <rPr>
            <sz val="9"/>
            <rFont val="Tahoma"/>
            <family val="2"/>
          </rPr>
          <t xml:space="preserve">
Indicar el número de unidades en cada bloque en el primer año de actividad.  El número de unidades puede cambiar de año a año durante los 12 años del  proyecto, siempre y cuando las características del bloque (rendimientos y uso de insumos) sean iguales. Si cambian, hay que empezar otro bloque.
</t>
        </r>
      </text>
    </comment>
    <comment ref="B30" authorId="1">
      <text>
        <r>
          <rPr>
            <sz val="9"/>
            <rFont val="Tahoma"/>
            <family val="2"/>
          </rPr>
          <t xml:space="preserve">
Ingreso y costo total por unidad de producción (p.ej. $ por hectárea) del anexo que corresponde al bloque (cada bloque debe tener un anexo propio).  La computadora trae los datos automáticamente.</t>
        </r>
      </text>
    </comment>
    <comment ref="B33" authorId="1">
      <text>
        <r>
          <rPr>
            <sz val="9"/>
            <rFont val="Tahoma"/>
            <family val="2"/>
          </rPr>
          <t xml:space="preserve">
El ingreso  y costo en efectivo por unidad (p.ej. $ por hectárea) del anexo que corresponde al bloque (cada bloque debe tener un anexo propio). La computadora trae los datos automáticamente.</t>
        </r>
      </text>
    </comment>
    <comment ref="F36" authorId="1">
      <text>
        <r>
          <rPr>
            <sz val="9"/>
            <rFont val="Tahoma"/>
            <family val="2"/>
          </rPr>
          <t xml:space="preserve">
En la misma manera que la computadora inserta los ingresos y costos por unidad de producción de cada anexo en su bloque apropiado, tambien inserta el monto de empleo calculado al fondo del Anexo correspondiente.</t>
        </r>
      </text>
    </comment>
    <comment ref="F39" authorId="1">
      <text>
        <r>
          <rPr>
            <sz val="9"/>
            <rFont val="Tahoma"/>
            <family val="2"/>
          </rPr>
          <t xml:space="preserve">
Simplemente el monto de empleo por unidad de producción (arriba) multiplicada por el número de unidades de producción en Año 12
</t>
        </r>
      </text>
    </comment>
    <comment ref="L8" authorId="0">
      <text>
        <r>
          <rPr>
            <sz val="8"/>
            <rFont val="Tahoma"/>
            <family val="0"/>
          </rPr>
          <t xml:space="preserve">
</t>
        </r>
        <r>
          <rPr>
            <sz val="9"/>
            <rFont val="Tahoma"/>
            <family val="2"/>
          </rPr>
          <t xml:space="preserve">Un bloque significa un área de cultivo, o un tipo de producto, que tiene características únicas en cuanto a </t>
        </r>
        <r>
          <rPr>
            <u val="single"/>
            <sz val="9"/>
            <rFont val="Tahoma"/>
            <family val="2"/>
          </rPr>
          <t>costos</t>
        </r>
        <r>
          <rPr>
            <sz val="9"/>
            <rFont val="Tahoma"/>
            <family val="2"/>
          </rPr>
          <t xml:space="preserve"> y </t>
        </r>
        <r>
          <rPr>
            <u val="single"/>
            <sz val="9"/>
            <rFont val="Tahoma"/>
            <family val="2"/>
          </rPr>
          <t>ingresos</t>
        </r>
        <r>
          <rPr>
            <sz val="9"/>
            <rFont val="Tahoma"/>
            <family val="2"/>
          </rPr>
          <t>.
Si se trata de un cultivo o producto simple, un bloque normalmente describirá todo la área del cultivo o toda la producción del producto (ej. maíz).
Sin embargo, si se trata de un cultivo o producto complicado, será  necesario dividirlo en diferentes bloques de acuerdo con sus características (ej. mango - Bloque 1 comprende mango recien establecida, sin rendimiento, mientras Bloque 2 comprende mango de 2-5 años todavía sin rendimiento sino con diferente  uso de insumos, etc.)
Recuerda - si un cultivo o producto comprende áreas o grupos con características diferentes, hay que dividirlo en bloques</t>
        </r>
      </text>
    </comment>
  </commentList>
</comments>
</file>

<file path=xl/comments9.xml><?xml version="1.0" encoding="utf-8"?>
<comments xmlns="http://schemas.openxmlformats.org/spreadsheetml/2006/main">
  <authors>
    <author>Un usuario de Microsoft Office satisfecho</author>
    <author>*</author>
    <author>Francescutti</author>
  </authors>
  <commentList>
    <comment ref="S10" authorId="0">
      <text>
        <r>
          <rPr>
            <sz val="9"/>
            <rFont val="Tahoma"/>
            <family val="2"/>
          </rPr>
          <t xml:space="preserve">
Se debe estimar el porcentaje del costo original (Columna 4) necesario cada año para cubrir el mantenimiento y reparaciones del bien. El costo de operaciones (combustible, electricidad, mano de obra, etc.) no esta incluido sino estimado en el Anexo por Producto o como un gasto indirecto (Cuadro 3).  NOTA:   Insertar la cifra en forma porcentual  (p.ej. 5% )
Ejemplos ilustrativos de costos de mantenimiento y reparación pueden incluir;
Vehiculos y Tractores - 10%
Motores Fuera de Borda - 15%
Maquinaria Electrónica - 10%
Maquinaria Pesada - 5%
Edificios (piedra, ladrillo) - 2%
Edificios (madera) - 3-4%
Muebles - 0-5%
Infraestructura - 5%
Terreno y servicios profesionales no necesitan mantenimiento.</t>
        </r>
      </text>
    </comment>
    <comment ref="T10" authorId="0">
      <text>
        <r>
          <rPr>
            <sz val="9"/>
            <rFont val="Tahoma"/>
            <family val="2"/>
          </rPr>
          <t xml:space="preserve">
El monto anual requerido para mantenimiento se calcula automaticamente en base al costo total del bien de capital (Columna 4) y el porcentaje del costo necesario para mantenimiento (Columna 9). Esta expresado en valor.</t>
        </r>
      </text>
    </comment>
    <comment ref="D37" authorId="0">
      <text>
        <r>
          <rPr>
            <sz val="9"/>
            <rFont val="Tahoma"/>
            <family val="2"/>
          </rPr>
          <t xml:space="preserve">
Aqui se insertan los costos de las inversiones que se pueden atribuir a la mano de obra.
Así, para la construcción de un camino, edificio u otra obra de infraestructura, se inserta el costo de las materiales arriba, pero el costo de la mano de obra en esta sección.
La mano de obra puede ser tamnbién un componente importante en el establecimiento de cultivos perennes.
</t>
        </r>
      </text>
    </comment>
    <comment ref="D53" authorId="0">
      <text>
        <r>
          <rPr>
            <sz val="9"/>
            <rFont val="Tahoma"/>
            <family val="2"/>
          </rPr>
          <t xml:space="preserve">
No se considera un servicio profesional como una inversión si las actividades se repiten con frecuencia (cada año o mas). Así servicios de exctensión, en que el extensionista visita la finca cada mes, no son inversiones y deben ser incluidos en los gastos operativos en cuanto al producto (Anexo por Producto) o en los costos indirectos (Cuadro 4) si se aplican a muchos productos.
Por contraste, servicos de capacitación, asesoría técnica inicial, y servicios legales en el establecimiento del negocio o finca, son inversiones.
No existen costos de mantenimiento, ni vidas útiles o valores de rescate para servicios profesionales.</t>
        </r>
      </text>
    </comment>
    <comment ref="N73" authorId="0">
      <text>
        <r>
          <rPr>
            <sz val="8"/>
            <rFont val="Tahoma"/>
            <family val="0"/>
          </rPr>
          <t xml:space="preserve">
</t>
        </r>
        <r>
          <rPr>
            <sz val="9"/>
            <rFont val="Tahoma"/>
            <family val="2"/>
          </rPr>
          <t>El préstamo principal para financiar la inversión aparece en esta casilla. Es igual al costo total de la inversión (Columna 7) menos cualquier monto asignado a un préstamo secundario (al lado).</t>
        </r>
      </text>
    </comment>
    <comment ref="G73" authorId="1">
      <text>
        <r>
          <rPr>
            <sz val="8"/>
            <rFont val="Tahoma"/>
            <family val="0"/>
          </rPr>
          <t xml:space="preserve">
</t>
        </r>
        <r>
          <rPr>
            <sz val="9"/>
            <rFont val="Tahoma"/>
            <family val="2"/>
          </rPr>
          <t>Si la agencia financiera le permite o le exige, se puede insertar en esta casilla un monto para financiar con un préstamo secundario.  Lo demás del crédito requerido aparecerá automáticamente en la casilla del préstamo principal (al lado).
Préstamos secundarios podrían abarcar bienes aptos para préstamos más cortos,  bienes de un cierto tipo, o cualquier otra categoría seleccionada.</t>
        </r>
      </text>
    </comment>
    <comment ref="U73" authorId="0">
      <text>
        <r>
          <rPr>
            <sz val="9"/>
            <rFont val="Tahoma"/>
            <family val="2"/>
          </rPr>
          <t xml:space="preserve">
Las duraciones maximas y mínimas de los préstamos disponibles deben ser verificadas con el proyecto o agencia financiera de apoyo antes de empezar este análisis</t>
        </r>
      </text>
    </comment>
    <comment ref="E10" authorId="0">
      <text>
        <r>
          <rPr>
            <sz val="9"/>
            <rFont val="Tahoma"/>
            <family val="2"/>
          </rPr>
          <t xml:space="preserve">
Inversiones en materiales pueden incluir terreno, vehículos, sistemas de riego, maquinaria, plantines de cultivos perennes, materiales para la construcción, etc. Insertar el nombre de la inversión 
Una inversión es cualquier gasto que dura varios años. Por lo tanto, no incluir gastos en agroquimicos, combustible u otros insumos que se utilizan año con año. 
Tampoco incluyan costos de inversión atribuidos a mano de obra (véase Cuadro 2b abajo) ni a asistencia técnica (Cuadro 2c abajo)
</t>
        </r>
      </text>
    </comment>
    <comment ref="G10" authorId="2">
      <text>
        <r>
          <rPr>
            <sz val="9"/>
            <rFont val="Tahoma"/>
            <family val="2"/>
          </rPr>
          <t xml:space="preserve">
Indicar la unidad de medida del bien descrito en columna anterior.</t>
        </r>
      </text>
    </comment>
    <comment ref="H10" authorId="0">
      <text>
        <r>
          <rPr>
            <sz val="8"/>
            <rFont val="Tahoma"/>
            <family val="0"/>
          </rPr>
          <t xml:space="preserve">
</t>
        </r>
        <r>
          <rPr>
            <sz val="9"/>
            <rFont val="Tahoma"/>
            <family val="2"/>
          </rPr>
          <t>Indicar el número de unidades (especificadas en la descripción del bien de capital) que se va a comprar. 
Es necesario entrar un número. Si la inversión es  única, insertar 1.</t>
        </r>
      </text>
    </comment>
    <comment ref="J10" authorId="0">
      <text>
        <r>
          <rPr>
            <sz val="8"/>
            <rFont val="Tahoma"/>
            <family val="0"/>
          </rPr>
          <t xml:space="preserve">
Indicar el costo del bien (por unidad previamente especificada), incluyendo la entrega e instalación en el lugar deseado (p.ej. transporte y ensamble) e impuestos en la moneda local</t>
        </r>
      </text>
    </comment>
    <comment ref="L10" authorId="0">
      <text>
        <r>
          <rPr>
            <sz val="8"/>
            <rFont val="Tahoma"/>
            <family val="0"/>
          </rPr>
          <t xml:space="preserve">
</t>
        </r>
        <r>
          <rPr>
            <sz val="9"/>
            <rFont val="Tahoma"/>
            <family val="2"/>
          </rPr>
          <t>Se calcula el costo total del bien de capital automaticamente.</t>
        </r>
      </text>
    </comment>
    <comment ref="N10" authorId="0">
      <text>
        <r>
          <rPr>
            <sz val="8"/>
            <rFont val="Tahoma"/>
            <family val="0"/>
          </rPr>
          <t xml:space="preserve">
</t>
        </r>
        <r>
          <rPr>
            <sz val="9"/>
            <rFont val="Tahoma"/>
            <family val="2"/>
          </rPr>
          <t>Indicar la cantidad de donación disponible al grupo de solicitantes para cada categoría de inversión o servicio profesional.
Hay que verificar con el proyecto o agencia financiera de apoyo la eligibilidad de la inversión contemplada  para fondos no reimbolsables. Elementos de beneficio público (por ejemplo caminos de acceso, captación de agua) y asistencia técnica son a menudo elegibles para subsidios.</t>
        </r>
      </text>
    </comment>
    <comment ref="O10" authorId="0">
      <text>
        <r>
          <rPr>
            <sz val="8"/>
            <rFont val="Tahoma"/>
            <family val="0"/>
          </rPr>
          <t xml:space="preserve">
</t>
        </r>
        <r>
          <rPr>
            <sz val="9"/>
            <rFont val="Tahoma"/>
            <family val="2"/>
          </rPr>
          <t xml:space="preserve">Insertar el monto proporiconado por los solicitantes o comunidad misma hacia el costo total de la material.
</t>
        </r>
      </text>
    </comment>
    <comment ref="P10" authorId="0">
      <text>
        <r>
          <rPr>
            <sz val="8"/>
            <rFont val="Tahoma"/>
            <family val="0"/>
          </rPr>
          <t xml:space="preserve">
La cantidad de crédito se calcula automaticamente en base al costo total (Columna 4) menos el monto recibido en donación (Columna 5) o de recursos propios (Columna 6). 
</t>
        </r>
      </text>
    </comment>
    <comment ref="Q10" authorId="0">
      <text>
        <r>
          <rPr>
            <sz val="9"/>
            <rFont val="Tahoma"/>
            <family val="2"/>
          </rPr>
          <t xml:space="preserve">
La vida útil de un bien de capital representa el número de años de uso hasta que su reemplazo es necesario.  Animales de cria o de leche también representan inversiones con una vida útil.
Aunque la vida útil de una inversión depende mucho en el tipo de uso y la calidad del matenimiento recibido, ejemplos ilustrativos pueden incluir:
Vehiculos y Tractores - 6-8 años
Motores Fuera de Borda - 4-5 años
Maquinaria Electrónica - 5-6 años
Maquinaria Pesada - 12-20 años
Edificios (piedra, ladrillo) - 50-75 años
Edificios (madera) - 10-20 años
Infraestructura (pozos, caminos, etc.) -   15-30 años
Vacas Lecheras - 8-10 años
Terreno y servicios profesionales no tienen vida útil.</t>
        </r>
      </text>
    </comment>
    <comment ref="U10" authorId="0">
      <text>
        <r>
          <rPr>
            <sz val="9"/>
            <rFont val="Tahoma"/>
            <family val="2"/>
          </rPr>
          <t xml:space="preserve">
El valor de rescate de un bien de capital significa su valor al fin de su vida útil (véase Columna 8).  Se supone que servicios profesionales no tienen un valor residual.
Ejemplos ilustrativos de valores de rescate (en porcentajes) incluyen:
Terreno - 100% del valor original
Edificios (piedra o ladrillo) - 100%
Edificios (madera) - 10-20%
Vehiculos y Tractores - 10-20%
Maquinaria Electrónica - 0-10%
Maquinaria Pesada - 10-30%
Muebles - 0-20%
Infraestructura - 0%
Vacas - 80% (tomando en cuenta el   aumento en peso durante su vida)
Sin embargo, hay que recordar que el valor final depende en gran medida en la calidad de mantenimiento del bien durante su vida útil.</t>
        </r>
      </text>
    </comment>
  </commentList>
</comments>
</file>

<file path=xl/sharedStrings.xml><?xml version="1.0" encoding="utf-8"?>
<sst xmlns="http://schemas.openxmlformats.org/spreadsheetml/2006/main" count="1668" uniqueCount="649">
  <si>
    <t>Venta de Gandul Fresco</t>
  </si>
  <si>
    <t>kg</t>
  </si>
  <si>
    <t>inodades</t>
  </si>
  <si>
    <t>Costo cultivos asociados ano 2</t>
  </si>
  <si>
    <t>Jornales cultivos asociados ano 2</t>
  </si>
  <si>
    <t>Venta de platano</t>
  </si>
  <si>
    <t>Costo cultivos asociados ano 3</t>
  </si>
  <si>
    <t>Jornales cultivos asociados ano 3</t>
  </si>
  <si>
    <t>hectárea</t>
  </si>
  <si>
    <t>Venta de Cacao</t>
  </si>
  <si>
    <t>Costo cultivos asociados ano 4</t>
  </si>
  <si>
    <t>Jornales cultivos asociados ano 4</t>
  </si>
  <si>
    <t>Producción de cacao ano 5</t>
  </si>
  <si>
    <t>Costo cultivos asociados ano 5</t>
  </si>
  <si>
    <t>Jornales cultivos asociados ano 5</t>
  </si>
  <si>
    <t>artesanales de riego, el cultivo de 90,9 hectáreas de cacao y las 16,6 hectáreas de hortalizas se hatrán verificaciones en campo, se revisarán los informes de asistencia técnica.</t>
  </si>
  <si>
    <t>pimiento, 100 m² de pepino y 50 m²de otras hortalizas como cebolla, col, acelga, hierbas aromáticas y medicinales cada una.</t>
  </si>
  <si>
    <t xml:space="preserve">asentadas en el humedal Abras de Mantequilla podrán cultivar 0.5 hectarea de cacao y 550 m² de hortalizas de las cuales: 200 m² de sandía, 100 m² de tomate, 150 m² </t>
  </si>
  <si>
    <t>En total se cultivarán: 6,1 hectáreas de sandía con una producción de 60600 frutas; 3 hectáreas de tomate que producirán 18180 cajas; 4.5 hectáreas de pimiento que</t>
  </si>
  <si>
    <t>Los volúmenes de comercialización de hortalizas no son altos, ya que en total son 14,5 hectáreas de hortalizas comercializables y 1.5 hectáreas de hortalizas para autoconsumo</t>
  </si>
  <si>
    <t xml:space="preserve">La tecnología a emplearse será de bajos insumos externos y procurará el aprovechamiento de los recursos disponibles en las comunidades. </t>
  </si>
  <si>
    <t xml:space="preserve">Con base en experiencias desarrolladas y difundidas por el equipo técnico de FUNDAR en la zona, los /as productores/as elaborarán abono orgánico para las hortalizas y </t>
  </si>
  <si>
    <t>también remedios caseros para el control de eventuales plagas. En cambio, para el cacao la fertilidad provendrá de las plantas de guandul y guaba.</t>
  </si>
  <si>
    <t>Para el control de enfermedades en el cacao se utilizarán técnicas de prevención como las podas sanitarias, ya que la zona del proyecto por tener más de seis meses</t>
  </si>
  <si>
    <t>ecológicamente secos presenta las mejores condiciones para el desarrollo de este cultivo.</t>
  </si>
  <si>
    <t>Mediante la instalación de sistemas de riego familiares, cada una de las 303 familias asociadas de la Federación de Trabajadores Agrícolas del cantón Vinces FEDETACV</t>
  </si>
  <si>
    <t>En cuanto a los rendimientos de los nuevos cultivos, los niveles son inferiores a los que obtienen productores especializados del mismo cantón Vinces. La diferencia básica es</t>
  </si>
  <si>
    <t>La venta se hará de forma directa, tanto a los comerciantes que venden las hortalizxas en la ciudad de Vinces, como a aquellos que las comercializan en otras localidades.</t>
  </si>
  <si>
    <t>Con reaqlción al cacao, las familias busacrán contacto con exportadores que compran directamente el producto.</t>
  </si>
  <si>
    <t>Ventaja especial tendrán el plátano y papaya cuya producción baja sustancialmente en la época seca, de manera que los productores pocdrán comercializarlos sin mayores</t>
  </si>
  <si>
    <t>problemas en el mercado local (ciudad de Vinces)</t>
  </si>
  <si>
    <t>Este proyecto ha sido calificado como Categoría A, es decir, que no causa impactos al medio ambiente, al contrario, su componente principal, la producción de cacao</t>
  </si>
  <si>
    <t>bajo la modalidad de sisterma agroforestal permitirá una mayor conservación del suelo y significará una ampliación del área de bosque para el refugio de muchas especies de</t>
  </si>
  <si>
    <t>aves que en la actualidad tienen limitaciones por el escaso espacio forestal disponible en el humedal.</t>
  </si>
  <si>
    <t>Una de las fortalezas de este proyecto es que se asienta en experiencias previas. Toda la población de la zona sabe cultivar cacao, aunque dejó de hacerlo por el estímulo</t>
  </si>
  <si>
    <t>oficial al cultivo de maíz. De igual manera, la mayoría de los productores han desarrollado experiencias relacionadas con el cultivo de hortalizas.</t>
  </si>
  <si>
    <t>Con el propósito de garantizar un seguimiento adecuado a la ejecución del proyecto, se ha previsto un apoyo temporal por siete meses de un técnico que asesorará a los</t>
  </si>
  <si>
    <t>productores en la instalación de los sistemas de riego, la plantación del cacao y el inicio del cultivo de las hortalizas.</t>
  </si>
  <si>
    <t>Para el seguimiento posterior, la FEDETACV cuenta con el apoyo de un promotor técnico que se encaragará de apoyar a los productores en la solución de los eventuales</t>
  </si>
  <si>
    <t>problermas que se presentaren .</t>
  </si>
  <si>
    <t>La ejecución de este proyecto no implica riesgos porque se asienta en la participación directa de las familias en las distintas fases de su ejecución, aunque conviene citar que</t>
  </si>
  <si>
    <t>a reducir la presencia de plagas y enfermedades propias de los cultivos especializados (monocultivos) en grandes extensiones.</t>
  </si>
  <si>
    <t>Con realción a los cultivos, las pequeñas extensiones de hortalizas que cultivará cada una de las familias, facilitarán su manejo. También, la propuesta diversificada ayudará</t>
  </si>
  <si>
    <t>podrían presentarse algunos problemas en la fase de construcción de los pozoz. Para sisstir a los productores en esta tarea, el proyecto ha previsto la contratación de un</t>
  </si>
  <si>
    <t>técnico que los asesore.</t>
  </si>
  <si>
    <t>eventuales casos, FUNDAR en acuerdo con la FEDETAV ha previsto un fondo de crédito que estará disponible para estas familias.</t>
  </si>
  <si>
    <t>También podría presentarse alguna dificultad entre algunas familias que no estarían en condiciones de aportar de forma inmediata el valor de la contraparte. Para estos</t>
  </si>
  <si>
    <t xml:space="preserve">En cuanto al cacao, se espera que no se presenten dificultades porque se trata de un cultivo totalmente adaptado a las condiciones de la zona, pero se requerirá de un  </t>
  </si>
  <si>
    <t>manejo preventivo para garantizar un crecimiento óptimo de los árboles. El seguimiento a este trabajo, aunque con limitaciones, estará a cargo del promotor de la FEDETACV</t>
  </si>
  <si>
    <t xml:space="preserve">hortalizas: </t>
  </si>
  <si>
    <t>que producirá durante los tres primeros años: 333300 racimos de plátano, 1818000 papayas, 3030 sacos de fréjol guandul en verde y 4545 quintales de cacao.</t>
  </si>
  <si>
    <t>Estacas</t>
  </si>
  <si>
    <t>el monto de las inversiones, que para el caso de este proyecto son bajos porque no se recurrirá a insumos agroquímicos. El monto total del capital de trabajo es de</t>
  </si>
  <si>
    <t>12456 USD, que es la suma del aporte de 41 USD de cada familia.</t>
  </si>
  <si>
    <t xml:space="preserve">NOTAS IMPORTANTES PARA EL USO DE LOS FORMULARIOS ELECTRONICOS </t>
  </si>
  <si>
    <t>O</t>
  </si>
  <si>
    <t>VER CADA HOJA POR MEDIO DE LAS LENGUETAS AL FONDO DE LA PANTALLA.  POR EJEMPLO,</t>
  </si>
  <si>
    <r>
      <t>ESTA HOJA SE LLAMA "</t>
    </r>
    <r>
      <rPr>
        <b/>
        <sz val="10"/>
        <rFont val="Arial"/>
        <family val="0"/>
      </rPr>
      <t>INTRO</t>
    </r>
    <r>
      <rPr>
        <sz val="10"/>
        <rFont val="Arial"/>
        <family val="0"/>
      </rPr>
      <t>" EN LA LENGUETA. LAS FLECHAS A LA IZQUIERDA DE LAS LENGUETAS</t>
    </r>
  </si>
  <si>
    <t>PROTEGIDAS; NO SE PUEDE MODIFICARLAS - SE TRATAN DE CELDAS QUE CALCULA EL PROGRAMA</t>
  </si>
  <si>
    <r>
      <t xml:space="preserve">ANTES DE LLENAR CUALQUIER FORMULARIO, SIEMPRE CREAR UNA </t>
    </r>
    <r>
      <rPr>
        <b/>
        <sz val="12"/>
        <rFont val="Arial"/>
        <family val="2"/>
      </rPr>
      <t>COPIA DEL ARCHIVO</t>
    </r>
  </si>
  <si>
    <t>PARA COPIAR EL ARCHIVO CON UN NUEVO NOMBRE:</t>
  </si>
  <si>
    <t xml:space="preserve">  2. SELECCIONAR EL MANDATO "ARCHIVO" EN EL PARTE SUPERIOR IZQUIERDA DE LA PANTALLA, PUES "GUARDAR COMO"</t>
  </si>
  <si>
    <t xml:space="preserve">  4. ESCRIBIR EL NUEVO NOMBRE EN EL ESPACIO MARCADO "NOMBRE DEL ARCHIVO"</t>
  </si>
  <si>
    <t xml:space="preserve">  5. SELECCIONAR "ACEPTAR"</t>
  </si>
  <si>
    <t>AHORA SE PUEDE UTILIZAR LAS HOJAS EN LA PANTALLA SIN CAMBIAR EL ARCHIVO ORIGINAL.</t>
  </si>
  <si>
    <t>SUBSECUENTES UTILIZAN LOS RESULTADOS DE DICHOS ANEXOS.</t>
  </si>
  <si>
    <t xml:space="preserve"> Página 1</t>
  </si>
  <si>
    <t xml:space="preserve">   NO MARCAR MAS DE 3 CATEGORIAS</t>
  </si>
  <si>
    <t xml:space="preserve">Ganadería Mayor  </t>
  </si>
  <si>
    <t xml:space="preserve"> por US$</t>
  </si>
  <si>
    <t>US$</t>
  </si>
  <si>
    <t>Total</t>
  </si>
  <si>
    <t xml:space="preserve">  Porcentaje de la Inversión         </t>
  </si>
  <si>
    <t xml:space="preserve">        a Financiar por:</t>
  </si>
  <si>
    <t xml:space="preserve"> </t>
  </si>
  <si>
    <t>Con Subsidios y Donaciones -</t>
  </si>
  <si>
    <t>Sin Subsidios y Donaciones -</t>
  </si>
  <si>
    <t xml:space="preserve"> Categoria:</t>
  </si>
  <si>
    <t>A</t>
  </si>
  <si>
    <t xml:space="preserve">      B</t>
  </si>
  <si>
    <t xml:space="preserve">      C</t>
  </si>
  <si>
    <t xml:space="preserve">        D</t>
  </si>
  <si>
    <t xml:space="preserve">Página 2 </t>
  </si>
  <si>
    <t xml:space="preserve"> SOLICITUD DETALLADA DE FINANCIAMIENTO</t>
  </si>
  <si>
    <t xml:space="preserve">Fecha:  </t>
  </si>
  <si>
    <t xml:space="preserve">    Número de Registro de Solicitud Inicial:  </t>
  </si>
  <si>
    <t>Comunidad</t>
  </si>
  <si>
    <t>Municipalidad</t>
  </si>
  <si>
    <t>Depàrtmento</t>
  </si>
  <si>
    <t>Preparado por:</t>
  </si>
  <si>
    <t xml:space="preserve">   Organización:</t>
  </si>
  <si>
    <t xml:space="preserve">Tel:  </t>
  </si>
  <si>
    <t xml:space="preserve">    Página  3</t>
  </si>
  <si>
    <t xml:space="preserve">     Comercialización</t>
  </si>
  <si>
    <t xml:space="preserve">   Describir las acciones llevadas a cabo para determinar niveles y patrones de demanda de los productos que resultarán del proyecto, y evidencia que los precios y cantidades</t>
  </si>
  <si>
    <t xml:space="preserve">     Página  4</t>
  </si>
  <si>
    <t xml:space="preserve">     Organización y Administración</t>
  </si>
  <si>
    <t xml:space="preserve">     Describir la estructura propuesta para dirigir y gestionar el proyecto. Indicar el grupo o personas que tomarán las decisiones estratégicas (objetivos y metas del proyecto)</t>
  </si>
  <si>
    <t xml:space="preserve">     y los que tendrán control de decisiones administrativas (cantidades producidas, precios, sueldos etc.). Especificar medidas propuestas para asegurar un control</t>
  </si>
  <si>
    <t xml:space="preserve">     adecuado de las finanzas del proyecto</t>
  </si>
  <si>
    <t xml:space="preserve">     Página  5</t>
  </si>
  <si>
    <t xml:space="preserve">     Asistencia Técnica y Capacitación</t>
  </si>
  <si>
    <t xml:space="preserve">     Describir las necesidades del proyecto en cuanto a asistencia técnica y capacitación, especialmente si los participantes no tienen experiencia previa en las actividades</t>
  </si>
  <si>
    <t xml:space="preserve">     principales del proyecto. Indicar la(s) fuente(s) identificadas para brindar tal asistencia, su naturaleza (cursos, seguimiento y asesoría, etc.) y su alcance (duración, número</t>
  </si>
  <si>
    <t xml:space="preserve">     de visitas etc.)</t>
  </si>
  <si>
    <t xml:space="preserve">     Riesgos</t>
  </si>
  <si>
    <t>Cuadro 1:</t>
  </si>
  <si>
    <t>PROYECCIONES DEL PATRON DE PRODUCCION</t>
  </si>
  <si>
    <t xml:space="preserve">      CULTIVO O ACTIVIDAD PRODUCTIVA</t>
  </si>
  <si>
    <t>TOTAL</t>
  </si>
  <si>
    <t>UNIDAD</t>
  </si>
  <si>
    <t xml:space="preserve">       CATEGORIA</t>
  </si>
  <si>
    <t>AÑO</t>
  </si>
  <si>
    <t xml:space="preserve">   TOTAL</t>
  </si>
  <si>
    <r>
      <t xml:space="preserve">   </t>
    </r>
    <r>
      <rPr>
        <b/>
        <u val="single"/>
        <sz val="11"/>
        <rFont val="Arial"/>
        <family val="2"/>
      </rPr>
      <t>AÑO 1</t>
    </r>
    <r>
      <rPr>
        <b/>
        <sz val="11"/>
        <rFont val="Arial"/>
        <family val="2"/>
      </rPr>
      <t>:</t>
    </r>
  </si>
  <si>
    <t>ANO 1:</t>
  </si>
  <si>
    <t>Efectivo -</t>
  </si>
  <si>
    <t>Ingreso</t>
  </si>
  <si>
    <t>NUM. DE UNIDADES</t>
  </si>
  <si>
    <t>Costo</t>
  </si>
  <si>
    <t>Total -</t>
  </si>
  <si>
    <t>Ingreso en Efectivo</t>
  </si>
  <si>
    <t>Costo en Efectivo</t>
  </si>
  <si>
    <t>AÑO 2 - UNIDADES</t>
  </si>
  <si>
    <t>ANO 2:</t>
  </si>
  <si>
    <t>AÑO 3 - UNIDADES</t>
  </si>
  <si>
    <t>AÑO 4 - UNIDADES</t>
  </si>
  <si>
    <t>AÑO 5 - UNIDADES</t>
  </si>
  <si>
    <t>AÑO 6 - UNIDADES</t>
  </si>
  <si>
    <t>ANO 3:</t>
  </si>
  <si>
    <t>AÑO 7 - UNIDADES</t>
  </si>
  <si>
    <t>AÑO 8 - UNIDADES</t>
  </si>
  <si>
    <t>AÑO 9 - UNIDADES</t>
  </si>
  <si>
    <t>AÑO 10 - UNIDADES</t>
  </si>
  <si>
    <t>ANO 4:</t>
  </si>
  <si>
    <t>AÑO 11 - UNIDADES</t>
  </si>
  <si>
    <t>AÑO 12 - UNIDADES</t>
  </si>
  <si>
    <t xml:space="preserve"> Total:</t>
  </si>
  <si>
    <t>ANO 5:</t>
  </si>
  <si>
    <t xml:space="preserve"> Efectivo:</t>
  </si>
  <si>
    <t>ANO 6:</t>
  </si>
  <si>
    <t>ANO 7:</t>
  </si>
  <si>
    <t>ANO 8:</t>
  </si>
  <si>
    <t>ANO 9:</t>
  </si>
  <si>
    <t>ANO 10:</t>
  </si>
  <si>
    <t>ANO 11:</t>
  </si>
  <si>
    <t>ANO 12:</t>
  </si>
  <si>
    <t>Cuadro 2a:</t>
  </si>
  <si>
    <t xml:space="preserve">   </t>
  </si>
  <si>
    <t xml:space="preserve"> No. de</t>
  </si>
  <si>
    <t xml:space="preserve">  Costo por</t>
  </si>
  <si>
    <t xml:space="preserve">     FUENTE DE FINANCIAMIENTO</t>
  </si>
  <si>
    <t>Vida</t>
  </si>
  <si>
    <t xml:space="preserve">    Mantenimiento</t>
  </si>
  <si>
    <t>Unidades</t>
  </si>
  <si>
    <t xml:space="preserve">  Unidad</t>
  </si>
  <si>
    <t xml:space="preserve">  Donación</t>
  </si>
  <si>
    <t>Util</t>
  </si>
  <si>
    <t xml:space="preserve">          Anual</t>
  </si>
  <si>
    <t>%</t>
  </si>
  <si>
    <t>(años)</t>
  </si>
  <si>
    <t xml:space="preserve">1 </t>
  </si>
  <si>
    <t xml:space="preserve">2 </t>
  </si>
  <si>
    <t xml:space="preserve">3 </t>
  </si>
  <si>
    <t xml:space="preserve">4 </t>
  </si>
  <si>
    <t xml:space="preserve">5 </t>
  </si>
  <si>
    <t xml:space="preserve">6 </t>
  </si>
  <si>
    <t xml:space="preserve">7 </t>
  </si>
  <si>
    <t xml:space="preserve">8 </t>
  </si>
  <si>
    <t xml:space="preserve">  Total</t>
  </si>
  <si>
    <t>Cuadro 2b:</t>
  </si>
  <si>
    <t>Cuadro 2c:</t>
  </si>
  <si>
    <t xml:space="preserve">  Página 8</t>
  </si>
  <si>
    <t>Cuadro 3:</t>
  </si>
  <si>
    <t>COSTOS INDIRECTOS RECURENTES</t>
  </si>
  <si>
    <r>
      <t xml:space="preserve">Indicar costos que recuren cada año, mes, etc. (es decir, </t>
    </r>
    <r>
      <rPr>
        <b/>
        <u val="single"/>
        <sz val="10"/>
        <rFont val="Arial"/>
        <family val="2"/>
      </rPr>
      <t>no inversiones</t>
    </r>
    <r>
      <rPr>
        <sz val="10"/>
        <rFont val="Arial"/>
        <family val="2"/>
      </rPr>
      <t xml:space="preserve">) y que no se pueden atribuir a productos especificos, tales como </t>
    </r>
  </si>
  <si>
    <t xml:space="preserve">   gestión, contabilidad, agua, luz, teléfono, insumos de oficina, seguro, operaciones de vehiculos generales, etc.)</t>
  </si>
  <si>
    <t xml:space="preserve">   Personal</t>
  </si>
  <si>
    <t>Número de</t>
  </si>
  <si>
    <t>Sueldo por</t>
  </si>
  <si>
    <t>Otros Costos</t>
  </si>
  <si>
    <t>Costo Total</t>
  </si>
  <si>
    <t>Personas</t>
  </si>
  <si>
    <t>Períodos/Año</t>
  </si>
  <si>
    <t>por Períod.</t>
  </si>
  <si>
    <t xml:space="preserve">     6 = 2 x (3 + 4) x 12</t>
  </si>
  <si>
    <t xml:space="preserve">   Total</t>
  </si>
  <si>
    <t xml:space="preserve">   Otro</t>
  </si>
  <si>
    <t xml:space="preserve">    Unidad</t>
  </si>
  <si>
    <t>Unidades/año</t>
  </si>
  <si>
    <t>Costo/Unidad</t>
  </si>
  <si>
    <t xml:space="preserve">       10 = 7 x 8</t>
  </si>
  <si>
    <t xml:space="preserve">  Página 9</t>
  </si>
  <si>
    <t>Cuadro 4:</t>
  </si>
  <si>
    <t xml:space="preserve">            CRONOLOGIA DE PRODUCCION</t>
  </si>
  <si>
    <t xml:space="preserve">  Página 10</t>
  </si>
  <si>
    <t>Cuadro 5:</t>
  </si>
  <si>
    <t xml:space="preserve">     FLUJO DE CAJA</t>
  </si>
  <si>
    <t>Categoría</t>
  </si>
  <si>
    <t xml:space="preserve">   INGRESOS NETOS DE VENTAS:</t>
  </si>
  <si>
    <t xml:space="preserve">   INGRESOS TOTALES</t>
  </si>
  <si>
    <t xml:space="preserve">  COSTOS DE OPERACION:</t>
  </si>
  <si>
    <t>Costos de Operación Total</t>
  </si>
  <si>
    <t>Costos de Mantenimiento</t>
  </si>
  <si>
    <t>Costos Indirectos</t>
  </si>
  <si>
    <t xml:space="preserve">   COSTOS TOTALES</t>
  </si>
  <si>
    <r>
      <t xml:space="preserve">       </t>
    </r>
    <r>
      <rPr>
        <b/>
        <sz val="11"/>
        <rFont val="Arial"/>
        <family val="2"/>
      </rPr>
      <t>Duración del Préstamo</t>
    </r>
    <r>
      <rPr>
        <sz val="11"/>
        <rFont val="Arial"/>
        <family val="2"/>
      </rPr>
      <t xml:space="preserve"> (en meses hasta un año):</t>
    </r>
  </si>
  <si>
    <t>Capital de Trabajo para Recibir en Donación (deje vacío si no hay donación)</t>
  </si>
  <si>
    <t xml:space="preserve">     Página 11</t>
  </si>
  <si>
    <t>Cuadro 6:</t>
  </si>
  <si>
    <t>BASES DE CALCULO DE FINANCIAMIENTO</t>
  </si>
  <si>
    <t>Monto Total</t>
  </si>
  <si>
    <t xml:space="preserve"> Duracion Total</t>
  </si>
  <si>
    <t xml:space="preserve">       Periodo de Gracia</t>
  </si>
  <si>
    <t xml:space="preserve">                Tasa de Interés</t>
  </si>
  <si>
    <t>Categoría de Préstamo</t>
  </si>
  <si>
    <t>del Préstamo</t>
  </si>
  <si>
    <t xml:space="preserve">               (años)</t>
  </si>
  <si>
    <t>Nominal</t>
  </si>
  <si>
    <t>Inflación</t>
  </si>
  <si>
    <t>Real</t>
  </si>
  <si>
    <t xml:space="preserve">     Interes</t>
  </si>
  <si>
    <t xml:space="preserve">  Capital</t>
  </si>
  <si>
    <t>8 = 6-7</t>
  </si>
  <si>
    <t xml:space="preserve">      Total</t>
  </si>
  <si>
    <t xml:space="preserve">  PAGO ANUAL</t>
  </si>
  <si>
    <t xml:space="preserve">             PAGO ANUAL</t>
  </si>
  <si>
    <t xml:space="preserve">  Año 1</t>
  </si>
  <si>
    <t xml:space="preserve">  Año 2</t>
  </si>
  <si>
    <t xml:space="preserve">  Año 3</t>
  </si>
  <si>
    <t xml:space="preserve">  Año 4</t>
  </si>
  <si>
    <t xml:space="preserve">  Año 5</t>
  </si>
  <si>
    <t xml:space="preserve">  Año 6</t>
  </si>
  <si>
    <t xml:space="preserve">  Año 7</t>
  </si>
  <si>
    <t xml:space="preserve">  Año 8</t>
  </si>
  <si>
    <t xml:space="preserve">  Año 9</t>
  </si>
  <si>
    <t xml:space="preserve">  Año 10</t>
  </si>
  <si>
    <t xml:space="preserve">  Año 11</t>
  </si>
  <si>
    <t xml:space="preserve">  Año 12</t>
  </si>
  <si>
    <t xml:space="preserve">  TOTAL</t>
  </si>
  <si>
    <t xml:space="preserve">  Año 13</t>
  </si>
  <si>
    <t xml:space="preserve">  Año 14</t>
  </si>
  <si>
    <t xml:space="preserve">  Año 15</t>
  </si>
  <si>
    <t xml:space="preserve"> Página 12</t>
  </si>
  <si>
    <t>Cuadro 7:</t>
  </si>
  <si>
    <t xml:space="preserve">   INGRESOS</t>
  </si>
  <si>
    <t xml:space="preserve">  1.  Ingresos Totales de Venta (Efectivo)</t>
  </si>
  <si>
    <t xml:space="preserve">  2.  Ingresos de Venta de Bienes de </t>
  </si>
  <si>
    <t xml:space="preserve">  </t>
  </si>
  <si>
    <t xml:space="preserve">  3.  Donación de Capital de Trabajo</t>
  </si>
  <si>
    <t xml:space="preserve">4. </t>
  </si>
  <si>
    <t>Otros Ingresos</t>
  </si>
  <si>
    <t xml:space="preserve">     Ingresos Totales</t>
  </si>
  <si>
    <t xml:space="preserve">   COSTOS</t>
  </si>
  <si>
    <t xml:space="preserve">  1. Costos Tot. de Operación (Efectivo)</t>
  </si>
  <si>
    <t xml:space="preserve">  2. Costos Indirectos Totales</t>
  </si>
  <si>
    <t xml:space="preserve">    (Total de Cuadro 3, Columna 5)</t>
  </si>
  <si>
    <t xml:space="preserve">  3. Costos de Mantenimiento</t>
  </si>
  <si>
    <t xml:space="preserve">     Costos Totales</t>
  </si>
  <si>
    <t xml:space="preserve">   UTILIDAD ANTES DE</t>
  </si>
  <si>
    <t>FINANCIAMIENTO</t>
  </si>
  <si>
    <t xml:space="preserve">   FINANCIAMIENTO:</t>
  </si>
  <si>
    <r>
      <t xml:space="preserve">  1. Capital de Trabajo</t>
    </r>
    <r>
      <rPr>
        <sz val="10"/>
        <rFont val="Arial"/>
        <family val="0"/>
      </rPr>
      <t xml:space="preserve"> </t>
    </r>
    <r>
      <rPr>
        <sz val="8"/>
        <rFont val="Arial"/>
        <family val="0"/>
      </rPr>
      <t>(Cuadro 6, Col.8)</t>
    </r>
  </si>
  <si>
    <t xml:space="preserve">   Financiamiento Total</t>
  </si>
  <si>
    <t xml:space="preserve">   UTILIDAD DESPUES DE</t>
  </si>
  <si>
    <t xml:space="preserve">     FINANCIAMIENTO</t>
  </si>
  <si>
    <t xml:space="preserve">     Página 13</t>
  </si>
  <si>
    <t>Cuadro 8:</t>
  </si>
  <si>
    <t xml:space="preserve">       CRONOGRAMA DE RENTABILIDAD EN TERMINOS DE FLUJO DE EFECTIVO  -  AÑOS 1-10</t>
  </si>
  <si>
    <t>RENTABILIDAD FINANCIERA  -  AÑOS 1-12</t>
  </si>
  <si>
    <t xml:space="preserve">  1.  Ingresos Totales de Venta (Total)</t>
  </si>
  <si>
    <t xml:space="preserve">  3.  Donación de Capital de Trabajo y</t>
  </si>
  <si>
    <t xml:space="preserve">  4.  Otros Ingresos</t>
  </si>
  <si>
    <t xml:space="preserve">  1. Costos Tot. de Operación (Total)</t>
  </si>
  <si>
    <t xml:space="preserve">  5. Costo de Inversión Inicial</t>
  </si>
  <si>
    <t>RENTABILIDAD FINANCIERA</t>
  </si>
  <si>
    <t>TASA INTERNA DE RETORNO FINANCIERO (TIRF):</t>
  </si>
  <si>
    <t>VALOR ACTUAL NETO (VAN):</t>
  </si>
  <si>
    <t>MONTO DE SUBSIDIO EN EFECTIVO RECIBIDO</t>
  </si>
  <si>
    <t xml:space="preserve"> ----------------------------------------------------------------    BLOQUES      -----------------------------------------------------</t>
  </si>
  <si>
    <r>
      <t xml:space="preserve">     Ingreso/Unidad</t>
    </r>
    <r>
      <rPr>
        <sz val="10"/>
        <rFont val="Arial"/>
        <family val="0"/>
      </rPr>
      <t xml:space="preserve"> (Col.12)</t>
    </r>
  </si>
  <si>
    <t xml:space="preserve">     (Años personas equivalentes - Anexo)</t>
  </si>
  <si>
    <r>
      <t xml:space="preserve">     Costo/Unidad</t>
    </r>
    <r>
      <rPr>
        <sz val="10"/>
        <rFont val="Arial"/>
        <family val="2"/>
      </rPr>
      <t xml:space="preserve"> (Col.22)</t>
    </r>
  </si>
  <si>
    <t xml:space="preserve">       RESUMEN DEL PROYECTO PRODUCTIVO</t>
  </si>
  <si>
    <t xml:space="preserve">     Actividad(es) nueva(s)</t>
  </si>
  <si>
    <t>Tasa de Cambio a la Fecha</t>
  </si>
  <si>
    <t xml:space="preserve">      TOTAL</t>
  </si>
  <si>
    <t>Número de Años de Flujo Negativo</t>
  </si>
  <si>
    <t xml:space="preserve">Unidad de </t>
  </si>
  <si>
    <t xml:space="preserve">        Duración de Cada Ciclo </t>
  </si>
  <si>
    <t xml:space="preserve">Número de </t>
  </si>
  <si>
    <t>(1)</t>
  </si>
  <si>
    <t xml:space="preserve">Producción </t>
  </si>
  <si>
    <t>(2)</t>
  </si>
  <si>
    <t xml:space="preserve">(meses) </t>
  </si>
  <si>
    <t>(3)</t>
  </si>
  <si>
    <t xml:space="preserve">Ciclos/Año </t>
  </si>
  <si>
    <t>(4)</t>
  </si>
  <si>
    <t xml:space="preserve">  A.  INGRESOS DE VENTA</t>
  </si>
  <si>
    <t xml:space="preserve">          PRODUCCION POR DESTINO POR CICLO</t>
  </si>
  <si>
    <t>PRECIO</t>
  </si>
  <si>
    <t>TRANSPORTE</t>
  </si>
  <si>
    <t xml:space="preserve">                 INGRESO ANUAL</t>
  </si>
  <si>
    <t>CATEGORIA DE INGRESO</t>
  </si>
  <si>
    <t>DE VENTA</t>
  </si>
  <si>
    <t xml:space="preserve">    por unidad</t>
  </si>
  <si>
    <t xml:space="preserve"> costo/unidad</t>
  </si>
  <si>
    <t xml:space="preserve">   VALOR TOTAL</t>
  </si>
  <si>
    <t xml:space="preserve"> (Kg,qq, caja)</t>
  </si>
  <si>
    <t xml:space="preserve"> (unidades de venta)</t>
  </si>
  <si>
    <t xml:space="preserve"> 12=(7x4 ) x (10-11)</t>
  </si>
  <si>
    <t xml:space="preserve">          Total:</t>
  </si>
  <si>
    <t xml:space="preserve">  B.  COSTOS DE OPERACION</t>
  </si>
  <si>
    <t>COSTO</t>
  </si>
  <si>
    <t xml:space="preserve">                 COSTO ANUAL</t>
  </si>
  <si>
    <t>CATEGORIA DE COSTO</t>
  </si>
  <si>
    <t>DE USO O</t>
  </si>
  <si>
    <t>COMPRA</t>
  </si>
  <si>
    <t>(unidades de compra)</t>
  </si>
  <si>
    <t>21 =(16x4)x(19+20)</t>
  </si>
  <si>
    <t>Materia Prima e Insumos</t>
  </si>
  <si>
    <t>Mano de Obra</t>
  </si>
  <si>
    <t>Jornales</t>
  </si>
  <si>
    <t xml:space="preserve">  COSTOS TOTALES DE OPERACION:</t>
  </si>
  <si>
    <t xml:space="preserve"> C</t>
  </si>
  <si>
    <t xml:space="preserve">INGRESOS NETOS </t>
  </si>
  <si>
    <t xml:space="preserve"> AUTO CONSUMO</t>
  </si>
  <si>
    <t>VENTA</t>
  </si>
  <si>
    <t>9</t>
  </si>
  <si>
    <t xml:space="preserve"> RECURSOS PROPIOS</t>
  </si>
  <si>
    <t>18</t>
  </si>
  <si>
    <t xml:space="preserve">     EN EFECTIVO</t>
  </si>
  <si>
    <t>13 = (9x4) x (10-11)</t>
  </si>
  <si>
    <t xml:space="preserve"> 22=(18x4)x(19+20)</t>
  </si>
  <si>
    <t xml:space="preserve">       (Calculado automáticamente en base a Cuadro 1)</t>
  </si>
  <si>
    <r>
      <t xml:space="preserve">  CAPITAL DE TRABAJO</t>
    </r>
    <r>
      <rPr>
        <sz val="12"/>
        <rFont val="Arial"/>
        <family val="2"/>
      </rPr>
      <t xml:space="preserve"> </t>
    </r>
    <r>
      <rPr>
        <sz val="10"/>
        <rFont val="Arial"/>
        <family val="2"/>
      </rPr>
      <t>(Monto inicial - Suma de flujos negativos durante el primer año)</t>
    </r>
  </si>
  <si>
    <t xml:space="preserve">    (Totales de Cuadro 2a y 2c, Col. 9)</t>
  </si>
  <si>
    <t xml:space="preserve">    (Al final de su vida - Cuadros 2a y 2c, Col. 3)</t>
  </si>
  <si>
    <r>
      <t>Capital</t>
    </r>
    <r>
      <rPr>
        <sz val="10"/>
        <rFont val="Arial"/>
        <family val="0"/>
      </rPr>
      <t xml:space="preserve"> (Cuadros 2a y 2c, Columna 8)</t>
    </r>
  </si>
  <si>
    <t xml:space="preserve">    (Totales de Cuadros 2a y 2c, Col. 8)</t>
  </si>
  <si>
    <r>
      <t>Capital</t>
    </r>
    <r>
      <rPr>
        <sz val="10"/>
        <rFont val="Arial"/>
        <family val="0"/>
      </rPr>
      <t xml:space="preserve"> (Cuadros 2a y 2c, Columna 10)</t>
    </r>
  </si>
  <si>
    <t xml:space="preserve">   INGRESO NETO ANUAL</t>
  </si>
  <si>
    <t xml:space="preserve">  Registro:  ___________</t>
  </si>
  <si>
    <t>NOTA:   LLENAR SOLAMENTE UNA VEZ DEBIDAMENTE COMPLETADA LA EVALUACION</t>
  </si>
  <si>
    <t xml:space="preserve"> Area principal - marca (1)</t>
  </si>
  <si>
    <t xml:space="preserve">Areas de menor importancia - marca (2) </t>
  </si>
  <si>
    <t xml:space="preserve">Cultivos de Ciclo Corto  </t>
  </si>
  <si>
    <t>Animales Menores</t>
  </si>
  <si>
    <t>Artesanías</t>
  </si>
  <si>
    <t xml:space="preserve">                        Cultivos Permanentes</t>
  </si>
  <si>
    <t>Acuacultura</t>
  </si>
  <si>
    <t>Comercialización</t>
  </si>
  <si>
    <t xml:space="preserve">  Riego  </t>
  </si>
  <si>
    <t>Agroindustria</t>
  </si>
  <si>
    <t>Ecoturismo</t>
  </si>
  <si>
    <t xml:space="preserve">           Forestación Comercial/Viveros</t>
  </si>
  <si>
    <t>Transporte</t>
  </si>
  <si>
    <t xml:space="preserve">Otra (Especificar)  </t>
  </si>
  <si>
    <t xml:space="preserve">      Ampliación de actividad(es) ya en marcha</t>
  </si>
  <si>
    <t xml:space="preserve">     Inversión (Materiales) </t>
  </si>
  <si>
    <t xml:space="preserve">  Población Meta Principal:</t>
  </si>
  <si>
    <t xml:space="preserve">   Hombres</t>
  </si>
  <si>
    <t xml:space="preserve">        Mujeres</t>
  </si>
  <si>
    <t xml:space="preserve">        Jovenes y/o Niños</t>
  </si>
  <si>
    <t xml:space="preserve">  Empleo Generado:</t>
  </si>
  <si>
    <t>Número de empleos plenos equivalentes para ser generados una vez en función el proyecto</t>
  </si>
  <si>
    <t xml:space="preserve">       Directamente:</t>
  </si>
  <si>
    <t xml:space="preserve">        Indirectamente:</t>
  </si>
  <si>
    <r>
      <t xml:space="preserve">  Impacto Medioambiental </t>
    </r>
    <r>
      <rPr>
        <sz val="10"/>
        <rFont val="Arial"/>
        <family val="0"/>
      </rPr>
      <t xml:space="preserve"> (Vease Anexo 1 en las Directrices)</t>
    </r>
  </si>
  <si>
    <t/>
  </si>
  <si>
    <t xml:space="preserve">       CRONOGRAMA DE FLUJO DE EFECTIVO  -  AÑOS 1-12</t>
  </si>
  <si>
    <t xml:space="preserve">  Página 6</t>
  </si>
  <si>
    <t xml:space="preserve">      SOLICITUD DE FINANCIAMIENTO</t>
  </si>
  <si>
    <t xml:space="preserve">TODAS PROPUESTAS DEBEN REFLEJAR FIELMENTE LOS DESEOS DE LOS </t>
  </si>
  <si>
    <t>NO COMPLETAR ESTE FORMULARIO SIN LEER LAS DIRECTRICES</t>
  </si>
  <si>
    <t>ACOMPAÑANTES.</t>
  </si>
  <si>
    <t>SI LAS DIRECTRICES NO RESUELVEN SUS INQUIETUDES,  COMUNIQUESE</t>
  </si>
  <si>
    <t xml:space="preserve">CON LA UNIDAD TECNICA DEL PROYECTO O AGENCIA FINANCIERA </t>
  </si>
  <si>
    <t>APOYANDO EL PROCESO</t>
  </si>
  <si>
    <t>VERIFICAR TODAS LAS CIFRAS (PRECIOS, RENDIMIENTOS, VOLUMENES, etc.)</t>
  </si>
  <si>
    <t>CON FUENTES CONFIABLES Y ACTUALIZADAS (MERCADOS LOCALES,</t>
  </si>
  <si>
    <t>PROVEEDORES ETC.) LO MEJOR POSIBLE ANTES DE COMPLETAR EL</t>
  </si>
  <si>
    <t>FORMULARIO.</t>
  </si>
  <si>
    <t>EL PROCESO DE FORMULACION Y EVALUACION</t>
  </si>
  <si>
    <r>
      <t xml:space="preserve">ESTE FORMULARIO CONTIENE INICIALMENTE  </t>
    </r>
    <r>
      <rPr>
        <b/>
        <sz val="12"/>
        <rFont val="Arial"/>
        <family val="2"/>
      </rPr>
      <t>24</t>
    </r>
    <r>
      <rPr>
        <b/>
        <sz val="12"/>
        <rFont val="Arial"/>
        <family val="0"/>
      </rPr>
      <t xml:space="preserve"> HOJAS ELECTRONICAS: </t>
    </r>
    <r>
      <rPr>
        <sz val="10"/>
        <rFont val="Arial"/>
        <family val="0"/>
      </rPr>
      <t xml:space="preserve">  SE PUEDE</t>
    </r>
  </si>
  <si>
    <r>
      <t xml:space="preserve">     Ingreso/Unidad</t>
    </r>
    <r>
      <rPr>
        <sz val="10"/>
        <rFont val="Arial"/>
        <family val="0"/>
      </rPr>
      <t xml:space="preserve"> (Col.11)</t>
    </r>
  </si>
  <si>
    <r>
      <t xml:space="preserve">     Costo/Unidad</t>
    </r>
    <r>
      <rPr>
        <sz val="10"/>
        <rFont val="Arial"/>
        <family val="0"/>
      </rPr>
      <t xml:space="preserve"> (Col.20)</t>
    </r>
  </si>
  <si>
    <t>(Valor)</t>
  </si>
  <si>
    <t xml:space="preserve"> de venta</t>
  </si>
  <si>
    <t xml:space="preserve">          CONSUMO POR DESTINO POR CICLO</t>
  </si>
  <si>
    <t>de compra</t>
  </si>
  <si>
    <t xml:space="preserve"> D. GENERACION DE EMPLEO</t>
  </si>
  <si>
    <t>Años personas equivalentes</t>
  </si>
  <si>
    <r>
      <t>ANEXO 1:  INGRESOS NETOS</t>
    </r>
    <r>
      <rPr>
        <b/>
        <sz val="16"/>
        <rFont val="Arial"/>
        <family val="2"/>
      </rPr>
      <t xml:space="preserve"> </t>
    </r>
    <r>
      <rPr>
        <b/>
        <u val="single"/>
        <sz val="16"/>
        <rFont val="Arial"/>
        <family val="2"/>
      </rPr>
      <t>INCREMENTALES</t>
    </r>
    <r>
      <rPr>
        <b/>
        <sz val="16"/>
        <rFont val="Arial"/>
        <family val="2"/>
      </rPr>
      <t xml:space="preserve"> </t>
    </r>
    <r>
      <rPr>
        <b/>
        <sz val="14"/>
        <rFont val="Arial"/>
        <family val="2"/>
      </rPr>
      <t xml:space="preserve">POR PRODUCTO O BLOQUE </t>
    </r>
  </si>
  <si>
    <r>
      <t>ANEXO 2:  INGRESOS NETOS</t>
    </r>
    <r>
      <rPr>
        <b/>
        <sz val="16"/>
        <rFont val="Arial"/>
        <family val="2"/>
      </rPr>
      <t xml:space="preserve"> </t>
    </r>
    <r>
      <rPr>
        <b/>
        <u val="single"/>
        <sz val="16"/>
        <rFont val="Arial"/>
        <family val="2"/>
      </rPr>
      <t>INCREMENTALES</t>
    </r>
    <r>
      <rPr>
        <b/>
        <sz val="16"/>
        <rFont val="Arial"/>
        <family val="2"/>
      </rPr>
      <t xml:space="preserve"> </t>
    </r>
    <r>
      <rPr>
        <b/>
        <sz val="14"/>
        <rFont val="Arial"/>
        <family val="2"/>
      </rPr>
      <t xml:space="preserve">POR PRODUCTO O BLOQUE </t>
    </r>
  </si>
  <si>
    <r>
      <t>ANEXO 3:  INGRESOS NETOS</t>
    </r>
    <r>
      <rPr>
        <b/>
        <sz val="16"/>
        <rFont val="Arial"/>
        <family val="2"/>
      </rPr>
      <t xml:space="preserve"> </t>
    </r>
    <r>
      <rPr>
        <b/>
        <u val="single"/>
        <sz val="16"/>
        <rFont val="Arial"/>
        <family val="2"/>
      </rPr>
      <t>INCREMENTALES</t>
    </r>
    <r>
      <rPr>
        <b/>
        <sz val="16"/>
        <rFont val="Arial"/>
        <family val="2"/>
      </rPr>
      <t xml:space="preserve"> </t>
    </r>
    <r>
      <rPr>
        <b/>
        <sz val="14"/>
        <rFont val="Arial"/>
        <family val="2"/>
      </rPr>
      <t xml:space="preserve">POR PRODUCTO O BLOQUE </t>
    </r>
  </si>
  <si>
    <r>
      <t>ANEXO 4:  INGRESOS NETOS</t>
    </r>
    <r>
      <rPr>
        <b/>
        <sz val="16"/>
        <rFont val="Arial"/>
        <family val="2"/>
      </rPr>
      <t xml:space="preserve"> </t>
    </r>
    <r>
      <rPr>
        <b/>
        <u val="single"/>
        <sz val="16"/>
        <rFont val="Arial"/>
        <family val="2"/>
      </rPr>
      <t>INCREMENTALES</t>
    </r>
    <r>
      <rPr>
        <b/>
        <sz val="16"/>
        <rFont val="Arial"/>
        <family val="2"/>
      </rPr>
      <t xml:space="preserve"> </t>
    </r>
    <r>
      <rPr>
        <b/>
        <sz val="14"/>
        <rFont val="Arial"/>
        <family val="2"/>
      </rPr>
      <t xml:space="preserve">POR PRODUCTO O BLOQUE </t>
    </r>
  </si>
  <si>
    <r>
      <t>ANEXO 5:  INGRESOS NETOS</t>
    </r>
    <r>
      <rPr>
        <b/>
        <sz val="16"/>
        <rFont val="Arial"/>
        <family val="2"/>
      </rPr>
      <t xml:space="preserve"> </t>
    </r>
    <r>
      <rPr>
        <b/>
        <u val="single"/>
        <sz val="16"/>
        <rFont val="Arial"/>
        <family val="2"/>
      </rPr>
      <t>INCREMENTALES</t>
    </r>
    <r>
      <rPr>
        <b/>
        <sz val="16"/>
        <rFont val="Arial"/>
        <family val="2"/>
      </rPr>
      <t xml:space="preserve"> </t>
    </r>
    <r>
      <rPr>
        <b/>
        <sz val="14"/>
        <rFont val="Arial"/>
        <family val="2"/>
      </rPr>
      <t xml:space="preserve">POR PRODUCTO O BLOQUE </t>
    </r>
  </si>
  <si>
    <r>
      <t>ANEXO 6:  INGRESOS NETOS</t>
    </r>
    <r>
      <rPr>
        <b/>
        <sz val="16"/>
        <rFont val="Arial"/>
        <family val="2"/>
      </rPr>
      <t xml:space="preserve"> </t>
    </r>
    <r>
      <rPr>
        <b/>
        <u val="single"/>
        <sz val="16"/>
        <rFont val="Arial"/>
        <family val="2"/>
      </rPr>
      <t>INCREMENTALES</t>
    </r>
    <r>
      <rPr>
        <b/>
        <sz val="16"/>
        <rFont val="Arial"/>
        <family val="2"/>
      </rPr>
      <t xml:space="preserve"> </t>
    </r>
    <r>
      <rPr>
        <b/>
        <sz val="14"/>
        <rFont val="Arial"/>
        <family val="2"/>
      </rPr>
      <t xml:space="preserve">POR PRODUCTO O BLOQUE </t>
    </r>
  </si>
  <si>
    <r>
      <t>ANEXO 7:  INGRESOS NETOS</t>
    </r>
    <r>
      <rPr>
        <b/>
        <sz val="16"/>
        <rFont val="Arial"/>
        <family val="2"/>
      </rPr>
      <t xml:space="preserve"> </t>
    </r>
    <r>
      <rPr>
        <b/>
        <u val="single"/>
        <sz val="16"/>
        <rFont val="Arial"/>
        <family val="2"/>
      </rPr>
      <t>INCREMENTALES</t>
    </r>
    <r>
      <rPr>
        <b/>
        <sz val="16"/>
        <rFont val="Arial"/>
        <family val="2"/>
      </rPr>
      <t xml:space="preserve"> </t>
    </r>
    <r>
      <rPr>
        <b/>
        <sz val="14"/>
        <rFont val="Arial"/>
        <family val="2"/>
      </rPr>
      <t xml:space="preserve">POR PRODUCTO O BLOQUE </t>
    </r>
  </si>
  <si>
    <r>
      <t>ANEXO 8:  INGRESOS NETOS</t>
    </r>
    <r>
      <rPr>
        <b/>
        <sz val="16"/>
        <rFont val="Arial"/>
        <family val="2"/>
      </rPr>
      <t xml:space="preserve"> </t>
    </r>
    <r>
      <rPr>
        <b/>
        <u val="single"/>
        <sz val="16"/>
        <rFont val="Arial"/>
        <family val="2"/>
      </rPr>
      <t>INCREMENTALES</t>
    </r>
    <r>
      <rPr>
        <b/>
        <sz val="16"/>
        <rFont val="Arial"/>
        <family val="2"/>
      </rPr>
      <t xml:space="preserve"> </t>
    </r>
    <r>
      <rPr>
        <b/>
        <sz val="14"/>
        <rFont val="Arial"/>
        <family val="2"/>
      </rPr>
      <t xml:space="preserve">POR PRODUCTO O BLOQUE </t>
    </r>
  </si>
  <si>
    <r>
      <t>ANEXO 9:  INGRESOS NETOS</t>
    </r>
    <r>
      <rPr>
        <b/>
        <sz val="16"/>
        <rFont val="Arial"/>
        <family val="2"/>
      </rPr>
      <t xml:space="preserve"> </t>
    </r>
    <r>
      <rPr>
        <b/>
        <u val="single"/>
        <sz val="16"/>
        <rFont val="Arial"/>
        <family val="2"/>
      </rPr>
      <t>INCREMENTALES</t>
    </r>
    <r>
      <rPr>
        <b/>
        <sz val="16"/>
        <rFont val="Arial"/>
        <family val="2"/>
      </rPr>
      <t xml:space="preserve"> </t>
    </r>
    <r>
      <rPr>
        <b/>
        <sz val="14"/>
        <rFont val="Arial"/>
        <family val="2"/>
      </rPr>
      <t xml:space="preserve">POR PRODUCTO O BLOQUE </t>
    </r>
  </si>
  <si>
    <r>
      <t>ANEXO 10:  INGRESOS NETOS</t>
    </r>
    <r>
      <rPr>
        <b/>
        <sz val="16"/>
        <rFont val="Arial"/>
        <family val="2"/>
      </rPr>
      <t xml:space="preserve"> </t>
    </r>
    <r>
      <rPr>
        <b/>
        <u val="single"/>
        <sz val="16"/>
        <rFont val="Arial"/>
        <family val="2"/>
      </rPr>
      <t>INCREMENTALES</t>
    </r>
    <r>
      <rPr>
        <b/>
        <sz val="16"/>
        <rFont val="Arial"/>
        <family val="2"/>
      </rPr>
      <t xml:space="preserve"> </t>
    </r>
    <r>
      <rPr>
        <b/>
        <sz val="14"/>
        <rFont val="Arial"/>
        <family val="2"/>
      </rPr>
      <t xml:space="preserve">POR PRODUCTO O BLOQUE </t>
    </r>
  </si>
  <si>
    <t>Valor</t>
  </si>
  <si>
    <t>Rec. Propias</t>
  </si>
  <si>
    <t xml:space="preserve">  Crédito</t>
  </si>
  <si>
    <t>de Rescate</t>
  </si>
  <si>
    <t>4 = 3 x 2</t>
  </si>
  <si>
    <t>7=4-(5+6)</t>
  </si>
  <si>
    <t>10 = 4 x 9</t>
  </si>
  <si>
    <t>INVERSION TOTAL</t>
  </si>
  <si>
    <r>
      <t xml:space="preserve">    INVERSION EN MATERIALES   (</t>
    </r>
    <r>
      <rPr>
        <b/>
        <sz val="10"/>
        <rFont val="Arial"/>
        <family val="2"/>
      </rPr>
      <t xml:space="preserve">Equipos, Vehiculos, Estructuras, Maquinas, Ganado, Cultivos Permanentes, etc.)  </t>
    </r>
    <r>
      <rPr>
        <sz val="10"/>
        <rFont val="Arial"/>
        <family val="2"/>
      </rPr>
      <t xml:space="preserve"> </t>
    </r>
  </si>
  <si>
    <r>
      <t xml:space="preserve"> INVERSION EN MANO DE OBRA  EN JORNALES</t>
    </r>
    <r>
      <rPr>
        <b/>
        <sz val="10"/>
        <rFont val="Arial"/>
        <family val="2"/>
      </rPr>
      <t xml:space="preserve"> (Construcción, Preparación de terreno para cultivos permanentes, etc.)</t>
    </r>
  </si>
  <si>
    <r>
      <t xml:space="preserve"> SERVICIOS PROFESIONALES</t>
    </r>
    <r>
      <rPr>
        <sz val="12"/>
        <rFont val="Arial"/>
        <family val="2"/>
      </rPr>
      <t xml:space="preserve"> </t>
    </r>
    <r>
      <rPr>
        <b/>
        <sz val="10"/>
        <rFont val="Arial"/>
        <family val="0"/>
      </rPr>
      <t xml:space="preserve"> (Inversión en asistencia técnica, capacitación, servicios legales etc. que no son repetidos anualmente)</t>
    </r>
  </si>
  <si>
    <t xml:space="preserve">PRESTAMO PRINCIPAL    </t>
  </si>
  <si>
    <t xml:space="preserve">    Duración de préstamo principal: </t>
  </si>
  <si>
    <r>
      <t xml:space="preserve">  </t>
    </r>
    <r>
      <rPr>
        <b/>
        <sz val="10"/>
        <rFont val="Arial"/>
        <family val="0"/>
      </rPr>
      <t xml:space="preserve">Financiamiento Principal </t>
    </r>
    <r>
      <rPr>
        <sz val="10"/>
        <rFont val="Arial"/>
        <family val="0"/>
      </rPr>
      <t>(Cuadro 2)</t>
    </r>
  </si>
  <si>
    <r>
      <t xml:space="preserve">  </t>
    </r>
    <r>
      <rPr>
        <b/>
        <sz val="10"/>
        <rFont val="Arial"/>
        <family val="0"/>
      </rPr>
      <t>Financiamiento Segundario</t>
    </r>
    <r>
      <rPr>
        <sz val="10"/>
        <rFont val="Arial"/>
        <family val="0"/>
      </rPr>
      <t xml:space="preserve"> (Cuadro 2)</t>
    </r>
  </si>
  <si>
    <t xml:space="preserve">   PRESTAMO PRINCIPAL</t>
  </si>
  <si>
    <r>
      <t xml:space="preserve">         </t>
    </r>
    <r>
      <rPr>
        <b/>
        <sz val="10"/>
        <rFont val="Arial"/>
        <family val="2"/>
      </rPr>
      <t>Valor Terminal Bienes Principales</t>
    </r>
  </si>
  <si>
    <t xml:space="preserve">  @ 10%</t>
  </si>
  <si>
    <t xml:space="preserve">   PRESTAMO SECUNDARIO</t>
  </si>
  <si>
    <t xml:space="preserve"> PRESTAMO SECUNDARIO</t>
  </si>
  <si>
    <t xml:space="preserve">   previstos serán factibles en el mercado. Describir los arreglos para empaque, transporte y distribución de los productos. (Véase guía de estudios de mercado en el manual)</t>
  </si>
  <si>
    <t xml:space="preserve">     Impacto Medioambiental y Medidas de Mitigación</t>
  </si>
  <si>
    <t xml:space="preserve">     reducir tal impacto (Categorías "B" y "C" solamente)</t>
  </si>
  <si>
    <t xml:space="preserve">     A la luz de la clasificación ambiental de la inversión en el Resumen, describir el tipo de impacto previsto, y las medidas de mitigación seleccionadas para</t>
  </si>
  <si>
    <t xml:space="preserve">  Página 7</t>
  </si>
  <si>
    <r>
      <t xml:space="preserve">  2. Prestamo Principal </t>
    </r>
    <r>
      <rPr>
        <sz val="10"/>
        <rFont val="Arial"/>
        <family val="0"/>
      </rPr>
      <t>(Cuadro 6)</t>
    </r>
  </si>
  <si>
    <r>
      <t xml:space="preserve">  3. Préstamo Secundario </t>
    </r>
    <r>
      <rPr>
        <sz val="8"/>
        <rFont val="Arial"/>
        <family val="0"/>
      </rPr>
      <t>(Cuadro 6)</t>
    </r>
  </si>
  <si>
    <t xml:space="preserve">      Credito  </t>
  </si>
  <si>
    <t>Fondos no Reembolsables</t>
  </si>
  <si>
    <t>TIRF</t>
  </si>
  <si>
    <t xml:space="preserve"> años</t>
  </si>
  <si>
    <t xml:space="preserve">VAN   </t>
  </si>
  <si>
    <t xml:space="preserve">VAN      </t>
  </si>
  <si>
    <t>EMPLEO GENERADO/UNIDAD</t>
  </si>
  <si>
    <t>EMPLEO TOTAL POR BLOQUE (año 12)</t>
  </si>
  <si>
    <t>Período</t>
  </si>
  <si>
    <t>Zona</t>
  </si>
  <si>
    <t xml:space="preserve"> %</t>
  </si>
  <si>
    <t xml:space="preserve">  %         Recursos Propios</t>
  </si>
  <si>
    <t xml:space="preserve"> @ 10%</t>
  </si>
  <si>
    <t xml:space="preserve">  4. Reemplazo de Bienes/Otros Costos</t>
  </si>
  <si>
    <t xml:space="preserve">   Indicar a continuación en porcentaje las distribuciones de los costos de producción y los ingresos durante el año para cada bloque.</t>
  </si>
  <si>
    <t xml:space="preserve">      Ingresos</t>
  </si>
  <si>
    <t xml:space="preserve"> 1.  Costos</t>
  </si>
  <si>
    <t xml:space="preserve"> 2.  Costos</t>
  </si>
  <si>
    <t xml:space="preserve"> 3.  Costos</t>
  </si>
  <si>
    <t xml:space="preserve"> 4.  Costos</t>
  </si>
  <si>
    <t xml:space="preserve"> 5.  Costos</t>
  </si>
  <si>
    <t xml:space="preserve"> 6.  Costos</t>
  </si>
  <si>
    <t xml:space="preserve"> 7.  Costos</t>
  </si>
  <si>
    <t xml:space="preserve"> 8.  Costos</t>
  </si>
  <si>
    <t xml:space="preserve"> 9.  Costos</t>
  </si>
  <si>
    <t xml:space="preserve"> 10. Costos</t>
  </si>
  <si>
    <t xml:space="preserve">        Bloque</t>
  </si>
  <si>
    <t>Año</t>
  </si>
  <si>
    <t>BLOQUE:</t>
  </si>
  <si>
    <r>
      <t xml:space="preserve">  </t>
    </r>
    <r>
      <rPr>
        <b/>
        <sz val="10"/>
        <rFont val="Arial"/>
        <family val="0"/>
      </rPr>
      <t>Capital de Trabajo</t>
    </r>
    <r>
      <rPr>
        <sz val="10"/>
        <rFont val="Arial"/>
        <family val="0"/>
      </rPr>
      <t xml:space="preserve"> (Cuadro 5)</t>
    </r>
  </si>
  <si>
    <t xml:space="preserve">   Flujo de Caja Mensual</t>
  </si>
  <si>
    <t xml:space="preserve">   Flujo de Caja Acumulado</t>
  </si>
  <si>
    <t>BLOQUE</t>
  </si>
  <si>
    <t xml:space="preserve">                    Mixto</t>
  </si>
  <si>
    <t>Descripción</t>
  </si>
  <si>
    <t>Tipo de</t>
  </si>
  <si>
    <t>Unidad</t>
  </si>
  <si>
    <t>Jornal</t>
  </si>
  <si>
    <t xml:space="preserve">      Inversión (Mano Obra)</t>
  </si>
  <si>
    <t xml:space="preserve">      Capacitación/As. Tec.</t>
  </si>
  <si>
    <t xml:space="preserve">      Capital Inicial Trabajo</t>
  </si>
  <si>
    <t>PROLOCAL</t>
  </si>
  <si>
    <t>SOLICITANTES Y DEBEN SEGUIR LA PREPARACION DE UN ANALISIS PRELIMINAR</t>
  </si>
  <si>
    <t>PARTICIPATIVO.</t>
  </si>
  <si>
    <t>ES IMPRESCINDIBLE EL USO DE UNA COMPUTADORA PARA COMPLETAR</t>
  </si>
  <si>
    <t xml:space="preserve">    SOLICITUD DE FINANCIAMIENTO</t>
  </si>
  <si>
    <t>PERMITEN VER OTRAS LENGUETAS ACTUALMENTE NO VISIBLES. DENTRO DE LAS HOJAS, SE</t>
  </si>
  <si>
    <t>PUEDE INSERTAR DATOS SOLAMENTE EN LAS AREAS EN BLANCO. LAS AREAS SOMBREADAS SON</t>
  </si>
  <si>
    <t>AUTOMATICAMENTE, O SON AREAS SIN DATOS</t>
  </si>
  <si>
    <t xml:space="preserve">  1. ESCOGER UN NOMBRE PARA SU NUEVO ARCHIVO (P.EJ. Art1.XLS PARA INDICAR QUE ES UN ANALISIS SOBRE UNA</t>
  </si>
  <si>
    <t xml:space="preserve">        SOLICITUD DE ARTESANIAS). A MENOS QUE SE UTILIZA WINDOWS 97 (O MAS ADVANZADO), SE DEBE USAR UN NOMBRE DE</t>
  </si>
  <si>
    <r>
      <t xml:space="preserve">        </t>
    </r>
    <r>
      <rPr>
        <u val="single"/>
        <sz val="8"/>
        <rFont val="Arial"/>
        <family val="2"/>
      </rPr>
      <t>NO MAS DE 8 CIFRAS</t>
    </r>
    <r>
      <rPr>
        <sz val="8"/>
        <rFont val="Arial"/>
        <family val="2"/>
      </rPr>
      <t xml:space="preserve"> (LETRAS O NUMEROS) ANTES DE LA EXTENSIÓN " .XLS"</t>
    </r>
  </si>
  <si>
    <t xml:space="preserve">  3. DETERMINAR DONDE SE VA GUARDAR SU NUEVO ARCHIVO (DISKETTE, DISCO DURO, ETC.). SI NO SE ESPECIFICA</t>
  </si>
  <si>
    <t xml:space="preserve">       UN SITIO, LA COMPUTADORA GUARDARA EL NUEVO ARCHIVO EN EL MISMO LUGAR DEL ORIGINAL (P.EJ. EN UN DISKETTE)</t>
  </si>
  <si>
    <r>
      <t xml:space="preserve">SE RECOMIENDA LLENAR LOS  </t>
    </r>
    <r>
      <rPr>
        <b/>
        <sz val="12"/>
        <rFont val="Arial"/>
        <family val="2"/>
      </rPr>
      <t>ANEXOS POR PRODUCTO O BLOQUE</t>
    </r>
    <r>
      <rPr>
        <sz val="10"/>
        <rFont val="Arial"/>
        <family val="0"/>
      </rPr>
      <t xml:space="preserve"> (AL FINAL) INMEDIATAMENTE</t>
    </r>
  </si>
  <si>
    <t>DESPUES DE COMPLETAR CUADRO 1 (PROYECCIÓN DE PRODUCCION).  VARIOS DE LOS CUADROS</t>
  </si>
  <si>
    <t>SI LA INVERSION TRATA DE MAS DE UN PRODUCTO O ACTIVIDAD, HABRA QUE VISUALIZAR UN AÑO PROMEDIO.</t>
  </si>
  <si>
    <t>UN AÑO PROMEDIO SERÍA AQUEL EN EL CUAL SE ESTABILICE LA PRODUCCIÓN (P.EJ. AÑO QUE UN CULTIVO</t>
  </si>
  <si>
    <t>PERENNE ALCANZA UN NIVEL DE PRODUCCIÓN CERCANO A SU POTENCIAL).</t>
  </si>
  <si>
    <t>DE REQUERIR MAS ANEXOS EN FUNCIÓN DE LOS PRODUCTOS O ACTIVIDADES PREVISTAS, SOLICITAR A</t>
  </si>
  <si>
    <t>LA UNIDAD TÉCNICA DEL PROYECTO PARA QUE SE PREPAREN CON APOYO DE UN ESPECIALISTA EN EXCEL.</t>
  </si>
  <si>
    <r>
      <t xml:space="preserve">EN CASO DE SUBPROYECTOS DE </t>
    </r>
    <r>
      <rPr>
        <b/>
        <sz val="10"/>
        <rFont val="Arial"/>
        <family val="2"/>
      </rPr>
      <t>INFRAESTRUCTURA PÚBLICA</t>
    </r>
    <r>
      <rPr>
        <sz val="10"/>
        <rFont val="Arial"/>
        <family val="0"/>
      </rPr>
      <t xml:space="preserve"> QUE DEPENDE DE RECURSOS PÚBLICOS</t>
    </r>
  </si>
  <si>
    <t>PARA SU OPERACIÓN, Y PARA LOS CUALES NO ES POSIBLE ESTIMAR BENEFICIOS DEL SERVICIO EN TÉRMINOS</t>
  </si>
  <si>
    <t xml:space="preserve">DE AHORRO EN COSTOS Y TIEMPOS, SE DEBERÍA COMPLETAR SOLO LAS HOJAS CORRESPONDIENTES A LA </t>
  </si>
  <si>
    <t xml:space="preserve">INVERSIÓN Y COSTOS INDIRECTOS RECURRENTES, ADEMÁS DE LA HOJA RESUMEN. ES IMPORTANTE </t>
  </si>
  <si>
    <t xml:space="preserve">DOCUMENTAR ELCOMPROMISO DE LA INSTITUCIÓN QUE FINANCIARÁ LOS COSTOS RECURRENTES YA QUE DE </t>
  </si>
  <si>
    <t>ELLO DEPENDERÁ LA SOSTENIBILIDAD. DICHOS SUBPROYECTOS SERÍAN CONSIDERADOS SOLO EN CASO DE</t>
  </si>
  <si>
    <t>NO HABER FINANCIAMIENTO ALTERNATIVO.</t>
  </si>
  <si>
    <t>ADEMAS DE LAS DIRECTRICES IMPRESAS QUE ACOMPAÑAN EL MANUAL OPERATIVO, MUCHAS</t>
  </si>
  <si>
    <r>
      <t xml:space="preserve">CELDAS TIENEN  </t>
    </r>
    <r>
      <rPr>
        <b/>
        <sz val="12"/>
        <rFont val="Arial"/>
        <family val="2"/>
      </rPr>
      <t>NOTAS ESPECIFICAS</t>
    </r>
    <r>
      <rPr>
        <sz val="10"/>
        <rFont val="Arial"/>
        <family val="0"/>
      </rPr>
      <t xml:space="preserve"> AJUNTAS.  SE PUEDE IDENTIFICAR LAS CELDAS CON NOTAS</t>
    </r>
  </si>
  <si>
    <t>DE AYUDA POR LA PRESENCIA DE UN TRIANGULO EN EL RINCON SUPERIOR DE LA CELDA.</t>
  </si>
  <si>
    <t xml:space="preserve">EN LAS VERSIONES MODERNAS DE EXCEL SE PUEDE VER LAS NOTAS SIMPLEMENTE POR TOCAR </t>
  </si>
  <si>
    <t xml:space="preserve">EL PUNTO ROJO CON EL CURSOR. </t>
  </si>
  <si>
    <t>Inversión - Fondos Donación</t>
  </si>
  <si>
    <t>Inversión - Crédito</t>
  </si>
  <si>
    <t>INVERSIÖN EXTERNA</t>
  </si>
  <si>
    <t>Inversión Propia</t>
  </si>
  <si>
    <t>AÑOS-PERSONA EQUIVALENTES DE EMPLEO INDIRECTO:</t>
  </si>
  <si>
    <t>Fecha de comienzo de operaciones del subproyecto:  Mes previsto</t>
  </si>
  <si>
    <t xml:space="preserve">  Titulo del Sub-Proyecto</t>
  </si>
  <si>
    <t xml:space="preserve">  Categoría Sub-Proyecto:</t>
  </si>
  <si>
    <t xml:space="preserve">  Representa el Sub-Proyecto Propuesto:</t>
  </si>
  <si>
    <t xml:space="preserve">  Costo Total del Sub-Proyecto:</t>
  </si>
  <si>
    <t xml:space="preserve">   Rentabilidad Financiera del Sub-Proyecto:</t>
  </si>
  <si>
    <t xml:space="preserve">  En el caso de impacto ambiental del tipo 'B' o 'C', describir las medidas de mitigación incorporadas en el diseño del subproyecto:</t>
  </si>
  <si>
    <t>Titulo Sub-Proyecto:</t>
  </si>
  <si>
    <t>Ubicación Sub-Proyecto:</t>
  </si>
  <si>
    <t>ANALIZAR AUN EN CASO DE SUBPROYECTOS DE INFRAESTRUCTURA PÚBLICA O AMBIENTALES EN LOS CUALES NO SEA POSIBLE EVALUAR BENEFICIOS.</t>
  </si>
  <si>
    <t>Infraestructura Pública</t>
  </si>
  <si>
    <t xml:space="preserve">     Objetivo, Productos y/o Componentes del Sub-Proyecto</t>
  </si>
  <si>
    <t xml:space="preserve">       Describir brevemente el objetivo, los productos y o componentes del subproyecto. Incluir además indicadores de Línea de base y Metas correspondientes, así como medios </t>
  </si>
  <si>
    <t xml:space="preserve">      de verificación.</t>
  </si>
  <si>
    <t xml:space="preserve">     Indicar los riesgos principales que enfrenta el subproyecto, incluyendo costos operativos, precios, niveles de producción, administración y la tecnología utilizada.</t>
  </si>
  <si>
    <t xml:space="preserve">     En la descripción de los riesgos, tomar en cuenta los distintos productos o componentes citados al inicio.</t>
  </si>
  <si>
    <t xml:space="preserve">      COSTO DEDUCIENDO DONACIONES</t>
  </si>
  <si>
    <t xml:space="preserve">     COSTO SIN DEDUCIR DONACIONES</t>
  </si>
  <si>
    <t xml:space="preserve">     Producción y Abastecimiento</t>
  </si>
  <si>
    <t xml:space="preserve">     Describir el proceso de producción de los productos generados por el proyecto. Indicar fuentes de información sobre requisitos de insumos y niveles de producción</t>
  </si>
  <si>
    <t xml:space="preserve">     (rendimientos etc.) previstos. Indicar si la tecnología propuesta es ampliamente conocida en el país. Indicar las fuentes y requerimientos de insumos y materia prima.</t>
  </si>
  <si>
    <t xml:space="preserve">     Justificación - Problemas por Resolver y/u Oportunidades por Aprovechar con el Sub-Proyecto</t>
  </si>
  <si>
    <t xml:space="preserve">       Enunciar brevemente la justificación del subproyecto, resaltando la prioridad del mismo dentro del Plan de Desarrollo Local (PDL). Describir brevemente los problemas que se </t>
  </si>
  <si>
    <t xml:space="preserve">      pretenden resolver y/o las oportunidades que se pretenden aprovechar.</t>
  </si>
  <si>
    <t>SUBPROYECTOS DE INVERSIÓN</t>
  </si>
  <si>
    <t xml:space="preserve">         FORMULARIO - PROLOCAL II</t>
  </si>
  <si>
    <t xml:space="preserve">  SON INVERSIONES CUYA OPERACIÓN PUEDE REQUERIR  FINANCIAMIENTO CREDITICIO</t>
  </si>
  <si>
    <t>Para subproyectos con énfasis en el mejoramiento de las capacidades de gestión de las comunidades y sus</t>
  </si>
  <si>
    <t xml:space="preserve">organizaciones y cuya operación no requiere de financiamiento crediticio, se sugiere utilizar Formulario PROLOCAL I. </t>
  </si>
  <si>
    <t>ESTE FORMULARIO SE APLICA A PROPUESTAS DE INVERSION CON ÉNFASIS EN LA</t>
  </si>
  <si>
    <t>GENERACIÓN DE INGRESOS</t>
  </si>
  <si>
    <t xml:space="preserve">  FORMULARIO -  PROLOCAL II</t>
  </si>
  <si>
    <r>
      <t>ORIGINAL</t>
    </r>
    <r>
      <rPr>
        <sz val="10"/>
        <rFont val="Arial"/>
        <family val="0"/>
      </rPr>
      <t>. ASI NO SE CORRE EL RIESGO DE DAÑAR EL ARCHIVO ORIGINAL (LLAMADO PROLOCAL-II.XLS).</t>
    </r>
  </si>
  <si>
    <t>FORM. PROLOCAL - II</t>
  </si>
  <si>
    <t>(Empleados, productores, proveedores socios)</t>
  </si>
  <si>
    <t xml:space="preserve">     (Usuarios, compradores, proveedores)</t>
  </si>
  <si>
    <t xml:space="preserve">  Número de Personas que Participarán:</t>
  </si>
  <si>
    <t>x</t>
  </si>
  <si>
    <t>has</t>
  </si>
  <si>
    <t>mes</t>
  </si>
  <si>
    <t>racimos</t>
  </si>
  <si>
    <t>racimo</t>
  </si>
  <si>
    <t>sacos</t>
  </si>
  <si>
    <t>Producción de cacao año 3</t>
  </si>
  <si>
    <t>Venta de cacao</t>
  </si>
  <si>
    <t>qq</t>
  </si>
  <si>
    <t>Establecimiento  de cacao  año 1 y cultivos asociados</t>
  </si>
  <si>
    <t>Establecimiento cacao año 2 y cuyltivos asociados</t>
  </si>
  <si>
    <t>marzo</t>
  </si>
  <si>
    <t>abril</t>
  </si>
  <si>
    <t>mayo</t>
  </si>
  <si>
    <t>junio</t>
  </si>
  <si>
    <t>julio</t>
  </si>
  <si>
    <t>agosto</t>
  </si>
  <si>
    <t>septiembre</t>
  </si>
  <si>
    <t>octubre</t>
  </si>
  <si>
    <t>noviembre</t>
  </si>
  <si>
    <t>diciembre</t>
  </si>
  <si>
    <t>enero</t>
  </si>
  <si>
    <t>febrero</t>
  </si>
  <si>
    <t>Promotor técnico</t>
  </si>
  <si>
    <t>UTR-08-03-2004</t>
  </si>
  <si>
    <t>Proyecto de apoyo a la conservación y desarrollo productivo  del humedal Abras de Mantequilla</t>
  </si>
  <si>
    <t>Loma Colorada, El Tigre, Estero Lagarto, El Recuerdo, la Raíz, Las Mercedes, Abras de Zapallo.</t>
  </si>
  <si>
    <t>Vinces</t>
  </si>
  <si>
    <t xml:space="preserve">Las familias campesinas asociadas a la Federación de Trabajadores Agrícolas del Cantón vinces FEDETACV tienen ingresos de origen agrícola muy bajos, inferiores a 500 USD </t>
  </si>
  <si>
    <t xml:space="preserve">anuales que provienen del cultivo de 4 hectáreas de maíz y una de arroz. La producción agrícola es estacional ya que estas familias no disponen de riego. </t>
  </si>
  <si>
    <t>el 26% de la oferta disponible entre las familias asociadas a esta Federación,</t>
  </si>
  <si>
    <t xml:space="preserve">En estas condiciones de producción, las posibilidades de ocupación de la mano de obra familiar también son bajas ya se se ocupan en actividades agríclas únicamente </t>
  </si>
  <si>
    <t>Como producto de la expansión de la frontera agrícola para el cultivo de arroz y maíz, el bosque tropical seco que forma parte del Humedal Abras de Mantequilla ha sido reducido de</t>
  </si>
  <si>
    <t>una forma drástica, al punto que se estima que de las 22000 hectáreas originales de este bosque, únicamente quedan unas 1000. Pero no solo el bosqye ha sido reducido, también</t>
  </si>
  <si>
    <t xml:space="preserve">las especies allí presentes están en riego, así: de 37 familias de árboles, 10 son poco comunes, 7 vulnerables y 5 en peligro de extinción; 6 familias de peces (de 6 presentes) tienen </t>
  </si>
  <si>
    <t>categoría vulnerable; de las 48 familias de aves, 26 familias son poco comunes y raras, 11 son vulnerables y 2 están en peligro.</t>
  </si>
  <si>
    <t xml:space="preserve">A estos problemas ambientales se agrega el uso de tecnologías inadecuadas para la producción agrícola; la práctica de las quemas de la vegetación también provoca daños en la </t>
  </si>
  <si>
    <t>biodiversidad, de igual manera, la práctica de suelo descubierto es la causa de la erosión en las laderas y la sedimientación en el fondo de la laguna.</t>
  </si>
  <si>
    <t>Finalemente, otrro problema que el proyecto debe ayudar a superar es la débil capacidad de gestión de las Organizaciones Locales, lo que también ha incidido en el mal manejo de los</t>
  </si>
  <si>
    <t>recursos naturales del humedal, permitiéndose la caza y pesca indiscriminadas.</t>
  </si>
  <si>
    <t>Con relación a las oportunidades no aprovechadas, la zona es apta para el cultivo del cacao fino de aroma, cuyas ventajas son varias como: tiene una demanda y un precio estables</t>
  </si>
  <si>
    <t>en el mercado internacional, y además, su cultivo es compatible con la conservación del suelo y el bosque. Otra ventaja no aprovechada es la posibilidad de producir hortalizas</t>
  </si>
  <si>
    <t>tanto para mejorar la seguridad alimentaria de las familias como para ampliar las opciones productivas para el mercado.</t>
  </si>
  <si>
    <t>La diversificación de la producción con cacao y hortalizas permitirá a las 303 familias asociadas a la FEDETACV aumentar sus ingresos en un 50% y ocupar hasta en un 30% más</t>
  </si>
  <si>
    <t>la disponibilidad del trabajo familiar.</t>
  </si>
  <si>
    <t xml:space="preserve">Con el propósito de aportar al mejoramienmto de la calidad de vida de las familias asociadas a la FEDETACV, se construirán 303 sistemas artesanales de riego, se plantarán 151 </t>
  </si>
  <si>
    <t>hectáreas de un sistema agroforestal con base en el cacao (0.5 Ha por familia) y 18 hectáreas de hortalizas (600 m² por familia).</t>
  </si>
  <si>
    <t>Los componentes del subproyecto son dos: construcción de los 303 sistemas de riego; y, producción agrícola de cacao y hortalizas.</t>
  </si>
  <si>
    <t xml:space="preserve">Con relación a indicadores de línea de base: en la actualidad, ninguna de las 303 familias participantes trabaja con riego en la época seca, no cultivan cacao y tampoco cultivan </t>
  </si>
  <si>
    <t>Los medios de verificación serán los siguientes: para medir el aporte del proyecto se ralizará una evaluación de impacto; mientras que para vericiar la construcción de los sistemas</t>
  </si>
  <si>
    <t xml:space="preserve">Para verificar el inmcremento de los ingresos y de la mabno de obra se harán estudis de caso. </t>
  </si>
  <si>
    <t>producirán 10605 cajas; 3 hectáreas de pepino que producirán 218180 frutos; 1.5 hectáreas de hortalizas varias y 151,5 hectáreas de un sistema agroforestal con base en cacao</t>
  </si>
  <si>
    <t>A partir del cuarto año, la producción de cacao se estabilizará en 20 quintales por parcela, obteniéndose un total de 6060 qunitales por el total de familias participantes.</t>
  </si>
  <si>
    <t>El proyecto será ejecutado por la FEDETACV con el apoyo de una institución de apoyo al desarrollo rural que actúa en la microregión. Con este propósito se conformará</t>
  </si>
  <si>
    <t>un comité técnico de gestión, el mismo que estará integrado por el presidente y tesorero de la FEDETACV, un delegado de la institución de apoyo y un representante de</t>
  </si>
  <si>
    <t>las 15 organizaciones de base participantes en el proyecto. Este comité tendrá como funciones: planificar las actividades, aprobar las inversiones, establecer correctivos.</t>
  </si>
  <si>
    <t>El contol directo sobre la ejecución de las obras estará a cargo de las directivas de las asociaciones de base, las que controlarán el cronograma de perforaciòn de los pozos</t>
  </si>
  <si>
    <t>la organización de las familias para la cogestión de las bombas y la distribución de las plantas de cacao y semillas de hortalizas.</t>
  </si>
  <si>
    <t xml:space="preserve">Con el aporte de la institución coadministradora del proyecto, la FEDETACV contará con la asistencia de un técnico que asesorará la perforación de los pozos, la instalación </t>
  </si>
  <si>
    <t>de los sistemas de riego y el inicio de los cultivos. Este técnico coordinará con el técnico de la FEDETACV para brindar asistencia técnica a los productores</t>
  </si>
  <si>
    <t>El otro apoyo será el contador, quien garantizará el adecuado manejo de los recursos y cuidará que los gastos se ciñan a los rubros programados.</t>
  </si>
  <si>
    <t>Producción de cacao año 4</t>
  </si>
  <si>
    <t xml:space="preserve">    (Cuadro 2a,2b y 2c Total de Columna 6 + la 7)</t>
  </si>
  <si>
    <t>Gastos Administrativos</t>
  </si>
  <si>
    <t>16 de sept del 2004</t>
  </si>
  <si>
    <t>UTR</t>
  </si>
  <si>
    <t>Este pproyecto no requiere de medidas de mitigación  ya que fue calificado como categoria A</t>
  </si>
  <si>
    <t>Sistema de Riego por microaspercion</t>
  </si>
  <si>
    <t>Plantas de Cacao</t>
  </si>
  <si>
    <t>Plantas de papaya</t>
  </si>
  <si>
    <t>Cepas de Platano</t>
  </si>
  <si>
    <t>Plantas de Maracuya</t>
  </si>
  <si>
    <t xml:space="preserve">Alambre </t>
  </si>
  <si>
    <t>Ha</t>
  </si>
  <si>
    <t>Planta</t>
  </si>
  <si>
    <t>Cepa</t>
  </si>
  <si>
    <t>Metro</t>
  </si>
  <si>
    <t>Estaca</t>
  </si>
  <si>
    <t>instalacio de sistemas de riego</t>
  </si>
  <si>
    <t>Asistente Tecnico</t>
  </si>
  <si>
    <t>Analisis de suelo y agua</t>
  </si>
  <si>
    <t>capacitacion</t>
  </si>
  <si>
    <t>Comunicacion y transporte</t>
  </si>
  <si>
    <t>ano</t>
  </si>
  <si>
    <t>2 Promotores</t>
  </si>
  <si>
    <t>global</t>
  </si>
  <si>
    <t>talleres</t>
  </si>
  <si>
    <t>Hectarea</t>
  </si>
  <si>
    <t xml:space="preserve">Venta de Maracuya </t>
  </si>
  <si>
    <t>Venta de Maiz Seco</t>
  </si>
  <si>
    <t>Venta de Yuca</t>
  </si>
  <si>
    <t>Venta Gandul</t>
  </si>
  <si>
    <t>Venta de Platano</t>
  </si>
  <si>
    <t>Venta de Papaya</t>
  </si>
  <si>
    <t>Kg</t>
  </si>
  <si>
    <t>sacos (fresco)</t>
  </si>
  <si>
    <t>Costo cultivo asociados ano 1</t>
  </si>
  <si>
    <t>hectarea</t>
  </si>
  <si>
    <t>Jornales cultivo asociados</t>
  </si>
  <si>
    <t>HECTÁREA</t>
  </si>
  <si>
    <t>Venta de Maracuya</t>
  </si>
  <si>
    <t>Manejo y Diversificacion de las 67 fincas asentadas en el Humedal Abras de mantequilla.</t>
  </si>
  <si>
    <t>Contador</t>
  </si>
  <si>
    <t>Anexo 5</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</si>
</sst>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0.0_);_(* \(#,##0.0\);_(* &quot;-&quot;??_);_(@_)"/>
    <numFmt numFmtId="189" formatCode="_(* #,##0_);_(* \(#,##0\);_(* &quot;-&quot;??_);_(@_)"/>
    <numFmt numFmtId="190" formatCode="_(* #,##0.000_);_(* \(#,##0.000\);_(* &quot;-&quot;??_);_(@_)"/>
    <numFmt numFmtId="191" formatCode="_(* #,##0.0000_);_(* \(#,##0.0000\);_(* &quot;-&quot;??_);_(@_)"/>
    <numFmt numFmtId="192" formatCode="_;;;"/>
    <numFmt numFmtId="193" formatCode=";;;"/>
    <numFmt numFmtId="194" formatCode="_(* #,##0.00_);_(* \(#,##0.00\);_(* &quot;-&quot;_);_(@_)"/>
    <numFmt numFmtId="195" formatCode="_ * #,##0.0_ ;_ * \-#,##0.0_ ;_ * &quot;-&quot;?_ ;_ @_ "/>
    <numFmt numFmtId="196" formatCode="0.0"/>
    <numFmt numFmtId="197" formatCode="_-* #,##0.0\ _€_-;\-* #,##0.0\ _€_-;_-* &quot;-&quot;?\ _€_-;_-@_-"/>
    <numFmt numFmtId="198" formatCode="_(* #,##0.0_);_(* \(#,##0.0\);_(* &quot;-&quot;?_);_(@_)"/>
  </numFmts>
  <fonts count="41">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sz val="8"/>
      <name val="Arial"/>
      <family val="2"/>
    </font>
    <font>
      <sz val="9"/>
      <name val="Arial"/>
      <family val="2"/>
    </font>
    <font>
      <b/>
      <sz val="9"/>
      <name val="Arial"/>
      <family val="2"/>
    </font>
    <font>
      <b/>
      <sz val="8"/>
      <name val="Arial"/>
      <family val="0"/>
    </font>
    <font>
      <sz val="12"/>
      <name val="Arial"/>
      <family val="2"/>
    </font>
    <font>
      <b/>
      <sz val="11"/>
      <name val="Arial"/>
      <family val="2"/>
    </font>
    <font>
      <sz val="11"/>
      <name val="Arial"/>
      <family val="2"/>
    </font>
    <font>
      <b/>
      <u val="single"/>
      <sz val="10"/>
      <name val="Arial"/>
      <family val="2"/>
    </font>
    <font>
      <b/>
      <i/>
      <sz val="14"/>
      <name val="Arial"/>
      <family val="0"/>
    </font>
    <font>
      <b/>
      <u val="single"/>
      <sz val="12"/>
      <name val="Arial"/>
      <family val="2"/>
    </font>
    <font>
      <b/>
      <u val="single"/>
      <sz val="11"/>
      <name val="Arial"/>
      <family val="2"/>
    </font>
    <font>
      <u val="single"/>
      <sz val="8"/>
      <name val="Arial"/>
      <family val="2"/>
    </font>
    <font>
      <sz val="8"/>
      <name val="Tahoma"/>
      <family val="0"/>
    </font>
    <font>
      <b/>
      <sz val="18"/>
      <name val="Arial"/>
      <family val="2"/>
    </font>
    <font>
      <sz val="10"/>
      <name val="Times New Roman"/>
      <family val="1"/>
    </font>
    <font>
      <sz val="14"/>
      <name val="Arial"/>
      <family val="2"/>
    </font>
    <font>
      <b/>
      <sz val="16"/>
      <name val="Arial"/>
      <family val="2"/>
    </font>
    <font>
      <sz val="9"/>
      <name val="Tahoma"/>
      <family val="2"/>
    </font>
    <font>
      <sz val="10"/>
      <name val="Tahoma"/>
      <family val="2"/>
    </font>
    <font>
      <u val="single"/>
      <sz val="10"/>
      <name val="Tahoma"/>
      <family val="2"/>
    </font>
    <font>
      <u val="single"/>
      <sz val="9"/>
      <name val="Tahoma"/>
      <family val="2"/>
    </font>
    <font>
      <sz val="9"/>
      <name val="Times New Roman"/>
      <family val="1"/>
    </font>
    <font>
      <sz val="18"/>
      <name val="Arial"/>
      <family val="2"/>
    </font>
    <font>
      <b/>
      <sz val="26"/>
      <name val="Arial Black"/>
      <family val="2"/>
    </font>
    <font>
      <b/>
      <sz val="22"/>
      <name val="Arial"/>
      <family val="2"/>
    </font>
    <font>
      <b/>
      <sz val="16"/>
      <name val="Arial Black"/>
      <family val="2"/>
    </font>
    <font>
      <b/>
      <u val="single"/>
      <sz val="16"/>
      <name val="Arial"/>
      <family val="2"/>
    </font>
    <font>
      <sz val="14"/>
      <name val="Arial Black"/>
      <family val="2"/>
    </font>
    <font>
      <sz val="10"/>
      <color indexed="9"/>
      <name val="Arial"/>
      <family val="2"/>
    </font>
    <font>
      <u val="single"/>
      <sz val="7.5"/>
      <color indexed="12"/>
      <name val="Arial"/>
      <family val="0"/>
    </font>
    <font>
      <u val="single"/>
      <sz val="7.5"/>
      <color indexed="36"/>
      <name val="Arial"/>
      <family val="0"/>
    </font>
    <font>
      <sz val="11"/>
      <color indexed="10"/>
      <name val="Arial"/>
      <family val="2"/>
    </font>
    <font>
      <sz val="10"/>
      <color indexed="10"/>
      <name val="Arial"/>
      <family val="2"/>
    </font>
    <font>
      <sz val="11"/>
      <name val="Comic Sans MS"/>
      <family val="4"/>
    </font>
    <font>
      <sz val="10"/>
      <name val="Comic Sans MS"/>
      <family val="4"/>
    </font>
  </fonts>
  <fills count="7">
    <fill>
      <patternFill/>
    </fill>
    <fill>
      <patternFill patternType="gray125"/>
    </fill>
    <fill>
      <patternFill patternType="mediumGray"/>
    </fill>
    <fill>
      <patternFill patternType="gray0625"/>
    </fill>
    <fill>
      <patternFill patternType="solid">
        <fgColor indexed="65"/>
        <bgColor indexed="64"/>
      </patternFill>
    </fill>
    <fill>
      <patternFill patternType="darkGray"/>
    </fill>
    <fill>
      <patternFill patternType="gray0625">
        <fgColor indexed="62"/>
      </patternFill>
    </fill>
  </fills>
  <borders count="9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double"/>
    </border>
    <border>
      <left style="double"/>
      <right style="thin"/>
      <top>
        <color indexed="63"/>
      </top>
      <bottom>
        <color indexed="63"/>
      </bottom>
    </border>
    <border>
      <left style="medium"/>
      <right>
        <color indexed="63"/>
      </right>
      <top>
        <color indexed="63"/>
      </top>
      <bottom style="medium"/>
    </border>
    <border>
      <left style="medium"/>
      <right>
        <color indexed="63"/>
      </right>
      <top>
        <color indexed="63"/>
      </top>
      <bottom>
        <color indexed="63"/>
      </bottom>
    </border>
    <border>
      <left style="double"/>
      <right style="thin"/>
      <top>
        <color indexed="63"/>
      </top>
      <bottom style="double"/>
    </border>
    <border>
      <left>
        <color indexed="63"/>
      </left>
      <right style="thin"/>
      <top>
        <color indexed="63"/>
      </top>
      <bottom style="double"/>
    </border>
    <border>
      <left>
        <color indexed="63"/>
      </left>
      <right style="double"/>
      <top>
        <color indexed="63"/>
      </top>
      <bottom style="medium"/>
    </border>
    <border>
      <left style="double"/>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double"/>
      <bottom>
        <color indexed="63"/>
      </bottom>
    </border>
    <border>
      <left style="thin"/>
      <right style="thin"/>
      <top>
        <color indexed="63"/>
      </top>
      <bottom>
        <color indexed="63"/>
      </bottom>
    </border>
    <border>
      <left style="double"/>
      <right style="medium"/>
      <top>
        <color indexed="63"/>
      </top>
      <bottom>
        <color indexed="63"/>
      </bottom>
    </border>
    <border>
      <left style="double"/>
      <right style="medium"/>
      <top>
        <color indexed="63"/>
      </top>
      <bottom style="double"/>
    </border>
    <border>
      <left>
        <color indexed="63"/>
      </left>
      <right style="thin"/>
      <top style="thin"/>
      <bottom style="thin"/>
    </border>
    <border>
      <left style="medium"/>
      <right style="medium"/>
      <top style="medium"/>
      <bottom style="medium"/>
    </border>
    <border>
      <left style="thin"/>
      <right>
        <color indexed="63"/>
      </right>
      <top>
        <color indexed="63"/>
      </top>
      <bottom>
        <color indexed="63"/>
      </bottom>
    </border>
    <border>
      <left style="double"/>
      <right style="thin"/>
      <top style="thin"/>
      <bottom>
        <color indexed="63"/>
      </bottom>
    </border>
    <border>
      <left style="thin"/>
      <right style="thin"/>
      <top style="thin"/>
      <bottom>
        <color indexed="63"/>
      </bottom>
    </border>
    <border>
      <left>
        <color indexed="63"/>
      </left>
      <right style="thin"/>
      <top style="thin"/>
      <bottom>
        <color indexed="63"/>
      </bottom>
    </border>
    <border>
      <left style="double"/>
      <right style="thin"/>
      <top>
        <color indexed="63"/>
      </top>
      <bottom style="thin"/>
    </border>
    <border>
      <left style="thin"/>
      <right style="thin"/>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uble"/>
      <top style="thin"/>
      <bottom style="medium"/>
    </border>
    <border>
      <left style="thin"/>
      <right style="thin"/>
      <top style="thin"/>
      <bottom style="medium"/>
    </border>
    <border>
      <left>
        <color indexed="63"/>
      </left>
      <right>
        <color indexed="63"/>
      </right>
      <top style="thin"/>
      <bottom style="thin"/>
    </border>
    <border>
      <left>
        <color indexed="63"/>
      </left>
      <right style="double"/>
      <top style="medium"/>
      <bottom>
        <color indexed="63"/>
      </bottom>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style="medium"/>
      <bottom>
        <color indexed="63"/>
      </bottom>
    </border>
    <border>
      <left>
        <color indexed="63"/>
      </left>
      <right style="double"/>
      <top style="medium"/>
      <bottom style="medium"/>
    </border>
    <border>
      <left style="thin"/>
      <right>
        <color indexed="63"/>
      </right>
      <top>
        <color indexed="63"/>
      </top>
      <bottom style="double"/>
    </border>
    <border>
      <left style="thin"/>
      <right style="thin"/>
      <top>
        <color indexed="63"/>
      </top>
      <bottom style="double"/>
    </border>
    <border>
      <left>
        <color indexed="63"/>
      </left>
      <right>
        <color indexed="63"/>
      </right>
      <top style="thin"/>
      <bottom>
        <color indexed="63"/>
      </bottom>
    </border>
    <border>
      <left>
        <color indexed="63"/>
      </left>
      <right style="double"/>
      <top style="thin"/>
      <bottom>
        <color indexed="63"/>
      </bottom>
    </border>
    <border>
      <left style="medium"/>
      <right>
        <color indexed="63"/>
      </right>
      <top style="double"/>
      <bottom>
        <color indexed="63"/>
      </bottom>
    </border>
    <border>
      <left style="medium"/>
      <right style="medium"/>
      <top style="double"/>
      <bottom>
        <color indexed="63"/>
      </bottom>
    </border>
    <border>
      <left style="medium"/>
      <right style="medium"/>
      <top>
        <color indexed="63"/>
      </top>
      <bottom>
        <color indexed="63"/>
      </bottom>
    </border>
    <border>
      <left style="medium"/>
      <right style="medium"/>
      <top>
        <color indexed="63"/>
      </top>
      <bottom style="double"/>
    </border>
    <border>
      <left>
        <color indexed="63"/>
      </left>
      <right style="dotted"/>
      <top>
        <color indexed="63"/>
      </top>
      <bottom>
        <color indexed="63"/>
      </bottom>
    </border>
    <border>
      <left style="thin"/>
      <right>
        <color indexed="63"/>
      </right>
      <top style="thin"/>
      <bottom>
        <color indexed="63"/>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dashed"/>
      <top>
        <color indexed="63"/>
      </top>
      <bottom style="hair"/>
    </border>
    <border>
      <left style="dashed"/>
      <right style="thin"/>
      <top>
        <color indexed="63"/>
      </top>
      <bottom style="hair"/>
    </border>
    <border>
      <left>
        <color indexed="63"/>
      </left>
      <right style="dashed"/>
      <top>
        <color indexed="63"/>
      </top>
      <bottom style="thin"/>
    </border>
    <border>
      <left style="dashed"/>
      <right style="thin"/>
      <top>
        <color indexed="63"/>
      </top>
      <bottom style="thin"/>
    </border>
    <border>
      <left style="double"/>
      <right>
        <color indexed="63"/>
      </right>
      <top style="medium"/>
      <bottom>
        <color indexed="63"/>
      </bottom>
    </border>
    <border>
      <left>
        <color indexed="63"/>
      </left>
      <right style="thin"/>
      <top style="medium"/>
      <bottom>
        <color indexed="63"/>
      </bottom>
    </border>
    <border>
      <left>
        <color indexed="63"/>
      </left>
      <right style="dashed"/>
      <top style="medium"/>
      <bottom>
        <color indexed="63"/>
      </bottom>
    </border>
    <border>
      <left>
        <color indexed="63"/>
      </left>
      <right style="dashed"/>
      <top>
        <color indexed="63"/>
      </top>
      <bottom>
        <color indexed="63"/>
      </bottom>
    </border>
    <border>
      <left style="dashed"/>
      <right style="thin"/>
      <top>
        <color indexed="63"/>
      </top>
      <bottom>
        <color indexed="63"/>
      </bottom>
    </border>
    <border>
      <left>
        <color indexed="63"/>
      </left>
      <right style="double"/>
      <top>
        <color indexed="63"/>
      </top>
      <bottom style="hair"/>
    </border>
    <border>
      <left>
        <color indexed="63"/>
      </left>
      <right style="dashed"/>
      <top>
        <color indexed="63"/>
      </top>
      <bottom style="double"/>
    </border>
    <border>
      <left style="dashed"/>
      <right style="thin"/>
      <top>
        <color indexed="63"/>
      </top>
      <bottom style="double"/>
    </border>
    <border>
      <left>
        <color indexed="63"/>
      </left>
      <right style="dotted"/>
      <top>
        <color indexed="63"/>
      </top>
      <bottom style="thin"/>
    </border>
    <border>
      <left>
        <color indexed="63"/>
      </left>
      <right style="dotted"/>
      <top style="thin"/>
      <bottom style="thin"/>
    </border>
    <border>
      <left>
        <color indexed="63"/>
      </left>
      <right style="dotted"/>
      <top>
        <color indexed="63"/>
      </top>
      <bottom style="medium"/>
    </border>
    <border>
      <left>
        <color indexed="63"/>
      </left>
      <right style="dotted"/>
      <top>
        <color indexed="63"/>
      </top>
      <bottom style="double"/>
    </border>
    <border>
      <left>
        <color indexed="63"/>
      </left>
      <right style="double"/>
      <top style="thin"/>
      <bottom style="thin"/>
    </border>
    <border>
      <left style="thin"/>
      <right>
        <color indexed="63"/>
      </right>
      <top style="medium"/>
      <bottom style="thin"/>
    </border>
    <border>
      <left>
        <color indexed="63"/>
      </left>
      <right style="double"/>
      <top style="medium"/>
      <bottom style="thin"/>
    </border>
    <border>
      <left style="thin"/>
      <right>
        <color indexed="63"/>
      </right>
      <top>
        <color indexed="63"/>
      </top>
      <bottom style="thin"/>
    </border>
    <border>
      <left style="double"/>
      <right>
        <color indexed="63"/>
      </right>
      <top style="thin"/>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Protection="0">
      <alignment/>
    </xf>
    <xf numFmtId="0" fontId="0" fillId="0" borderId="0" applyProtection="0">
      <alignment/>
    </xf>
    <xf numFmtId="9" fontId="0" fillId="0" borderId="0" applyFont="0" applyFill="0" applyBorder="0" applyAlignment="0" applyProtection="0"/>
  </cellStyleXfs>
  <cellXfs count="988">
    <xf numFmtId="0" fontId="0" fillId="0" borderId="0" xfId="0" applyAlignment="1">
      <alignment/>
    </xf>
    <xf numFmtId="0" fontId="0" fillId="0" borderId="0" xfId="0" applyBorder="1" applyAlignment="1">
      <alignment/>
    </xf>
    <xf numFmtId="0" fontId="0" fillId="2" borderId="0"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0" xfId="0" applyFill="1" applyAlignment="1">
      <alignment/>
    </xf>
    <xf numFmtId="0" fontId="5" fillId="3" borderId="5" xfId="0" applyFont="1"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5" fillId="3" borderId="0" xfId="0" applyFont="1" applyFill="1" applyBorder="1" applyAlignment="1">
      <alignment/>
    </xf>
    <xf numFmtId="0" fontId="7" fillId="3" borderId="0" xfId="0" applyFont="1" applyFill="1" applyBorder="1" applyAlignment="1">
      <alignment/>
    </xf>
    <xf numFmtId="0" fontId="1" fillId="3" borderId="0" xfId="0" applyFont="1" applyFill="1" applyBorder="1" applyAlignment="1">
      <alignment/>
    </xf>
    <xf numFmtId="0" fontId="8" fillId="3" borderId="0" xfId="0" applyFont="1" applyFill="1" applyBorder="1" applyAlignment="1">
      <alignment horizontal="center"/>
    </xf>
    <xf numFmtId="0" fontId="1" fillId="3" borderId="4" xfId="0" applyFont="1" applyFill="1" applyBorder="1" applyAlignment="1">
      <alignment/>
    </xf>
    <xf numFmtId="0" fontId="0" fillId="3" borderId="9" xfId="0" applyFill="1" applyBorder="1" applyAlignment="1">
      <alignment/>
    </xf>
    <xf numFmtId="0" fontId="0" fillId="3" borderId="10" xfId="0" applyFill="1" applyBorder="1" applyAlignment="1">
      <alignment/>
    </xf>
    <xf numFmtId="0" fontId="1" fillId="3" borderId="4" xfId="0" applyFont="1" applyFill="1" applyBorder="1" applyAlignment="1">
      <alignment horizontal="left"/>
    </xf>
    <xf numFmtId="0" fontId="7" fillId="3" borderId="0" xfId="0" applyFont="1" applyFill="1" applyAlignment="1">
      <alignment/>
    </xf>
    <xf numFmtId="0" fontId="6" fillId="3" borderId="4" xfId="0" applyFont="1" applyFill="1" applyBorder="1" applyAlignment="1">
      <alignment/>
    </xf>
    <xf numFmtId="0" fontId="6" fillId="3" borderId="9" xfId="0" applyFont="1" applyFill="1" applyBorder="1" applyAlignment="1">
      <alignment/>
    </xf>
    <xf numFmtId="0" fontId="7" fillId="3" borderId="10" xfId="0" applyFont="1" applyFill="1" applyBorder="1" applyAlignment="1">
      <alignment/>
    </xf>
    <xf numFmtId="0" fontId="1" fillId="3" borderId="9" xfId="0" applyFont="1" applyFill="1" applyBorder="1" applyAlignment="1">
      <alignment/>
    </xf>
    <xf numFmtId="0" fontId="6" fillId="3" borderId="10" xfId="0" applyFont="1" applyFill="1" applyBorder="1" applyAlignment="1">
      <alignment/>
    </xf>
    <xf numFmtId="0" fontId="0" fillId="3" borderId="11" xfId="0" applyFill="1" applyBorder="1" applyAlignment="1">
      <alignment/>
    </xf>
    <xf numFmtId="0" fontId="1" fillId="3" borderId="0" xfId="0" applyFont="1" applyFill="1" applyAlignment="1">
      <alignment/>
    </xf>
    <xf numFmtId="0" fontId="0" fillId="3" borderId="0" xfId="0" applyFill="1" applyAlignment="1">
      <alignment horizontal="right"/>
    </xf>
    <xf numFmtId="0" fontId="0" fillId="3" borderId="10" xfId="0" applyFill="1" applyBorder="1" applyAlignment="1">
      <alignment horizontal="right"/>
    </xf>
    <xf numFmtId="0" fontId="0" fillId="3" borderId="0" xfId="0" applyFill="1" applyAlignment="1" quotePrefix="1">
      <alignment horizontal="left"/>
    </xf>
    <xf numFmtId="0" fontId="0" fillId="3" borderId="0" xfId="0" applyFill="1" applyAlignment="1">
      <alignment horizontal="left"/>
    </xf>
    <xf numFmtId="0" fontId="0" fillId="3" borderId="0" xfId="0" applyFill="1" applyBorder="1" applyAlignment="1">
      <alignment horizontal="center"/>
    </xf>
    <xf numFmtId="0" fontId="0" fillId="3" borderId="0" xfId="0" applyFill="1" applyBorder="1" applyAlignment="1">
      <alignment horizontal="right"/>
    </xf>
    <xf numFmtId="0" fontId="0" fillId="3" borderId="0" xfId="0" applyFill="1" applyAlignment="1">
      <alignment/>
    </xf>
    <xf numFmtId="0" fontId="0" fillId="3" borderId="10" xfId="0" applyFill="1" applyBorder="1" applyAlignment="1">
      <alignment/>
    </xf>
    <xf numFmtId="0" fontId="1" fillId="3" borderId="0" xfId="0" applyFont="1" applyFill="1" applyBorder="1" applyAlignment="1" quotePrefix="1">
      <alignment horizontal="right"/>
    </xf>
    <xf numFmtId="0" fontId="1" fillId="3" borderId="0" xfId="0" applyFont="1" applyFill="1" applyBorder="1" applyAlignment="1">
      <alignment horizontal="right"/>
    </xf>
    <xf numFmtId="9" fontId="4" fillId="3" borderId="12" xfId="0" applyNumberFormat="1" applyFont="1" applyFill="1" applyBorder="1" applyAlignment="1">
      <alignment/>
    </xf>
    <xf numFmtId="0" fontId="1" fillId="3" borderId="0" xfId="0" applyFont="1" applyFill="1" applyAlignment="1">
      <alignment horizontal="left"/>
    </xf>
    <xf numFmtId="0" fontId="1" fillId="3" borderId="0" xfId="0" applyFont="1" applyFill="1" applyBorder="1" applyAlignment="1">
      <alignment horizontal="left"/>
    </xf>
    <xf numFmtId="0" fontId="5" fillId="3" borderId="0" xfId="0" applyFont="1" applyFill="1" applyBorder="1" applyAlignment="1" quotePrefix="1">
      <alignment horizontal="left"/>
    </xf>
    <xf numFmtId="0" fontId="0" fillId="3" borderId="0" xfId="0" applyFill="1" applyBorder="1" applyAlignment="1" quotePrefix="1">
      <alignment horizontal="left"/>
    </xf>
    <xf numFmtId="0" fontId="0" fillId="3" borderId="0" xfId="0" applyFill="1" applyBorder="1" applyAlignment="1">
      <alignment horizontal="left"/>
    </xf>
    <xf numFmtId="0" fontId="0" fillId="3" borderId="13" xfId="0" applyFill="1" applyBorder="1" applyAlignment="1">
      <alignment/>
    </xf>
    <xf numFmtId="0" fontId="0" fillId="3" borderId="14" xfId="0" applyFill="1" applyBorder="1" applyAlignment="1">
      <alignment/>
    </xf>
    <xf numFmtId="0" fontId="4" fillId="3" borderId="4" xfId="0" applyFont="1" applyFill="1" applyBorder="1" applyAlignment="1">
      <alignment/>
    </xf>
    <xf numFmtId="0" fontId="7" fillId="3" borderId="4" xfId="0" applyFont="1" applyFill="1" applyBorder="1" applyAlignment="1" quotePrefix="1">
      <alignment horizontal="left"/>
    </xf>
    <xf numFmtId="0" fontId="5" fillId="3" borderId="0" xfId="0" applyFont="1" applyFill="1" applyBorder="1" applyAlignment="1">
      <alignment/>
    </xf>
    <xf numFmtId="0" fontId="0" fillId="3" borderId="0" xfId="0" applyFont="1" applyFill="1" applyBorder="1" applyAlignment="1">
      <alignment horizontal="right"/>
    </xf>
    <xf numFmtId="0" fontId="8" fillId="3" borderId="0" xfId="0" applyFont="1" applyFill="1" applyBorder="1" applyAlignment="1" quotePrefix="1">
      <alignment horizontal="left"/>
    </xf>
    <xf numFmtId="0" fontId="4" fillId="3" borderId="0" xfId="0" applyFont="1" applyFill="1" applyBorder="1" applyAlignment="1">
      <alignment/>
    </xf>
    <xf numFmtId="0" fontId="0" fillId="3" borderId="15" xfId="0" applyFill="1" applyBorder="1" applyAlignment="1">
      <alignment/>
    </xf>
    <xf numFmtId="0" fontId="7" fillId="3" borderId="4" xfId="0" applyFont="1" applyFill="1" applyBorder="1" applyAlignment="1">
      <alignment/>
    </xf>
    <xf numFmtId="0" fontId="1" fillId="3" borderId="4" xfId="0" applyFont="1" applyFill="1" applyBorder="1" applyAlignment="1" quotePrefix="1">
      <alignment horizontal="left"/>
    </xf>
    <xf numFmtId="0" fontId="6" fillId="3" borderId="14" xfId="0" applyFont="1" applyFill="1" applyBorder="1" applyAlignment="1">
      <alignment horizontal="center"/>
    </xf>
    <xf numFmtId="0" fontId="6" fillId="3" borderId="14" xfId="0" applyFont="1" applyFill="1" applyBorder="1" applyAlignment="1">
      <alignment/>
    </xf>
    <xf numFmtId="0" fontId="6" fillId="3" borderId="15" xfId="0" applyFont="1" applyFill="1" applyBorder="1" applyAlignment="1">
      <alignment horizontal="center"/>
    </xf>
    <xf numFmtId="0" fontId="0" fillId="3" borderId="16" xfId="0" applyFill="1" applyBorder="1" applyAlignment="1">
      <alignment/>
    </xf>
    <xf numFmtId="0" fontId="1" fillId="3" borderId="0" xfId="0" applyFont="1" applyFill="1" applyBorder="1" applyAlignment="1">
      <alignment horizontal="center"/>
    </xf>
    <xf numFmtId="0" fontId="1" fillId="3" borderId="16" xfId="0" applyFont="1" applyFill="1" applyBorder="1" applyAlignment="1">
      <alignment horizontal="center"/>
    </xf>
    <xf numFmtId="0" fontId="1" fillId="3" borderId="10" xfId="0" applyFont="1" applyFill="1" applyBorder="1" applyAlignment="1" quotePrefix="1">
      <alignment horizontal="left"/>
    </xf>
    <xf numFmtId="0" fontId="0" fillId="3" borderId="17" xfId="0" applyFill="1" applyBorder="1" applyAlignment="1">
      <alignment/>
    </xf>
    <xf numFmtId="0" fontId="1" fillId="3" borderId="16" xfId="0" applyFont="1" applyFill="1" applyBorder="1" applyAlignment="1">
      <alignment/>
    </xf>
    <xf numFmtId="0" fontId="1" fillId="3" borderId="8" xfId="0" applyFont="1" applyFill="1" applyBorder="1" applyAlignment="1">
      <alignment horizontal="center"/>
    </xf>
    <xf numFmtId="0" fontId="1" fillId="3" borderId="10" xfId="0" applyFont="1" applyFill="1" applyBorder="1" applyAlignment="1">
      <alignment horizontal="left"/>
    </xf>
    <xf numFmtId="0" fontId="1" fillId="3" borderId="10" xfId="0" applyFont="1" applyFill="1" applyBorder="1" applyAlignment="1">
      <alignment/>
    </xf>
    <xf numFmtId="0" fontId="0" fillId="3" borderId="17" xfId="0" applyFill="1" applyBorder="1" applyAlignment="1">
      <alignment horizontal="left"/>
    </xf>
    <xf numFmtId="0" fontId="1" fillId="3" borderId="11" xfId="0" applyFont="1" applyFill="1" applyBorder="1" applyAlignment="1">
      <alignment horizontal="center"/>
    </xf>
    <xf numFmtId="0" fontId="0" fillId="3" borderId="16" xfId="0" applyFill="1" applyBorder="1" applyAlignment="1">
      <alignment horizontal="center"/>
    </xf>
    <xf numFmtId="0" fontId="6" fillId="3" borderId="10" xfId="0" applyFont="1" applyFill="1" applyBorder="1" applyAlignment="1">
      <alignment horizontal="center"/>
    </xf>
    <xf numFmtId="0" fontId="6" fillId="3" borderId="17" xfId="0" applyFont="1" applyFill="1" applyBorder="1" applyAlignment="1">
      <alignment horizontal="center"/>
    </xf>
    <xf numFmtId="0" fontId="6" fillId="3" borderId="17" xfId="0" applyFont="1" applyFill="1" applyBorder="1" applyAlignment="1" quotePrefix="1">
      <alignment horizontal="center"/>
    </xf>
    <xf numFmtId="0" fontId="6" fillId="3" borderId="11" xfId="0" applyFont="1" applyFill="1" applyBorder="1" applyAlignment="1">
      <alignment horizontal="center"/>
    </xf>
    <xf numFmtId="0" fontId="0" fillId="3" borderId="4" xfId="0" applyFill="1" applyBorder="1" applyAlignment="1" quotePrefix="1">
      <alignment horizontal="right"/>
    </xf>
    <xf numFmtId="0" fontId="4" fillId="3" borderId="4" xfId="0" applyFont="1" applyFill="1" applyBorder="1" applyAlignment="1">
      <alignment/>
    </xf>
    <xf numFmtId="0" fontId="0" fillId="3" borderId="17" xfId="0" applyFont="1" applyFill="1" applyBorder="1" applyAlignment="1">
      <alignment/>
    </xf>
    <xf numFmtId="189" fontId="0" fillId="3" borderId="17" xfId="17" applyNumberFormat="1" applyFont="1" applyFill="1" applyBorder="1" applyAlignment="1">
      <alignment/>
    </xf>
    <xf numFmtId="0" fontId="0" fillId="3" borderId="18" xfId="0" applyFill="1" applyBorder="1" applyAlignment="1">
      <alignment/>
    </xf>
    <xf numFmtId="0" fontId="0" fillId="3" borderId="19" xfId="0" applyFill="1" applyBorder="1" applyAlignment="1">
      <alignment/>
    </xf>
    <xf numFmtId="0" fontId="0" fillId="3" borderId="20" xfId="0" applyFill="1" applyBorder="1" applyAlignment="1">
      <alignment/>
    </xf>
    <xf numFmtId="0" fontId="0" fillId="3" borderId="21" xfId="0" applyFill="1" applyBorder="1" applyAlignment="1">
      <alignment/>
    </xf>
    <xf numFmtId="189" fontId="0" fillId="3" borderId="0" xfId="0" applyNumberFormat="1" applyFill="1" applyBorder="1" applyAlignment="1">
      <alignment/>
    </xf>
    <xf numFmtId="189" fontId="0" fillId="3" borderId="8" xfId="17" applyNumberFormat="1" applyFill="1" applyBorder="1" applyAlignment="1">
      <alignment/>
    </xf>
    <xf numFmtId="189" fontId="0" fillId="3" borderId="16" xfId="17" applyNumberFormat="1" applyFill="1" applyBorder="1" applyAlignment="1">
      <alignment/>
    </xf>
    <xf numFmtId="189" fontId="11" fillId="3" borderId="16" xfId="17" applyNumberFormat="1" applyFont="1" applyFill="1" applyBorder="1" applyAlignment="1">
      <alignment/>
    </xf>
    <xf numFmtId="189" fontId="0" fillId="3" borderId="17" xfId="17" applyNumberFormat="1" applyFill="1" applyBorder="1" applyAlignment="1">
      <alignment/>
    </xf>
    <xf numFmtId="189" fontId="0" fillId="3" borderId="0" xfId="17" applyNumberFormat="1" applyFill="1" applyBorder="1" applyAlignment="1">
      <alignment/>
    </xf>
    <xf numFmtId="189" fontId="1" fillId="3" borderId="16" xfId="17" applyNumberFormat="1" applyFont="1" applyFill="1" applyBorder="1" applyAlignment="1">
      <alignment/>
    </xf>
    <xf numFmtId="9" fontId="0" fillId="3" borderId="0" xfId="24" applyFill="1" applyBorder="1" applyAlignment="1">
      <alignment/>
    </xf>
    <xf numFmtId="189" fontId="0" fillId="3" borderId="8" xfId="17" applyNumberFormat="1" applyFill="1" applyBorder="1" applyAlignment="1">
      <alignment/>
    </xf>
    <xf numFmtId="9" fontId="0" fillId="3" borderId="10" xfId="24" applyFill="1" applyBorder="1" applyAlignment="1">
      <alignment/>
    </xf>
    <xf numFmtId="9" fontId="0" fillId="3" borderId="17" xfId="24" applyFill="1" applyBorder="1" applyAlignment="1">
      <alignment/>
    </xf>
    <xf numFmtId="0" fontId="0" fillId="3" borderId="10" xfId="0" applyFill="1" applyBorder="1" applyAlignment="1">
      <alignment horizontal="center"/>
    </xf>
    <xf numFmtId="0" fontId="0" fillId="3" borderId="0" xfId="0" applyFont="1" applyFill="1" applyBorder="1" applyAlignment="1">
      <alignment/>
    </xf>
    <xf numFmtId="0" fontId="6" fillId="3" borderId="0" xfId="0" applyFont="1" applyFill="1" applyBorder="1" applyAlignment="1">
      <alignment/>
    </xf>
    <xf numFmtId="0" fontId="4" fillId="3" borderId="0" xfId="0" applyFont="1" applyFill="1" applyBorder="1" applyAlignment="1">
      <alignment/>
    </xf>
    <xf numFmtId="0" fontId="1" fillId="3" borderId="0" xfId="0" applyFont="1" applyFill="1" applyBorder="1" applyAlignment="1" quotePrefix="1">
      <alignment horizontal="center"/>
    </xf>
    <xf numFmtId="0" fontId="1" fillId="3" borderId="17" xfId="0" applyFont="1" applyFill="1" applyBorder="1" applyAlignment="1">
      <alignment/>
    </xf>
    <xf numFmtId="0" fontId="0" fillId="3" borderId="22" xfId="0" applyFill="1" applyBorder="1" applyAlignment="1">
      <alignment/>
    </xf>
    <xf numFmtId="0" fontId="0" fillId="3" borderId="22" xfId="0" applyFill="1" applyBorder="1" applyAlignment="1" quotePrefix="1">
      <alignment horizontal="right"/>
    </xf>
    <xf numFmtId="0" fontId="0" fillId="3" borderId="4" xfId="0" applyFill="1" applyBorder="1" applyAlignment="1">
      <alignment horizontal="left"/>
    </xf>
    <xf numFmtId="0" fontId="0" fillId="3" borderId="9" xfId="0" applyFill="1" applyBorder="1" applyAlignment="1">
      <alignment horizontal="left"/>
    </xf>
    <xf numFmtId="189" fontId="11" fillId="3" borderId="23" xfId="17" applyNumberFormat="1" applyFont="1" applyFill="1" applyBorder="1" applyAlignment="1">
      <alignment/>
    </xf>
    <xf numFmtId="0" fontId="6" fillId="3" borderId="10" xfId="0" applyFont="1" applyFill="1" applyBorder="1" applyAlignment="1" quotePrefix="1">
      <alignment horizontal="center"/>
    </xf>
    <xf numFmtId="189" fontId="4" fillId="3" borderId="24" xfId="17" applyNumberFormat="1" applyFont="1" applyFill="1" applyBorder="1" applyAlignment="1">
      <alignment/>
    </xf>
    <xf numFmtId="0" fontId="0" fillId="3" borderId="11" xfId="0" applyFill="1" applyBorder="1" applyAlignment="1">
      <alignment horizontal="center"/>
    </xf>
    <xf numFmtId="0" fontId="0" fillId="3" borderId="25" xfId="0" applyFill="1" applyBorder="1" applyAlignment="1">
      <alignment/>
    </xf>
    <xf numFmtId="0" fontId="0" fillId="3" borderId="26" xfId="0" applyFill="1" applyBorder="1" applyAlignment="1">
      <alignment/>
    </xf>
    <xf numFmtId="0" fontId="0" fillId="3" borderId="27" xfId="0" applyFill="1" applyBorder="1" applyAlignment="1">
      <alignment/>
    </xf>
    <xf numFmtId="0" fontId="0" fillId="3" borderId="17" xfId="0" applyFill="1" applyBorder="1" applyAlignment="1">
      <alignment horizontal="center"/>
    </xf>
    <xf numFmtId="0" fontId="0" fillId="3" borderId="28" xfId="0" applyFill="1" applyBorder="1" applyAlignment="1">
      <alignment/>
    </xf>
    <xf numFmtId="0" fontId="0" fillId="3" borderId="29" xfId="0" applyFill="1" applyBorder="1" applyAlignment="1">
      <alignment/>
    </xf>
    <xf numFmtId="0" fontId="0" fillId="3" borderId="30" xfId="0" applyFill="1" applyBorder="1" applyAlignment="1">
      <alignment/>
    </xf>
    <xf numFmtId="189" fontId="0" fillId="3" borderId="15" xfId="17" applyNumberFormat="1" applyFill="1" applyBorder="1" applyAlignment="1">
      <alignment/>
    </xf>
    <xf numFmtId="0" fontId="0" fillId="3" borderId="31" xfId="0" applyFill="1" applyBorder="1" applyAlignment="1">
      <alignment/>
    </xf>
    <xf numFmtId="0" fontId="1" fillId="3" borderId="8" xfId="0" applyFont="1" applyFill="1" applyBorder="1" applyAlignment="1">
      <alignment/>
    </xf>
    <xf numFmtId="0" fontId="1" fillId="3" borderId="16" xfId="0" applyFont="1" applyFill="1" applyBorder="1" applyAlignment="1" quotePrefix="1">
      <alignment horizontal="center"/>
    </xf>
    <xf numFmtId="0" fontId="0" fillId="3" borderId="10" xfId="0" applyFill="1" applyBorder="1" applyAlignment="1">
      <alignment horizontal="left"/>
    </xf>
    <xf numFmtId="0" fontId="0" fillId="3" borderId="9" xfId="0" applyFill="1" applyBorder="1" applyAlignment="1" quotePrefix="1">
      <alignment horizontal="left"/>
    </xf>
    <xf numFmtId="0" fontId="1" fillId="3" borderId="11" xfId="0" applyFont="1" applyFill="1" applyBorder="1" applyAlignment="1">
      <alignment/>
    </xf>
    <xf numFmtId="41" fontId="0" fillId="3" borderId="17" xfId="18" applyFill="1" applyBorder="1" applyAlignment="1">
      <alignment horizontal="center"/>
    </xf>
    <xf numFmtId="41" fontId="0" fillId="3" borderId="16" xfId="18" applyFill="1" applyBorder="1" applyAlignment="1">
      <alignment/>
    </xf>
    <xf numFmtId="0" fontId="1" fillId="3" borderId="0" xfId="0" applyFont="1" applyFill="1" applyBorder="1" applyAlignment="1">
      <alignment/>
    </xf>
    <xf numFmtId="0" fontId="1" fillId="3" borderId="0" xfId="0" applyFont="1" applyFill="1" applyBorder="1" applyAlignment="1" quotePrefix="1">
      <alignment horizontal="left"/>
    </xf>
    <xf numFmtId="189" fontId="4" fillId="3" borderId="0" xfId="17" applyNumberFormat="1" applyFont="1" applyFill="1" applyBorder="1" applyAlignment="1">
      <alignment/>
    </xf>
    <xf numFmtId="0" fontId="0" fillId="3" borderId="32" xfId="0" applyFill="1" applyBorder="1" applyAlignment="1">
      <alignment/>
    </xf>
    <xf numFmtId="189" fontId="0" fillId="3" borderId="22" xfId="17" applyNumberFormat="1" applyFill="1" applyBorder="1" applyAlignment="1" applyProtection="1">
      <alignment/>
      <protection/>
    </xf>
    <xf numFmtId="189" fontId="0" fillId="3" borderId="32" xfId="17" applyNumberFormat="1" applyFill="1" applyBorder="1" applyAlignment="1" applyProtection="1">
      <alignment/>
      <protection/>
    </xf>
    <xf numFmtId="189" fontId="0" fillId="3" borderId="0" xfId="17" applyNumberFormat="1" applyFill="1" applyBorder="1" applyAlignment="1" applyProtection="1">
      <alignment/>
      <protection/>
    </xf>
    <xf numFmtId="0" fontId="4" fillId="3" borderId="4" xfId="0" applyFont="1" applyFill="1" applyBorder="1" applyAlignment="1" quotePrefix="1">
      <alignment horizontal="left"/>
    </xf>
    <xf numFmtId="0" fontId="0" fillId="4" borderId="10" xfId="0" applyFill="1" applyBorder="1" applyAlignment="1" applyProtection="1">
      <alignment horizontal="center"/>
      <protection locked="0"/>
    </xf>
    <xf numFmtId="0" fontId="1" fillId="3" borderId="16" xfId="0" applyFont="1" applyFill="1" applyBorder="1" applyAlignment="1" quotePrefix="1">
      <alignment horizontal="left"/>
    </xf>
    <xf numFmtId="0" fontId="0" fillId="2" borderId="16" xfId="0" applyFill="1" applyBorder="1" applyAlignment="1">
      <alignment/>
    </xf>
    <xf numFmtId="0" fontId="0" fillId="2" borderId="17" xfId="0" applyFill="1" applyBorder="1" applyAlignment="1">
      <alignment/>
    </xf>
    <xf numFmtId="0" fontId="1" fillId="3" borderId="17" xfId="0" applyFont="1" applyFill="1" applyBorder="1" applyAlignment="1" quotePrefix="1">
      <alignment horizontal="center"/>
    </xf>
    <xf numFmtId="0" fontId="0" fillId="3" borderId="8" xfId="0" applyFill="1" applyBorder="1" applyAlignment="1">
      <alignment horizontal="center"/>
    </xf>
    <xf numFmtId="0" fontId="0" fillId="3" borderId="29" xfId="0" applyFill="1" applyBorder="1" applyAlignment="1">
      <alignment horizontal="center"/>
    </xf>
    <xf numFmtId="0" fontId="0" fillId="3" borderId="27" xfId="0" applyFill="1" applyBorder="1" applyAlignment="1">
      <alignment horizontal="center"/>
    </xf>
    <xf numFmtId="0" fontId="0" fillId="3" borderId="33" xfId="0" applyFill="1" applyBorder="1" applyAlignment="1">
      <alignment/>
    </xf>
    <xf numFmtId="0" fontId="0" fillId="3" borderId="34" xfId="0" applyFill="1" applyBorder="1" applyAlignment="1">
      <alignment/>
    </xf>
    <xf numFmtId="189" fontId="12" fillId="3" borderId="14" xfId="17" applyNumberFormat="1" applyFont="1" applyFill="1" applyBorder="1" applyAlignment="1">
      <alignment/>
    </xf>
    <xf numFmtId="189" fontId="12" fillId="3" borderId="0" xfId="17" applyNumberFormat="1" applyFont="1" applyFill="1" applyAlignment="1">
      <alignment/>
    </xf>
    <xf numFmtId="194" fontId="0" fillId="3" borderId="17" xfId="18" applyNumberFormat="1" applyFill="1" applyBorder="1" applyAlignment="1">
      <alignment horizontal="center"/>
    </xf>
    <xf numFmtId="0" fontId="0" fillId="5" borderId="0" xfId="0" applyFill="1" applyBorder="1" applyAlignment="1">
      <alignment/>
    </xf>
    <xf numFmtId="0" fontId="0" fillId="5" borderId="14" xfId="0" applyFill="1" applyBorder="1" applyAlignment="1">
      <alignment/>
    </xf>
    <xf numFmtId="0" fontId="0" fillId="3" borderId="0" xfId="0" applyFill="1" applyBorder="1" applyAlignment="1" applyProtection="1">
      <alignment/>
      <protection/>
    </xf>
    <xf numFmtId="0" fontId="0" fillId="3" borderId="4" xfId="0" applyFill="1" applyBorder="1" applyAlignment="1" quotePrefix="1">
      <alignment horizontal="left"/>
    </xf>
    <xf numFmtId="0" fontId="4" fillId="3" borderId="0" xfId="0" applyFont="1" applyFill="1" applyBorder="1" applyAlignment="1" quotePrefix="1">
      <alignment horizontal="left"/>
    </xf>
    <xf numFmtId="0" fontId="0" fillId="3" borderId="0" xfId="0" applyFont="1" applyFill="1" applyBorder="1" applyAlignment="1" quotePrefix="1">
      <alignment horizontal="left"/>
    </xf>
    <xf numFmtId="0" fontId="6" fillId="3" borderId="17" xfId="0" applyFont="1" applyFill="1" applyBorder="1" applyAlignment="1">
      <alignment horizontal="center"/>
    </xf>
    <xf numFmtId="0" fontId="8" fillId="3" borderId="16" xfId="0" applyFont="1" applyFill="1" applyBorder="1" applyAlignment="1" quotePrefix="1">
      <alignment horizontal="center"/>
    </xf>
    <xf numFmtId="0" fontId="8" fillId="3" borderId="16" xfId="0" applyFont="1" applyFill="1" applyBorder="1" applyAlignment="1">
      <alignment horizontal="center"/>
    </xf>
    <xf numFmtId="189" fontId="11" fillId="3" borderId="12" xfId="17" applyNumberFormat="1" applyFont="1" applyFill="1" applyBorder="1" applyAlignment="1">
      <alignment/>
    </xf>
    <xf numFmtId="0" fontId="0" fillId="4" borderId="29" xfId="0" applyFill="1" applyBorder="1" applyAlignment="1" applyProtection="1">
      <alignment/>
      <protection locked="0"/>
    </xf>
    <xf numFmtId="0" fontId="0" fillId="4" borderId="10" xfId="0" applyFill="1" applyBorder="1" applyAlignment="1" applyProtection="1">
      <alignment/>
      <protection locked="0"/>
    </xf>
    <xf numFmtId="0" fontId="5" fillId="4" borderId="10" xfId="0" applyFont="1" applyFill="1" applyBorder="1" applyAlignment="1" applyProtection="1" quotePrefix="1">
      <alignment horizontal="left"/>
      <protection locked="0"/>
    </xf>
    <xf numFmtId="0" fontId="8" fillId="4" borderId="10" xfId="0" applyFont="1" applyFill="1" applyBorder="1" applyAlignment="1" applyProtection="1" quotePrefix="1">
      <alignment horizontal="left"/>
      <protection locked="0"/>
    </xf>
    <xf numFmtId="0" fontId="0" fillId="4" borderId="10" xfId="0" applyFill="1" applyBorder="1" applyAlignment="1" applyProtection="1">
      <alignment horizontal="right"/>
      <protection locked="0"/>
    </xf>
    <xf numFmtId="0" fontId="0" fillId="4" borderId="9" xfId="0" applyFill="1" applyBorder="1" applyAlignment="1" applyProtection="1">
      <alignment/>
      <protection locked="0"/>
    </xf>
    <xf numFmtId="0" fontId="0" fillId="4" borderId="11" xfId="0" applyFill="1" applyBorder="1" applyAlignment="1" applyProtection="1">
      <alignment/>
      <protection locked="0"/>
    </xf>
    <xf numFmtId="0" fontId="0" fillId="4" borderId="28" xfId="0" applyFill="1" applyBorder="1" applyAlignment="1" applyProtection="1">
      <alignment/>
      <protection locked="0"/>
    </xf>
    <xf numFmtId="0" fontId="0" fillId="4" borderId="27" xfId="0" applyFill="1" applyBorder="1" applyAlignment="1" applyProtection="1">
      <alignment/>
      <protection locked="0"/>
    </xf>
    <xf numFmtId="0" fontId="0" fillId="4" borderId="13" xfId="0" applyFill="1" applyBorder="1" applyAlignment="1" applyProtection="1">
      <alignment/>
      <protection locked="0"/>
    </xf>
    <xf numFmtId="0" fontId="0" fillId="4" borderId="14" xfId="0" applyFill="1" applyBorder="1" applyAlignment="1" applyProtection="1">
      <alignment/>
      <protection locked="0"/>
    </xf>
    <xf numFmtId="0" fontId="0" fillId="4" borderId="15" xfId="0" applyFill="1" applyBorder="1" applyAlignment="1" applyProtection="1">
      <alignment/>
      <protection locked="0"/>
    </xf>
    <xf numFmtId="0" fontId="0" fillId="4" borderId="17" xfId="0" applyFill="1" applyBorder="1" applyAlignment="1" applyProtection="1">
      <alignment/>
      <protection locked="0"/>
    </xf>
    <xf numFmtId="0" fontId="1" fillId="2" borderId="16" xfId="0" applyFont="1" applyFill="1" applyBorder="1" applyAlignment="1">
      <alignment/>
    </xf>
    <xf numFmtId="0" fontId="6" fillId="2" borderId="17" xfId="0" applyFont="1" applyFill="1" applyBorder="1" applyAlignment="1">
      <alignment horizontal="center"/>
    </xf>
    <xf numFmtId="43" fontId="0" fillId="2" borderId="17" xfId="17" applyFill="1" applyBorder="1" applyAlignment="1" applyProtection="1">
      <alignment horizontal="center"/>
      <protection locked="0"/>
    </xf>
    <xf numFmtId="3" fontId="0" fillId="2" borderId="17" xfId="0" applyNumberFormat="1" applyFill="1" applyBorder="1" applyAlignment="1" applyProtection="1">
      <alignment/>
      <protection locked="0"/>
    </xf>
    <xf numFmtId="0" fontId="0" fillId="2" borderId="17" xfId="0" applyFill="1" applyBorder="1" applyAlignment="1" applyProtection="1">
      <alignment/>
      <protection locked="0"/>
    </xf>
    <xf numFmtId="0" fontId="0" fillId="4" borderId="0" xfId="0" applyFill="1" applyBorder="1" applyAlignment="1">
      <alignment/>
    </xf>
    <xf numFmtId="0" fontId="0" fillId="4" borderId="7" xfId="0" applyFill="1" applyBorder="1" applyAlignment="1" applyProtection="1">
      <alignment/>
      <protection locked="0"/>
    </xf>
    <xf numFmtId="0" fontId="0" fillId="4" borderId="35" xfId="0" applyFill="1" applyBorder="1" applyAlignment="1" applyProtection="1">
      <alignment/>
      <protection locked="0"/>
    </xf>
    <xf numFmtId="0" fontId="0" fillId="4" borderId="0" xfId="0" applyFill="1" applyAlignment="1">
      <alignment/>
    </xf>
    <xf numFmtId="0" fontId="1" fillId="4" borderId="0" xfId="0" applyFont="1" applyFill="1" applyBorder="1" applyAlignment="1" quotePrefix="1">
      <alignment horizontal="left"/>
    </xf>
    <xf numFmtId="0" fontId="4" fillId="4" borderId="0" xfId="0" applyFont="1" applyFill="1" applyBorder="1" applyAlignment="1">
      <alignment/>
    </xf>
    <xf numFmtId="0" fontId="1" fillId="4" borderId="0" xfId="0" applyFont="1" applyFill="1" applyBorder="1" applyAlignment="1">
      <alignment/>
    </xf>
    <xf numFmtId="0" fontId="0" fillId="4" borderId="14" xfId="0" applyFill="1" applyBorder="1" applyAlignment="1">
      <alignment/>
    </xf>
    <xf numFmtId="0" fontId="5" fillId="4" borderId="0" xfId="0" applyFont="1" applyFill="1" applyAlignment="1">
      <alignment/>
    </xf>
    <xf numFmtId="0" fontId="6" fillId="4" borderId="0" xfId="0" applyFont="1" applyFill="1" applyAlignment="1">
      <alignment/>
    </xf>
    <xf numFmtId="0" fontId="8" fillId="4" borderId="0" xfId="0" applyFont="1" applyFill="1" applyAlignment="1">
      <alignment/>
    </xf>
    <xf numFmtId="0" fontId="9" fillId="4" borderId="0" xfId="0" applyFont="1" applyFill="1" applyAlignment="1">
      <alignment/>
    </xf>
    <xf numFmtId="0" fontId="0" fillId="4" borderId="0" xfId="0" applyFill="1" applyAlignment="1">
      <alignment horizontal="right"/>
    </xf>
    <xf numFmtId="0" fontId="0" fillId="4" borderId="0" xfId="0" applyFill="1" applyAlignment="1" quotePrefix="1">
      <alignment horizontal="left"/>
    </xf>
    <xf numFmtId="0" fontId="1" fillId="4" borderId="0" xfId="0" applyFont="1" applyFill="1" applyAlignment="1" quotePrefix="1">
      <alignment horizontal="left"/>
    </xf>
    <xf numFmtId="189" fontId="4" fillId="4" borderId="36" xfId="17" applyNumberFormat="1" applyFont="1" applyFill="1" applyBorder="1" applyAlignment="1" applyProtection="1">
      <alignment horizontal="center"/>
      <protection locked="0"/>
    </xf>
    <xf numFmtId="0" fontId="0" fillId="4" borderId="0" xfId="0" applyFill="1" applyAlignment="1" quotePrefix="1">
      <alignment horizontal="right"/>
    </xf>
    <xf numFmtId="0" fontId="0" fillId="4" borderId="13" xfId="0"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5" fillId="4" borderId="0" xfId="0" applyFont="1" applyFill="1" applyBorder="1" applyAlignment="1" quotePrefix="1">
      <alignment horizontal="left"/>
    </xf>
    <xf numFmtId="0" fontId="0" fillId="4" borderId="8" xfId="0" applyFill="1" applyBorder="1" applyAlignment="1">
      <alignment/>
    </xf>
    <xf numFmtId="189" fontId="0" fillId="4" borderId="0" xfId="17" applyNumberFormat="1" applyFill="1" applyAlignment="1">
      <alignment/>
    </xf>
    <xf numFmtId="43" fontId="0" fillId="4" borderId="0" xfId="17" applyFill="1" applyAlignment="1">
      <alignment/>
    </xf>
    <xf numFmtId="189" fontId="6" fillId="4" borderId="0" xfId="0" applyNumberFormat="1" applyFont="1" applyFill="1" applyAlignment="1">
      <alignment/>
    </xf>
    <xf numFmtId="193" fontId="0" fillId="4" borderId="0" xfId="17" applyNumberFormat="1" applyFill="1" applyAlignment="1">
      <alignment/>
    </xf>
    <xf numFmtId="0" fontId="4" fillId="4" borderId="0" xfId="0" applyFont="1" applyFill="1" applyBorder="1" applyAlignment="1" quotePrefix="1">
      <alignment horizontal="left"/>
    </xf>
    <xf numFmtId="0" fontId="0" fillId="0" borderId="1" xfId="23" applyBorder="1">
      <alignment/>
    </xf>
    <xf numFmtId="0" fontId="0" fillId="0" borderId="2" xfId="23" applyBorder="1">
      <alignment/>
    </xf>
    <xf numFmtId="0" fontId="0" fillId="0" borderId="3" xfId="23" applyBorder="1">
      <alignment/>
    </xf>
    <xf numFmtId="0" fontId="0" fillId="0" borderId="0" xfId="23">
      <alignment/>
    </xf>
    <xf numFmtId="0" fontId="4" fillId="0" borderId="4" xfId="21" applyFont="1" applyBorder="1">
      <alignment/>
      <protection/>
    </xf>
    <xf numFmtId="0" fontId="0" fillId="0" borderId="0" xfId="23" applyBorder="1">
      <alignment/>
    </xf>
    <xf numFmtId="0" fontId="0" fillId="0" borderId="8" xfId="23" applyBorder="1">
      <alignment/>
    </xf>
    <xf numFmtId="0" fontId="0" fillId="0" borderId="4" xfId="23" applyBorder="1">
      <alignment/>
    </xf>
    <xf numFmtId="0" fontId="4" fillId="0" borderId="0" xfId="23" applyFont="1" applyBorder="1" applyAlignment="1" quotePrefix="1">
      <alignment horizontal="left"/>
    </xf>
    <xf numFmtId="0" fontId="0" fillId="0" borderId="0" xfId="23" applyFont="1" applyBorder="1">
      <alignment/>
    </xf>
    <xf numFmtId="0" fontId="4" fillId="0" borderId="0" xfId="23" applyFont="1" applyBorder="1" applyAlignment="1">
      <alignment horizontal="center"/>
    </xf>
    <xf numFmtId="0" fontId="0" fillId="0" borderId="0" xfId="23" applyFont="1" applyBorder="1" applyAlignment="1" quotePrefix="1">
      <alignment horizontal="left"/>
    </xf>
    <xf numFmtId="0" fontId="0" fillId="0" borderId="13" xfId="23" applyBorder="1">
      <alignment/>
    </xf>
    <xf numFmtId="0" fontId="0" fillId="0" borderId="14" xfId="23" applyBorder="1">
      <alignment/>
    </xf>
    <xf numFmtId="0" fontId="0" fillId="0" borderId="15" xfId="23" applyBorder="1">
      <alignment/>
    </xf>
    <xf numFmtId="0" fontId="0" fillId="0" borderId="0" xfId="23" applyFont="1" applyBorder="1" applyAlignment="1">
      <alignment horizontal="left"/>
    </xf>
    <xf numFmtId="0" fontId="6" fillId="0" borderId="0" xfId="23" applyFont="1" applyBorder="1" applyAlignment="1" quotePrefix="1">
      <alignment horizontal="left"/>
    </xf>
    <xf numFmtId="0" fontId="6" fillId="0" borderId="0" xfId="23" applyFont="1" applyBorder="1" applyAlignment="1">
      <alignment horizontal="left"/>
    </xf>
    <xf numFmtId="193" fontId="0" fillId="4" borderId="0" xfId="0" applyNumberFormat="1" applyFill="1" applyAlignment="1" applyProtection="1">
      <alignment/>
      <protection/>
    </xf>
    <xf numFmtId="0" fontId="0" fillId="0" borderId="0" xfId="23" applyFont="1" applyBorder="1" applyAlignment="1">
      <alignment horizontal="left"/>
    </xf>
    <xf numFmtId="0" fontId="5" fillId="0" borderId="4" xfId="23" applyFont="1" applyBorder="1" applyAlignment="1" quotePrefix="1">
      <alignment horizontal="left"/>
    </xf>
    <xf numFmtId="0" fontId="5" fillId="0" borderId="0" xfId="23" applyFont="1" applyBorder="1" applyAlignment="1" quotePrefix="1">
      <alignment horizontal="center"/>
    </xf>
    <xf numFmtId="0" fontId="14" fillId="0" borderId="0" xfId="23" applyFont="1" applyBorder="1" applyAlignment="1" quotePrefix="1">
      <alignment horizontal="left"/>
    </xf>
    <xf numFmtId="0" fontId="10" fillId="4" borderId="10" xfId="0" applyFont="1" applyFill="1" applyBorder="1" applyAlignment="1" applyProtection="1">
      <alignment/>
      <protection locked="0"/>
    </xf>
    <xf numFmtId="0" fontId="4" fillId="0" borderId="36" xfId="0" applyFont="1" applyBorder="1" applyAlignment="1" applyProtection="1">
      <alignment horizontal="center"/>
      <protection locked="0"/>
    </xf>
    <xf numFmtId="189" fontId="11" fillId="3" borderId="0" xfId="17" applyNumberFormat="1" applyFont="1" applyFill="1" applyBorder="1" applyAlignment="1" applyProtection="1">
      <alignment horizontal="right"/>
      <protection/>
    </xf>
    <xf numFmtId="0" fontId="1" fillId="3" borderId="17" xfId="0" applyFont="1" applyFill="1" applyBorder="1" applyAlignment="1" quotePrefix="1">
      <alignment horizontal="left"/>
    </xf>
    <xf numFmtId="0" fontId="12" fillId="3" borderId="0" xfId="0" applyFont="1" applyFill="1" applyBorder="1" applyAlignment="1">
      <alignment/>
    </xf>
    <xf numFmtId="0" fontId="1" fillId="0" borderId="0" xfId="0" applyFont="1" applyAlignment="1">
      <alignment horizontal="right"/>
    </xf>
    <xf numFmtId="193" fontId="0" fillId="0" borderId="0" xfId="0" applyNumberFormat="1" applyAlignment="1">
      <alignment/>
    </xf>
    <xf numFmtId="0" fontId="0" fillId="4" borderId="0" xfId="0" applyFill="1" applyBorder="1" applyAlignment="1" applyProtection="1">
      <alignment/>
      <protection locked="0"/>
    </xf>
    <xf numFmtId="189" fontId="11" fillId="4" borderId="36" xfId="17" applyNumberFormat="1" applyFont="1" applyFill="1" applyBorder="1" applyAlignment="1" applyProtection="1" quotePrefix="1">
      <alignment horizontal="left"/>
      <protection locked="0"/>
    </xf>
    <xf numFmtId="8" fontId="0" fillId="4" borderId="0" xfId="0" applyNumberFormat="1" applyFill="1" applyAlignment="1">
      <alignment/>
    </xf>
    <xf numFmtId="9" fontId="4" fillId="3" borderId="0" xfId="0" applyNumberFormat="1" applyFont="1" applyFill="1" applyBorder="1" applyAlignment="1">
      <alignment/>
    </xf>
    <xf numFmtId="189" fontId="4" fillId="3" borderId="36" xfId="0" applyNumberFormat="1" applyFont="1" applyFill="1" applyBorder="1" applyAlignment="1">
      <alignment/>
    </xf>
    <xf numFmtId="0" fontId="6" fillId="3" borderId="10" xfId="0" applyFont="1" applyFill="1" applyBorder="1" applyAlignment="1" quotePrefix="1">
      <alignment horizontal="left"/>
    </xf>
    <xf numFmtId="0" fontId="0" fillId="2" borderId="8" xfId="0" applyFill="1" applyBorder="1" applyAlignment="1">
      <alignment/>
    </xf>
    <xf numFmtId="0" fontId="0" fillId="2" borderId="14" xfId="0" applyFill="1" applyBorder="1" applyAlignment="1">
      <alignment/>
    </xf>
    <xf numFmtId="0" fontId="0" fillId="2" borderId="15" xfId="0" applyFill="1" applyBorder="1" applyAlignment="1">
      <alignment/>
    </xf>
    <xf numFmtId="189" fontId="1" fillId="2" borderId="0" xfId="0" applyNumberFormat="1" applyFont="1" applyFill="1" applyBorder="1" applyAlignment="1">
      <alignment/>
    </xf>
    <xf numFmtId="189" fontId="0" fillId="2" borderId="0" xfId="0" applyNumberFormat="1" applyFill="1" applyBorder="1" applyAlignment="1">
      <alignment/>
    </xf>
    <xf numFmtId="0" fontId="12" fillId="0" borderId="10" xfId="0" applyFont="1" applyBorder="1" applyAlignment="1" applyProtection="1">
      <alignment horizontal="center"/>
      <protection locked="0"/>
    </xf>
    <xf numFmtId="189" fontId="12" fillId="0" borderId="10" xfId="17" applyNumberFormat="1" applyFont="1" applyBorder="1" applyAlignment="1" applyProtection="1">
      <alignment horizontal="center"/>
      <protection locked="0"/>
    </xf>
    <xf numFmtId="189" fontId="12" fillId="3" borderId="10" xfId="17" applyNumberFormat="1" applyFont="1" applyFill="1" applyBorder="1" applyAlignment="1">
      <alignment/>
    </xf>
    <xf numFmtId="0" fontId="12" fillId="3" borderId="0" xfId="0" applyFont="1" applyFill="1" applyBorder="1" applyAlignment="1">
      <alignment horizontal="center"/>
    </xf>
    <xf numFmtId="0" fontId="12" fillId="3" borderId="16" xfId="0" applyFont="1" applyFill="1" applyBorder="1" applyAlignment="1">
      <alignment/>
    </xf>
    <xf numFmtId="9" fontId="12" fillId="3" borderId="16" xfId="24" applyFont="1" applyFill="1" applyBorder="1" applyAlignment="1">
      <alignment/>
    </xf>
    <xf numFmtId="0" fontId="10" fillId="4" borderId="10" xfId="0" applyFont="1" applyFill="1" applyBorder="1" applyAlignment="1" applyProtection="1">
      <alignment horizontal="left"/>
      <protection locked="0"/>
    </xf>
    <xf numFmtId="0" fontId="12" fillId="0" borderId="17" xfId="0" applyFont="1" applyBorder="1" applyAlignment="1" applyProtection="1">
      <alignment horizontal="center"/>
      <protection locked="0"/>
    </xf>
    <xf numFmtId="3" fontId="12" fillId="0" borderId="17" xfId="0" applyNumberFormat="1" applyFont="1" applyBorder="1" applyAlignment="1" applyProtection="1">
      <alignment horizontal="center"/>
      <protection locked="0"/>
    </xf>
    <xf numFmtId="189" fontId="12" fillId="3" borderId="10" xfId="17" applyNumberFormat="1" applyFont="1" applyFill="1" applyBorder="1" applyAlignment="1">
      <alignment horizontal="center"/>
    </xf>
    <xf numFmtId="189" fontId="12" fillId="0" borderId="17" xfId="17" applyNumberFormat="1" applyFont="1" applyBorder="1" applyAlignment="1" applyProtection="1">
      <alignment horizontal="center"/>
      <protection locked="0"/>
    </xf>
    <xf numFmtId="0" fontId="12" fillId="0" borderId="17" xfId="0" applyFont="1" applyBorder="1" applyAlignment="1" applyProtection="1">
      <alignment horizontal="right"/>
      <protection locked="0"/>
    </xf>
    <xf numFmtId="189" fontId="12" fillId="0" borderId="17" xfId="0" applyNumberFormat="1" applyFont="1" applyBorder="1" applyAlignment="1" applyProtection="1">
      <alignment/>
      <protection locked="0"/>
    </xf>
    <xf numFmtId="0" fontId="12" fillId="0" borderId="17" xfId="0" applyFont="1" applyBorder="1" applyAlignment="1" applyProtection="1">
      <alignment/>
      <protection locked="0"/>
    </xf>
    <xf numFmtId="9" fontId="12" fillId="3" borderId="11" xfId="0" applyNumberFormat="1" applyFont="1" applyFill="1" applyBorder="1" applyAlignment="1">
      <alignment horizontal="center"/>
    </xf>
    <xf numFmtId="9" fontId="12" fillId="3" borderId="8" xfId="0" applyNumberFormat="1" applyFont="1" applyFill="1" applyBorder="1" applyAlignment="1">
      <alignment horizontal="center"/>
    </xf>
    <xf numFmtId="189" fontId="0" fillId="3" borderId="32" xfId="17" applyNumberFormat="1" applyFont="1" applyFill="1" applyBorder="1" applyAlignment="1" applyProtection="1">
      <alignment/>
      <protection/>
    </xf>
    <xf numFmtId="0" fontId="12" fillId="4" borderId="10" xfId="0" applyFont="1" applyFill="1" applyBorder="1" applyAlignment="1" applyProtection="1">
      <alignment/>
      <protection locked="0"/>
    </xf>
    <xf numFmtId="0" fontId="11" fillId="4" borderId="10" xfId="0" applyFont="1" applyFill="1" applyBorder="1" applyAlignment="1" applyProtection="1">
      <alignment/>
      <protection locked="0"/>
    </xf>
    <xf numFmtId="0" fontId="11" fillId="4" borderId="10" xfId="0" applyFont="1" applyFill="1" applyBorder="1" applyAlignment="1" applyProtection="1">
      <alignment/>
      <protection locked="0"/>
    </xf>
    <xf numFmtId="0" fontId="11" fillId="4" borderId="10" xfId="0" applyFont="1" applyFill="1" applyBorder="1" applyAlignment="1" applyProtection="1" quotePrefix="1">
      <alignment horizontal="left"/>
      <protection locked="0"/>
    </xf>
    <xf numFmtId="0" fontId="1" fillId="4" borderId="0" xfId="0" applyFont="1" applyFill="1" applyAlignment="1" quotePrefix="1">
      <alignment horizontal="right"/>
    </xf>
    <xf numFmtId="0" fontId="11" fillId="3" borderId="0" xfId="0" applyFont="1" applyFill="1" applyBorder="1" applyAlignment="1">
      <alignment/>
    </xf>
    <xf numFmtId="0" fontId="11" fillId="3" borderId="4" xfId="0" applyFont="1" applyFill="1" applyBorder="1" applyAlignment="1">
      <alignment/>
    </xf>
    <xf numFmtId="189" fontId="0" fillId="3" borderId="37" xfId="17" applyNumberFormat="1" applyFill="1" applyBorder="1" applyAlignment="1" applyProtection="1">
      <alignment/>
      <protection/>
    </xf>
    <xf numFmtId="0" fontId="5" fillId="4" borderId="0" xfId="0" applyFont="1" applyFill="1" applyAlignment="1">
      <alignment/>
    </xf>
    <xf numFmtId="0" fontId="5" fillId="4" borderId="0" xfId="0" applyFont="1" applyFill="1" applyBorder="1" applyAlignment="1">
      <alignment horizontal="left"/>
    </xf>
    <xf numFmtId="193" fontId="0" fillId="0" borderId="0" xfId="0" applyNumberFormat="1" applyAlignment="1">
      <alignment horizontal="center"/>
    </xf>
    <xf numFmtId="0" fontId="0" fillId="0" borderId="0" xfId="0" applyNumberFormat="1" applyAlignment="1">
      <alignment/>
    </xf>
    <xf numFmtId="0" fontId="0" fillId="0" borderId="0" xfId="0" applyNumberFormat="1" applyBorder="1" applyAlignment="1">
      <alignment/>
    </xf>
    <xf numFmtId="189" fontId="0" fillId="3" borderId="22" xfId="17" applyNumberFormat="1" applyFont="1" applyFill="1" applyBorder="1" applyAlignment="1" applyProtection="1">
      <alignment/>
      <protection/>
    </xf>
    <xf numFmtId="189" fontId="0" fillId="3" borderId="0" xfId="17" applyNumberFormat="1" applyFont="1" applyFill="1" applyBorder="1" applyAlignment="1" applyProtection="1">
      <alignment/>
      <protection/>
    </xf>
    <xf numFmtId="189" fontId="0" fillId="4" borderId="32" xfId="17" applyNumberFormat="1" applyFont="1" applyFill="1" applyBorder="1" applyAlignment="1" applyProtection="1">
      <alignment/>
      <protection locked="0"/>
    </xf>
    <xf numFmtId="189" fontId="0" fillId="4" borderId="0" xfId="17" applyNumberFormat="1" applyFont="1" applyFill="1" applyBorder="1" applyAlignment="1" applyProtection="1">
      <alignment/>
      <protection locked="0"/>
    </xf>
    <xf numFmtId="189" fontId="0" fillId="4" borderId="22" xfId="17" applyNumberFormat="1" applyFont="1" applyFill="1" applyBorder="1" applyAlignment="1" applyProtection="1">
      <alignment/>
      <protection locked="0"/>
    </xf>
    <xf numFmtId="189" fontId="0" fillId="3" borderId="37" xfId="17" applyNumberFormat="1" applyFont="1" applyFill="1" applyBorder="1" applyAlignment="1" applyProtection="1">
      <alignment/>
      <protection/>
    </xf>
    <xf numFmtId="0" fontId="1" fillId="3" borderId="9" xfId="0" applyFont="1" applyFill="1" applyBorder="1" applyAlignment="1" quotePrefix="1">
      <alignment horizontal="left"/>
    </xf>
    <xf numFmtId="0" fontId="0" fillId="3" borderId="10" xfId="0" applyFill="1" applyBorder="1" applyAlignment="1" applyProtection="1">
      <alignment/>
      <protection/>
    </xf>
    <xf numFmtId="0" fontId="0" fillId="3" borderId="11" xfId="0" applyFill="1" applyBorder="1" applyAlignment="1" applyProtection="1">
      <alignment horizontal="center"/>
      <protection/>
    </xf>
    <xf numFmtId="0" fontId="0" fillId="3" borderId="11" xfId="0" applyFill="1" applyBorder="1" applyAlignment="1" applyProtection="1">
      <alignment/>
      <protection/>
    </xf>
    <xf numFmtId="0" fontId="0" fillId="3" borderId="9" xfId="0" applyFill="1" applyBorder="1" applyAlignment="1" applyProtection="1">
      <alignment/>
      <protection/>
    </xf>
    <xf numFmtId="0" fontId="0" fillId="3" borderId="17" xfId="0" applyFill="1" applyBorder="1" applyAlignment="1" applyProtection="1">
      <alignment/>
      <protection/>
    </xf>
    <xf numFmtId="0" fontId="6" fillId="3" borderId="4" xfId="0" applyFont="1" applyFill="1" applyBorder="1" applyAlignment="1" applyProtection="1" quotePrefix="1">
      <alignment horizontal="left"/>
      <protection/>
    </xf>
    <xf numFmtId="0" fontId="1" fillId="3" borderId="0" xfId="0" applyFont="1" applyFill="1" applyBorder="1" applyAlignment="1" applyProtection="1">
      <alignment/>
      <protection/>
    </xf>
    <xf numFmtId="0" fontId="0" fillId="3" borderId="8" xfId="0" applyFill="1" applyBorder="1" applyAlignment="1" applyProtection="1">
      <alignment/>
      <protection/>
    </xf>
    <xf numFmtId="0" fontId="1" fillId="3" borderId="16" xfId="0" applyFont="1" applyFill="1" applyBorder="1" applyAlignment="1" applyProtection="1">
      <alignment/>
      <protection/>
    </xf>
    <xf numFmtId="0" fontId="5" fillId="3" borderId="0" xfId="0" applyFont="1" applyFill="1" applyBorder="1" applyAlignment="1" applyProtection="1">
      <alignment/>
      <protection/>
    </xf>
    <xf numFmtId="0" fontId="0" fillId="3" borderId="16" xfId="0" applyFill="1" applyBorder="1" applyAlignment="1" applyProtection="1">
      <alignment/>
      <protection/>
    </xf>
    <xf numFmtId="0" fontId="0" fillId="3" borderId="38" xfId="0" applyFill="1" applyBorder="1" applyAlignment="1" applyProtection="1">
      <alignment horizontal="center"/>
      <protection/>
    </xf>
    <xf numFmtId="0" fontId="0" fillId="3" borderId="39" xfId="0" applyFill="1" applyBorder="1" applyAlignment="1" applyProtection="1">
      <alignment horizontal="center"/>
      <protection/>
    </xf>
    <xf numFmtId="0" fontId="0" fillId="3" borderId="40" xfId="0" applyFill="1" applyBorder="1" applyAlignment="1" applyProtection="1">
      <alignment horizontal="center"/>
      <protection/>
    </xf>
    <xf numFmtId="0" fontId="0" fillId="3" borderId="41" xfId="0" applyFill="1" applyBorder="1" applyAlignment="1" applyProtection="1">
      <alignment horizontal="center"/>
      <protection/>
    </xf>
    <xf numFmtId="0" fontId="0" fillId="3" borderId="42" xfId="0" applyFill="1" applyBorder="1" applyAlignment="1" applyProtection="1">
      <alignment horizontal="center"/>
      <protection/>
    </xf>
    <xf numFmtId="0" fontId="0" fillId="3" borderId="17" xfId="0" applyFill="1" applyBorder="1" applyAlignment="1" applyProtection="1">
      <alignment horizontal="center"/>
      <protection/>
    </xf>
    <xf numFmtId="0" fontId="0" fillId="3" borderId="10" xfId="0" applyFill="1" applyBorder="1" applyAlignment="1" applyProtection="1">
      <alignment horizontal="center"/>
      <protection/>
    </xf>
    <xf numFmtId="0" fontId="0" fillId="3" borderId="4" xfId="0" applyFill="1" applyBorder="1" applyAlignment="1" applyProtection="1">
      <alignment/>
      <protection/>
    </xf>
    <xf numFmtId="0" fontId="0" fillId="3" borderId="22" xfId="0" applyFill="1" applyBorder="1" applyAlignment="1" applyProtection="1">
      <alignment/>
      <protection/>
    </xf>
    <xf numFmtId="0" fontId="0" fillId="3" borderId="32" xfId="0" applyFill="1" applyBorder="1" applyAlignment="1" applyProtection="1">
      <alignment/>
      <protection/>
    </xf>
    <xf numFmtId="0" fontId="11" fillId="3" borderId="4" xfId="0" applyFont="1" applyFill="1" applyBorder="1" applyAlignment="1" applyProtection="1" quotePrefix="1">
      <alignment horizontal="left"/>
      <protection/>
    </xf>
    <xf numFmtId="0" fontId="4" fillId="3" borderId="0" xfId="0" applyFont="1" applyFill="1" applyBorder="1" applyAlignment="1" applyProtection="1" quotePrefix="1">
      <alignment horizontal="left"/>
      <protection/>
    </xf>
    <xf numFmtId="0" fontId="0" fillId="3" borderId="2" xfId="0" applyFill="1" applyBorder="1" applyAlignment="1" applyProtection="1">
      <alignment/>
      <protection/>
    </xf>
    <xf numFmtId="0" fontId="0" fillId="3" borderId="3" xfId="0" applyFill="1" applyBorder="1" applyAlignment="1" applyProtection="1">
      <alignment/>
      <protection/>
    </xf>
    <xf numFmtId="193" fontId="11" fillId="0" borderId="0" xfId="0" applyNumberFormat="1" applyFont="1" applyAlignment="1">
      <alignment horizontal="center"/>
    </xf>
    <xf numFmtId="193" fontId="0" fillId="0" borderId="0" xfId="0" applyNumberFormat="1" applyBorder="1" applyAlignment="1">
      <alignment/>
    </xf>
    <xf numFmtId="0" fontId="10" fillId="4" borderId="0" xfId="0" applyFont="1" applyFill="1" applyAlignment="1">
      <alignment/>
    </xf>
    <xf numFmtId="0" fontId="19" fillId="4" borderId="0" xfId="0" applyFont="1" applyFill="1" applyAlignment="1">
      <alignment/>
    </xf>
    <xf numFmtId="0" fontId="0" fillId="4" borderId="0" xfId="0" applyNumberFormat="1" applyFill="1" applyAlignment="1">
      <alignment/>
    </xf>
    <xf numFmtId="0" fontId="6" fillId="3" borderId="9" xfId="0" applyFont="1" applyFill="1" applyBorder="1" applyAlignment="1" applyProtection="1" quotePrefix="1">
      <alignment horizontal="left"/>
      <protection/>
    </xf>
    <xf numFmtId="0" fontId="1" fillId="3" borderId="10" xfId="0" applyFont="1" applyFill="1" applyBorder="1" applyAlignment="1" applyProtection="1">
      <alignment/>
      <protection/>
    </xf>
    <xf numFmtId="0" fontId="1" fillId="3" borderId="17" xfId="0" applyFont="1" applyFill="1" applyBorder="1" applyAlignment="1" applyProtection="1">
      <alignment/>
      <protection/>
    </xf>
    <xf numFmtId="188" fontId="12" fillId="4" borderId="42" xfId="17" applyNumberFormat="1" applyFont="1" applyFill="1" applyBorder="1" applyAlignment="1" applyProtection="1">
      <alignment/>
      <protection locked="0"/>
    </xf>
    <xf numFmtId="188" fontId="12" fillId="4" borderId="17" xfId="17" applyNumberFormat="1" applyFont="1" applyFill="1" applyBorder="1" applyAlignment="1" applyProtection="1">
      <alignment/>
      <protection locked="0"/>
    </xf>
    <xf numFmtId="0" fontId="0" fillId="4" borderId="0" xfId="0" applyNumberFormat="1" applyFill="1" applyBorder="1" applyAlignment="1">
      <alignment/>
    </xf>
    <xf numFmtId="0" fontId="1" fillId="3" borderId="43" xfId="0" applyFont="1" applyFill="1" applyBorder="1" applyAlignment="1" quotePrefix="1">
      <alignment horizontal="left"/>
    </xf>
    <xf numFmtId="0" fontId="1" fillId="3" borderId="44" xfId="0" applyFont="1" applyFill="1" applyBorder="1" applyAlignment="1">
      <alignment horizontal="left"/>
    </xf>
    <xf numFmtId="0" fontId="0" fillId="3" borderId="44" xfId="0" applyFill="1" applyBorder="1" applyAlignment="1">
      <alignment/>
    </xf>
    <xf numFmtId="0" fontId="1" fillId="3" borderId="45" xfId="0" applyFont="1" applyFill="1" applyBorder="1" applyAlignment="1">
      <alignment/>
    </xf>
    <xf numFmtId="0" fontId="0" fillId="3" borderId="46" xfId="0" applyFill="1" applyBorder="1" applyAlignment="1">
      <alignment horizontal="center"/>
    </xf>
    <xf numFmtId="188" fontId="12" fillId="4" borderId="47" xfId="17" applyNumberFormat="1" applyFont="1" applyFill="1" applyBorder="1" applyAlignment="1" applyProtection="1">
      <alignment/>
      <protection locked="0"/>
    </xf>
    <xf numFmtId="0" fontId="11" fillId="3" borderId="8" xfId="0" applyFont="1" applyFill="1" applyBorder="1" applyAlignment="1">
      <alignment horizontal="center"/>
    </xf>
    <xf numFmtId="43" fontId="12" fillId="2" borderId="37" xfId="17" applyFont="1" applyFill="1" applyBorder="1" applyAlignment="1" applyProtection="1">
      <alignment/>
      <protection/>
    </xf>
    <xf numFmtId="0" fontId="0" fillId="2" borderId="8" xfId="0" applyFill="1" applyBorder="1" applyAlignment="1" applyProtection="1">
      <alignment/>
      <protection/>
    </xf>
    <xf numFmtId="188" fontId="12" fillId="2" borderId="37" xfId="17" applyNumberFormat="1" applyFont="1" applyFill="1" applyBorder="1" applyAlignment="1" applyProtection="1">
      <alignment/>
      <protection/>
    </xf>
    <xf numFmtId="0" fontId="7" fillId="3" borderId="29" xfId="0" applyFont="1" applyFill="1" applyBorder="1" applyAlignment="1">
      <alignment/>
    </xf>
    <xf numFmtId="0" fontId="11" fillId="3" borderId="29" xfId="0" applyFont="1" applyFill="1" applyBorder="1" applyAlignment="1">
      <alignment/>
    </xf>
    <xf numFmtId="0" fontId="11" fillId="3" borderId="27" xfId="0" applyFont="1" applyFill="1" applyBorder="1" applyAlignment="1">
      <alignment horizontal="center"/>
    </xf>
    <xf numFmtId="43" fontId="12" fillId="2" borderId="29" xfId="17" applyFont="1" applyFill="1" applyBorder="1" applyAlignment="1" applyProtection="1">
      <alignment/>
      <protection/>
    </xf>
    <xf numFmtId="0" fontId="0" fillId="2" borderId="27" xfId="0" applyFill="1" applyBorder="1" applyAlignment="1" applyProtection="1">
      <alignment/>
      <protection/>
    </xf>
    <xf numFmtId="0" fontId="1" fillId="0" borderId="0" xfId="0" applyFont="1" applyAlignment="1">
      <alignment/>
    </xf>
    <xf numFmtId="0" fontId="6" fillId="0" borderId="0" xfId="0" applyFont="1" applyAlignment="1">
      <alignment/>
    </xf>
    <xf numFmtId="0" fontId="4" fillId="4" borderId="12" xfId="0" applyFont="1" applyFill="1" applyBorder="1" applyAlignment="1" applyProtection="1">
      <alignment horizontal="center"/>
      <protection locked="0"/>
    </xf>
    <xf numFmtId="189" fontId="11" fillId="4" borderId="12" xfId="17" applyNumberFormat="1" applyFont="1" applyFill="1" applyBorder="1" applyAlignment="1" applyProtection="1">
      <alignment/>
      <protection locked="0"/>
    </xf>
    <xf numFmtId="0" fontId="8" fillId="3" borderId="4" xfId="0" applyFont="1" applyFill="1" applyBorder="1" applyAlignment="1">
      <alignment/>
    </xf>
    <xf numFmtId="43" fontId="11" fillId="3" borderId="12" xfId="17" applyFont="1" applyFill="1" applyBorder="1" applyAlignment="1">
      <alignment/>
    </xf>
    <xf numFmtId="43" fontId="11" fillId="3" borderId="0" xfId="17" applyFont="1" applyFill="1" applyAlignment="1">
      <alignment/>
    </xf>
    <xf numFmtId="189" fontId="11" fillId="3" borderId="48" xfId="17" applyNumberFormat="1" applyFont="1" applyFill="1" applyBorder="1" applyAlignment="1">
      <alignment/>
    </xf>
    <xf numFmtId="9" fontId="0" fillId="3" borderId="0" xfId="0" applyNumberFormat="1" applyFont="1" applyFill="1" applyBorder="1" applyAlignment="1">
      <alignment/>
    </xf>
    <xf numFmtId="188" fontId="11" fillId="3" borderId="12" xfId="17" applyNumberFormat="1" applyFont="1" applyFill="1" applyBorder="1" applyAlignment="1" applyProtection="1">
      <alignment/>
      <protection/>
    </xf>
    <xf numFmtId="0" fontId="4" fillId="3" borderId="12" xfId="17" applyNumberFormat="1" applyFont="1" applyFill="1" applyBorder="1" applyAlignment="1">
      <alignment/>
    </xf>
    <xf numFmtId="190" fontId="4" fillId="3" borderId="12" xfId="17" applyNumberFormat="1" applyFont="1" applyFill="1" applyBorder="1" applyAlignment="1">
      <alignment/>
    </xf>
    <xf numFmtId="190" fontId="4" fillId="3" borderId="0" xfId="17" applyNumberFormat="1" applyFont="1" applyFill="1" applyBorder="1" applyAlignment="1">
      <alignment/>
    </xf>
    <xf numFmtId="193" fontId="0" fillId="4" borderId="0" xfId="0" applyNumberFormat="1" applyFill="1" applyAlignment="1">
      <alignment/>
    </xf>
    <xf numFmtId="0" fontId="0" fillId="3" borderId="4" xfId="0" applyFont="1" applyFill="1" applyBorder="1" applyAlignment="1" quotePrefix="1">
      <alignment horizontal="left"/>
    </xf>
    <xf numFmtId="0" fontId="5" fillId="4" borderId="0" xfId="0" applyFont="1" applyFill="1" applyBorder="1" applyAlignment="1" quotePrefix="1">
      <alignment horizontal="center"/>
    </xf>
    <xf numFmtId="0" fontId="1" fillId="4" borderId="0" xfId="0" applyFont="1" applyFill="1" applyBorder="1" applyAlignment="1">
      <alignment horizontal="right"/>
    </xf>
    <xf numFmtId="0" fontId="1" fillId="4" borderId="0" xfId="0" applyFont="1" applyFill="1" applyBorder="1" applyAlignment="1" quotePrefix="1">
      <alignment horizontal="right"/>
    </xf>
    <xf numFmtId="0" fontId="1" fillId="4" borderId="10" xfId="0" applyFont="1" applyFill="1" applyBorder="1" applyAlignment="1" applyProtection="1">
      <alignment horizontal="center"/>
      <protection locked="0"/>
    </xf>
    <xf numFmtId="0" fontId="6" fillId="4" borderId="0" xfId="0" applyFont="1" applyFill="1" applyBorder="1" applyAlignment="1" quotePrefix="1">
      <alignment/>
    </xf>
    <xf numFmtId="0" fontId="1" fillId="4" borderId="0" xfId="0" applyFont="1" applyFill="1" applyBorder="1" applyAlignment="1">
      <alignment horizontal="right"/>
    </xf>
    <xf numFmtId="0" fontId="6" fillId="4" borderId="0" xfId="0" applyFont="1" applyFill="1" applyAlignment="1" quotePrefix="1">
      <alignment horizontal="center"/>
    </xf>
    <xf numFmtId="0" fontId="1" fillId="4" borderId="0" xfId="0" applyFont="1" applyFill="1" applyAlignment="1">
      <alignment horizontal="center"/>
    </xf>
    <xf numFmtId="0" fontId="6" fillId="4" borderId="0" xfId="0" applyFont="1" applyFill="1" applyBorder="1" applyAlignment="1" quotePrefix="1">
      <alignment horizontal="center"/>
    </xf>
    <xf numFmtId="0" fontId="1" fillId="4" borderId="0" xfId="0" applyFont="1" applyFill="1" applyAlignment="1">
      <alignment horizontal="right"/>
    </xf>
    <xf numFmtId="0" fontId="6" fillId="4" borderId="14" xfId="0" applyFont="1" applyFill="1" applyBorder="1" applyAlignment="1" quotePrefix="1">
      <alignment horizontal="center"/>
    </xf>
    <xf numFmtId="0" fontId="0" fillId="3" borderId="0" xfId="0" applyFont="1" applyFill="1" applyBorder="1" applyAlignment="1" quotePrefix="1">
      <alignment horizontal="left"/>
    </xf>
    <xf numFmtId="0" fontId="1" fillId="3" borderId="10" xfId="0" applyFont="1" applyFill="1" applyBorder="1" applyAlignment="1">
      <alignment horizontal="center"/>
    </xf>
    <xf numFmtId="0" fontId="0" fillId="0" borderId="0" xfId="0" applyAlignment="1">
      <alignment horizontal="center"/>
    </xf>
    <xf numFmtId="0" fontId="4" fillId="3" borderId="0" xfId="0" applyFont="1" applyFill="1" applyBorder="1" applyAlignment="1">
      <alignment horizontal="left"/>
    </xf>
    <xf numFmtId="0" fontId="0" fillId="3" borderId="0" xfId="0" applyFont="1" applyFill="1" applyBorder="1" applyAlignment="1">
      <alignment horizontal="left"/>
    </xf>
    <xf numFmtId="0" fontId="0" fillId="3" borderId="0" xfId="0" applyFill="1" applyBorder="1" applyAlignment="1" quotePrefix="1">
      <alignment horizontal="center"/>
    </xf>
    <xf numFmtId="0" fontId="0" fillId="3" borderId="16" xfId="0" applyFill="1" applyBorder="1" applyAlignment="1" quotePrefix="1">
      <alignment horizontal="center"/>
    </xf>
    <xf numFmtId="0" fontId="4" fillId="3" borderId="9" xfId="0" applyFont="1" applyFill="1" applyBorder="1" applyAlignment="1">
      <alignment/>
    </xf>
    <xf numFmtId="0" fontId="6" fillId="3" borderId="10" xfId="0" applyFont="1" applyFill="1" applyBorder="1" applyAlignment="1" quotePrefix="1">
      <alignment horizontal="right"/>
    </xf>
    <xf numFmtId="0" fontId="0" fillId="3" borderId="22" xfId="0" applyFont="1" applyFill="1" applyBorder="1" applyAlignment="1">
      <alignment/>
    </xf>
    <xf numFmtId="43" fontId="0" fillId="4" borderId="10" xfId="17" applyFill="1" applyBorder="1" applyAlignment="1" applyProtection="1">
      <alignment horizontal="center"/>
      <protection locked="0"/>
    </xf>
    <xf numFmtId="43" fontId="0" fillId="4" borderId="10" xfId="17" applyFill="1" applyBorder="1" applyAlignment="1" applyProtection="1">
      <alignment/>
      <protection locked="0"/>
    </xf>
    <xf numFmtId="0" fontId="0" fillId="3" borderId="4" xfId="0" applyFont="1" applyFill="1" applyBorder="1" applyAlignment="1">
      <alignment/>
    </xf>
    <xf numFmtId="0" fontId="0" fillId="2" borderId="0" xfId="0" applyFill="1" applyBorder="1" applyAlignment="1">
      <alignment horizontal="center"/>
    </xf>
    <xf numFmtId="189" fontId="0" fillId="2" borderId="0" xfId="0" applyNumberFormat="1" applyFill="1" applyBorder="1" applyAlignment="1">
      <alignment horizontal="center"/>
    </xf>
    <xf numFmtId="189" fontId="0" fillId="2" borderId="0" xfId="17" applyNumberFormat="1" applyFill="1" applyBorder="1" applyAlignment="1">
      <alignment horizontal="center"/>
    </xf>
    <xf numFmtId="189" fontId="0" fillId="2" borderId="0" xfId="17" applyNumberFormat="1" applyFont="1" applyFill="1" applyBorder="1" applyAlignment="1" quotePrefix="1">
      <alignment horizontal="center"/>
    </xf>
    <xf numFmtId="0" fontId="0" fillId="2" borderId="16" xfId="0" applyFill="1" applyBorder="1" applyAlignment="1">
      <alignment horizontal="left"/>
    </xf>
    <xf numFmtId="0" fontId="1" fillId="3" borderId="13" xfId="0" applyFont="1" applyFill="1" applyBorder="1" applyAlignment="1">
      <alignment/>
    </xf>
    <xf numFmtId="0" fontId="0" fillId="0" borderId="26" xfId="0" applyBorder="1" applyAlignment="1">
      <alignment/>
    </xf>
    <xf numFmtId="0" fontId="0" fillId="2" borderId="26" xfId="0" applyFill="1" applyBorder="1" applyAlignment="1">
      <alignment/>
    </xf>
    <xf numFmtId="0" fontId="0" fillId="0" borderId="14" xfId="0" applyBorder="1" applyAlignment="1">
      <alignment/>
    </xf>
    <xf numFmtId="0" fontId="0" fillId="3" borderId="16" xfId="0" applyFill="1" applyBorder="1" applyAlignment="1" quotePrefix="1">
      <alignment horizontal="left"/>
    </xf>
    <xf numFmtId="0" fontId="6" fillId="3" borderId="17" xfId="0" applyFont="1" applyFill="1" applyBorder="1" applyAlignment="1">
      <alignment horizontal="left"/>
    </xf>
    <xf numFmtId="43" fontId="0" fillId="3" borderId="0" xfId="17" applyFill="1" applyBorder="1" applyAlignment="1">
      <alignment/>
    </xf>
    <xf numFmtId="43" fontId="0" fillId="3" borderId="0" xfId="17" applyNumberFormat="1" applyFont="1" applyFill="1" applyBorder="1" applyAlignment="1">
      <alignment/>
    </xf>
    <xf numFmtId="188" fontId="0" fillId="3" borderId="16" xfId="17" applyNumberFormat="1" applyFill="1" applyBorder="1" applyAlignment="1">
      <alignment/>
    </xf>
    <xf numFmtId="188" fontId="0" fillId="3" borderId="0" xfId="17" applyNumberFormat="1" applyFill="1" applyBorder="1" applyAlignment="1">
      <alignment/>
    </xf>
    <xf numFmtId="0" fontId="0" fillId="0" borderId="10" xfId="0" applyFill="1" applyBorder="1" applyAlignment="1" applyProtection="1">
      <alignment horizontal="center"/>
      <protection locked="0"/>
    </xf>
    <xf numFmtId="188" fontId="0" fillId="0" borderId="10" xfId="17" applyNumberFormat="1" applyFont="1" applyFill="1" applyBorder="1" applyAlignment="1" applyProtection="1">
      <alignment/>
      <protection locked="0"/>
    </xf>
    <xf numFmtId="188" fontId="0" fillId="3" borderId="17" xfId="17" applyNumberFormat="1" applyFill="1" applyBorder="1" applyAlignment="1">
      <alignment/>
    </xf>
    <xf numFmtId="43" fontId="0" fillId="0" borderId="10" xfId="17" applyFill="1" applyBorder="1" applyAlignment="1" applyProtection="1">
      <alignment/>
      <protection locked="0"/>
    </xf>
    <xf numFmtId="43" fontId="0" fillId="0" borderId="10" xfId="17" applyNumberFormat="1" applyFont="1" applyFill="1" applyBorder="1" applyAlignment="1" applyProtection="1">
      <alignment/>
      <protection locked="0"/>
    </xf>
    <xf numFmtId="188" fontId="0" fillId="0" borderId="10" xfId="17" applyNumberFormat="1" applyFill="1" applyBorder="1" applyAlignment="1" applyProtection="1">
      <alignment/>
      <protection locked="0"/>
    </xf>
    <xf numFmtId="0" fontId="0" fillId="2" borderId="29" xfId="0" applyFill="1" applyBorder="1" applyAlignment="1">
      <alignment horizontal="center"/>
    </xf>
    <xf numFmtId="0" fontId="0" fillId="2" borderId="30" xfId="0" applyFill="1" applyBorder="1" applyAlignment="1">
      <alignment/>
    </xf>
    <xf numFmtId="188" fontId="0" fillId="2" borderId="29" xfId="17" applyNumberFormat="1" applyFill="1" applyBorder="1" applyAlignment="1">
      <alignment/>
    </xf>
    <xf numFmtId="188" fontId="0" fillId="2" borderId="30" xfId="17" applyNumberFormat="1" applyFill="1" applyBorder="1" applyAlignment="1">
      <alignment/>
    </xf>
    <xf numFmtId="43" fontId="0" fillId="2" borderId="29" xfId="17" applyFill="1" applyBorder="1" applyAlignment="1">
      <alignment/>
    </xf>
    <xf numFmtId="188" fontId="1" fillId="2" borderId="29" xfId="17" applyNumberFormat="1" applyFont="1" applyFill="1" applyBorder="1" applyAlignment="1">
      <alignment/>
    </xf>
    <xf numFmtId="188" fontId="1" fillId="2" borderId="30" xfId="17" applyNumberFormat="1" applyFont="1" applyFill="1" applyBorder="1" applyAlignment="1">
      <alignment/>
    </xf>
    <xf numFmtId="188" fontId="1" fillId="3" borderId="0" xfId="17" applyNumberFormat="1" applyFont="1" applyFill="1" applyBorder="1" applyAlignment="1">
      <alignment/>
    </xf>
    <xf numFmtId="188" fontId="1" fillId="3" borderId="16" xfId="17" applyNumberFormat="1" applyFont="1" applyFill="1" applyBorder="1" applyAlignment="1">
      <alignment/>
    </xf>
    <xf numFmtId="43" fontId="0" fillId="3" borderId="0" xfId="17" applyFont="1" applyFill="1" applyBorder="1" applyAlignment="1">
      <alignment/>
    </xf>
    <xf numFmtId="43" fontId="0" fillId="0" borderId="10" xfId="17" applyFont="1" applyFill="1" applyBorder="1" applyAlignment="1" applyProtection="1">
      <alignment/>
      <protection locked="0"/>
    </xf>
    <xf numFmtId="188" fontId="1" fillId="3" borderId="17" xfId="17" applyNumberFormat="1" applyFont="1" applyFill="1" applyBorder="1" applyAlignment="1">
      <alignment/>
    </xf>
    <xf numFmtId="188" fontId="1" fillId="0" borderId="10" xfId="17" applyNumberFormat="1" applyFont="1" applyFill="1" applyBorder="1" applyAlignment="1" applyProtection="1">
      <alignment/>
      <protection locked="0"/>
    </xf>
    <xf numFmtId="188" fontId="4" fillId="3" borderId="29" xfId="17" applyNumberFormat="1" applyFont="1" applyFill="1" applyBorder="1" applyAlignment="1">
      <alignment/>
    </xf>
    <xf numFmtId="188" fontId="0" fillId="3" borderId="30" xfId="17" applyNumberFormat="1" applyFill="1" applyBorder="1" applyAlignment="1">
      <alignment/>
    </xf>
    <xf numFmtId="43" fontId="0" fillId="3" borderId="0" xfId="17" applyNumberFormat="1" applyFill="1" applyBorder="1" applyAlignment="1">
      <alignment/>
    </xf>
    <xf numFmtId="188" fontId="0" fillId="3" borderId="8" xfId="17" applyNumberFormat="1" applyFill="1" applyBorder="1" applyAlignment="1">
      <alignment/>
    </xf>
    <xf numFmtId="0" fontId="0" fillId="3" borderId="14" xfId="0" applyFill="1" applyBorder="1" applyAlignment="1">
      <alignment horizontal="center"/>
    </xf>
    <xf numFmtId="43" fontId="0" fillId="3" borderId="14" xfId="17" applyNumberFormat="1" applyFill="1" applyBorder="1" applyAlignment="1">
      <alignment/>
    </xf>
    <xf numFmtId="188" fontId="0" fillId="3" borderId="14" xfId="17" applyNumberFormat="1" applyFill="1" applyBorder="1" applyAlignment="1">
      <alignment/>
    </xf>
    <xf numFmtId="43" fontId="0" fillId="3" borderId="14" xfId="17" applyFill="1" applyBorder="1" applyAlignment="1">
      <alignment/>
    </xf>
    <xf numFmtId="188" fontId="0" fillId="3" borderId="15" xfId="17" applyNumberFormat="1" applyFill="1" applyBorder="1" applyAlignment="1">
      <alignment/>
    </xf>
    <xf numFmtId="188" fontId="1" fillId="3" borderId="8" xfId="17" applyNumberFormat="1" applyFont="1" applyFill="1" applyBorder="1" applyAlignment="1">
      <alignment/>
    </xf>
    <xf numFmtId="43" fontId="5" fillId="3" borderId="0" xfId="17" applyFont="1" applyFill="1" applyBorder="1" applyAlignment="1">
      <alignment/>
    </xf>
    <xf numFmtId="189" fontId="6" fillId="3" borderId="10" xfId="17" applyNumberFormat="1" applyFont="1" applyFill="1" applyBorder="1" applyAlignment="1" quotePrefix="1">
      <alignment horizontal="center"/>
    </xf>
    <xf numFmtId="188" fontId="0" fillId="3" borderId="10" xfId="17" applyNumberFormat="1" applyFont="1" applyFill="1" applyBorder="1" applyAlignment="1" quotePrefix="1">
      <alignment horizontal="center"/>
    </xf>
    <xf numFmtId="0" fontId="8" fillId="3" borderId="0" xfId="0" applyFont="1" applyFill="1" applyAlignment="1">
      <alignment horizontal="left"/>
    </xf>
    <xf numFmtId="188" fontId="0" fillId="3" borderId="10" xfId="17" applyNumberFormat="1" applyFill="1" applyBorder="1" applyAlignment="1">
      <alignment/>
    </xf>
    <xf numFmtId="0" fontId="0" fillId="3" borderId="49" xfId="0" applyFill="1" applyBorder="1" applyAlignment="1">
      <alignment/>
    </xf>
    <xf numFmtId="0" fontId="1" fillId="3" borderId="20" xfId="0" applyFont="1" applyFill="1" applyBorder="1" applyAlignment="1">
      <alignment/>
    </xf>
    <xf numFmtId="188" fontId="0" fillId="3" borderId="0" xfId="17" applyNumberFormat="1" applyFont="1" applyFill="1" applyBorder="1" applyAlignment="1">
      <alignment/>
    </xf>
    <xf numFmtId="0" fontId="11" fillId="4" borderId="12" xfId="0" applyFont="1" applyFill="1" applyBorder="1" applyAlignment="1" applyProtection="1">
      <alignment horizontal="center"/>
      <protection locked="0"/>
    </xf>
    <xf numFmtId="0" fontId="12" fillId="4" borderId="17" xfId="0" applyFont="1" applyFill="1" applyBorder="1" applyAlignment="1" applyProtection="1">
      <alignment/>
      <protection locked="0"/>
    </xf>
    <xf numFmtId="188" fontId="0" fillId="4" borderId="10" xfId="17" applyNumberFormat="1" applyFill="1" applyBorder="1" applyAlignment="1" applyProtection="1">
      <alignment horizontal="center"/>
      <protection locked="0"/>
    </xf>
    <xf numFmtId="189" fontId="12" fillId="3" borderId="22" xfId="17" applyNumberFormat="1" applyFont="1" applyFill="1" applyBorder="1" applyAlignment="1" applyProtection="1">
      <alignment/>
      <protection/>
    </xf>
    <xf numFmtId="189" fontId="12" fillId="3" borderId="32" xfId="17" applyNumberFormat="1" applyFont="1" applyFill="1" applyBorder="1" applyAlignment="1" applyProtection="1">
      <alignment/>
      <protection/>
    </xf>
    <xf numFmtId="189" fontId="12" fillId="3" borderId="0" xfId="17" applyNumberFormat="1" applyFont="1" applyFill="1" applyBorder="1" applyAlignment="1" applyProtection="1">
      <alignment/>
      <protection/>
    </xf>
    <xf numFmtId="189" fontId="12" fillId="3" borderId="41" xfId="17" applyNumberFormat="1" applyFont="1" applyFill="1" applyBorder="1" applyAlignment="1" applyProtection="1">
      <alignment/>
      <protection/>
    </xf>
    <xf numFmtId="189" fontId="12" fillId="3" borderId="42" xfId="17" applyNumberFormat="1" applyFont="1" applyFill="1" applyBorder="1" applyAlignment="1" applyProtection="1">
      <alignment/>
      <protection/>
    </xf>
    <xf numFmtId="189" fontId="11" fillId="4" borderId="36" xfId="17" applyNumberFormat="1" applyFont="1" applyFill="1" applyBorder="1" applyAlignment="1" applyProtection="1">
      <alignment/>
      <protection locked="0"/>
    </xf>
    <xf numFmtId="188" fontId="21" fillId="4" borderId="36" xfId="17" applyNumberFormat="1" applyFont="1" applyFill="1" applyBorder="1" applyAlignment="1" applyProtection="1">
      <alignment/>
      <protection locked="0"/>
    </xf>
    <xf numFmtId="0" fontId="12" fillId="4" borderId="17" xfId="0" applyFont="1" applyFill="1" applyBorder="1" applyAlignment="1">
      <alignment/>
    </xf>
    <xf numFmtId="0" fontId="0" fillId="3" borderId="5" xfId="0" applyFill="1" applyBorder="1" applyAlignment="1">
      <alignment/>
    </xf>
    <xf numFmtId="0" fontId="5" fillId="3" borderId="6" xfId="0" applyFont="1" applyFill="1" applyBorder="1" applyAlignment="1">
      <alignment horizontal="center"/>
    </xf>
    <xf numFmtId="0" fontId="0" fillId="4" borderId="6" xfId="0" applyFill="1" applyBorder="1" applyAlignment="1" applyProtection="1">
      <alignment/>
      <protection locked="0"/>
    </xf>
    <xf numFmtId="0" fontId="5" fillId="4" borderId="6" xfId="0" applyFont="1" applyFill="1" applyBorder="1" applyAlignment="1" applyProtection="1">
      <alignment/>
      <protection locked="0"/>
    </xf>
    <xf numFmtId="0" fontId="8" fillId="4" borderId="6" xfId="0" applyFont="1" applyFill="1" applyBorder="1" applyAlignment="1" applyProtection="1">
      <alignment horizontal="center"/>
      <protection locked="0"/>
    </xf>
    <xf numFmtId="0" fontId="0" fillId="3" borderId="0" xfId="0" applyFill="1" applyBorder="1" applyAlignment="1">
      <alignment/>
    </xf>
    <xf numFmtId="0" fontId="1" fillId="4" borderId="12" xfId="0" applyFont="1" applyFill="1" applyBorder="1" applyAlignment="1" applyProtection="1">
      <alignment/>
      <protection locked="0"/>
    </xf>
    <xf numFmtId="3" fontId="11" fillId="4" borderId="12" xfId="0" applyNumberFormat="1" applyFont="1" applyFill="1" applyBorder="1" applyAlignment="1" applyProtection="1">
      <alignment horizontal="center"/>
      <protection locked="0"/>
    </xf>
    <xf numFmtId="0" fontId="0" fillId="4" borderId="50" xfId="0" applyFill="1" applyBorder="1" applyAlignment="1" applyProtection="1">
      <alignment/>
      <protection locked="0"/>
    </xf>
    <xf numFmtId="0" fontId="0" fillId="4" borderId="48" xfId="0" applyFill="1" applyBorder="1" applyAlignment="1" applyProtection="1">
      <alignment/>
      <protection locked="0"/>
    </xf>
    <xf numFmtId="0" fontId="0" fillId="4" borderId="48" xfId="0" applyFill="1" applyBorder="1" applyAlignment="1" applyProtection="1">
      <alignment horizontal="center"/>
      <protection locked="0"/>
    </xf>
    <xf numFmtId="0" fontId="12" fillId="4" borderId="0" xfId="0" applyFont="1" applyFill="1" applyAlignment="1" quotePrefix="1">
      <alignment horizontal="right"/>
    </xf>
    <xf numFmtId="0" fontId="0" fillId="0" borderId="0" xfId="0" applyFill="1" applyBorder="1" applyAlignment="1">
      <alignment/>
    </xf>
    <xf numFmtId="0" fontId="5" fillId="0" borderId="0" xfId="0" applyFont="1" applyFill="1" applyBorder="1" applyAlignment="1">
      <alignment horizontal="center"/>
    </xf>
    <xf numFmtId="0" fontId="28" fillId="3" borderId="5" xfId="0" applyFont="1" applyFill="1" applyBorder="1" applyAlignment="1">
      <alignment/>
    </xf>
    <xf numFmtId="0" fontId="19" fillId="3" borderId="6" xfId="0" applyFont="1" applyFill="1" applyBorder="1" applyAlignment="1">
      <alignment horizontal="center"/>
    </xf>
    <xf numFmtId="0" fontId="28" fillId="3" borderId="7" xfId="0" applyFont="1" applyFill="1" applyBorder="1" applyAlignment="1">
      <alignment/>
    </xf>
    <xf numFmtId="0" fontId="0" fillId="1" borderId="0" xfId="23" applyFill="1">
      <alignment/>
    </xf>
    <xf numFmtId="0" fontId="0" fillId="4" borderId="1" xfId="23" applyFill="1" applyBorder="1">
      <alignment/>
    </xf>
    <xf numFmtId="0" fontId="0" fillId="4" borderId="2" xfId="23" applyFill="1" applyBorder="1">
      <alignment/>
    </xf>
    <xf numFmtId="0" fontId="0" fillId="4" borderId="3" xfId="23" applyFill="1" applyBorder="1">
      <alignment/>
    </xf>
    <xf numFmtId="0" fontId="4" fillId="4" borderId="4" xfId="21" applyFont="1" applyFill="1" applyBorder="1">
      <alignment/>
      <protection/>
    </xf>
    <xf numFmtId="0" fontId="0" fillId="4" borderId="0" xfId="23" applyFill="1">
      <alignment/>
    </xf>
    <xf numFmtId="0" fontId="0" fillId="1" borderId="51" xfId="23" applyFill="1" applyBorder="1">
      <alignment/>
    </xf>
    <xf numFmtId="0" fontId="0" fillId="1" borderId="52" xfId="23" applyFill="1" applyBorder="1">
      <alignment/>
    </xf>
    <xf numFmtId="0" fontId="29" fillId="1" borderId="52" xfId="23" applyFont="1" applyFill="1" applyBorder="1" applyAlignment="1">
      <alignment horizontal="center"/>
    </xf>
    <xf numFmtId="0" fontId="0" fillId="1" borderId="53" xfId="23" applyFill="1" applyBorder="1">
      <alignment/>
    </xf>
    <xf numFmtId="0" fontId="0" fillId="4" borderId="0" xfId="23" applyFill="1" applyBorder="1">
      <alignment/>
    </xf>
    <xf numFmtId="0" fontId="0" fillId="4" borderId="8" xfId="23" applyFill="1" applyBorder="1">
      <alignment/>
    </xf>
    <xf numFmtId="0" fontId="0" fillId="4" borderId="4" xfId="23" applyFill="1" applyBorder="1">
      <alignment/>
    </xf>
    <xf numFmtId="0" fontId="30" fillId="4" borderId="0" xfId="23" applyFont="1" applyFill="1" applyBorder="1">
      <alignment/>
    </xf>
    <xf numFmtId="0" fontId="19" fillId="4" borderId="0" xfId="23" applyFont="1" applyFill="1" applyBorder="1">
      <alignment/>
    </xf>
    <xf numFmtId="0" fontId="22" fillId="4" borderId="0" xfId="23" applyFont="1" applyFill="1" applyBorder="1" applyAlignment="1">
      <alignment horizontal="center"/>
    </xf>
    <xf numFmtId="0" fontId="4" fillId="4" borderId="0" xfId="23" applyFont="1" applyFill="1" applyBorder="1" applyAlignment="1">
      <alignment horizontal="center"/>
    </xf>
    <xf numFmtId="0" fontId="0" fillId="4" borderId="4" xfId="23" applyFont="1" applyFill="1" applyBorder="1" applyAlignment="1">
      <alignment horizontal="center"/>
    </xf>
    <xf numFmtId="0" fontId="0" fillId="4" borderId="0" xfId="23" applyFont="1" applyFill="1" applyBorder="1" applyAlignment="1">
      <alignment horizontal="center"/>
    </xf>
    <xf numFmtId="0" fontId="0" fillId="4" borderId="8" xfId="23" applyFont="1" applyFill="1" applyBorder="1" applyAlignment="1">
      <alignment horizontal="center"/>
    </xf>
    <xf numFmtId="0" fontId="0" fillId="4" borderId="0" xfId="23" applyFont="1" applyFill="1" applyBorder="1">
      <alignment/>
    </xf>
    <xf numFmtId="0" fontId="4" fillId="4" borderId="0" xfId="23" applyFont="1" applyFill="1" applyBorder="1" applyAlignment="1">
      <alignment horizontal="center"/>
    </xf>
    <xf numFmtId="0" fontId="12" fillId="4" borderId="0" xfId="23" applyFont="1" applyFill="1" applyBorder="1">
      <alignment/>
    </xf>
    <xf numFmtId="17" fontId="0" fillId="4" borderId="0" xfId="23" applyNumberFormat="1" applyFont="1" applyFill="1" applyBorder="1" applyAlignment="1">
      <alignment horizontal="center"/>
    </xf>
    <xf numFmtId="0" fontId="0" fillId="4" borderId="13" xfId="23" applyFill="1" applyBorder="1">
      <alignment/>
    </xf>
    <xf numFmtId="0" fontId="0" fillId="4" borderId="14" xfId="23" applyFill="1" applyBorder="1">
      <alignment/>
    </xf>
    <xf numFmtId="0" fontId="0" fillId="4" borderId="15" xfId="23" applyFill="1" applyBorder="1">
      <alignment/>
    </xf>
    <xf numFmtId="189" fontId="11" fillId="3" borderId="11" xfId="17" applyNumberFormat="1" applyFont="1" applyFill="1" applyBorder="1" applyAlignment="1" applyProtection="1">
      <alignment horizontal="center"/>
      <protection/>
    </xf>
    <xf numFmtId="188" fontId="11" fillId="3" borderId="54" xfId="17" applyNumberFormat="1" applyFont="1" applyFill="1" applyBorder="1" applyAlignment="1" applyProtection="1">
      <alignment/>
      <protection/>
    </xf>
    <xf numFmtId="188" fontId="11" fillId="3" borderId="55" xfId="17" applyNumberFormat="1" applyFont="1" applyFill="1" applyBorder="1" applyAlignment="1" applyProtection="1">
      <alignment/>
      <protection/>
    </xf>
    <xf numFmtId="188" fontId="11" fillId="3" borderId="16" xfId="17" applyNumberFormat="1" applyFont="1" applyFill="1" applyBorder="1" applyAlignment="1" applyProtection="1">
      <alignment/>
      <protection/>
    </xf>
    <xf numFmtId="188" fontId="11" fillId="3" borderId="17" xfId="17" applyNumberFormat="1" applyFont="1" applyFill="1" applyBorder="1" applyAlignment="1" applyProtection="1">
      <alignment/>
      <protection/>
    </xf>
    <xf numFmtId="0" fontId="4" fillId="4" borderId="0" xfId="21" applyFont="1" applyFill="1" applyBorder="1">
      <alignment/>
      <protection/>
    </xf>
    <xf numFmtId="0" fontId="0" fillId="4" borderId="0" xfId="21" applyFill="1" applyBorder="1">
      <alignment/>
      <protection/>
    </xf>
    <xf numFmtId="0" fontId="0" fillId="4" borderId="0" xfId="22" applyFill="1">
      <alignment/>
    </xf>
    <xf numFmtId="0" fontId="0" fillId="4" borderId="0" xfId="21" applyFill="1">
      <alignment/>
      <protection/>
    </xf>
    <xf numFmtId="0" fontId="1" fillId="4" borderId="0" xfId="0" applyFont="1" applyFill="1" applyAlignment="1" quotePrefix="1">
      <alignment horizontal="left"/>
    </xf>
    <xf numFmtId="0" fontId="4" fillId="0" borderId="10" xfId="0" applyFont="1" applyBorder="1" applyAlignment="1" applyProtection="1">
      <alignment/>
      <protection locked="0"/>
    </xf>
    <xf numFmtId="43" fontId="0" fillId="3" borderId="10" xfId="17" applyFill="1" applyBorder="1" applyAlignment="1">
      <alignment horizontal="center"/>
    </xf>
    <xf numFmtId="43" fontId="0" fillId="3" borderId="17" xfId="17" applyFill="1" applyBorder="1" applyAlignment="1">
      <alignment horizontal="center"/>
    </xf>
    <xf numFmtId="43" fontId="4" fillId="3" borderId="18" xfId="17" applyFont="1" applyFill="1" applyBorder="1" applyAlignment="1">
      <alignment horizontal="center"/>
    </xf>
    <xf numFmtId="43" fontId="1" fillId="3" borderId="56" xfId="17" applyFont="1" applyFill="1" applyBorder="1" applyAlignment="1">
      <alignment horizontal="center"/>
    </xf>
    <xf numFmtId="43" fontId="4" fillId="3" borderId="57" xfId="17" applyFont="1" applyFill="1" applyBorder="1" applyAlignment="1">
      <alignment horizontal="center"/>
    </xf>
    <xf numFmtId="0" fontId="1" fillId="3" borderId="15" xfId="0" applyFont="1" applyFill="1" applyBorder="1" applyAlignment="1">
      <alignment/>
    </xf>
    <xf numFmtId="0" fontId="7" fillId="3" borderId="0" xfId="0" applyFont="1" applyFill="1" applyBorder="1" applyAlignment="1">
      <alignment horizontal="center"/>
    </xf>
    <xf numFmtId="188" fontId="0" fillId="3" borderId="17" xfId="17" applyNumberFormat="1" applyFill="1" applyBorder="1" applyAlignment="1" applyProtection="1">
      <alignment/>
      <protection/>
    </xf>
    <xf numFmtId="43" fontId="4" fillId="3" borderId="5" xfId="17" applyFont="1" applyFill="1" applyBorder="1" applyAlignment="1">
      <alignment/>
    </xf>
    <xf numFmtId="43" fontId="1" fillId="3" borderId="7" xfId="17" applyFont="1" applyFill="1" applyBorder="1" applyAlignment="1">
      <alignment/>
    </xf>
    <xf numFmtId="0" fontId="0" fillId="3" borderId="58" xfId="0" applyFill="1" applyBorder="1" applyAlignment="1">
      <alignment/>
    </xf>
    <xf numFmtId="43" fontId="0" fillId="2" borderId="29" xfId="17" applyNumberFormat="1" applyFill="1" applyBorder="1" applyAlignment="1">
      <alignment/>
    </xf>
    <xf numFmtId="43" fontId="4" fillId="3" borderId="5" xfId="17" applyFont="1" applyFill="1" applyBorder="1" applyAlignment="1">
      <alignment/>
    </xf>
    <xf numFmtId="43" fontId="4" fillId="3" borderId="7" xfId="17" applyFont="1" applyFill="1" applyBorder="1" applyAlignment="1">
      <alignment/>
    </xf>
    <xf numFmtId="43" fontId="4" fillId="3" borderId="6" xfId="17" applyFont="1" applyFill="1" applyBorder="1" applyAlignment="1">
      <alignment/>
    </xf>
    <xf numFmtId="43" fontId="0" fillId="3" borderId="16" xfId="17" applyFill="1" applyBorder="1" applyAlignment="1">
      <alignment/>
    </xf>
    <xf numFmtId="43" fontId="4" fillId="3" borderId="0" xfId="17" applyFont="1" applyFill="1" applyBorder="1" applyAlignment="1">
      <alignment/>
    </xf>
    <xf numFmtId="43" fontId="0" fillId="3" borderId="26" xfId="17" applyFill="1" applyBorder="1" applyAlignment="1">
      <alignment/>
    </xf>
    <xf numFmtId="43" fontId="1" fillId="3" borderId="0" xfId="17" applyFont="1" applyFill="1" applyBorder="1" applyAlignment="1">
      <alignment/>
    </xf>
    <xf numFmtId="43" fontId="1" fillId="3" borderId="16" xfId="17" applyFont="1" applyFill="1" applyBorder="1" applyAlignment="1">
      <alignment/>
    </xf>
    <xf numFmtId="0" fontId="4" fillId="3" borderId="28" xfId="0" applyFont="1" applyFill="1" applyBorder="1" applyAlignment="1">
      <alignment/>
    </xf>
    <xf numFmtId="0" fontId="4" fillId="3" borderId="29" xfId="0" applyFont="1" applyFill="1" applyBorder="1" applyAlignment="1">
      <alignment/>
    </xf>
    <xf numFmtId="188" fontId="0" fillId="3" borderId="29" xfId="17" applyNumberFormat="1" applyFill="1" applyBorder="1" applyAlignment="1">
      <alignment/>
    </xf>
    <xf numFmtId="43" fontId="0" fillId="3" borderId="29" xfId="17" applyNumberFormat="1" applyFill="1" applyBorder="1" applyAlignment="1">
      <alignment/>
    </xf>
    <xf numFmtId="43" fontId="0" fillId="3" borderId="29" xfId="17" applyFill="1" applyBorder="1" applyAlignment="1">
      <alignment/>
    </xf>
    <xf numFmtId="188" fontId="0" fillId="3" borderId="27" xfId="17" applyNumberFormat="1" applyFill="1" applyBorder="1" applyAlignment="1">
      <alignment/>
    </xf>
    <xf numFmtId="43" fontId="5" fillId="3" borderId="29" xfId="17" applyFont="1" applyFill="1" applyBorder="1" applyAlignment="1">
      <alignment/>
    </xf>
    <xf numFmtId="43" fontId="0" fillId="3" borderId="30" xfId="17" applyFill="1" applyBorder="1" applyAlignment="1">
      <alignment/>
    </xf>
    <xf numFmtId="188" fontId="5" fillId="3" borderId="0" xfId="17" applyNumberFormat="1" applyFont="1" applyFill="1" applyBorder="1" applyAlignment="1">
      <alignment/>
    </xf>
    <xf numFmtId="190" fontId="0" fillId="3" borderId="14" xfId="17" applyNumberFormat="1" applyFill="1" applyBorder="1" applyAlignment="1">
      <alignment/>
    </xf>
    <xf numFmtId="0" fontId="11" fillId="3" borderId="8" xfId="0" applyFont="1" applyFill="1" applyBorder="1" applyAlignment="1">
      <alignment/>
    </xf>
    <xf numFmtId="0" fontId="0" fillId="1" borderId="15" xfId="0" applyFill="1" applyBorder="1" applyAlignment="1">
      <alignment/>
    </xf>
    <xf numFmtId="0" fontId="0" fillId="3" borderId="59" xfId="0" applyFill="1" applyBorder="1" applyAlignment="1">
      <alignment/>
    </xf>
    <xf numFmtId="188" fontId="4" fillId="3" borderId="60" xfId="17" applyNumberFormat="1" applyFont="1" applyFill="1" applyBorder="1" applyAlignment="1">
      <alignment/>
    </xf>
    <xf numFmtId="188" fontId="0" fillId="0" borderId="10" xfId="17" applyNumberFormat="1" applyBorder="1" applyAlignment="1" applyProtection="1">
      <alignment horizontal="center"/>
      <protection locked="0"/>
    </xf>
    <xf numFmtId="188" fontId="0" fillId="0" borderId="10" xfId="17" applyNumberFormat="1" applyFont="1" applyFill="1" applyBorder="1" applyAlignment="1" applyProtection="1">
      <alignment/>
      <protection locked="0"/>
    </xf>
    <xf numFmtId="188" fontId="0" fillId="3" borderId="17" xfId="17" applyNumberFormat="1" applyFont="1" applyFill="1" applyBorder="1" applyAlignment="1">
      <alignment/>
    </xf>
    <xf numFmtId="188" fontId="0" fillId="3" borderId="10" xfId="17" applyNumberFormat="1" applyFont="1" applyFill="1" applyBorder="1" applyAlignment="1">
      <alignment/>
    </xf>
    <xf numFmtId="0" fontId="0" fillId="3" borderId="17" xfId="0" applyFont="1" applyFill="1" applyBorder="1" applyAlignment="1">
      <alignment/>
    </xf>
    <xf numFmtId="43" fontId="0" fillId="0" borderId="10" xfId="17" applyFont="1" applyFill="1" applyBorder="1" applyAlignment="1" applyProtection="1">
      <alignment/>
      <protection locked="0"/>
    </xf>
    <xf numFmtId="188" fontId="1" fillId="3" borderId="17" xfId="17" applyNumberFormat="1" applyFont="1" applyFill="1" applyBorder="1" applyAlignment="1">
      <alignment/>
    </xf>
    <xf numFmtId="43" fontId="0" fillId="3" borderId="10" xfId="17" applyFont="1" applyFill="1" applyBorder="1" applyAlignment="1">
      <alignment horizontal="center"/>
    </xf>
    <xf numFmtId="43" fontId="0" fillId="3" borderId="17" xfId="17" applyFont="1" applyFill="1" applyBorder="1" applyAlignment="1">
      <alignment horizontal="center"/>
    </xf>
    <xf numFmtId="188" fontId="1" fillId="0" borderId="10" xfId="17" applyNumberFormat="1" applyFont="1" applyFill="1" applyBorder="1" applyAlignment="1" applyProtection="1">
      <alignment/>
      <protection locked="0"/>
    </xf>
    <xf numFmtId="193" fontId="1" fillId="0" borderId="0" xfId="0" applyNumberFormat="1" applyFont="1" applyAlignment="1">
      <alignment/>
    </xf>
    <xf numFmtId="0" fontId="1" fillId="3" borderId="12" xfId="0" applyFont="1" applyFill="1" applyBorder="1" applyAlignment="1">
      <alignment horizontal="left"/>
    </xf>
    <xf numFmtId="0" fontId="1" fillId="3" borderId="12" xfId="0" applyFont="1" applyFill="1" applyBorder="1" applyAlignment="1" quotePrefix="1">
      <alignment horizontal="left"/>
    </xf>
    <xf numFmtId="0" fontId="9" fillId="3" borderId="0" xfId="0" applyFont="1" applyFill="1" applyBorder="1" applyAlignment="1" quotePrefix="1">
      <alignment horizontal="left"/>
    </xf>
    <xf numFmtId="189" fontId="0" fillId="3" borderId="0" xfId="17" applyNumberFormat="1" applyFont="1" applyFill="1" applyBorder="1" applyAlignment="1" quotePrefix="1">
      <alignment horizontal="center"/>
    </xf>
    <xf numFmtId="189" fontId="0" fillId="3" borderId="0" xfId="0" applyNumberFormat="1" applyFont="1" applyFill="1" applyBorder="1" applyAlignment="1" quotePrefix="1">
      <alignment horizontal="center"/>
    </xf>
    <xf numFmtId="0" fontId="0" fillId="3" borderId="16" xfId="0" applyFont="1" applyFill="1" applyBorder="1" applyAlignment="1" quotePrefix="1">
      <alignment horizontal="left"/>
    </xf>
    <xf numFmtId="189" fontId="0" fillId="3" borderId="39" xfId="0" applyNumberFormat="1" applyFont="1" applyFill="1" applyBorder="1" applyAlignment="1" quotePrefix="1">
      <alignment horizontal="center"/>
    </xf>
    <xf numFmtId="189" fontId="0" fillId="3" borderId="8" xfId="0" applyNumberFormat="1" applyFont="1" applyFill="1" applyBorder="1" applyAlignment="1" quotePrefix="1">
      <alignment horizontal="center"/>
    </xf>
    <xf numFmtId="0" fontId="6" fillId="3" borderId="10" xfId="0" applyFont="1" applyFill="1" applyBorder="1" applyAlignment="1">
      <alignment horizontal="left"/>
    </xf>
    <xf numFmtId="189" fontId="12" fillId="4" borderId="17" xfId="17" applyNumberFormat="1" applyFont="1" applyFill="1" applyBorder="1" applyAlignment="1">
      <alignment/>
    </xf>
    <xf numFmtId="0" fontId="11" fillId="4" borderId="10" xfId="0" applyFont="1" applyFill="1" applyBorder="1" applyAlignment="1" applyProtection="1">
      <alignment horizontal="left"/>
      <protection locked="0"/>
    </xf>
    <xf numFmtId="0" fontId="12" fillId="4" borderId="17" xfId="0" applyFont="1" applyFill="1" applyBorder="1" applyAlignment="1" applyProtection="1">
      <alignment/>
      <protection/>
    </xf>
    <xf numFmtId="43" fontId="0" fillId="3" borderId="10" xfId="17" applyFill="1" applyBorder="1" applyAlignment="1">
      <alignment/>
    </xf>
    <xf numFmtId="43" fontId="0" fillId="3" borderId="17" xfId="17" applyFill="1" applyBorder="1" applyAlignment="1">
      <alignment/>
    </xf>
    <xf numFmtId="43" fontId="0" fillId="3" borderId="11" xfId="17" applyFill="1" applyBorder="1" applyAlignment="1">
      <alignment/>
    </xf>
    <xf numFmtId="43" fontId="0" fillId="3" borderId="8" xfId="17" applyFill="1" applyBorder="1" applyAlignment="1">
      <alignment/>
    </xf>
    <xf numFmtId="0" fontId="4" fillId="3" borderId="0" xfId="0" applyFont="1" applyFill="1" applyBorder="1" applyAlignment="1" quotePrefix="1">
      <alignment horizontal="left"/>
    </xf>
    <xf numFmtId="9" fontId="0" fillId="5" borderId="0" xfId="24" applyFill="1" applyBorder="1" applyAlignment="1">
      <alignment/>
    </xf>
    <xf numFmtId="43" fontId="0" fillId="5" borderId="0" xfId="17" applyFill="1" applyBorder="1" applyAlignment="1">
      <alignment/>
    </xf>
    <xf numFmtId="43" fontId="0" fillId="5" borderId="8" xfId="17" applyFill="1" applyBorder="1" applyAlignment="1">
      <alignment/>
    </xf>
    <xf numFmtId="188" fontId="11" fillId="3" borderId="0" xfId="17" applyNumberFormat="1" applyFont="1" applyFill="1" applyBorder="1" applyAlignment="1">
      <alignment/>
    </xf>
    <xf numFmtId="0" fontId="0" fillId="5" borderId="10" xfId="0" applyFill="1" applyBorder="1" applyAlignment="1">
      <alignment/>
    </xf>
    <xf numFmtId="9" fontId="0" fillId="5" borderId="10" xfId="24" applyFill="1" applyBorder="1" applyAlignment="1">
      <alignment/>
    </xf>
    <xf numFmtId="43" fontId="0" fillId="5" borderId="10" xfId="17" applyFill="1" applyBorder="1" applyAlignment="1">
      <alignment/>
    </xf>
    <xf numFmtId="43" fontId="0" fillId="5" borderId="11" xfId="17" applyFill="1" applyBorder="1" applyAlignment="1">
      <alignment/>
    </xf>
    <xf numFmtId="43" fontId="5" fillId="3" borderId="0" xfId="17" applyFont="1" applyFill="1" applyBorder="1" applyAlignment="1" quotePrefix="1">
      <alignment horizontal="left"/>
    </xf>
    <xf numFmtId="188" fontId="11" fillId="4" borderId="48" xfId="0" applyNumberFormat="1" applyFont="1" applyFill="1" applyBorder="1" applyAlignment="1" applyProtection="1">
      <alignment/>
      <protection locked="0"/>
    </xf>
    <xf numFmtId="188" fontId="12" fillId="4" borderId="35" xfId="0" applyNumberFormat="1" applyFont="1" applyFill="1" applyBorder="1" applyAlignment="1" applyProtection="1">
      <alignment/>
      <protection locked="0"/>
    </xf>
    <xf numFmtId="188" fontId="12" fillId="0" borderId="48" xfId="17" applyNumberFormat="1" applyFont="1" applyBorder="1" applyAlignment="1" applyProtection="1">
      <alignment horizontal="center"/>
      <protection locked="0"/>
    </xf>
    <xf numFmtId="189" fontId="12" fillId="4" borderId="35" xfId="17" applyNumberFormat="1" applyFont="1" applyFill="1" applyBorder="1" applyAlignment="1">
      <alignment/>
    </xf>
    <xf numFmtId="189" fontId="12" fillId="5" borderId="61" xfId="0" applyNumberFormat="1" applyFont="1" applyFill="1" applyBorder="1" applyAlignment="1" applyProtection="1">
      <alignment horizontal="center"/>
      <protection/>
    </xf>
    <xf numFmtId="0" fontId="12" fillId="5" borderId="61" xfId="0" applyFont="1" applyFill="1" applyBorder="1" applyAlignment="1">
      <alignment/>
    </xf>
    <xf numFmtId="9" fontId="12" fillId="5" borderId="61" xfId="24" applyFont="1" applyFill="1" applyBorder="1" applyAlignment="1" applyProtection="1">
      <alignment/>
      <protection locked="0"/>
    </xf>
    <xf numFmtId="43" fontId="12" fillId="5" borderId="61" xfId="17" applyFont="1" applyFill="1" applyBorder="1" applyAlignment="1">
      <alignment/>
    </xf>
    <xf numFmtId="43" fontId="12" fillId="5" borderId="62" xfId="17" applyFont="1" applyFill="1" applyBorder="1" applyAlignment="1" applyProtection="1">
      <alignment/>
      <protection locked="0"/>
    </xf>
    <xf numFmtId="188" fontId="11" fillId="4" borderId="10" xfId="0" applyNumberFormat="1" applyFont="1" applyFill="1" applyBorder="1" applyAlignment="1" applyProtection="1">
      <alignment/>
      <protection locked="0"/>
    </xf>
    <xf numFmtId="188" fontId="12" fillId="4" borderId="17" xfId="0" applyNumberFormat="1" applyFont="1" applyFill="1" applyBorder="1" applyAlignment="1" applyProtection="1">
      <alignment/>
      <protection locked="0"/>
    </xf>
    <xf numFmtId="188" fontId="12" fillId="0" borderId="10" xfId="17" applyNumberFormat="1" applyFont="1" applyBorder="1" applyAlignment="1" applyProtection="1">
      <alignment horizontal="center"/>
      <protection locked="0"/>
    </xf>
    <xf numFmtId="189" fontId="12" fillId="5" borderId="0" xfId="0" applyNumberFormat="1" applyFont="1" applyFill="1" applyBorder="1" applyAlignment="1" applyProtection="1">
      <alignment horizontal="center"/>
      <protection/>
    </xf>
    <xf numFmtId="0" fontId="12" fillId="5" borderId="0" xfId="0" applyFont="1" applyFill="1" applyBorder="1" applyAlignment="1">
      <alignment/>
    </xf>
    <xf numFmtId="9" fontId="12" fillId="5" borderId="0" xfId="24" applyFont="1" applyFill="1" applyBorder="1" applyAlignment="1" applyProtection="1">
      <alignment/>
      <protection locked="0"/>
    </xf>
    <xf numFmtId="43" fontId="12" fillId="5" borderId="0" xfId="17" applyFont="1" applyFill="1" applyBorder="1" applyAlignment="1">
      <alignment/>
    </xf>
    <xf numFmtId="43" fontId="12" fillId="5" borderId="8" xfId="17" applyFont="1" applyFill="1" applyBorder="1" applyAlignment="1" applyProtection="1">
      <alignment/>
      <protection locked="0"/>
    </xf>
    <xf numFmtId="189" fontId="12" fillId="5" borderId="37" xfId="0" applyNumberFormat="1" applyFont="1" applyFill="1" applyBorder="1" applyAlignment="1" applyProtection="1">
      <alignment horizontal="center"/>
      <protection/>
    </xf>
    <xf numFmtId="0" fontId="0" fillId="5" borderId="0" xfId="0" applyFill="1" applyBorder="1" applyAlignment="1" applyProtection="1">
      <alignment/>
      <protection/>
    </xf>
    <xf numFmtId="43" fontId="4" fillId="5" borderId="0" xfId="17" applyFont="1" applyFill="1" applyBorder="1" applyAlignment="1">
      <alignment/>
    </xf>
    <xf numFmtId="43" fontId="11" fillId="3" borderId="59" xfId="17" applyFont="1" applyFill="1" applyBorder="1" applyAlignment="1">
      <alignment/>
    </xf>
    <xf numFmtId="43" fontId="0" fillId="3" borderId="60" xfId="17" applyFill="1" applyBorder="1" applyAlignment="1">
      <alignment/>
    </xf>
    <xf numFmtId="43" fontId="0" fillId="3" borderId="26" xfId="17" applyFill="1" applyBorder="1" applyAlignment="1" applyProtection="1">
      <alignment/>
      <protection/>
    </xf>
    <xf numFmtId="43" fontId="11" fillId="3" borderId="60" xfId="17" applyFont="1" applyFill="1" applyBorder="1" applyAlignment="1" applyProtection="1">
      <alignment/>
      <protection/>
    </xf>
    <xf numFmtId="0" fontId="0" fillId="5" borderId="14" xfId="0" applyFill="1" applyBorder="1" applyAlignment="1" applyProtection="1">
      <alignment/>
      <protection/>
    </xf>
    <xf numFmtId="9" fontId="0" fillId="5" borderId="14" xfId="24" applyFill="1" applyBorder="1" applyAlignment="1">
      <alignment/>
    </xf>
    <xf numFmtId="43" fontId="4" fillId="5" borderId="14" xfId="17" applyFont="1" applyFill="1" applyBorder="1" applyAlignment="1">
      <alignment/>
    </xf>
    <xf numFmtId="43" fontId="0" fillId="5" borderId="15" xfId="17" applyFill="1" applyBorder="1" applyAlignment="1">
      <alignment/>
    </xf>
    <xf numFmtId="43" fontId="11" fillId="3" borderId="63" xfId="17" applyFont="1" applyFill="1" applyBorder="1" applyAlignment="1">
      <alignment/>
    </xf>
    <xf numFmtId="43" fontId="0" fillId="3" borderId="64" xfId="17" applyFill="1" applyBorder="1" applyAlignment="1">
      <alignment/>
    </xf>
    <xf numFmtId="43" fontId="0" fillId="3" borderId="0" xfId="17" applyFill="1" applyBorder="1" applyAlignment="1" applyProtection="1">
      <alignment/>
      <protection/>
    </xf>
    <xf numFmtId="43" fontId="11" fillId="3" borderId="64" xfId="17" applyFont="1" applyFill="1" applyBorder="1" applyAlignment="1" applyProtection="1">
      <alignment/>
      <protection/>
    </xf>
    <xf numFmtId="43" fontId="4" fillId="3" borderId="65" xfId="17" applyFont="1" applyFill="1" applyBorder="1" applyAlignment="1">
      <alignment/>
    </xf>
    <xf numFmtId="43" fontId="4" fillId="3" borderId="0" xfId="17" applyFont="1" applyFill="1" applyBorder="1" applyAlignment="1" applyProtection="1">
      <alignment/>
      <protection/>
    </xf>
    <xf numFmtId="43" fontId="0" fillId="3" borderId="66" xfId="17" applyFill="1" applyBorder="1" applyAlignment="1">
      <alignment/>
    </xf>
    <xf numFmtId="9" fontId="0" fillId="3" borderId="14" xfId="24" applyFill="1" applyBorder="1" applyAlignment="1">
      <alignment/>
    </xf>
    <xf numFmtId="189" fontId="0" fillId="3" borderId="66" xfId="17" applyNumberFormat="1" applyFill="1" applyBorder="1" applyAlignment="1">
      <alignment/>
    </xf>
    <xf numFmtId="189" fontId="1" fillId="3" borderId="0" xfId="17" applyNumberFormat="1" applyFont="1" applyFill="1" applyBorder="1" applyAlignment="1">
      <alignment horizontal="center"/>
    </xf>
    <xf numFmtId="189" fontId="0" fillId="4" borderId="67" xfId="17" applyNumberFormat="1" applyFill="1" applyBorder="1" applyAlignment="1" applyProtection="1">
      <alignment/>
      <protection locked="0"/>
    </xf>
    <xf numFmtId="189" fontId="0" fillId="4" borderId="16" xfId="17" applyNumberFormat="1" applyFill="1" applyBorder="1" applyAlignment="1" applyProtection="1">
      <alignment/>
      <protection locked="0"/>
    </xf>
    <xf numFmtId="0" fontId="11" fillId="4" borderId="0" xfId="0" applyFont="1" applyFill="1" applyAlignment="1" quotePrefix="1">
      <alignment horizontal="left"/>
    </xf>
    <xf numFmtId="0" fontId="11" fillId="4" borderId="0" xfId="0" applyFont="1" applyFill="1" applyAlignment="1" quotePrefix="1">
      <alignment horizontal="right"/>
    </xf>
    <xf numFmtId="41" fontId="0" fillId="4" borderId="17" xfId="18" applyFill="1" applyBorder="1" applyAlignment="1" applyProtection="1">
      <alignment/>
      <protection locked="0"/>
    </xf>
    <xf numFmtId="9" fontId="12" fillId="4" borderId="17" xfId="24" applyNumberFormat="1" applyFont="1" applyFill="1" applyBorder="1" applyAlignment="1" applyProtection="1">
      <alignment horizontal="center"/>
      <protection locked="0"/>
    </xf>
    <xf numFmtId="9" fontId="12" fillId="4" borderId="17" xfId="24" applyFont="1" applyFill="1" applyBorder="1" applyAlignment="1" applyProtection="1">
      <alignment horizontal="center"/>
      <protection locked="0"/>
    </xf>
    <xf numFmtId="9" fontId="12" fillId="4" borderId="16" xfId="24" applyFont="1" applyFill="1" applyBorder="1" applyAlignment="1" applyProtection="1">
      <alignment horizontal="center"/>
      <protection/>
    </xf>
    <xf numFmtId="9" fontId="0" fillId="4" borderId="16" xfId="24" applyFill="1" applyBorder="1" applyAlignment="1" applyProtection="1">
      <alignment horizontal="center"/>
      <protection/>
    </xf>
    <xf numFmtId="0" fontId="0" fillId="4" borderId="16" xfId="0" applyFill="1" applyBorder="1" applyAlignment="1" applyProtection="1">
      <alignment/>
      <protection/>
    </xf>
    <xf numFmtId="41" fontId="0" fillId="4" borderId="16" xfId="18" applyFill="1" applyBorder="1" applyAlignment="1" applyProtection="1">
      <alignment/>
      <protection/>
    </xf>
    <xf numFmtId="0" fontId="12" fillId="4" borderId="16" xfId="0" applyFont="1" applyFill="1" applyBorder="1" applyAlignment="1" applyProtection="1">
      <alignment/>
      <protection/>
    </xf>
    <xf numFmtId="189" fontId="1" fillId="3" borderId="16" xfId="17" applyNumberFormat="1" applyFont="1" applyFill="1" applyBorder="1" applyAlignment="1" quotePrefix="1">
      <alignment horizontal="center"/>
    </xf>
    <xf numFmtId="189" fontId="12" fillId="4" borderId="17" xfId="17" applyNumberFormat="1" applyFont="1" applyFill="1" applyBorder="1" applyAlignment="1" applyProtection="1">
      <alignment horizontal="center"/>
      <protection locked="0"/>
    </xf>
    <xf numFmtId="193" fontId="0" fillId="4" borderId="0" xfId="17" applyNumberFormat="1" applyFill="1" applyAlignment="1">
      <alignment horizontal="center"/>
    </xf>
    <xf numFmtId="189" fontId="0" fillId="3" borderId="32" xfId="17" applyNumberFormat="1" applyFont="1" applyFill="1" applyBorder="1" applyAlignment="1" applyProtection="1">
      <alignment/>
      <protection/>
    </xf>
    <xf numFmtId="189" fontId="0" fillId="3" borderId="37" xfId="17" applyNumberFormat="1" applyFont="1" applyFill="1" applyBorder="1" applyAlignment="1" applyProtection="1">
      <alignment/>
      <protection/>
    </xf>
    <xf numFmtId="0" fontId="0" fillId="2" borderId="16" xfId="0" applyFill="1" applyBorder="1" applyAlignment="1" applyProtection="1">
      <alignment/>
      <protection/>
    </xf>
    <xf numFmtId="9" fontId="12" fillId="2" borderId="17" xfId="24" applyFont="1" applyFill="1" applyBorder="1" applyAlignment="1" applyProtection="1">
      <alignment horizontal="center"/>
      <protection locked="0"/>
    </xf>
    <xf numFmtId="188" fontId="0" fillId="3" borderId="0" xfId="17" applyNumberFormat="1" applyFill="1" applyAlignment="1">
      <alignment/>
    </xf>
    <xf numFmtId="189" fontId="0" fillId="3" borderId="0" xfId="17" applyNumberFormat="1" applyFill="1" applyAlignment="1">
      <alignment/>
    </xf>
    <xf numFmtId="188" fontId="0" fillId="3" borderId="0" xfId="0" applyNumberFormat="1" applyFill="1" applyAlignment="1">
      <alignment/>
    </xf>
    <xf numFmtId="0" fontId="1" fillId="3" borderId="0" xfId="0" applyFont="1" applyFill="1" applyAlignment="1">
      <alignment horizontal="center"/>
    </xf>
    <xf numFmtId="189" fontId="12" fillId="3" borderId="0" xfId="17" applyNumberFormat="1" applyFont="1" applyFill="1" applyBorder="1" applyAlignment="1">
      <alignment/>
    </xf>
    <xf numFmtId="0" fontId="1" fillId="3" borderId="0" xfId="0" applyFont="1" applyFill="1" applyAlignment="1">
      <alignment horizontal="right"/>
    </xf>
    <xf numFmtId="0" fontId="12" fillId="4" borderId="10" xfId="0" applyFont="1" applyFill="1" applyBorder="1" applyAlignment="1" applyProtection="1">
      <alignment horizontal="left"/>
      <protection locked="0"/>
    </xf>
    <xf numFmtId="0" fontId="12" fillId="4" borderId="10" xfId="0" applyFont="1" applyFill="1" applyBorder="1" applyAlignment="1" applyProtection="1">
      <alignment horizontal="center"/>
      <protection locked="0"/>
    </xf>
    <xf numFmtId="0" fontId="1" fillId="3" borderId="0" xfId="0" applyFont="1" applyFill="1" applyAlignment="1">
      <alignment/>
    </xf>
    <xf numFmtId="188" fontId="11" fillId="3" borderId="30" xfId="17" applyNumberFormat="1" applyFont="1" applyFill="1" applyBorder="1" applyAlignment="1" applyProtection="1">
      <alignment/>
      <protection/>
    </xf>
    <xf numFmtId="190" fontId="4" fillId="3" borderId="16" xfId="17" applyNumberFormat="1" applyFont="1" applyFill="1" applyBorder="1" applyAlignment="1" applyProtection="1">
      <alignment/>
      <protection/>
    </xf>
    <xf numFmtId="43" fontId="4" fillId="3" borderId="16" xfId="17" applyFont="1" applyFill="1" applyBorder="1" applyAlignment="1">
      <alignment/>
    </xf>
    <xf numFmtId="190" fontId="4" fillId="3" borderId="0" xfId="17" applyNumberFormat="1" applyFont="1" applyFill="1" applyBorder="1" applyAlignment="1" applyProtection="1">
      <alignment/>
      <protection/>
    </xf>
    <xf numFmtId="0" fontId="10" fillId="3" borderId="8" xfId="0" applyFont="1" applyFill="1" applyBorder="1" applyAlignment="1">
      <alignment/>
    </xf>
    <xf numFmtId="188" fontId="12" fillId="3" borderId="10" xfId="17" applyNumberFormat="1" applyFont="1" applyFill="1" applyBorder="1" applyAlignment="1">
      <alignment/>
    </xf>
    <xf numFmtId="188" fontId="12" fillId="3" borderId="17" xfId="17" applyNumberFormat="1" applyFont="1" applyFill="1" applyBorder="1" applyAlignment="1">
      <alignment/>
    </xf>
    <xf numFmtId="188" fontId="11" fillId="3" borderId="16" xfId="17" applyNumberFormat="1" applyFont="1" applyFill="1" applyBorder="1" applyAlignment="1">
      <alignment/>
    </xf>
    <xf numFmtId="188" fontId="12" fillId="0" borderId="17" xfId="17" applyNumberFormat="1" applyFont="1" applyBorder="1" applyAlignment="1" applyProtection="1">
      <alignment/>
      <protection locked="0"/>
    </xf>
    <xf numFmtId="188" fontId="12" fillId="4" borderId="11" xfId="17" applyNumberFormat="1" applyFont="1" applyFill="1" applyBorder="1" applyAlignment="1" applyProtection="1">
      <alignment/>
      <protection locked="0"/>
    </xf>
    <xf numFmtId="188" fontId="12" fillId="0" borderId="11" xfId="17" applyNumberFormat="1" applyFont="1" applyBorder="1" applyAlignment="1" applyProtection="1">
      <alignment/>
      <protection locked="0"/>
    </xf>
    <xf numFmtId="188" fontId="12" fillId="3" borderId="8" xfId="17" applyNumberFormat="1" applyFont="1" applyFill="1" applyBorder="1" applyAlignment="1">
      <alignment/>
    </xf>
    <xf numFmtId="188" fontId="11" fillId="3" borderId="8" xfId="17" applyNumberFormat="1" applyFont="1" applyFill="1" applyBorder="1" applyAlignment="1">
      <alignment/>
    </xf>
    <xf numFmtId="189" fontId="12" fillId="4" borderId="10" xfId="17" applyNumberFormat="1" applyFont="1" applyFill="1" applyBorder="1" applyAlignment="1" applyProtection="1">
      <alignment horizontal="center"/>
      <protection locked="0"/>
    </xf>
    <xf numFmtId="189" fontId="12" fillId="3" borderId="17" xfId="17" applyNumberFormat="1" applyFont="1" applyFill="1" applyBorder="1" applyAlignment="1">
      <alignment/>
    </xf>
    <xf numFmtId="189" fontId="12" fillId="3" borderId="16" xfId="17" applyNumberFormat="1" applyFont="1" applyFill="1" applyBorder="1" applyAlignment="1">
      <alignment/>
    </xf>
    <xf numFmtId="188" fontId="12" fillId="3" borderId="39" xfId="17" applyNumberFormat="1" applyFont="1" applyFill="1" applyBorder="1" applyAlignment="1">
      <alignment/>
    </xf>
    <xf numFmtId="188" fontId="4" fillId="3" borderId="10" xfId="17" applyNumberFormat="1" applyFont="1" applyFill="1" applyBorder="1" applyAlignment="1">
      <alignment/>
    </xf>
    <xf numFmtId="188" fontId="0" fillId="3" borderId="17" xfId="0" applyNumberFormat="1" applyFill="1" applyBorder="1" applyAlignment="1">
      <alignment/>
    </xf>
    <xf numFmtId="188" fontId="0" fillId="3" borderId="42" xfId="17" applyNumberFormat="1" applyFill="1" applyBorder="1" applyAlignment="1">
      <alignment/>
    </xf>
    <xf numFmtId="188" fontId="11" fillId="3" borderId="42" xfId="17" applyNumberFormat="1" applyFont="1" applyFill="1" applyBorder="1" applyAlignment="1">
      <alignment/>
    </xf>
    <xf numFmtId="189" fontId="0" fillId="3" borderId="0" xfId="17" applyNumberFormat="1" applyFill="1" applyBorder="1" applyAlignment="1">
      <alignment/>
    </xf>
    <xf numFmtId="189" fontId="11" fillId="3" borderId="0" xfId="17" applyNumberFormat="1" applyFont="1" applyFill="1" applyBorder="1" applyAlignment="1">
      <alignment/>
    </xf>
    <xf numFmtId="188" fontId="0" fillId="3" borderId="35" xfId="17" applyNumberFormat="1" applyFont="1" applyFill="1" applyBorder="1" applyAlignment="1">
      <alignment/>
    </xf>
    <xf numFmtId="188" fontId="0" fillId="3" borderId="17" xfId="17" applyNumberFormat="1" applyFont="1" applyFill="1" applyBorder="1" applyAlignment="1">
      <alignment/>
    </xf>
    <xf numFmtId="188" fontId="0" fillId="3" borderId="68" xfId="17" applyNumberFormat="1" applyFill="1" applyBorder="1" applyAlignment="1">
      <alignment/>
    </xf>
    <xf numFmtId="188" fontId="0" fillId="3" borderId="40" xfId="17" applyNumberFormat="1" applyFill="1" applyBorder="1" applyAlignment="1">
      <alignment/>
    </xf>
    <xf numFmtId="188" fontId="0" fillId="3" borderId="39" xfId="17" applyNumberFormat="1" applyFill="1" applyBorder="1" applyAlignment="1">
      <alignment/>
    </xf>
    <xf numFmtId="188" fontId="0" fillId="3" borderId="40" xfId="17" applyNumberFormat="1" applyFill="1" applyBorder="1" applyAlignment="1">
      <alignment/>
    </xf>
    <xf numFmtId="188" fontId="11" fillId="3" borderId="37" xfId="17" applyNumberFormat="1" applyFont="1" applyFill="1" applyBorder="1" applyAlignment="1">
      <alignment/>
    </xf>
    <xf numFmtId="188" fontId="0" fillId="3" borderId="16" xfId="17" applyNumberFormat="1" applyFill="1" applyBorder="1" applyAlignment="1">
      <alignment/>
    </xf>
    <xf numFmtId="188" fontId="0" fillId="3" borderId="32" xfId="17" applyNumberFormat="1" applyFill="1" applyBorder="1" applyAlignment="1">
      <alignment/>
    </xf>
    <xf numFmtId="189" fontId="0" fillId="3" borderId="19" xfId="17" applyNumberFormat="1" applyFill="1" applyBorder="1" applyAlignment="1">
      <alignment/>
    </xf>
    <xf numFmtId="189" fontId="4" fillId="3" borderId="65" xfId="17" applyNumberFormat="1" applyFont="1" applyFill="1" applyBorder="1" applyAlignment="1">
      <alignment/>
    </xf>
    <xf numFmtId="189" fontId="4" fillId="3" borderId="0" xfId="17" applyNumberFormat="1" applyFont="1" applyFill="1" applyBorder="1" applyAlignment="1" applyProtection="1">
      <alignment/>
      <protection/>
    </xf>
    <xf numFmtId="189" fontId="11" fillId="3" borderId="65" xfId="17" applyNumberFormat="1" applyFont="1" applyFill="1" applyBorder="1" applyAlignment="1" applyProtection="1">
      <alignment/>
      <protection/>
    </xf>
    <xf numFmtId="189" fontId="0" fillId="3" borderId="0" xfId="17" applyNumberFormat="1" applyFill="1" applyBorder="1" applyAlignment="1" applyProtection="1">
      <alignment/>
      <protection/>
    </xf>
    <xf numFmtId="189" fontId="11" fillId="3" borderId="36" xfId="17" applyNumberFormat="1" applyFont="1" applyFill="1" applyBorder="1" applyAlignment="1" applyProtection="1">
      <alignment/>
      <protection/>
    </xf>
    <xf numFmtId="188" fontId="11" fillId="3" borderId="12" xfId="17" applyNumberFormat="1" applyFont="1" applyFill="1" applyBorder="1" applyAlignment="1">
      <alignment/>
    </xf>
    <xf numFmtId="0" fontId="12" fillId="4" borderId="9" xfId="0" applyFont="1" applyFill="1" applyBorder="1" applyAlignment="1" applyProtection="1">
      <alignment/>
      <protection locked="0"/>
    </xf>
    <xf numFmtId="0" fontId="12" fillId="4" borderId="11" xfId="0" applyFont="1" applyFill="1" applyBorder="1" applyAlignment="1">
      <alignment/>
    </xf>
    <xf numFmtId="0" fontId="12" fillId="4" borderId="69" xfId="0" applyFont="1" applyFill="1" applyBorder="1" applyAlignment="1" applyProtection="1">
      <alignment/>
      <protection locked="0"/>
    </xf>
    <xf numFmtId="0" fontId="12" fillId="4" borderId="70" xfId="0" applyFont="1" applyFill="1" applyBorder="1" applyAlignment="1" applyProtection="1">
      <alignment/>
      <protection locked="0"/>
    </xf>
    <xf numFmtId="0" fontId="12" fillId="4" borderId="70" xfId="0" applyFont="1" applyFill="1" applyBorder="1" applyAlignment="1" applyProtection="1">
      <alignment horizontal="left"/>
      <protection locked="0"/>
    </xf>
    <xf numFmtId="0" fontId="12" fillId="4" borderId="71" xfId="0" applyFont="1" applyFill="1" applyBorder="1" applyAlignment="1">
      <alignment/>
    </xf>
    <xf numFmtId="188" fontId="0" fillId="3" borderId="11" xfId="17" applyNumberFormat="1" applyFill="1" applyBorder="1" applyAlignment="1">
      <alignment/>
    </xf>
    <xf numFmtId="188" fontId="12" fillId="0" borderId="12" xfId="17" applyNumberFormat="1" applyFont="1" applyBorder="1" applyAlignment="1" applyProtection="1">
      <alignment horizontal="center"/>
      <protection locked="0"/>
    </xf>
    <xf numFmtId="188" fontId="12" fillId="0" borderId="42" xfId="17" applyNumberFormat="1" applyFont="1" applyBorder="1" applyAlignment="1" applyProtection="1">
      <alignment horizontal="center"/>
      <protection locked="0"/>
    </xf>
    <xf numFmtId="188" fontId="11" fillId="3" borderId="16" xfId="17" applyNumberFormat="1" applyFont="1" applyFill="1" applyBorder="1" applyAlignment="1">
      <alignment/>
    </xf>
    <xf numFmtId="193" fontId="0" fillId="0" borderId="0" xfId="17" applyNumberFormat="1" applyAlignment="1">
      <alignment/>
    </xf>
    <xf numFmtId="9" fontId="0" fillId="0" borderId="72" xfId="24" applyBorder="1" applyAlignment="1" applyProtection="1">
      <alignment/>
      <protection locked="0"/>
    </xf>
    <xf numFmtId="9" fontId="0" fillId="0" borderId="73" xfId="24" applyBorder="1" applyAlignment="1" applyProtection="1">
      <alignment/>
      <protection locked="0"/>
    </xf>
    <xf numFmtId="0" fontId="34" fillId="0" borderId="0" xfId="0" applyFont="1" applyAlignment="1">
      <alignment/>
    </xf>
    <xf numFmtId="0" fontId="0" fillId="0" borderId="0" xfId="0" applyFont="1" applyAlignment="1">
      <alignment/>
    </xf>
    <xf numFmtId="9" fontId="0" fillId="0" borderId="74" xfId="24" applyBorder="1" applyAlignment="1" applyProtection="1">
      <alignment/>
      <protection locked="0"/>
    </xf>
    <xf numFmtId="9" fontId="0" fillId="0" borderId="74" xfId="24" applyBorder="1" applyAlignment="1" applyProtection="1" quotePrefix="1">
      <alignment horizontal="left"/>
      <protection locked="0"/>
    </xf>
    <xf numFmtId="9" fontId="0" fillId="0" borderId="74" xfId="24" applyFont="1" applyBorder="1" applyAlignment="1" applyProtection="1">
      <alignment/>
      <protection locked="0"/>
    </xf>
    <xf numFmtId="9" fontId="0" fillId="0" borderId="75" xfId="24" applyBorder="1" applyAlignment="1" applyProtection="1">
      <alignment/>
      <protection locked="0"/>
    </xf>
    <xf numFmtId="43" fontId="0" fillId="3" borderId="38" xfId="17" applyFill="1" applyBorder="1" applyAlignment="1" applyProtection="1">
      <alignment horizontal="center"/>
      <protection/>
    </xf>
    <xf numFmtId="43" fontId="0" fillId="3" borderId="39" xfId="17" applyFill="1" applyBorder="1" applyAlignment="1" applyProtection="1">
      <alignment horizontal="center"/>
      <protection/>
    </xf>
    <xf numFmtId="43" fontId="0" fillId="3" borderId="40" xfId="17" applyFill="1" applyBorder="1" applyAlignment="1" applyProtection="1">
      <alignment horizontal="center"/>
      <protection/>
    </xf>
    <xf numFmtId="0" fontId="11" fillId="4" borderId="8" xfId="0" applyFont="1" applyFill="1" applyBorder="1" applyAlignment="1" applyProtection="1">
      <alignment horizontal="center"/>
      <protection locked="0"/>
    </xf>
    <xf numFmtId="0" fontId="12" fillId="4" borderId="5" xfId="0" applyFont="1" applyFill="1" applyBorder="1" applyAlignment="1" applyProtection="1">
      <alignment/>
      <protection locked="0"/>
    </xf>
    <xf numFmtId="9" fontId="12" fillId="4" borderId="17" xfId="24" applyFont="1" applyFill="1" applyBorder="1" applyAlignment="1" applyProtection="1">
      <alignment/>
      <protection locked="0"/>
    </xf>
    <xf numFmtId="9" fontId="12" fillId="0" borderId="17" xfId="24" applyFont="1" applyBorder="1" applyAlignment="1" applyProtection="1">
      <alignment/>
      <protection locked="0"/>
    </xf>
    <xf numFmtId="0" fontId="0" fillId="3" borderId="39" xfId="0" applyFill="1" applyBorder="1" applyAlignment="1">
      <alignment/>
    </xf>
    <xf numFmtId="0" fontId="1" fillId="3" borderId="32" xfId="0" applyFont="1" applyFill="1" applyBorder="1" applyAlignment="1">
      <alignment horizontal="center"/>
    </xf>
    <xf numFmtId="0" fontId="0" fillId="3" borderId="42" xfId="0" applyFont="1" applyFill="1" applyBorder="1" applyAlignment="1">
      <alignment horizontal="center"/>
    </xf>
    <xf numFmtId="0" fontId="0" fillId="4" borderId="42" xfId="0" applyFill="1" applyBorder="1" applyAlignment="1" applyProtection="1">
      <alignment/>
      <protection locked="0"/>
    </xf>
    <xf numFmtId="0" fontId="11" fillId="3" borderId="0" xfId="0" applyFont="1" applyFill="1" applyBorder="1" applyAlignment="1" applyProtection="1">
      <alignment/>
      <protection/>
    </xf>
    <xf numFmtId="0" fontId="12" fillId="3" borderId="16" xfId="0" applyFont="1" applyFill="1" applyBorder="1" applyAlignment="1" applyProtection="1">
      <alignment/>
      <protection/>
    </xf>
    <xf numFmtId="0" fontId="11" fillId="3" borderId="10" xfId="0" applyFont="1" applyFill="1" applyBorder="1" applyAlignment="1" applyProtection="1">
      <alignment/>
      <protection/>
    </xf>
    <xf numFmtId="0" fontId="12" fillId="3" borderId="17" xfId="0" applyFont="1" applyFill="1" applyBorder="1" applyAlignment="1" applyProtection="1">
      <alignment/>
      <protection/>
    </xf>
    <xf numFmtId="0" fontId="0" fillId="3" borderId="14" xfId="0" applyFill="1" applyBorder="1" applyAlignment="1" applyProtection="1">
      <alignment/>
      <protection/>
    </xf>
    <xf numFmtId="0" fontId="0" fillId="3" borderId="26" xfId="0" applyFill="1" applyBorder="1" applyAlignment="1" applyProtection="1">
      <alignment/>
      <protection/>
    </xf>
    <xf numFmtId="0" fontId="0" fillId="4" borderId="0" xfId="0" applyFill="1" applyBorder="1" applyAlignment="1" applyProtection="1">
      <alignment/>
      <protection/>
    </xf>
    <xf numFmtId="0" fontId="0" fillId="4" borderId="0" xfId="0" applyFill="1" applyAlignment="1" applyProtection="1">
      <alignment/>
      <protection/>
    </xf>
    <xf numFmtId="0" fontId="0" fillId="0" borderId="0" xfId="0" applyAlignment="1" applyProtection="1">
      <alignment/>
      <protection/>
    </xf>
    <xf numFmtId="0" fontId="12" fillId="4" borderId="0" xfId="0" applyFont="1" applyFill="1" applyAlignment="1" applyProtection="1" quotePrefix="1">
      <alignment horizontal="right"/>
      <protection/>
    </xf>
    <xf numFmtId="0" fontId="1" fillId="4" borderId="0" xfId="0" applyFont="1" applyFill="1" applyBorder="1" applyAlignment="1" applyProtection="1">
      <alignment/>
      <protection/>
    </xf>
    <xf numFmtId="0" fontId="5" fillId="4" borderId="0" xfId="0" applyFont="1" applyFill="1" applyBorder="1" applyAlignment="1" applyProtection="1">
      <alignment/>
      <protection/>
    </xf>
    <xf numFmtId="0" fontId="0" fillId="4" borderId="14" xfId="0" applyFill="1" applyBorder="1" applyAlignment="1" applyProtection="1">
      <alignment/>
      <protection/>
    </xf>
    <xf numFmtId="0" fontId="0" fillId="3" borderId="1" xfId="0" applyFill="1" applyBorder="1" applyAlignment="1" applyProtection="1">
      <alignment/>
      <protection/>
    </xf>
    <xf numFmtId="0" fontId="4" fillId="3" borderId="0" xfId="0" applyFont="1" applyFill="1" applyBorder="1" applyAlignment="1" applyProtection="1">
      <alignment/>
      <protection/>
    </xf>
    <xf numFmtId="0" fontId="4" fillId="3" borderId="5" xfId="0" applyFont="1" applyFill="1" applyBorder="1" applyAlignment="1" applyProtection="1" quotePrefix="1">
      <alignment horizontal="left"/>
      <protection/>
    </xf>
    <xf numFmtId="0" fontId="10" fillId="3" borderId="6" xfId="0" applyFont="1" applyFill="1" applyBorder="1" applyAlignment="1" applyProtection="1">
      <alignment/>
      <protection/>
    </xf>
    <xf numFmtId="0" fontId="0" fillId="3" borderId="6" xfId="0" applyFill="1" applyBorder="1" applyAlignment="1" applyProtection="1">
      <alignment/>
      <protection/>
    </xf>
    <xf numFmtId="0" fontId="0" fillId="3" borderId="7" xfId="0" applyFill="1" applyBorder="1" applyAlignment="1" applyProtection="1">
      <alignment/>
      <protection/>
    </xf>
    <xf numFmtId="0" fontId="0" fillId="3" borderId="0" xfId="0" applyFill="1" applyAlignment="1" applyProtection="1">
      <alignment/>
      <protection/>
    </xf>
    <xf numFmtId="0" fontId="11" fillId="3" borderId="0" xfId="0" applyFont="1" applyFill="1" applyBorder="1" applyAlignment="1" applyProtection="1" quotePrefix="1">
      <alignment horizontal="left"/>
      <protection/>
    </xf>
    <xf numFmtId="0" fontId="1" fillId="3" borderId="4" xfId="0" applyFont="1" applyFill="1" applyBorder="1" applyAlignment="1" applyProtection="1" quotePrefix="1">
      <alignment horizontal="left"/>
      <protection/>
    </xf>
    <xf numFmtId="0" fontId="0" fillId="3" borderId="29" xfId="0" applyFill="1" applyBorder="1" applyAlignment="1" applyProtection="1">
      <alignment/>
      <protection/>
    </xf>
    <xf numFmtId="0" fontId="1" fillId="3" borderId="76" xfId="0" applyFont="1" applyFill="1" applyBorder="1" applyAlignment="1" applyProtection="1">
      <alignment/>
      <protection/>
    </xf>
    <xf numFmtId="0" fontId="1" fillId="3" borderId="57" xfId="0" applyFont="1" applyFill="1" applyBorder="1" applyAlignment="1" applyProtection="1">
      <alignment/>
      <protection/>
    </xf>
    <xf numFmtId="0" fontId="1" fillId="3" borderId="77" xfId="0" applyFont="1" applyFill="1" applyBorder="1" applyAlignment="1" applyProtection="1">
      <alignment/>
      <protection/>
    </xf>
    <xf numFmtId="0" fontId="1" fillId="3" borderId="78" xfId="0" applyFont="1" applyFill="1" applyBorder="1" applyAlignment="1" applyProtection="1">
      <alignment horizontal="center"/>
      <protection/>
    </xf>
    <xf numFmtId="0" fontId="1" fillId="3" borderId="49" xfId="0" applyFont="1" applyFill="1" applyBorder="1" applyAlignment="1" applyProtection="1">
      <alignment horizontal="center"/>
      <protection/>
    </xf>
    <xf numFmtId="0" fontId="4" fillId="3" borderId="10" xfId="0" applyFont="1" applyFill="1" applyBorder="1" applyAlignment="1" applyProtection="1" quotePrefix="1">
      <alignment horizontal="left"/>
      <protection/>
    </xf>
    <xf numFmtId="0" fontId="0" fillId="3" borderId="74" xfId="0" applyFill="1" applyBorder="1" applyAlignment="1" applyProtection="1">
      <alignment horizontal="center"/>
      <protection/>
    </xf>
    <xf numFmtId="0" fontId="0" fillId="3" borderId="75" xfId="0" applyFill="1" applyBorder="1" applyAlignment="1" applyProtection="1">
      <alignment horizontal="center"/>
      <protection/>
    </xf>
    <xf numFmtId="0" fontId="0" fillId="3" borderId="79" xfId="0" applyFill="1" applyBorder="1" applyAlignment="1" applyProtection="1">
      <alignment/>
      <protection/>
    </xf>
    <xf numFmtId="0" fontId="0" fillId="3" borderId="80" xfId="0" applyFill="1" applyBorder="1" applyAlignment="1" applyProtection="1">
      <alignment/>
      <protection/>
    </xf>
    <xf numFmtId="0" fontId="0" fillId="3" borderId="22" xfId="0" applyFill="1" applyBorder="1" applyAlignment="1" applyProtection="1" quotePrefix="1">
      <alignment horizontal="left"/>
      <protection/>
    </xf>
    <xf numFmtId="43" fontId="11" fillId="3" borderId="0" xfId="17" applyFont="1" applyFill="1" applyBorder="1" applyAlignment="1" applyProtection="1">
      <alignment/>
      <protection/>
    </xf>
    <xf numFmtId="0" fontId="11" fillId="3" borderId="16" xfId="0" applyFont="1" applyFill="1" applyBorder="1" applyAlignment="1" applyProtection="1">
      <alignment/>
      <protection/>
    </xf>
    <xf numFmtId="9" fontId="0" fillId="3" borderId="81" xfId="24" applyFill="1" applyBorder="1" applyAlignment="1" applyProtection="1">
      <alignment/>
      <protection/>
    </xf>
    <xf numFmtId="0" fontId="0" fillId="3" borderId="41" xfId="0" applyFill="1" applyBorder="1" applyAlignment="1" applyProtection="1" quotePrefix="1">
      <alignment horizontal="left"/>
      <protection/>
    </xf>
    <xf numFmtId="43" fontId="11" fillId="3" borderId="10" xfId="0" applyNumberFormat="1" applyFont="1" applyFill="1" applyBorder="1" applyAlignment="1" applyProtection="1">
      <alignment/>
      <protection/>
    </xf>
    <xf numFmtId="0" fontId="11" fillId="3" borderId="17" xfId="0" applyFont="1" applyFill="1" applyBorder="1" applyAlignment="1" applyProtection="1">
      <alignment/>
      <protection/>
    </xf>
    <xf numFmtId="9" fontId="0" fillId="3" borderId="11" xfId="24" applyFill="1" applyBorder="1" applyAlignment="1" applyProtection="1">
      <alignment/>
      <protection/>
    </xf>
    <xf numFmtId="0" fontId="0" fillId="3" borderId="25" xfId="0" applyFill="1" applyBorder="1" applyAlignment="1" applyProtection="1">
      <alignment/>
      <protection/>
    </xf>
    <xf numFmtId="0" fontId="0" fillId="3" borderId="82" xfId="0" applyFill="1" applyBorder="1" applyAlignment="1" applyProtection="1">
      <alignment/>
      <protection/>
    </xf>
    <xf numFmtId="0" fontId="0" fillId="3" borderId="83" xfId="0" applyFill="1" applyBorder="1" applyAlignment="1" applyProtection="1">
      <alignment/>
      <protection/>
    </xf>
    <xf numFmtId="0" fontId="0" fillId="3" borderId="15" xfId="0" applyFill="1" applyBorder="1" applyAlignment="1" applyProtection="1">
      <alignment/>
      <protection/>
    </xf>
    <xf numFmtId="0" fontId="1" fillId="0" borderId="78" xfId="0" applyFont="1" applyFill="1" applyBorder="1" applyAlignment="1" applyProtection="1">
      <alignment horizontal="center"/>
      <protection locked="0"/>
    </xf>
    <xf numFmtId="0" fontId="9" fillId="4" borderId="0" xfId="0" applyFont="1" applyFill="1" applyAlignment="1" applyProtection="1">
      <alignment/>
      <protection/>
    </xf>
    <xf numFmtId="0" fontId="0" fillId="3" borderId="28" xfId="0" applyFill="1" applyBorder="1" applyAlignment="1" applyProtection="1">
      <alignment/>
      <protection/>
    </xf>
    <xf numFmtId="0" fontId="0" fillId="3" borderId="27" xfId="0" applyFill="1" applyBorder="1" applyAlignment="1" applyProtection="1">
      <alignment/>
      <protection/>
    </xf>
    <xf numFmtId="0" fontId="1" fillId="3" borderId="4" xfId="0" applyFont="1" applyFill="1" applyBorder="1" applyAlignment="1" applyProtection="1">
      <alignment/>
      <protection/>
    </xf>
    <xf numFmtId="43" fontId="1" fillId="3" borderId="67" xfId="17" applyFont="1" applyFill="1" applyBorder="1" applyAlignment="1" applyProtection="1">
      <alignment horizontal="center"/>
      <protection/>
    </xf>
    <xf numFmtId="43" fontId="1" fillId="3" borderId="16" xfId="17" applyFont="1" applyFill="1" applyBorder="1" applyAlignment="1" applyProtection="1">
      <alignment horizontal="center"/>
      <protection/>
    </xf>
    <xf numFmtId="0" fontId="1" fillId="3" borderId="8" xfId="0" applyFont="1" applyFill="1" applyBorder="1" applyAlignment="1" applyProtection="1">
      <alignment horizontal="center"/>
      <protection/>
    </xf>
    <xf numFmtId="0" fontId="0" fillId="3" borderId="84" xfId="0" applyFill="1" applyBorder="1" applyAlignment="1" applyProtection="1">
      <alignment horizontal="center"/>
      <protection/>
    </xf>
    <xf numFmtId="0" fontId="0" fillId="3" borderId="67" xfId="0" applyFill="1" applyBorder="1" applyAlignment="1" applyProtection="1">
      <alignment/>
      <protection/>
    </xf>
    <xf numFmtId="189" fontId="0" fillId="3" borderId="67" xfId="17" applyNumberFormat="1" applyFill="1" applyBorder="1" applyAlignment="1" applyProtection="1">
      <alignment/>
      <protection/>
    </xf>
    <xf numFmtId="189" fontId="1" fillId="3" borderId="67" xfId="17" applyNumberFormat="1" applyFont="1" applyFill="1" applyBorder="1" applyAlignment="1" applyProtection="1">
      <alignment/>
      <protection/>
    </xf>
    <xf numFmtId="189" fontId="0" fillId="3" borderId="67" xfId="0" applyNumberFormat="1" applyFill="1" applyBorder="1" applyAlignment="1" applyProtection="1">
      <alignment/>
      <protection/>
    </xf>
    <xf numFmtId="0" fontId="0" fillId="3" borderId="38" xfId="0" applyFill="1" applyBorder="1" applyAlignment="1" applyProtection="1">
      <alignment/>
      <protection/>
    </xf>
    <xf numFmtId="43" fontId="10" fillId="3" borderId="48" xfId="17" applyFont="1" applyFill="1" applyBorder="1" applyAlignment="1" applyProtection="1">
      <alignment/>
      <protection/>
    </xf>
    <xf numFmtId="0" fontId="10" fillId="3" borderId="48" xfId="0" applyFont="1" applyFill="1" applyBorder="1" applyAlignment="1" applyProtection="1">
      <alignment/>
      <protection/>
    </xf>
    <xf numFmtId="0" fontId="0" fillId="3" borderId="35" xfId="0" applyFill="1" applyBorder="1" applyAlignment="1" applyProtection="1">
      <alignment/>
      <protection/>
    </xf>
    <xf numFmtId="189" fontId="12" fillId="3" borderId="85" xfId="17" applyNumberFormat="1" applyFont="1" applyFill="1" applyBorder="1" applyAlignment="1" applyProtection="1">
      <alignment/>
      <protection/>
    </xf>
    <xf numFmtId="189" fontId="12" fillId="3" borderId="35" xfId="17" applyNumberFormat="1" applyFont="1" applyFill="1" applyBorder="1" applyAlignment="1" applyProtection="1">
      <alignment/>
      <protection/>
    </xf>
    <xf numFmtId="189" fontId="11" fillId="3" borderId="11" xfId="17" applyNumberFormat="1" applyFont="1" applyFill="1" applyBorder="1" applyAlignment="1" applyProtection="1">
      <alignment/>
      <protection/>
    </xf>
    <xf numFmtId="43" fontId="10" fillId="3" borderId="10" xfId="17" applyFont="1" applyFill="1" applyBorder="1" applyAlignment="1" applyProtection="1">
      <alignment/>
      <protection/>
    </xf>
    <xf numFmtId="0" fontId="10" fillId="3" borderId="10" xfId="0" applyFont="1" applyFill="1" applyBorder="1" applyAlignment="1" applyProtection="1">
      <alignment/>
      <protection/>
    </xf>
    <xf numFmtId="189" fontId="12" fillId="3" borderId="84" xfId="17" applyNumberFormat="1" applyFont="1" applyFill="1" applyBorder="1" applyAlignment="1" applyProtection="1">
      <alignment/>
      <protection/>
    </xf>
    <xf numFmtId="189" fontId="12" fillId="3" borderId="17" xfId="17" applyNumberFormat="1" applyFont="1" applyFill="1" applyBorder="1" applyAlignment="1" applyProtection="1">
      <alignment/>
      <protection/>
    </xf>
    <xf numFmtId="43" fontId="10" fillId="3" borderId="10" xfId="17" applyFont="1" applyFill="1" applyBorder="1" applyAlignment="1" applyProtection="1">
      <alignment horizontal="left"/>
      <protection/>
    </xf>
    <xf numFmtId="189" fontId="11" fillId="3" borderId="67" xfId="17" applyNumberFormat="1" applyFont="1" applyFill="1" applyBorder="1" applyAlignment="1" applyProtection="1">
      <alignment/>
      <protection/>
    </xf>
    <xf numFmtId="189" fontId="11" fillId="3" borderId="16" xfId="17" applyNumberFormat="1" applyFont="1" applyFill="1" applyBorder="1" applyAlignment="1" applyProtection="1">
      <alignment/>
      <protection/>
    </xf>
    <xf numFmtId="189" fontId="11" fillId="3" borderId="8" xfId="17" applyNumberFormat="1" applyFont="1" applyFill="1" applyBorder="1" applyAlignment="1" applyProtection="1">
      <alignment/>
      <protection/>
    </xf>
    <xf numFmtId="0" fontId="0" fillId="3" borderId="30" xfId="0" applyFill="1" applyBorder="1" applyAlignment="1" applyProtection="1">
      <alignment/>
      <protection/>
    </xf>
    <xf numFmtId="189" fontId="12" fillId="3" borderId="86" xfId="17" applyNumberFormat="1" applyFont="1" applyFill="1" applyBorder="1" applyAlignment="1" applyProtection="1">
      <alignment/>
      <protection/>
    </xf>
    <xf numFmtId="189" fontId="12" fillId="3" borderId="30" xfId="17" applyNumberFormat="1" applyFont="1" applyFill="1" applyBorder="1" applyAlignment="1" applyProtection="1">
      <alignment/>
      <protection/>
    </xf>
    <xf numFmtId="189" fontId="0" fillId="3" borderId="27" xfId="17" applyNumberFormat="1" applyFill="1" applyBorder="1" applyAlignment="1" applyProtection="1">
      <alignment/>
      <protection/>
    </xf>
    <xf numFmtId="189" fontId="0" fillId="3" borderId="67" xfId="17" applyNumberFormat="1" applyFont="1" applyFill="1" applyBorder="1" applyAlignment="1" applyProtection="1">
      <alignment/>
      <protection/>
    </xf>
    <xf numFmtId="189" fontId="0" fillId="3" borderId="67" xfId="17" applyNumberFormat="1" applyFill="1" applyBorder="1" applyAlignment="1" applyProtection="1">
      <alignment/>
      <protection/>
    </xf>
    <xf numFmtId="189" fontId="0" fillId="3" borderId="16" xfId="17" applyNumberFormat="1" applyFill="1" applyBorder="1" applyAlignment="1" applyProtection="1">
      <alignment/>
      <protection/>
    </xf>
    <xf numFmtId="189" fontId="0" fillId="3" borderId="8" xfId="17" applyNumberFormat="1" applyFill="1" applyBorder="1" applyAlignment="1" applyProtection="1">
      <alignment/>
      <protection/>
    </xf>
    <xf numFmtId="189" fontId="0" fillId="3" borderId="11" xfId="17" applyNumberFormat="1" applyFill="1" applyBorder="1" applyAlignment="1" applyProtection="1">
      <alignment/>
      <protection/>
    </xf>
    <xf numFmtId="43" fontId="10" fillId="3" borderId="10" xfId="17" applyFont="1" applyFill="1" applyBorder="1" applyAlignment="1" applyProtection="1" quotePrefix="1">
      <alignment horizontal="left"/>
      <protection/>
    </xf>
    <xf numFmtId="0" fontId="1" fillId="3" borderId="29" xfId="0" applyFont="1" applyFill="1" applyBorder="1" applyAlignment="1" applyProtection="1">
      <alignment/>
      <protection/>
    </xf>
    <xf numFmtId="189" fontId="11" fillId="3" borderId="86" xfId="17" applyNumberFormat="1" applyFont="1" applyFill="1" applyBorder="1" applyAlignment="1" applyProtection="1">
      <alignment/>
      <protection/>
    </xf>
    <xf numFmtId="189" fontId="11" fillId="3" borderId="30" xfId="17" applyNumberFormat="1" applyFont="1" applyFill="1" applyBorder="1" applyAlignment="1" applyProtection="1">
      <alignment/>
      <protection/>
    </xf>
    <xf numFmtId="189" fontId="1" fillId="3" borderId="27" xfId="17" applyNumberFormat="1" applyFont="1" applyFill="1" applyBorder="1" applyAlignment="1" applyProtection="1">
      <alignment/>
      <protection/>
    </xf>
    <xf numFmtId="189" fontId="11" fillId="3" borderId="67" xfId="17" applyNumberFormat="1" applyFont="1" applyFill="1" applyBorder="1" applyAlignment="1" applyProtection="1">
      <alignment/>
      <protection/>
    </xf>
    <xf numFmtId="189" fontId="11" fillId="3" borderId="16" xfId="17" applyNumberFormat="1" applyFont="1" applyFill="1" applyBorder="1" applyAlignment="1" applyProtection="1">
      <alignment/>
      <protection/>
    </xf>
    <xf numFmtId="0" fontId="1" fillId="3" borderId="28" xfId="0" applyFont="1" applyFill="1" applyBorder="1" applyAlignment="1" applyProtection="1">
      <alignment/>
      <protection/>
    </xf>
    <xf numFmtId="189" fontId="0" fillId="3" borderId="86" xfId="17" applyNumberFormat="1" applyFill="1" applyBorder="1" applyAlignment="1" applyProtection="1">
      <alignment/>
      <protection/>
    </xf>
    <xf numFmtId="189" fontId="0" fillId="3" borderId="30" xfId="17" applyNumberFormat="1" applyFill="1" applyBorder="1" applyAlignment="1" applyProtection="1">
      <alignment/>
      <protection/>
    </xf>
    <xf numFmtId="189" fontId="1" fillId="3" borderId="8" xfId="17" applyNumberFormat="1" applyFont="1" applyFill="1" applyBorder="1" applyAlignment="1" applyProtection="1">
      <alignment/>
      <protection/>
    </xf>
    <xf numFmtId="0" fontId="1" fillId="3" borderId="0" xfId="0" applyFont="1" applyFill="1" applyBorder="1" applyAlignment="1" applyProtection="1" quotePrefix="1">
      <alignment horizontal="left"/>
      <protection/>
    </xf>
    <xf numFmtId="189" fontId="0" fillId="4" borderId="67" xfId="17" applyNumberFormat="1" applyFill="1" applyBorder="1" applyAlignment="1" applyProtection="1">
      <alignment/>
      <protection/>
    </xf>
    <xf numFmtId="189" fontId="0" fillId="4" borderId="16" xfId="17" applyNumberFormat="1" applyFill="1" applyBorder="1" applyAlignment="1" applyProtection="1">
      <alignment/>
      <protection/>
    </xf>
    <xf numFmtId="0" fontId="11" fillId="3" borderId="4" xfId="0" applyFont="1" applyFill="1" applyBorder="1" applyAlignment="1" applyProtection="1">
      <alignment/>
      <protection/>
    </xf>
    <xf numFmtId="0" fontId="0" fillId="3" borderId="13" xfId="0" applyFill="1" applyBorder="1" applyAlignment="1" applyProtection="1">
      <alignment/>
      <protection/>
    </xf>
    <xf numFmtId="0" fontId="1" fillId="3" borderId="14" xfId="0" applyFont="1" applyFill="1" applyBorder="1" applyAlignment="1" applyProtection="1">
      <alignment/>
      <protection/>
    </xf>
    <xf numFmtId="189" fontId="0" fillId="3" borderId="87" xfId="17" applyNumberFormat="1" applyFill="1" applyBorder="1" applyAlignment="1" applyProtection="1">
      <alignment/>
      <protection/>
    </xf>
    <xf numFmtId="189" fontId="0" fillId="3" borderId="26" xfId="17" applyNumberFormat="1" applyFill="1" applyBorder="1" applyAlignment="1" applyProtection="1">
      <alignment/>
      <protection/>
    </xf>
    <xf numFmtId="189" fontId="0" fillId="3" borderId="15" xfId="17" applyNumberFormat="1" applyFill="1" applyBorder="1" applyAlignment="1" applyProtection="1">
      <alignment/>
      <protection/>
    </xf>
    <xf numFmtId="188" fontId="0" fillId="3" borderId="16" xfId="17" applyNumberFormat="1" applyFill="1" applyBorder="1" applyAlignment="1" applyProtection="1">
      <alignment horizontal="right"/>
      <protection/>
    </xf>
    <xf numFmtId="189" fontId="11" fillId="3" borderId="8" xfId="17" applyNumberFormat="1" applyFont="1" applyFill="1" applyBorder="1" applyAlignment="1" applyProtection="1">
      <alignment/>
      <protection/>
    </xf>
    <xf numFmtId="0" fontId="4" fillId="3" borderId="13" xfId="0" applyFont="1" applyFill="1" applyBorder="1" applyAlignment="1" applyProtection="1">
      <alignment/>
      <protection/>
    </xf>
    <xf numFmtId="189" fontId="11" fillId="3" borderId="87" xfId="17" applyNumberFormat="1" applyFont="1" applyFill="1" applyBorder="1" applyAlignment="1" applyProtection="1">
      <alignment/>
      <protection/>
    </xf>
    <xf numFmtId="189" fontId="11" fillId="3" borderId="26" xfId="17" applyNumberFormat="1" applyFont="1" applyFill="1" applyBorder="1" applyAlignment="1" applyProtection="1">
      <alignment/>
      <protection/>
    </xf>
    <xf numFmtId="189" fontId="11" fillId="3" borderId="15" xfId="17" applyNumberFormat="1" applyFont="1" applyFill="1" applyBorder="1" applyAlignment="1" applyProtection="1">
      <alignment/>
      <protection/>
    </xf>
    <xf numFmtId="0" fontId="4" fillId="4" borderId="14" xfId="0" applyFont="1" applyFill="1" applyBorder="1" applyAlignment="1" applyProtection="1">
      <alignment/>
      <protection/>
    </xf>
    <xf numFmtId="189" fontId="0" fillId="4" borderId="14" xfId="17" applyNumberFormat="1" applyFill="1" applyBorder="1" applyAlignment="1" applyProtection="1">
      <alignment/>
      <protection/>
    </xf>
    <xf numFmtId="0" fontId="4" fillId="3" borderId="4" xfId="0" applyFont="1" applyFill="1" applyBorder="1" applyAlignment="1" applyProtection="1">
      <alignment/>
      <protection/>
    </xf>
    <xf numFmtId="188" fontId="1" fillId="3" borderId="0" xfId="0" applyNumberFormat="1" applyFont="1" applyFill="1" applyBorder="1" applyAlignment="1" applyProtection="1">
      <alignment/>
      <protection/>
    </xf>
    <xf numFmtId="0" fontId="12" fillId="3" borderId="0" xfId="0" applyFont="1" applyFill="1" applyAlignment="1" applyProtection="1" quotePrefix="1">
      <alignment horizontal="left"/>
      <protection/>
    </xf>
    <xf numFmtId="0" fontId="0" fillId="3" borderId="0" xfId="0" applyFill="1" applyAlignment="1" applyProtection="1" quotePrefix="1">
      <alignment horizontal="left"/>
      <protection/>
    </xf>
    <xf numFmtId="0" fontId="4" fillId="3" borderId="0" xfId="0" applyFont="1" applyFill="1" applyBorder="1" applyAlignment="1" applyProtection="1">
      <alignment horizontal="center"/>
      <protection/>
    </xf>
    <xf numFmtId="0" fontId="4" fillId="3" borderId="0" xfId="0" applyFont="1" applyFill="1" applyBorder="1" applyAlignment="1" applyProtection="1" quotePrefix="1">
      <alignment horizontal="left"/>
      <protection/>
    </xf>
    <xf numFmtId="0" fontId="4" fillId="3" borderId="8" xfId="0" applyFont="1" applyFill="1" applyBorder="1" applyAlignment="1" applyProtection="1">
      <alignment horizontal="center"/>
      <protection/>
    </xf>
    <xf numFmtId="0" fontId="10" fillId="4" borderId="0" xfId="0" applyFont="1" applyFill="1" applyAlignment="1" applyProtection="1" quotePrefix="1">
      <alignment horizontal="right"/>
      <protection/>
    </xf>
    <xf numFmtId="0" fontId="4" fillId="4" borderId="0" xfId="0" applyFont="1" applyFill="1" applyBorder="1" applyAlignment="1" applyProtection="1" quotePrefix="1">
      <alignment horizontal="left"/>
      <protection/>
    </xf>
    <xf numFmtId="0" fontId="5" fillId="4" borderId="0" xfId="0" applyFont="1" applyFill="1" applyBorder="1" applyAlignment="1" applyProtection="1" quotePrefix="1">
      <alignment horizontal="left"/>
      <protection/>
    </xf>
    <xf numFmtId="189" fontId="12" fillId="4" borderId="0" xfId="17" applyNumberFormat="1" applyFont="1" applyFill="1" applyAlignment="1" applyProtection="1">
      <alignment/>
      <protection/>
    </xf>
    <xf numFmtId="0" fontId="0" fillId="3" borderId="61" xfId="0" applyFill="1" applyBorder="1" applyAlignment="1" applyProtection="1">
      <alignment horizontal="center"/>
      <protection/>
    </xf>
    <xf numFmtId="0" fontId="0" fillId="3" borderId="62" xfId="0" applyFill="1" applyBorder="1" applyAlignment="1" applyProtection="1">
      <alignment horizontal="center"/>
      <protection/>
    </xf>
    <xf numFmtId="0" fontId="4" fillId="3" borderId="4" xfId="0" applyFont="1" applyFill="1" applyBorder="1" applyAlignment="1" applyProtection="1">
      <alignment/>
      <protection/>
    </xf>
    <xf numFmtId="0" fontId="6" fillId="3" borderId="4" xfId="0" applyFont="1" applyFill="1" applyBorder="1" applyAlignment="1" applyProtection="1">
      <alignment/>
      <protection/>
    </xf>
    <xf numFmtId="0" fontId="1" fillId="3" borderId="0" xfId="0" applyFont="1" applyFill="1" applyBorder="1" applyAlignment="1" applyProtection="1">
      <alignment horizontal="left"/>
      <protection/>
    </xf>
    <xf numFmtId="0" fontId="1" fillId="3" borderId="4" xfId="0" applyFont="1" applyFill="1" applyBorder="1" applyAlignment="1" applyProtection="1">
      <alignment horizontal="left"/>
      <protection/>
    </xf>
    <xf numFmtId="0" fontId="0" fillId="3" borderId="4" xfId="0" applyFont="1" applyFill="1" applyBorder="1" applyAlignment="1" applyProtection="1" quotePrefix="1">
      <alignment horizontal="right"/>
      <protection/>
    </xf>
    <xf numFmtId="0" fontId="6" fillId="3" borderId="13" xfId="0" applyFont="1" applyFill="1" applyBorder="1" applyAlignment="1" applyProtection="1">
      <alignment/>
      <protection/>
    </xf>
    <xf numFmtId="189" fontId="0" fillId="3" borderId="25" xfId="17" applyNumberFormat="1" applyFont="1" applyFill="1" applyBorder="1" applyAlignment="1" applyProtection="1">
      <alignment/>
      <protection/>
    </xf>
    <xf numFmtId="189" fontId="0" fillId="3" borderId="60" xfId="17" applyNumberFormat="1" applyFont="1" applyFill="1" applyBorder="1" applyAlignment="1" applyProtection="1">
      <alignment/>
      <protection/>
    </xf>
    <xf numFmtId="189" fontId="0" fillId="3" borderId="14" xfId="17" applyNumberFormat="1" applyFont="1" applyFill="1" applyBorder="1" applyAlignment="1" applyProtection="1">
      <alignment/>
      <protection/>
    </xf>
    <xf numFmtId="0" fontId="0" fillId="0" borderId="0" xfId="0" applyBorder="1" applyAlignment="1" applyProtection="1">
      <alignment/>
      <protection/>
    </xf>
    <xf numFmtId="189" fontId="1" fillId="3" borderId="22" xfId="17" applyNumberFormat="1" applyFont="1" applyFill="1" applyBorder="1" applyAlignment="1" applyProtection="1">
      <alignment/>
      <protection/>
    </xf>
    <xf numFmtId="189" fontId="1" fillId="3" borderId="32" xfId="17" applyNumberFormat="1" applyFont="1" applyFill="1" applyBorder="1" applyAlignment="1" applyProtection="1">
      <alignment/>
      <protection/>
    </xf>
    <xf numFmtId="189" fontId="1" fillId="3" borderId="0" xfId="17" applyNumberFormat="1" applyFont="1" applyFill="1" applyBorder="1" applyAlignment="1" applyProtection="1">
      <alignment/>
      <protection/>
    </xf>
    <xf numFmtId="0" fontId="1" fillId="3" borderId="4" xfId="0" applyFont="1" applyFill="1" applyBorder="1" applyAlignment="1" applyProtection="1">
      <alignment/>
      <protection/>
    </xf>
    <xf numFmtId="0" fontId="0" fillId="0" borderId="8" xfId="0" applyFill="1" applyBorder="1" applyAlignment="1" applyProtection="1">
      <alignment/>
      <protection/>
    </xf>
    <xf numFmtId="0" fontId="6" fillId="3" borderId="4" xfId="0" applyFont="1" applyFill="1" applyBorder="1" applyAlignment="1" applyProtection="1">
      <alignment/>
      <protection/>
    </xf>
    <xf numFmtId="0" fontId="6" fillId="3" borderId="4" xfId="0" applyFont="1" applyFill="1" applyBorder="1" applyAlignment="1" applyProtection="1" quotePrefix="1">
      <alignment horizontal="left"/>
      <protection/>
    </xf>
    <xf numFmtId="0" fontId="6" fillId="3" borderId="4" xfId="0" applyFont="1" applyFill="1" applyBorder="1" applyAlignment="1" applyProtection="1">
      <alignment horizontal="left"/>
      <protection/>
    </xf>
    <xf numFmtId="0" fontId="6" fillId="3" borderId="13" xfId="0" applyFont="1" applyFill="1" applyBorder="1" applyAlignment="1" applyProtection="1">
      <alignment/>
      <protection/>
    </xf>
    <xf numFmtId="0" fontId="1" fillId="3" borderId="13" xfId="0" applyFont="1" applyFill="1" applyBorder="1" applyAlignment="1" applyProtection="1">
      <alignment/>
      <protection/>
    </xf>
    <xf numFmtId="189" fontId="0" fillId="3" borderId="25" xfId="17" applyNumberFormat="1" applyFill="1" applyBorder="1" applyAlignment="1" applyProtection="1">
      <alignment/>
      <protection/>
    </xf>
    <xf numFmtId="189" fontId="0" fillId="3" borderId="60" xfId="17" applyNumberFormat="1" applyFill="1" applyBorder="1" applyAlignment="1" applyProtection="1">
      <alignment/>
      <protection/>
    </xf>
    <xf numFmtId="189" fontId="0" fillId="3" borderId="14" xfId="17" applyNumberFormat="1" applyFill="1" applyBorder="1" applyAlignment="1" applyProtection="1">
      <alignment/>
      <protection/>
    </xf>
    <xf numFmtId="0" fontId="4" fillId="3" borderId="4" xfId="0" applyFont="1" applyFill="1" applyBorder="1" applyAlignment="1" applyProtection="1">
      <alignment/>
      <protection/>
    </xf>
    <xf numFmtId="189" fontId="0" fillId="3" borderId="41" xfId="17" applyNumberFormat="1" applyFill="1" applyBorder="1" applyAlignment="1" applyProtection="1">
      <alignment/>
      <protection/>
    </xf>
    <xf numFmtId="189" fontId="0" fillId="3" borderId="42" xfId="17" applyNumberFormat="1" applyFill="1" applyBorder="1" applyAlignment="1" applyProtection="1">
      <alignment/>
      <protection/>
    </xf>
    <xf numFmtId="189" fontId="0" fillId="3" borderId="10" xfId="17" applyNumberFormat="1" applyFill="1" applyBorder="1" applyAlignment="1" applyProtection="1">
      <alignment/>
      <protection/>
    </xf>
    <xf numFmtId="189" fontId="0" fillId="3" borderId="12" xfId="17" applyNumberFormat="1" applyFill="1" applyBorder="1" applyAlignment="1" applyProtection="1">
      <alignment/>
      <protection/>
    </xf>
    <xf numFmtId="189" fontId="0" fillId="3" borderId="12" xfId="17" applyNumberFormat="1" applyFont="1" applyFill="1" applyBorder="1" applyAlignment="1" applyProtection="1">
      <alignment/>
      <protection/>
    </xf>
    <xf numFmtId="189" fontId="0" fillId="3" borderId="50" xfId="17" applyNumberFormat="1" applyFill="1" applyBorder="1" applyAlignment="1" applyProtection="1">
      <alignment/>
      <protection/>
    </xf>
    <xf numFmtId="0" fontId="0" fillId="3" borderId="88" xfId="0" applyFill="1" applyBorder="1" applyAlignment="1" applyProtection="1">
      <alignment/>
      <protection/>
    </xf>
    <xf numFmtId="189" fontId="0" fillId="3" borderId="38" xfId="17" applyNumberFormat="1" applyFill="1" applyBorder="1" applyAlignment="1" applyProtection="1">
      <alignment/>
      <protection/>
    </xf>
    <xf numFmtId="189" fontId="0" fillId="3" borderId="39" xfId="17" applyNumberFormat="1" applyFill="1" applyBorder="1" applyAlignment="1" applyProtection="1">
      <alignment/>
      <protection/>
    </xf>
    <xf numFmtId="189" fontId="0" fillId="3" borderId="68" xfId="17" applyNumberFormat="1" applyFill="1" applyBorder="1" applyAlignment="1" applyProtection="1">
      <alignment/>
      <protection/>
    </xf>
    <xf numFmtId="0" fontId="1" fillId="3" borderId="13" xfId="0" applyFont="1" applyFill="1" applyBorder="1" applyAlignment="1" applyProtection="1" quotePrefix="1">
      <alignment horizontal="left"/>
      <protection/>
    </xf>
    <xf numFmtId="189" fontId="11" fillId="3" borderId="22" xfId="17" applyNumberFormat="1" applyFont="1" applyFill="1" applyBorder="1" applyAlignment="1" applyProtection="1">
      <alignment/>
      <protection/>
    </xf>
    <xf numFmtId="189" fontId="11" fillId="3" borderId="32" xfId="17" applyNumberFormat="1" applyFont="1" applyFill="1" applyBorder="1" applyAlignment="1" applyProtection="1">
      <alignment/>
      <protection/>
    </xf>
    <xf numFmtId="189" fontId="11" fillId="3" borderId="37" xfId="17" applyNumberFormat="1" applyFont="1" applyFill="1" applyBorder="1" applyAlignment="1" applyProtection="1">
      <alignment/>
      <protection/>
    </xf>
    <xf numFmtId="189" fontId="1" fillId="3" borderId="25" xfId="17" applyNumberFormat="1" applyFont="1" applyFill="1" applyBorder="1" applyAlignment="1" applyProtection="1">
      <alignment/>
      <protection/>
    </xf>
    <xf numFmtId="189" fontId="1" fillId="3" borderId="60" xfId="17" applyNumberFormat="1" applyFont="1" applyFill="1" applyBorder="1" applyAlignment="1" applyProtection="1">
      <alignment/>
      <protection/>
    </xf>
    <xf numFmtId="189" fontId="1" fillId="3" borderId="59" xfId="17" applyNumberFormat="1" applyFont="1" applyFill="1" applyBorder="1" applyAlignment="1" applyProtection="1">
      <alignment/>
      <protection/>
    </xf>
    <xf numFmtId="0" fontId="0" fillId="3" borderId="4" xfId="0" applyFill="1" applyBorder="1" applyAlignment="1" applyProtection="1">
      <alignment/>
      <protection/>
    </xf>
    <xf numFmtId="189" fontId="4" fillId="3" borderId="32" xfId="17" applyNumberFormat="1" applyFont="1" applyFill="1" applyBorder="1" applyAlignment="1" applyProtection="1">
      <alignment/>
      <protection/>
    </xf>
    <xf numFmtId="189" fontId="1" fillId="3" borderId="37" xfId="17" applyNumberFormat="1" applyFont="1" applyFill="1" applyBorder="1" applyAlignment="1" applyProtection="1">
      <alignment/>
      <protection/>
    </xf>
    <xf numFmtId="0" fontId="0" fillId="3" borderId="13" xfId="0" applyFill="1" applyBorder="1" applyAlignment="1" applyProtection="1">
      <alignment/>
      <protection/>
    </xf>
    <xf numFmtId="0" fontId="0" fillId="3" borderId="60" xfId="0" applyFill="1" applyBorder="1" applyAlignment="1" applyProtection="1">
      <alignment/>
      <protection/>
    </xf>
    <xf numFmtId="0" fontId="0" fillId="4" borderId="0" xfId="0" applyFill="1" applyAlignment="1" applyProtection="1" quotePrefix="1">
      <alignment horizontal="left"/>
      <protection/>
    </xf>
    <xf numFmtId="8" fontId="0" fillId="0" borderId="0" xfId="0" applyNumberFormat="1" applyAlignment="1" applyProtection="1">
      <alignment/>
      <protection/>
    </xf>
    <xf numFmtId="0" fontId="5" fillId="0" borderId="0" xfId="0" applyFont="1" applyBorder="1" applyAlignment="1" applyProtection="1" quotePrefix="1">
      <alignment horizontal="left"/>
      <protection/>
    </xf>
    <xf numFmtId="189" fontId="0" fillId="3" borderId="0" xfId="17" applyNumberFormat="1" applyFont="1" applyFill="1" applyBorder="1" applyAlignment="1" applyProtection="1">
      <alignment/>
      <protection/>
    </xf>
    <xf numFmtId="0" fontId="0" fillId="3" borderId="4" xfId="0" applyFont="1" applyFill="1" applyBorder="1" applyAlignment="1" applyProtection="1" quotePrefix="1">
      <alignment horizontal="left"/>
      <protection/>
    </xf>
    <xf numFmtId="189" fontId="1" fillId="3" borderId="22" xfId="17" applyNumberFormat="1" applyFont="1" applyFill="1" applyBorder="1" applyAlignment="1" applyProtection="1">
      <alignment/>
      <protection/>
    </xf>
    <xf numFmtId="189" fontId="1" fillId="3" borderId="32" xfId="17" applyNumberFormat="1" applyFont="1" applyFill="1" applyBorder="1" applyAlignment="1" applyProtection="1">
      <alignment/>
      <protection/>
    </xf>
    <xf numFmtId="189" fontId="1" fillId="3" borderId="0" xfId="17" applyNumberFormat="1" applyFont="1" applyFill="1" applyBorder="1" applyAlignment="1" applyProtection="1">
      <alignment/>
      <protection/>
    </xf>
    <xf numFmtId="43" fontId="12" fillId="3" borderId="32" xfId="17" applyFont="1" applyFill="1" applyBorder="1" applyAlignment="1" applyProtection="1">
      <alignment/>
      <protection/>
    </xf>
    <xf numFmtId="0" fontId="6" fillId="3" borderId="4" xfId="0" applyFont="1" applyFill="1" applyBorder="1" applyAlignment="1" applyProtection="1">
      <alignment horizontal="left"/>
      <protection/>
    </xf>
    <xf numFmtId="192" fontId="0" fillId="0" borderId="0" xfId="17" applyNumberFormat="1" applyAlignment="1" applyProtection="1">
      <alignment/>
      <protection/>
    </xf>
    <xf numFmtId="193" fontId="0" fillId="0" borderId="0" xfId="0" applyNumberFormat="1" applyAlignment="1" applyProtection="1">
      <alignment/>
      <protection/>
    </xf>
    <xf numFmtId="0" fontId="15" fillId="0" borderId="0" xfId="0" applyFont="1" applyAlignment="1" applyProtection="1" quotePrefix="1">
      <alignment horizontal="left"/>
      <protection/>
    </xf>
    <xf numFmtId="0" fontId="11" fillId="0" borderId="0" xfId="0" applyFont="1" applyAlignment="1" applyProtection="1" quotePrefix="1">
      <alignment horizontal="left"/>
      <protection/>
    </xf>
    <xf numFmtId="0" fontId="1" fillId="0" borderId="0" xfId="0" applyFont="1" applyAlignment="1" applyProtection="1">
      <alignment/>
      <protection/>
    </xf>
    <xf numFmtId="0" fontId="12" fillId="0" borderId="0" xfId="0" applyFont="1" applyAlignment="1" applyProtection="1">
      <alignment/>
      <protection/>
    </xf>
    <xf numFmtId="0" fontId="0" fillId="0" borderId="0" xfId="0" applyAlignment="1" applyProtection="1" quotePrefix="1">
      <alignment horizontal="left"/>
      <protection/>
    </xf>
    <xf numFmtId="9" fontId="4" fillId="3" borderId="36" xfId="24" applyFont="1" applyFill="1" applyBorder="1" applyAlignment="1" applyProtection="1">
      <alignment/>
      <protection/>
    </xf>
    <xf numFmtId="189" fontId="1" fillId="0" borderId="0" xfId="17" applyNumberFormat="1" applyFont="1" applyAlignment="1" applyProtection="1" quotePrefix="1">
      <alignment horizontal="right"/>
      <protection/>
    </xf>
    <xf numFmtId="3" fontId="11" fillId="3" borderId="36" xfId="19" applyNumberFormat="1" applyFont="1" applyFill="1" applyBorder="1" applyAlignment="1" applyProtection="1">
      <alignment/>
      <protection/>
    </xf>
    <xf numFmtId="0" fontId="1" fillId="0" borderId="0" xfId="0" applyFont="1" applyAlignment="1" applyProtection="1" quotePrefix="1">
      <alignment horizontal="left"/>
      <protection/>
    </xf>
    <xf numFmtId="189" fontId="1" fillId="0" borderId="0" xfId="0" applyNumberFormat="1" applyFont="1" applyAlignment="1" applyProtection="1" quotePrefix="1">
      <alignment horizontal="right"/>
      <protection/>
    </xf>
    <xf numFmtId="0" fontId="12" fillId="0" borderId="0" xfId="0" applyFont="1" applyAlignment="1" applyProtection="1">
      <alignment/>
      <protection/>
    </xf>
    <xf numFmtId="189" fontId="1" fillId="0" borderId="0" xfId="0" applyNumberFormat="1" applyFont="1" applyAlignment="1" applyProtection="1">
      <alignment horizontal="right"/>
      <protection/>
    </xf>
    <xf numFmtId="189" fontId="11" fillId="6" borderId="36" xfId="17" applyNumberFormat="1" applyFont="1" applyFill="1" applyBorder="1" applyAlignment="1" applyProtection="1">
      <alignment/>
      <protection/>
    </xf>
    <xf numFmtId="189" fontId="0" fillId="4" borderId="22" xfId="17" applyNumberFormat="1" applyFill="1" applyBorder="1" applyAlignment="1" applyProtection="1">
      <alignment/>
      <protection locked="0"/>
    </xf>
    <xf numFmtId="189" fontId="0" fillId="4" borderId="32" xfId="17" applyNumberFormat="1" applyFill="1" applyBorder="1" applyAlignment="1" applyProtection="1">
      <alignment/>
      <protection locked="0"/>
    </xf>
    <xf numFmtId="189" fontId="0" fillId="4" borderId="0" xfId="17" applyNumberFormat="1" applyFill="1" applyBorder="1" applyAlignment="1" applyProtection="1">
      <alignment/>
      <protection locked="0"/>
    </xf>
    <xf numFmtId="0" fontId="0" fillId="3" borderId="42" xfId="0" applyFill="1" applyBorder="1" applyAlignment="1">
      <alignment/>
    </xf>
    <xf numFmtId="0" fontId="12" fillId="4" borderId="42" xfId="0" applyFont="1" applyFill="1" applyBorder="1" applyAlignment="1" applyProtection="1">
      <alignment/>
      <protection locked="0"/>
    </xf>
    <xf numFmtId="188" fontId="12" fillId="4" borderId="12" xfId="0" applyNumberFormat="1" applyFont="1" applyFill="1" applyBorder="1" applyAlignment="1" applyProtection="1">
      <alignment/>
      <protection locked="0"/>
    </xf>
    <xf numFmtId="188" fontId="12" fillId="4" borderId="42" xfId="0" applyNumberFormat="1" applyFont="1" applyFill="1" applyBorder="1" applyAlignment="1" applyProtection="1">
      <alignment/>
      <protection locked="0"/>
    </xf>
    <xf numFmtId="0" fontId="0" fillId="3" borderId="42" xfId="0" applyFill="1" applyBorder="1" applyAlignment="1">
      <alignment horizontal="center"/>
    </xf>
    <xf numFmtId="0" fontId="9" fillId="3" borderId="32" xfId="0" applyFont="1" applyFill="1" applyBorder="1" applyAlignment="1" quotePrefix="1">
      <alignment horizontal="center"/>
    </xf>
    <xf numFmtId="0" fontId="12" fillId="3" borderId="12" xfId="0" applyFont="1" applyFill="1" applyBorder="1" applyAlignment="1" applyProtection="1">
      <alignment horizontal="center"/>
      <protection locked="0"/>
    </xf>
    <xf numFmtId="0" fontId="12" fillId="4" borderId="10" xfId="0" applyFont="1" applyFill="1" applyBorder="1" applyAlignment="1" applyProtection="1">
      <alignment/>
      <protection/>
    </xf>
    <xf numFmtId="43" fontId="12" fillId="2" borderId="89" xfId="17" applyFont="1" applyFill="1" applyBorder="1" applyAlignment="1" applyProtection="1">
      <alignment/>
      <protection/>
    </xf>
    <xf numFmtId="0" fontId="0" fillId="2" borderId="90" xfId="0" applyFill="1" applyBorder="1" applyAlignment="1" applyProtection="1">
      <alignment/>
      <protection/>
    </xf>
    <xf numFmtId="43" fontId="12" fillId="2" borderId="91" xfId="17" applyFont="1" applyFill="1" applyBorder="1" applyAlignment="1" applyProtection="1">
      <alignment/>
      <protection/>
    </xf>
    <xf numFmtId="0" fontId="0" fillId="2" borderId="11" xfId="0" applyFill="1" applyBorder="1" applyAlignment="1" applyProtection="1">
      <alignment/>
      <protection/>
    </xf>
    <xf numFmtId="189" fontId="12" fillId="3" borderId="91" xfId="17" applyNumberFormat="1" applyFont="1" applyFill="1" applyBorder="1" applyAlignment="1" applyProtection="1">
      <alignment/>
      <protection/>
    </xf>
    <xf numFmtId="43" fontId="12" fillId="2" borderId="50" xfId="17" applyFont="1" applyFill="1" applyBorder="1" applyAlignment="1" applyProtection="1">
      <alignment/>
      <protection/>
    </xf>
    <xf numFmtId="0" fontId="0" fillId="2" borderId="88" xfId="0" applyFill="1" applyBorder="1" applyAlignment="1" applyProtection="1">
      <alignment/>
      <protection/>
    </xf>
    <xf numFmtId="0" fontId="1" fillId="2" borderId="0" xfId="0" applyFont="1" applyFill="1" applyBorder="1" applyAlignment="1" applyProtection="1">
      <alignment/>
      <protection/>
    </xf>
    <xf numFmtId="0" fontId="0" fillId="2" borderId="10" xfId="0" applyFill="1" applyBorder="1" applyAlignment="1" applyProtection="1">
      <alignment horizontal="center"/>
      <protection/>
    </xf>
    <xf numFmtId="0" fontId="0" fillId="2" borderId="11" xfId="0" applyFill="1" applyBorder="1" applyAlignment="1" applyProtection="1">
      <alignment horizontal="center"/>
      <protection/>
    </xf>
    <xf numFmtId="0" fontId="0" fillId="2" borderId="0" xfId="0" applyFill="1" applyBorder="1" applyAlignment="1" applyProtection="1">
      <alignment/>
      <protection/>
    </xf>
    <xf numFmtId="0" fontId="4" fillId="3" borderId="50" xfId="0" applyFont="1" applyFill="1" applyBorder="1" applyAlignment="1" applyProtection="1" quotePrefix="1">
      <alignment horizontal="left"/>
      <protection/>
    </xf>
    <xf numFmtId="0" fontId="1" fillId="2" borderId="91" xfId="0" applyFont="1" applyFill="1" applyBorder="1" applyAlignment="1" applyProtection="1">
      <alignment/>
      <protection/>
    </xf>
    <xf numFmtId="0" fontId="0" fillId="3" borderId="11" xfId="0" applyFill="1" applyBorder="1" applyAlignment="1" applyProtection="1">
      <alignment horizontal="center"/>
      <protection locked="0"/>
    </xf>
    <xf numFmtId="188" fontId="12" fillId="0" borderId="41" xfId="17" applyNumberFormat="1" applyFont="1" applyFill="1" applyBorder="1" applyAlignment="1" applyProtection="1">
      <alignment horizontal="center"/>
      <protection locked="0"/>
    </xf>
    <xf numFmtId="188" fontId="12" fillId="0" borderId="42" xfId="17" applyNumberFormat="1" applyFont="1" applyBorder="1" applyAlignment="1" applyProtection="1">
      <alignment/>
      <protection locked="0"/>
    </xf>
    <xf numFmtId="0" fontId="7" fillId="0" borderId="0" xfId="23" applyFont="1" applyBorder="1" applyAlignment="1">
      <alignment horizontal="left"/>
    </xf>
    <xf numFmtId="0" fontId="1" fillId="4" borderId="0" xfId="0" applyFont="1" applyFill="1" applyBorder="1" applyAlignment="1" quotePrefix="1">
      <alignment horizontal="left"/>
    </xf>
    <xf numFmtId="0" fontId="6" fillId="4" borderId="0" xfId="0" applyFont="1" applyFill="1" applyAlignment="1">
      <alignment horizontal="left"/>
    </xf>
    <xf numFmtId="0" fontId="4" fillId="4" borderId="0" xfId="0" applyFont="1" applyFill="1" applyBorder="1" applyAlignment="1">
      <alignment horizontal="center"/>
    </xf>
    <xf numFmtId="43" fontId="5" fillId="3" borderId="36" xfId="17" applyNumberFormat="1" applyFont="1" applyFill="1" applyBorder="1" applyAlignment="1">
      <alignment/>
    </xf>
    <xf numFmtId="0" fontId="4" fillId="0" borderId="0" xfId="0" applyFont="1" applyBorder="1" applyAlignment="1">
      <alignment/>
    </xf>
    <xf numFmtId="9" fontId="0" fillId="0" borderId="72" xfId="24" applyFont="1" applyBorder="1" applyAlignment="1" applyProtection="1">
      <alignment/>
      <protection locked="0"/>
    </xf>
    <xf numFmtId="0" fontId="11" fillId="4" borderId="10" xfId="0" applyFont="1" applyFill="1" applyBorder="1" applyAlignment="1" applyProtection="1">
      <alignment horizontal="left"/>
      <protection locked="0"/>
    </xf>
    <xf numFmtId="0" fontId="37" fillId="4" borderId="10" xfId="0" applyFont="1" applyFill="1" applyBorder="1" applyAlignment="1" applyProtection="1">
      <alignment/>
      <protection locked="0"/>
    </xf>
    <xf numFmtId="0" fontId="38" fillId="3" borderId="17" xfId="0" applyFont="1" applyFill="1" applyBorder="1" applyAlignment="1" applyProtection="1">
      <alignment/>
      <protection/>
    </xf>
    <xf numFmtId="188" fontId="38" fillId="0" borderId="10" xfId="17" applyNumberFormat="1" applyFont="1" applyFill="1" applyBorder="1" applyAlignment="1" applyProtection="1">
      <alignment/>
      <protection locked="0"/>
    </xf>
    <xf numFmtId="188" fontId="38" fillId="3" borderId="17" xfId="17" applyNumberFormat="1" applyFont="1" applyFill="1" applyBorder="1" applyAlignment="1" applyProtection="1">
      <alignment/>
      <protection/>
    </xf>
    <xf numFmtId="43" fontId="0" fillId="0" borderId="10" xfId="17" applyNumberFormat="1" applyFill="1" applyBorder="1" applyAlignment="1" applyProtection="1">
      <alignment/>
      <protection locked="0"/>
    </xf>
    <xf numFmtId="0" fontId="12" fillId="4" borderId="10" xfId="0" applyFont="1" applyFill="1" applyBorder="1" applyAlignment="1" applyProtection="1">
      <alignment/>
      <protection locked="0"/>
    </xf>
    <xf numFmtId="0" fontId="12" fillId="4" borderId="42" xfId="0" applyFont="1" applyFill="1" applyBorder="1" applyAlignment="1" applyProtection="1">
      <alignment/>
      <protection locked="0"/>
    </xf>
    <xf numFmtId="0" fontId="12" fillId="0" borderId="10" xfId="0" applyFont="1" applyBorder="1" applyAlignment="1" applyProtection="1">
      <alignment horizontal="center"/>
      <protection locked="0"/>
    </xf>
    <xf numFmtId="0" fontId="12" fillId="4" borderId="17" xfId="0" applyFont="1" applyFill="1" applyBorder="1" applyAlignment="1">
      <alignment/>
    </xf>
    <xf numFmtId="188" fontId="12" fillId="0" borderId="10" xfId="17" applyNumberFormat="1" applyFont="1" applyBorder="1" applyAlignment="1" applyProtection="1">
      <alignment horizontal="center"/>
      <protection locked="0"/>
    </xf>
    <xf numFmtId="0" fontId="0" fillId="0" borderId="0" xfId="0" applyAlignment="1" applyProtection="1">
      <alignment/>
      <protection locked="0"/>
    </xf>
    <xf numFmtId="1" fontId="12" fillId="4" borderId="10" xfId="0" applyNumberFormat="1" applyFont="1" applyFill="1" applyBorder="1" applyAlignment="1" applyProtection="1">
      <alignment/>
      <protection locked="0"/>
    </xf>
    <xf numFmtId="0" fontId="0" fillId="0" borderId="48" xfId="0" applyBorder="1" applyAlignment="1" applyProtection="1">
      <alignment/>
      <protection locked="0"/>
    </xf>
    <xf numFmtId="0" fontId="0" fillId="4" borderId="88" xfId="0" applyFill="1" applyBorder="1" applyAlignment="1" applyProtection="1">
      <alignment/>
      <protection locked="0"/>
    </xf>
    <xf numFmtId="188" fontId="39" fillId="4" borderId="48" xfId="0" applyNumberFormat="1" applyFont="1" applyFill="1" applyBorder="1" applyAlignment="1" applyProtection="1">
      <alignment/>
      <protection locked="0"/>
    </xf>
    <xf numFmtId="0" fontId="39" fillId="0" borderId="42" xfId="0" applyFont="1" applyFill="1" applyBorder="1" applyAlignment="1" applyProtection="1">
      <alignment horizontal="center"/>
      <protection locked="0"/>
    </xf>
    <xf numFmtId="43" fontId="39" fillId="0" borderId="10" xfId="17" applyFont="1" applyBorder="1" applyAlignment="1" applyProtection="1">
      <alignment horizontal="center"/>
      <protection locked="0"/>
    </xf>
    <xf numFmtId="43" fontId="39" fillId="0" borderId="10" xfId="17" applyNumberFormat="1" applyFont="1" applyBorder="1" applyAlignment="1" applyProtection="1">
      <alignment horizontal="center"/>
      <protection locked="0"/>
    </xf>
    <xf numFmtId="188" fontId="39" fillId="4" borderId="10" xfId="0" applyNumberFormat="1" applyFont="1" applyFill="1" applyBorder="1" applyAlignment="1" applyProtection="1">
      <alignment/>
      <protection locked="0"/>
    </xf>
    <xf numFmtId="0" fontId="39" fillId="4" borderId="10" xfId="0" applyFont="1" applyFill="1" applyBorder="1" applyAlignment="1" applyProtection="1">
      <alignment/>
      <protection locked="0"/>
    </xf>
    <xf numFmtId="188" fontId="39" fillId="4" borderId="50" xfId="0" applyNumberFormat="1" applyFont="1" applyFill="1" applyBorder="1" applyAlignment="1" applyProtection="1">
      <alignment/>
      <protection locked="0"/>
    </xf>
    <xf numFmtId="0" fontId="39" fillId="4" borderId="42" xfId="0" applyFont="1" applyFill="1" applyBorder="1" applyAlignment="1" applyProtection="1">
      <alignment horizontal="center"/>
      <protection locked="0"/>
    </xf>
    <xf numFmtId="188" fontId="39" fillId="4" borderId="42" xfId="0" applyNumberFormat="1" applyFont="1" applyFill="1" applyBorder="1" applyAlignment="1" applyProtection="1">
      <alignment horizontal="center"/>
      <protection locked="0"/>
    </xf>
    <xf numFmtId="188" fontId="39" fillId="4" borderId="12" xfId="0" applyNumberFormat="1" applyFont="1" applyFill="1" applyBorder="1" applyAlignment="1" applyProtection="1">
      <alignment horizontal="center"/>
      <protection locked="0"/>
    </xf>
    <xf numFmtId="0" fontId="40" fillId="4" borderId="10" xfId="0" applyFont="1" applyFill="1" applyBorder="1" applyAlignment="1" applyProtection="1">
      <alignment horizontal="center"/>
      <protection locked="0"/>
    </xf>
    <xf numFmtId="188" fontId="40" fillId="4" borderId="10" xfId="17" applyNumberFormat="1" applyFont="1" applyFill="1" applyBorder="1" applyAlignment="1" applyProtection="1">
      <alignment horizontal="center"/>
      <protection locked="0"/>
    </xf>
    <xf numFmtId="43" fontId="40" fillId="0" borderId="10" xfId="17" applyNumberFormat="1" applyFont="1" applyBorder="1" applyAlignment="1" applyProtection="1">
      <alignment horizontal="center"/>
      <protection locked="0"/>
    </xf>
    <xf numFmtId="43" fontId="40" fillId="4" borderId="10" xfId="17" applyFont="1" applyFill="1" applyBorder="1" applyAlignment="1" applyProtection="1">
      <alignment horizontal="center"/>
      <protection locked="0"/>
    </xf>
    <xf numFmtId="188" fontId="40" fillId="0" borderId="10" xfId="17" applyNumberFormat="1" applyFont="1" applyBorder="1" applyAlignment="1" applyProtection="1">
      <alignment horizontal="center"/>
      <protection locked="0"/>
    </xf>
    <xf numFmtId="43" fontId="40" fillId="4" borderId="10" xfId="17" applyNumberFormat="1" applyFont="1" applyFill="1" applyBorder="1" applyAlignment="1" applyProtection="1">
      <alignment horizontal="center"/>
      <protection locked="0"/>
    </xf>
    <xf numFmtId="0" fontId="40" fillId="0" borderId="10" xfId="0" applyFont="1" applyFill="1" applyBorder="1" applyAlignment="1" applyProtection="1">
      <alignment horizontal="center"/>
      <protection locked="0"/>
    </xf>
    <xf numFmtId="43" fontId="0" fillId="3" borderId="9" xfId="17" applyFont="1" applyFill="1" applyBorder="1" applyAlignment="1">
      <alignment wrapText="1"/>
    </xf>
    <xf numFmtId="43" fontId="12" fillId="3" borderId="39" xfId="17" applyFont="1" applyFill="1" applyBorder="1" applyAlignment="1" applyProtection="1">
      <alignment wrapText="1"/>
      <protection locked="0"/>
    </xf>
    <xf numFmtId="0" fontId="0" fillId="4" borderId="4" xfId="23" applyFont="1" applyFill="1" applyBorder="1" applyAlignment="1">
      <alignment horizontal="center"/>
    </xf>
    <xf numFmtId="0" fontId="0" fillId="4" borderId="0" xfId="23" applyFont="1" applyFill="1" applyBorder="1" applyAlignment="1">
      <alignment horizontal="center"/>
    </xf>
    <xf numFmtId="0" fontId="0" fillId="4" borderId="8" xfId="23" applyFont="1" applyFill="1" applyBorder="1" applyAlignment="1">
      <alignment horizontal="center"/>
    </xf>
    <xf numFmtId="0" fontId="12" fillId="4" borderId="4" xfId="23" applyFont="1" applyFill="1" applyBorder="1" applyAlignment="1">
      <alignment horizontal="center"/>
    </xf>
    <xf numFmtId="0" fontId="12" fillId="4" borderId="0" xfId="23" applyFont="1" applyFill="1" applyBorder="1" applyAlignment="1">
      <alignment horizontal="center"/>
    </xf>
    <xf numFmtId="0" fontId="12" fillId="4" borderId="8" xfId="23" applyFont="1" applyFill="1" applyBorder="1" applyAlignment="1">
      <alignment horizontal="center"/>
    </xf>
    <xf numFmtId="189" fontId="11" fillId="3" borderId="50" xfId="17" applyNumberFormat="1" applyFont="1" applyFill="1" applyBorder="1" applyAlignment="1">
      <alignment/>
    </xf>
    <xf numFmtId="0" fontId="0" fillId="0" borderId="35" xfId="0" applyBorder="1" applyAlignment="1">
      <alignment/>
    </xf>
    <xf numFmtId="0" fontId="4" fillId="1" borderId="51" xfId="0" applyFont="1" applyFill="1" applyBorder="1" applyAlignment="1">
      <alignment horizontal="center"/>
    </xf>
    <xf numFmtId="0" fontId="4" fillId="1" borderId="52" xfId="0" applyFont="1" applyFill="1" applyBorder="1" applyAlignment="1">
      <alignment horizontal="center"/>
    </xf>
    <xf numFmtId="0" fontId="4" fillId="1" borderId="53" xfId="0" applyFont="1" applyFill="1" applyBorder="1" applyAlignment="1">
      <alignment horizontal="center"/>
    </xf>
    <xf numFmtId="43" fontId="12" fillId="3" borderId="92" xfId="17" applyFont="1" applyFill="1" applyBorder="1" applyAlignment="1" applyProtection="1">
      <alignment wrapText="1"/>
      <protection locked="0"/>
    </xf>
    <xf numFmtId="43" fontId="0" fillId="3" borderId="42" xfId="17" applyFont="1" applyFill="1" applyBorder="1" applyAlignment="1">
      <alignment wrapText="1"/>
    </xf>
    <xf numFmtId="0" fontId="33" fillId="1" borderId="51" xfId="21" applyFont="1" applyFill="1" applyBorder="1" applyAlignment="1">
      <alignment horizontal="center"/>
      <protection/>
    </xf>
    <xf numFmtId="0" fontId="33" fillId="1" borderId="52" xfId="21" applyFont="1" applyFill="1" applyBorder="1" applyAlignment="1">
      <alignment horizontal="center"/>
      <protection/>
    </xf>
    <xf numFmtId="0" fontId="33" fillId="1" borderId="53" xfId="21" applyFont="1" applyFill="1" applyBorder="1" applyAlignment="1">
      <alignment horizontal="center"/>
      <protection/>
    </xf>
    <xf numFmtId="0" fontId="4" fillId="1" borderId="51" xfId="0" applyFont="1" applyFill="1" applyBorder="1" applyAlignment="1" applyProtection="1">
      <alignment horizontal="center"/>
      <protection/>
    </xf>
    <xf numFmtId="0" fontId="4" fillId="1" borderId="52" xfId="0" applyFont="1" applyFill="1" applyBorder="1" applyAlignment="1" applyProtection="1">
      <alignment horizontal="center"/>
      <protection/>
    </xf>
    <xf numFmtId="0" fontId="4" fillId="1" borderId="53" xfId="0" applyFont="1" applyFill="1" applyBorder="1" applyAlignment="1" applyProtection="1">
      <alignment horizontal="center"/>
      <protection/>
    </xf>
    <xf numFmtId="0" fontId="4" fillId="4" borderId="5"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4" fillId="3" borderId="5" xfId="0" applyFont="1" applyFill="1" applyBorder="1" applyAlignment="1" applyProtection="1">
      <alignment horizontal="center"/>
      <protection/>
    </xf>
    <xf numFmtId="0" fontId="4" fillId="3" borderId="6" xfId="0" applyFont="1" applyFill="1" applyBorder="1" applyAlignment="1" applyProtection="1">
      <alignment horizontal="center"/>
      <protection/>
    </xf>
    <xf numFmtId="0" fontId="4" fillId="3" borderId="7" xfId="0" applyFont="1" applyFill="1" applyBorder="1" applyAlignment="1" applyProtection="1">
      <alignment horizontal="center"/>
      <protection/>
    </xf>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8" xfId="0" applyFont="1" applyFill="1" applyBorder="1" applyAlignment="1">
      <alignment horizontal="center"/>
    </xf>
    <xf numFmtId="0" fontId="31" fillId="1" borderId="50" xfId="23" applyFont="1" applyFill="1" applyBorder="1" applyAlignment="1">
      <alignment horizontal="center"/>
    </xf>
    <xf numFmtId="0" fontId="31" fillId="1" borderId="48" xfId="23" applyFont="1" applyFill="1" applyBorder="1" applyAlignment="1" quotePrefix="1">
      <alignment horizontal="center"/>
    </xf>
    <xf numFmtId="0" fontId="31" fillId="1" borderId="35" xfId="23" applyFont="1" applyFill="1" applyBorder="1" applyAlignment="1" quotePrefix="1">
      <alignment horizontal="center"/>
    </xf>
    <xf numFmtId="0" fontId="1" fillId="4" borderId="10" xfId="0" applyFont="1" applyFill="1" applyBorder="1" applyAlignment="1" applyProtection="1">
      <alignment horizontal="left"/>
      <protection locked="0"/>
    </xf>
    <xf numFmtId="0" fontId="0" fillId="0" borderId="10" xfId="0" applyBorder="1" applyAlignment="1">
      <alignment/>
    </xf>
  </cellXfs>
  <cellStyles count="11">
    <cellStyle name="Normal" xfId="0"/>
    <cellStyle name="Hyperlink" xfId="15"/>
    <cellStyle name="Followed Hyperlink" xfId="16"/>
    <cellStyle name="Comma" xfId="17"/>
    <cellStyle name="Comma [0]" xfId="18"/>
    <cellStyle name="Currency" xfId="19"/>
    <cellStyle name="Currency [0]" xfId="20"/>
    <cellStyle name="Normal_Sheet2" xfId="21"/>
    <cellStyle name="Normal_Sheet2 (2)" xfId="22"/>
    <cellStyle name="Normal_Sheet3 (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workbookViewId="0" topLeftCell="A1">
      <selection activeCell="L2" sqref="L2"/>
    </sheetView>
  </sheetViews>
  <sheetFormatPr defaultColWidth="11.421875" defaultRowHeight="12.75"/>
  <cols>
    <col min="1" max="1" width="6.7109375" style="205" customWidth="1"/>
    <col min="2" max="12" width="9.140625" style="205" customWidth="1"/>
    <col min="13" max="13" width="6.7109375" style="205" customWidth="1"/>
    <col min="14" max="16384" width="9.140625" style="205" customWidth="1"/>
  </cols>
  <sheetData>
    <row r="1" spans="1:13" ht="30" customHeight="1" thickBot="1">
      <c r="A1" s="450"/>
      <c r="B1" s="450"/>
      <c r="C1" s="450"/>
      <c r="D1" s="450"/>
      <c r="E1" s="450"/>
      <c r="F1" s="450"/>
      <c r="G1" s="450"/>
      <c r="H1" s="450"/>
      <c r="I1" s="450"/>
      <c r="J1" s="450"/>
      <c r="K1" s="450"/>
      <c r="L1" s="450"/>
      <c r="M1" s="450"/>
    </row>
    <row r="2" spans="1:13" ht="14.25" thickBot="1" thickTop="1">
      <c r="A2" s="450"/>
      <c r="B2" s="451"/>
      <c r="C2" s="452"/>
      <c r="D2" s="452"/>
      <c r="E2" s="452"/>
      <c r="F2" s="452"/>
      <c r="G2" s="452"/>
      <c r="H2" s="452"/>
      <c r="I2" s="452"/>
      <c r="J2" s="452"/>
      <c r="K2" s="452"/>
      <c r="L2" s="453"/>
      <c r="M2" s="450"/>
    </row>
    <row r="3" spans="1:13" ht="46.5" customHeight="1" thickBot="1" thickTop="1">
      <c r="A3" s="450"/>
      <c r="B3" s="454"/>
      <c r="C3" s="455"/>
      <c r="D3" s="455"/>
      <c r="E3" s="456"/>
      <c r="F3" s="457"/>
      <c r="G3" s="458" t="s">
        <v>471</v>
      </c>
      <c r="H3" s="457"/>
      <c r="I3" s="459"/>
      <c r="J3" s="460"/>
      <c r="K3" s="460"/>
      <c r="L3" s="461"/>
      <c r="M3" s="450"/>
    </row>
    <row r="4" spans="1:13" ht="13.5" thickTop="1">
      <c r="A4" s="450"/>
      <c r="B4" s="462"/>
      <c r="C4" s="460"/>
      <c r="D4" s="460"/>
      <c r="E4" s="460"/>
      <c r="F4" s="460"/>
      <c r="G4" s="460"/>
      <c r="H4" s="460"/>
      <c r="I4" s="460"/>
      <c r="J4" s="460"/>
      <c r="K4" s="460"/>
      <c r="L4" s="461"/>
      <c r="M4" s="450"/>
    </row>
    <row r="5" spans="1:13" ht="12.75">
      <c r="A5" s="450"/>
      <c r="B5" s="462"/>
      <c r="C5" s="460"/>
      <c r="D5" s="460"/>
      <c r="E5" s="460"/>
      <c r="F5" s="460"/>
      <c r="G5" s="460"/>
      <c r="H5" s="460"/>
      <c r="I5" s="460"/>
      <c r="J5" s="460"/>
      <c r="K5" s="460"/>
      <c r="L5" s="461"/>
      <c r="M5" s="450"/>
    </row>
    <row r="6" spans="1:13" ht="12.75">
      <c r="A6" s="450"/>
      <c r="B6" s="462"/>
      <c r="C6" s="460"/>
      <c r="D6" s="460"/>
      <c r="E6" s="460"/>
      <c r="F6" s="460"/>
      <c r="G6" s="460"/>
      <c r="H6" s="460"/>
      <c r="I6" s="460"/>
      <c r="J6" s="460"/>
      <c r="K6" s="460"/>
      <c r="L6" s="461"/>
      <c r="M6" s="450"/>
    </row>
    <row r="7" spans="1:13" ht="12.75">
      <c r="A7" s="450"/>
      <c r="B7" s="462"/>
      <c r="C7" s="460"/>
      <c r="D7" s="460"/>
      <c r="E7" s="460"/>
      <c r="F7" s="460"/>
      <c r="G7" s="460"/>
      <c r="H7" s="460"/>
      <c r="I7" s="460"/>
      <c r="J7" s="460"/>
      <c r="K7" s="460"/>
      <c r="L7" s="461"/>
      <c r="M7" s="450"/>
    </row>
    <row r="8" spans="1:13" ht="27.75">
      <c r="A8" s="450"/>
      <c r="B8" s="462"/>
      <c r="C8" s="463" t="s">
        <v>372</v>
      </c>
      <c r="D8" s="460"/>
      <c r="E8" s="460"/>
      <c r="F8" s="460"/>
      <c r="G8" s="460"/>
      <c r="H8" s="460"/>
      <c r="I8" s="460"/>
      <c r="J8" s="460"/>
      <c r="K8" s="460"/>
      <c r="L8" s="461"/>
      <c r="M8" s="450"/>
    </row>
    <row r="9" spans="1:13" ht="12.75">
      <c r="A9" s="450"/>
      <c r="B9" s="462"/>
      <c r="C9" s="460"/>
      <c r="D9" s="460"/>
      <c r="E9" s="460"/>
      <c r="F9" s="460"/>
      <c r="G9" s="460"/>
      <c r="H9" s="460"/>
      <c r="I9" s="460"/>
      <c r="J9" s="460"/>
      <c r="K9" s="460"/>
      <c r="L9" s="461"/>
      <c r="M9" s="450"/>
    </row>
    <row r="10" spans="1:13" ht="23.25">
      <c r="A10" s="450"/>
      <c r="B10" s="462"/>
      <c r="C10" s="464"/>
      <c r="D10" s="176"/>
      <c r="E10" s="460"/>
      <c r="F10" s="460"/>
      <c r="G10" s="465" t="s">
        <v>532</v>
      </c>
      <c r="H10" s="460"/>
      <c r="I10" s="460"/>
      <c r="J10" s="460"/>
      <c r="K10" s="460"/>
      <c r="L10" s="461"/>
      <c r="M10" s="450"/>
    </row>
    <row r="11" spans="1:13" ht="12.75">
      <c r="A11" s="450"/>
      <c r="B11" s="462"/>
      <c r="C11" s="460"/>
      <c r="D11" s="460"/>
      <c r="E11" s="460"/>
      <c r="F11" s="460"/>
      <c r="G11" s="460"/>
      <c r="H11" s="460"/>
      <c r="I11" s="460"/>
      <c r="J11" s="460"/>
      <c r="K11" s="460"/>
      <c r="L11" s="461"/>
      <c r="M11" s="450"/>
    </row>
    <row r="12" spans="1:13" ht="20.25">
      <c r="A12" s="450"/>
      <c r="B12" s="462"/>
      <c r="C12" s="460"/>
      <c r="D12" s="460"/>
      <c r="E12" s="460"/>
      <c r="F12" s="460"/>
      <c r="G12" s="465"/>
      <c r="H12" s="460"/>
      <c r="I12" s="460"/>
      <c r="J12" s="460"/>
      <c r="K12" s="460"/>
      <c r="L12" s="461"/>
      <c r="M12" s="450"/>
    </row>
    <row r="13" spans="1:13" ht="20.25">
      <c r="A13" s="450"/>
      <c r="B13" s="462"/>
      <c r="C13" s="460"/>
      <c r="D13" s="460"/>
      <c r="E13" s="460"/>
      <c r="F13" s="460"/>
      <c r="G13" s="465"/>
      <c r="H13" s="460"/>
      <c r="I13" s="460"/>
      <c r="J13" s="460"/>
      <c r="K13" s="460"/>
      <c r="L13" s="461"/>
      <c r="M13" s="450"/>
    </row>
    <row r="14" spans="1:13" ht="15.75">
      <c r="A14" s="450"/>
      <c r="B14" s="462"/>
      <c r="C14" s="460"/>
      <c r="D14" s="460"/>
      <c r="G14" s="466" t="s">
        <v>533</v>
      </c>
      <c r="H14" s="460"/>
      <c r="I14" s="460"/>
      <c r="J14" s="460"/>
      <c r="K14" s="460"/>
      <c r="L14" s="461"/>
      <c r="M14" s="450"/>
    </row>
    <row r="15" spans="1:13" ht="12.75">
      <c r="A15" s="450"/>
      <c r="B15" s="462"/>
      <c r="C15" s="460"/>
      <c r="D15" s="460"/>
      <c r="E15" s="460"/>
      <c r="F15" s="460"/>
      <c r="G15" s="460"/>
      <c r="H15" s="460"/>
      <c r="I15" s="460"/>
      <c r="J15" s="460"/>
      <c r="K15" s="460"/>
      <c r="L15" s="461"/>
      <c r="M15" s="450"/>
    </row>
    <row r="16" spans="1:13" ht="12.75">
      <c r="A16" s="450"/>
      <c r="B16" s="462"/>
      <c r="C16" s="460"/>
      <c r="D16" s="460"/>
      <c r="E16" s="460"/>
      <c r="F16" s="460"/>
      <c r="G16" s="460"/>
      <c r="H16" s="460"/>
      <c r="I16" s="460"/>
      <c r="J16" s="460"/>
      <c r="K16" s="460"/>
      <c r="L16" s="461"/>
      <c r="M16" s="450"/>
    </row>
    <row r="17" spans="1:13" ht="12.75">
      <c r="A17" s="450"/>
      <c r="B17" s="956" t="s">
        <v>537</v>
      </c>
      <c r="C17" s="957"/>
      <c r="D17" s="957"/>
      <c r="E17" s="957"/>
      <c r="F17" s="957"/>
      <c r="G17" s="957"/>
      <c r="H17" s="957"/>
      <c r="I17" s="957"/>
      <c r="J17" s="957"/>
      <c r="K17" s="957"/>
      <c r="L17" s="958"/>
      <c r="M17" s="450"/>
    </row>
    <row r="18" spans="1:13" ht="12.75">
      <c r="A18" s="450"/>
      <c r="B18" s="956" t="s">
        <v>538</v>
      </c>
      <c r="C18" s="957"/>
      <c r="D18" s="957"/>
      <c r="E18" s="957"/>
      <c r="F18" s="957"/>
      <c r="G18" s="957"/>
      <c r="H18" s="957"/>
      <c r="I18" s="957"/>
      <c r="J18" s="957"/>
      <c r="K18" s="957"/>
      <c r="L18" s="958"/>
      <c r="M18" s="450"/>
    </row>
    <row r="19" spans="1:13" ht="12.75">
      <c r="A19" s="450"/>
      <c r="B19" s="956" t="s">
        <v>534</v>
      </c>
      <c r="C19" s="957"/>
      <c r="D19" s="957"/>
      <c r="E19" s="957"/>
      <c r="F19" s="957"/>
      <c r="G19" s="957"/>
      <c r="H19" s="957"/>
      <c r="I19" s="957"/>
      <c r="J19" s="957"/>
      <c r="K19" s="957"/>
      <c r="L19" s="958"/>
      <c r="M19" s="450"/>
    </row>
    <row r="20" spans="1:13" ht="12.75">
      <c r="A20" s="450"/>
      <c r="B20" s="462"/>
      <c r="C20" s="460"/>
      <c r="D20" s="460"/>
      <c r="E20" s="460"/>
      <c r="F20" s="460"/>
      <c r="G20" s="460"/>
      <c r="H20" s="460"/>
      <c r="I20" s="460"/>
      <c r="J20" s="460"/>
      <c r="K20" s="460"/>
      <c r="L20" s="461"/>
      <c r="M20" s="450"/>
    </row>
    <row r="21" spans="1:13" ht="12.75" customHeight="1">
      <c r="A21" s="450"/>
      <c r="B21" s="959"/>
      <c r="C21" s="960"/>
      <c r="D21" s="960"/>
      <c r="E21" s="960"/>
      <c r="F21" s="960"/>
      <c r="G21" s="960"/>
      <c r="H21" s="960"/>
      <c r="I21" s="960"/>
      <c r="J21" s="960"/>
      <c r="K21" s="960"/>
      <c r="L21" s="961"/>
      <c r="M21" s="450"/>
    </row>
    <row r="22" spans="1:13" ht="12.75" customHeight="1">
      <c r="A22" s="450"/>
      <c r="B22" s="959"/>
      <c r="C22" s="960"/>
      <c r="D22" s="960"/>
      <c r="E22" s="960"/>
      <c r="F22" s="960"/>
      <c r="G22" s="960"/>
      <c r="H22" s="960"/>
      <c r="I22" s="960"/>
      <c r="J22" s="960"/>
      <c r="K22" s="960"/>
      <c r="L22" s="961"/>
      <c r="M22" s="450"/>
    </row>
    <row r="23" spans="1:13" ht="12.75" customHeight="1">
      <c r="A23" s="450"/>
      <c r="B23" s="959"/>
      <c r="C23" s="960"/>
      <c r="D23" s="960"/>
      <c r="E23" s="960"/>
      <c r="F23" s="960"/>
      <c r="G23" s="960"/>
      <c r="H23" s="960"/>
      <c r="I23" s="960"/>
      <c r="J23" s="960"/>
      <c r="K23" s="960"/>
      <c r="L23" s="961"/>
      <c r="M23" s="450"/>
    </row>
    <row r="24" spans="1:13" ht="12.75" customHeight="1">
      <c r="A24" s="450"/>
      <c r="B24" s="959"/>
      <c r="C24" s="960"/>
      <c r="D24" s="960"/>
      <c r="E24" s="960"/>
      <c r="F24" s="960"/>
      <c r="G24" s="960"/>
      <c r="H24" s="960"/>
      <c r="I24" s="960"/>
      <c r="J24" s="960"/>
      <c r="K24" s="960"/>
      <c r="L24" s="961"/>
      <c r="M24" s="450"/>
    </row>
    <row r="25" spans="1:13" ht="12.75">
      <c r="A25" s="450"/>
      <c r="B25" s="462"/>
      <c r="C25" s="470"/>
      <c r="D25" s="460"/>
      <c r="E25" s="460"/>
      <c r="F25" s="460"/>
      <c r="G25" s="460"/>
      <c r="H25" s="460"/>
      <c r="I25" s="460"/>
      <c r="J25" s="460"/>
      <c r="K25" s="460"/>
      <c r="L25" s="461"/>
      <c r="M25" s="450"/>
    </row>
    <row r="26" spans="1:13" ht="12.75">
      <c r="A26" s="450"/>
      <c r="B26" s="956"/>
      <c r="C26" s="957"/>
      <c r="D26" s="957"/>
      <c r="E26" s="957"/>
      <c r="F26" s="957"/>
      <c r="G26" s="957"/>
      <c r="H26" s="957"/>
      <c r="I26" s="957"/>
      <c r="J26" s="957"/>
      <c r="K26" s="957"/>
      <c r="L26" s="958"/>
      <c r="M26" s="450"/>
    </row>
    <row r="27" spans="1:13" ht="12.75">
      <c r="A27" s="450"/>
      <c r="B27" s="956" t="s">
        <v>535</v>
      </c>
      <c r="C27" s="957"/>
      <c r="D27" s="957"/>
      <c r="E27" s="957"/>
      <c r="F27" s="957"/>
      <c r="G27" s="957"/>
      <c r="H27" s="957"/>
      <c r="I27" s="957"/>
      <c r="J27" s="957"/>
      <c r="K27" s="957"/>
      <c r="L27" s="958"/>
      <c r="M27" s="450"/>
    </row>
    <row r="28" spans="1:13" ht="12.75">
      <c r="A28" s="450"/>
      <c r="B28" s="956" t="s">
        <v>536</v>
      </c>
      <c r="C28" s="957"/>
      <c r="D28" s="957"/>
      <c r="E28" s="957"/>
      <c r="F28" s="957"/>
      <c r="G28" s="957"/>
      <c r="H28" s="957"/>
      <c r="I28" s="957"/>
      <c r="J28" s="957"/>
      <c r="K28" s="957"/>
      <c r="L28" s="958"/>
      <c r="M28" s="450"/>
    </row>
    <row r="29" spans="1:13" ht="12.75">
      <c r="A29" s="450"/>
      <c r="B29" s="467"/>
      <c r="C29" s="468"/>
      <c r="D29" s="468"/>
      <c r="E29" s="468"/>
      <c r="G29" s="468"/>
      <c r="H29" s="468"/>
      <c r="I29" s="468"/>
      <c r="J29" s="468"/>
      <c r="K29" s="468"/>
      <c r="L29" s="469"/>
      <c r="M29" s="450"/>
    </row>
    <row r="30" spans="1:13" ht="12.75">
      <c r="A30" s="450"/>
      <c r="B30" s="462"/>
      <c r="C30" s="460"/>
      <c r="D30" s="460"/>
      <c r="E30" s="460"/>
      <c r="F30" s="460"/>
      <c r="G30" s="460"/>
      <c r="H30" s="460"/>
      <c r="I30" s="460"/>
      <c r="J30" s="460"/>
      <c r="K30" s="460"/>
      <c r="L30" s="461"/>
      <c r="M30" s="450"/>
    </row>
    <row r="31" spans="1:13" ht="15.75">
      <c r="A31" s="450"/>
      <c r="B31" s="462"/>
      <c r="C31" s="471" t="s">
        <v>55</v>
      </c>
      <c r="D31" s="472" t="s">
        <v>373</v>
      </c>
      <c r="E31" s="460"/>
      <c r="F31" s="460"/>
      <c r="G31" s="460"/>
      <c r="H31" s="460"/>
      <c r="I31" s="460"/>
      <c r="J31" s="460"/>
      <c r="K31" s="460"/>
      <c r="L31" s="461"/>
      <c r="M31" s="450"/>
    </row>
    <row r="32" spans="1:13" ht="15.75">
      <c r="A32" s="450"/>
      <c r="B32" s="462"/>
      <c r="C32" s="471"/>
      <c r="D32" s="472" t="s">
        <v>472</v>
      </c>
      <c r="E32" s="460"/>
      <c r="F32" s="460"/>
      <c r="G32" s="460"/>
      <c r="H32" s="460"/>
      <c r="I32" s="460"/>
      <c r="J32" s="460"/>
      <c r="K32" s="460"/>
      <c r="L32" s="461"/>
      <c r="M32" s="450"/>
    </row>
    <row r="33" spans="1:13" ht="15.75">
      <c r="A33" s="450"/>
      <c r="B33" s="462"/>
      <c r="C33" s="471"/>
      <c r="D33" s="472" t="s">
        <v>473</v>
      </c>
      <c r="E33" s="460"/>
      <c r="F33" s="460"/>
      <c r="G33" s="460"/>
      <c r="H33" s="460"/>
      <c r="I33" s="460"/>
      <c r="J33" s="460"/>
      <c r="K33" s="460"/>
      <c r="L33" s="461"/>
      <c r="M33" s="450"/>
    </row>
    <row r="34" spans="1:13" ht="12.75" customHeight="1">
      <c r="A34" s="450"/>
      <c r="B34" s="462"/>
      <c r="C34" s="460"/>
      <c r="D34" s="460"/>
      <c r="E34" s="460"/>
      <c r="F34" s="460"/>
      <c r="G34" s="460"/>
      <c r="H34" s="460"/>
      <c r="I34" s="460"/>
      <c r="J34" s="460"/>
      <c r="K34" s="460"/>
      <c r="L34" s="461"/>
      <c r="M34" s="450"/>
    </row>
    <row r="35" spans="1:13" ht="16.5" customHeight="1">
      <c r="A35" s="450"/>
      <c r="B35" s="462"/>
      <c r="C35" s="471" t="s">
        <v>55</v>
      </c>
      <c r="D35" s="472" t="s">
        <v>374</v>
      </c>
      <c r="E35" s="460"/>
      <c r="F35" s="460"/>
      <c r="G35" s="460"/>
      <c r="H35" s="460"/>
      <c r="I35" s="460"/>
      <c r="J35" s="460"/>
      <c r="K35" s="460"/>
      <c r="L35" s="461"/>
      <c r="M35" s="450"/>
    </row>
    <row r="36" spans="1:13" ht="16.5" customHeight="1">
      <c r="A36" s="450"/>
      <c r="B36" s="462"/>
      <c r="C36" s="471"/>
      <c r="D36" s="472" t="s">
        <v>375</v>
      </c>
      <c r="E36" s="460"/>
      <c r="F36" s="460"/>
      <c r="G36" s="460"/>
      <c r="H36" s="460"/>
      <c r="I36" s="460"/>
      <c r="J36" s="460"/>
      <c r="K36" s="460"/>
      <c r="L36" s="461"/>
      <c r="M36" s="450"/>
    </row>
    <row r="37" spans="1:13" ht="12.75" customHeight="1">
      <c r="A37" s="450"/>
      <c r="B37" s="462"/>
      <c r="C37" s="471"/>
      <c r="D37" s="470"/>
      <c r="E37" s="460"/>
      <c r="F37" s="460"/>
      <c r="G37" s="460"/>
      <c r="H37" s="460"/>
      <c r="I37" s="460"/>
      <c r="J37" s="460"/>
      <c r="K37" s="460"/>
      <c r="L37" s="461"/>
      <c r="M37" s="450"/>
    </row>
    <row r="38" spans="1:13" ht="16.5" customHeight="1">
      <c r="A38" s="450"/>
      <c r="B38" s="462"/>
      <c r="C38" s="471" t="s">
        <v>55</v>
      </c>
      <c r="D38" s="472" t="s">
        <v>474</v>
      </c>
      <c r="E38" s="460"/>
      <c r="F38" s="460"/>
      <c r="G38" s="460"/>
      <c r="H38" s="460"/>
      <c r="I38" s="460"/>
      <c r="J38" s="460"/>
      <c r="K38" s="460"/>
      <c r="L38" s="461"/>
      <c r="M38" s="450"/>
    </row>
    <row r="39" spans="1:13" ht="16.5" customHeight="1">
      <c r="A39" s="450"/>
      <c r="B39" s="462"/>
      <c r="C39" s="471"/>
      <c r="D39" s="472" t="s">
        <v>383</v>
      </c>
      <c r="E39" s="460"/>
      <c r="F39" s="460"/>
      <c r="G39" s="460"/>
      <c r="H39" s="460"/>
      <c r="I39" s="460"/>
      <c r="J39" s="460"/>
      <c r="K39" s="460"/>
      <c r="L39" s="461"/>
      <c r="M39" s="450"/>
    </row>
    <row r="40" spans="1:13" ht="12.75" customHeight="1">
      <c r="A40" s="450"/>
      <c r="B40" s="462"/>
      <c r="C40" s="471"/>
      <c r="D40" s="470"/>
      <c r="E40" s="460"/>
      <c r="F40" s="460"/>
      <c r="G40" s="460"/>
      <c r="H40" s="460"/>
      <c r="I40" s="460"/>
      <c r="J40" s="460"/>
      <c r="K40" s="460"/>
      <c r="L40" s="461"/>
      <c r="M40" s="450"/>
    </row>
    <row r="41" spans="1:13" ht="16.5" customHeight="1">
      <c r="A41" s="450"/>
      <c r="B41" s="462"/>
      <c r="C41" s="471" t="s">
        <v>55</v>
      </c>
      <c r="D41" s="472" t="s">
        <v>376</v>
      </c>
      <c r="E41" s="460"/>
      <c r="F41" s="460"/>
      <c r="G41" s="460"/>
      <c r="H41" s="460"/>
      <c r="I41" s="460"/>
      <c r="J41" s="460"/>
      <c r="K41" s="460"/>
      <c r="L41" s="461"/>
      <c r="M41" s="450"/>
    </row>
    <row r="42" spans="1:13" ht="16.5" customHeight="1">
      <c r="A42" s="450"/>
      <c r="B42" s="462"/>
      <c r="C42" s="460"/>
      <c r="D42" s="472" t="s">
        <v>377</v>
      </c>
      <c r="E42" s="460"/>
      <c r="F42" s="460"/>
      <c r="G42" s="460"/>
      <c r="H42" s="460"/>
      <c r="I42" s="460"/>
      <c r="J42" s="460"/>
      <c r="K42" s="460"/>
      <c r="L42" s="461"/>
      <c r="M42" s="450"/>
    </row>
    <row r="43" spans="1:13" ht="16.5" customHeight="1">
      <c r="A43" s="450"/>
      <c r="B43" s="462"/>
      <c r="C43" s="460"/>
      <c r="D43" s="472" t="s">
        <v>378</v>
      </c>
      <c r="E43" s="460"/>
      <c r="F43" s="460"/>
      <c r="G43" s="460"/>
      <c r="H43" s="460"/>
      <c r="I43" s="460"/>
      <c r="J43" s="460"/>
      <c r="K43" s="460"/>
      <c r="L43" s="461"/>
      <c r="M43" s="450"/>
    </row>
    <row r="44" spans="1:13" ht="12.75" customHeight="1">
      <c r="A44" s="450"/>
      <c r="B44" s="462"/>
      <c r="C44" s="460"/>
      <c r="D44" s="460"/>
      <c r="E44" s="460"/>
      <c r="F44" s="460"/>
      <c r="G44" s="460"/>
      <c r="H44" s="460"/>
      <c r="I44" s="460"/>
      <c r="J44" s="460"/>
      <c r="K44" s="460"/>
      <c r="L44" s="461"/>
      <c r="M44" s="450"/>
    </row>
    <row r="45" spans="1:13" ht="16.5" customHeight="1">
      <c r="A45" s="450"/>
      <c r="B45" s="462"/>
      <c r="C45" s="471" t="s">
        <v>55</v>
      </c>
      <c r="D45" s="472" t="s">
        <v>379</v>
      </c>
      <c r="E45" s="460"/>
      <c r="F45" s="460"/>
      <c r="G45" s="460"/>
      <c r="H45" s="460"/>
      <c r="I45" s="460"/>
      <c r="J45" s="460"/>
      <c r="K45" s="460"/>
      <c r="L45" s="461"/>
      <c r="M45" s="450"/>
    </row>
    <row r="46" spans="1:13" ht="16.5" customHeight="1">
      <c r="A46" s="450"/>
      <c r="B46" s="462"/>
      <c r="C46" s="471"/>
      <c r="D46" s="472" t="s">
        <v>380</v>
      </c>
      <c r="E46" s="460"/>
      <c r="F46" s="460"/>
      <c r="G46" s="460"/>
      <c r="H46" s="460"/>
      <c r="I46" s="460"/>
      <c r="J46" s="460"/>
      <c r="K46" s="460"/>
      <c r="L46" s="461"/>
      <c r="M46" s="450"/>
    </row>
    <row r="47" spans="1:13" ht="16.5" customHeight="1">
      <c r="A47" s="450"/>
      <c r="B47" s="462"/>
      <c r="C47" s="460"/>
      <c r="D47" s="472" t="s">
        <v>381</v>
      </c>
      <c r="E47" s="460"/>
      <c r="F47" s="460"/>
      <c r="G47" s="460"/>
      <c r="H47" s="460"/>
      <c r="I47" s="460"/>
      <c r="J47" s="460"/>
      <c r="K47" s="460"/>
      <c r="L47" s="461"/>
      <c r="M47" s="450"/>
    </row>
    <row r="48" spans="1:13" ht="16.5" customHeight="1">
      <c r="A48" s="450"/>
      <c r="B48" s="462"/>
      <c r="C48" s="460"/>
      <c r="D48" s="472" t="s">
        <v>382</v>
      </c>
      <c r="E48" s="460"/>
      <c r="F48" s="460"/>
      <c r="G48" s="460"/>
      <c r="H48" s="460"/>
      <c r="I48" s="460"/>
      <c r="J48" s="460"/>
      <c r="K48" s="460"/>
      <c r="L48" s="461"/>
      <c r="M48" s="450"/>
    </row>
    <row r="49" spans="1:13" ht="12.75" customHeight="1">
      <c r="A49" s="450"/>
      <c r="B49" s="462"/>
      <c r="C49" s="460"/>
      <c r="D49" s="460"/>
      <c r="E49" s="460"/>
      <c r="F49" s="460"/>
      <c r="G49" s="460"/>
      <c r="H49" s="460"/>
      <c r="I49" s="460"/>
      <c r="J49" s="460"/>
      <c r="K49" s="460"/>
      <c r="L49" s="461"/>
      <c r="M49" s="450"/>
    </row>
    <row r="50" spans="1:13" ht="12.75">
      <c r="A50" s="450"/>
      <c r="B50" s="462"/>
      <c r="C50" s="460"/>
      <c r="D50" s="460"/>
      <c r="E50" s="460"/>
      <c r="F50" s="460"/>
      <c r="G50" s="460"/>
      <c r="H50" s="460"/>
      <c r="I50" s="460"/>
      <c r="J50" s="460"/>
      <c r="K50" s="460"/>
      <c r="L50" s="461"/>
      <c r="M50" s="450"/>
    </row>
    <row r="51" spans="1:13" ht="12.75">
      <c r="A51" s="450"/>
      <c r="B51" s="462"/>
      <c r="C51" s="460"/>
      <c r="D51" s="460"/>
      <c r="E51" s="460"/>
      <c r="G51" s="473">
        <v>37926</v>
      </c>
      <c r="H51" s="460"/>
      <c r="I51" s="460"/>
      <c r="J51" s="460"/>
      <c r="K51" s="460"/>
      <c r="L51" s="461"/>
      <c r="M51" s="450"/>
    </row>
    <row r="52" spans="1:13" ht="13.5" thickBot="1">
      <c r="A52" s="450"/>
      <c r="B52" s="474"/>
      <c r="C52" s="475"/>
      <c r="D52" s="475"/>
      <c r="E52" s="475"/>
      <c r="F52" s="475"/>
      <c r="G52" s="475"/>
      <c r="H52" s="475"/>
      <c r="I52" s="475"/>
      <c r="J52" s="475"/>
      <c r="K52" s="475"/>
      <c r="L52" s="476"/>
      <c r="M52" s="450"/>
    </row>
    <row r="53" spans="1:13" ht="30" customHeight="1" thickTop="1">
      <c r="A53" s="450"/>
      <c r="B53" s="450"/>
      <c r="C53" s="450"/>
      <c r="D53" s="450"/>
      <c r="E53" s="450"/>
      <c r="F53" s="450"/>
      <c r="G53" s="450"/>
      <c r="H53" s="450"/>
      <c r="I53" s="450"/>
      <c r="J53" s="450"/>
      <c r="K53" s="450"/>
      <c r="L53" s="450"/>
      <c r="M53" s="450"/>
    </row>
  </sheetData>
  <sheetProtection sheet="1" objects="1" scenarios="1"/>
  <mergeCells count="10">
    <mergeCell ref="B27:L27"/>
    <mergeCell ref="B28:L28"/>
    <mergeCell ref="B22:L22"/>
    <mergeCell ref="B23:L23"/>
    <mergeCell ref="B24:L24"/>
    <mergeCell ref="B26:L26"/>
    <mergeCell ref="B17:L17"/>
    <mergeCell ref="B18:L18"/>
    <mergeCell ref="B19:L19"/>
    <mergeCell ref="B21:L21"/>
  </mergeCells>
  <printOptions horizontalCentered="1"/>
  <pageMargins left="0.3937007874015748" right="0.3937007874015748" top="0.3937007874015748" bottom="0.3937007874015748" header="0.11811023622047245" footer="0.11811023622047245"/>
  <pageSetup fitToHeight="1" fitToWidth="1" horizontalDpi="600" verticalDpi="600" orientation="portrait" scale="88"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O47"/>
  <sheetViews>
    <sheetView showGridLines="0" zoomScale="75" zoomScaleNormal="75" workbookViewId="0" topLeftCell="A1">
      <selection activeCell="B15" sqref="B15"/>
    </sheetView>
  </sheetViews>
  <sheetFormatPr defaultColWidth="11.421875" defaultRowHeight="12.75"/>
  <cols>
    <col min="1" max="1" width="4.28125" style="0" customWidth="1"/>
    <col min="2" max="2" width="13.00390625" style="0" customWidth="1"/>
    <col min="3" max="7" width="10.7109375" style="0" customWidth="1"/>
    <col min="8" max="8" width="13.57421875" style="0" customWidth="1"/>
    <col min="9" max="9" width="11.8515625" style="0" customWidth="1"/>
    <col min="10" max="10" width="10.7109375" style="0" customWidth="1"/>
    <col min="11" max="11" width="16.7109375" style="0" customWidth="1"/>
    <col min="12" max="12" width="1.28515625" style="0" customWidth="1"/>
    <col min="13" max="16384" width="8.8515625" style="0" customWidth="1"/>
  </cols>
  <sheetData>
    <row r="1" spans="1:15" ht="17.25" thickBot="1" thickTop="1">
      <c r="A1" s="920" t="s">
        <v>541</v>
      </c>
      <c r="B1" s="177"/>
      <c r="C1" s="173"/>
      <c r="D1" s="173"/>
      <c r="E1" s="176"/>
      <c r="F1" s="964" t="s">
        <v>471</v>
      </c>
      <c r="G1" s="965"/>
      <c r="H1" s="966"/>
      <c r="J1" s="176"/>
      <c r="K1" s="176"/>
      <c r="L1" s="189" t="s">
        <v>172</v>
      </c>
      <c r="M1" s="176"/>
      <c r="N1" s="173"/>
      <c r="O1" s="176"/>
    </row>
    <row r="2" spans="1:15" ht="16.5" thickTop="1">
      <c r="A2" s="916"/>
      <c r="B2" s="173"/>
      <c r="C2" s="173"/>
      <c r="D2" s="173"/>
      <c r="E2" s="176"/>
      <c r="F2" s="918"/>
      <c r="G2" s="918"/>
      <c r="H2" s="918"/>
      <c r="J2" s="176"/>
      <c r="K2" s="176"/>
      <c r="L2" s="189"/>
      <c r="M2" s="176"/>
      <c r="N2" s="173"/>
      <c r="O2" s="176"/>
    </row>
    <row r="3" spans="2:15" ht="26.25" customHeight="1">
      <c r="B3" s="917" t="s">
        <v>517</v>
      </c>
      <c r="C3" s="173"/>
      <c r="D3" s="173"/>
      <c r="E3" s="176"/>
      <c r="F3" s="181"/>
      <c r="H3" s="176"/>
      <c r="I3" s="176"/>
      <c r="J3" s="176"/>
      <c r="K3" s="176"/>
      <c r="L3" s="189"/>
      <c r="M3" s="176"/>
      <c r="N3" s="173"/>
      <c r="O3" s="176"/>
    </row>
    <row r="4" spans="1:15" ht="19.5" customHeight="1" thickBot="1">
      <c r="A4" s="176"/>
      <c r="B4" s="176"/>
      <c r="C4" s="176"/>
      <c r="D4" s="176"/>
      <c r="E4" s="176"/>
      <c r="F4" s="176"/>
      <c r="G4" s="176"/>
      <c r="H4" s="176"/>
      <c r="I4" s="176"/>
      <c r="J4" s="176"/>
      <c r="K4" s="176"/>
      <c r="L4" s="176"/>
      <c r="M4" s="176"/>
      <c r="N4" s="176"/>
      <c r="O4" s="176"/>
    </row>
    <row r="5" spans="1:15" ht="4.5" customHeight="1" thickTop="1">
      <c r="A5" s="3"/>
      <c r="B5" s="4"/>
      <c r="C5" s="4"/>
      <c r="D5" s="4"/>
      <c r="E5" s="4"/>
      <c r="F5" s="4"/>
      <c r="G5" s="4"/>
      <c r="H5" s="4"/>
      <c r="I5" s="4"/>
      <c r="J5" s="4"/>
      <c r="K5" s="4"/>
      <c r="L5" s="5"/>
      <c r="M5" s="176"/>
      <c r="N5" s="176"/>
      <c r="O5" s="176"/>
    </row>
    <row r="6" spans="1:15" ht="18">
      <c r="A6" s="6"/>
      <c r="B6" s="52" t="s">
        <v>173</v>
      </c>
      <c r="C6" s="15"/>
      <c r="D6" s="15"/>
      <c r="E6" s="7"/>
      <c r="F6" s="13" t="s">
        <v>174</v>
      </c>
      <c r="G6" s="8"/>
      <c r="H6" s="7"/>
      <c r="I6" s="7"/>
      <c r="J6" s="7"/>
      <c r="K6" s="7"/>
      <c r="L6" s="12"/>
      <c r="M6" s="176"/>
      <c r="N6" s="176"/>
      <c r="O6" s="176"/>
    </row>
    <row r="7" spans="1:15" ht="15" customHeight="1">
      <c r="A7" s="6"/>
      <c r="B7" s="150" t="s">
        <v>175</v>
      </c>
      <c r="C7" s="96"/>
      <c r="D7" s="96"/>
      <c r="E7" s="8"/>
      <c r="F7" s="7"/>
      <c r="G7" s="7"/>
      <c r="H7" s="7"/>
      <c r="I7" s="7"/>
      <c r="J7" s="7"/>
      <c r="K7" s="7"/>
      <c r="L7" s="12"/>
      <c r="M7" s="176"/>
      <c r="N7" s="176"/>
      <c r="O7" s="176"/>
    </row>
    <row r="8" spans="1:15" ht="15" customHeight="1">
      <c r="A8" s="6"/>
      <c r="B8" s="95" t="s">
        <v>176</v>
      </c>
      <c r="C8" s="96"/>
      <c r="D8" s="96"/>
      <c r="E8" s="8"/>
      <c r="F8" s="7"/>
      <c r="G8" s="7"/>
      <c r="H8" s="7"/>
      <c r="I8" s="7"/>
      <c r="J8" s="7"/>
      <c r="K8" s="7"/>
      <c r="L8" s="12"/>
      <c r="M8" s="176"/>
      <c r="N8" s="176"/>
      <c r="O8" s="176"/>
    </row>
    <row r="9" spans="1:15" ht="4.5" customHeight="1">
      <c r="A9" s="18"/>
      <c r="B9" s="19"/>
      <c r="C9" s="19"/>
      <c r="D9" s="19"/>
      <c r="E9" s="19"/>
      <c r="F9" s="19"/>
      <c r="G9" s="19"/>
      <c r="H9" s="19"/>
      <c r="I9" s="19"/>
      <c r="J9" s="19"/>
      <c r="K9" s="19"/>
      <c r="L9" s="27"/>
      <c r="M9" s="176"/>
      <c r="N9" s="176"/>
      <c r="O9" s="176"/>
    </row>
    <row r="10" spans="1:15" ht="4.5" customHeight="1">
      <c r="A10" s="6"/>
      <c r="B10" s="7"/>
      <c r="C10" s="7"/>
      <c r="D10" s="7"/>
      <c r="E10" s="7"/>
      <c r="F10" s="690"/>
      <c r="G10" s="59"/>
      <c r="H10" s="59"/>
      <c r="I10" s="59"/>
      <c r="J10" s="59"/>
      <c r="K10" s="7"/>
      <c r="L10" s="12"/>
      <c r="M10" s="176"/>
      <c r="N10" s="176"/>
      <c r="O10" s="176"/>
    </row>
    <row r="11" spans="1:15" ht="15.75">
      <c r="A11" s="6"/>
      <c r="B11" s="97" t="s">
        <v>177</v>
      </c>
      <c r="C11" s="15"/>
      <c r="D11" s="15"/>
      <c r="E11" s="8"/>
      <c r="F11" s="691" t="s">
        <v>438</v>
      </c>
      <c r="G11" s="152" t="s">
        <v>178</v>
      </c>
      <c r="H11" s="152" t="s">
        <v>179</v>
      </c>
      <c r="I11" s="153" t="s">
        <v>178</v>
      </c>
      <c r="J11" s="153" t="s">
        <v>180</v>
      </c>
      <c r="K11" s="98" t="s">
        <v>181</v>
      </c>
      <c r="L11" s="12"/>
      <c r="M11" s="176"/>
      <c r="N11" s="176"/>
      <c r="O11" s="176"/>
    </row>
    <row r="12" spans="1:15" ht="15.75">
      <c r="A12" s="6"/>
      <c r="B12" s="97"/>
      <c r="C12" s="15"/>
      <c r="D12" s="15"/>
      <c r="E12" s="8"/>
      <c r="F12" s="127"/>
      <c r="G12" s="153" t="s">
        <v>182</v>
      </c>
      <c r="H12" s="152" t="s">
        <v>438</v>
      </c>
      <c r="I12" s="152" t="s">
        <v>183</v>
      </c>
      <c r="J12" s="153" t="s">
        <v>184</v>
      </c>
      <c r="K12" s="596" t="str">
        <f>'C2-INV'!J9</f>
        <v>has</v>
      </c>
      <c r="L12" s="12"/>
      <c r="M12" s="176"/>
      <c r="N12" s="176"/>
      <c r="O12" s="176"/>
    </row>
    <row r="13" spans="1:15" ht="9" customHeight="1">
      <c r="A13" s="18"/>
      <c r="B13" s="67"/>
      <c r="C13" s="71"/>
      <c r="D13" s="67"/>
      <c r="E13" s="19"/>
      <c r="F13" s="692">
        <v>1</v>
      </c>
      <c r="G13" s="151">
        <v>2</v>
      </c>
      <c r="H13" s="151">
        <v>3</v>
      </c>
      <c r="I13" s="151">
        <v>4</v>
      </c>
      <c r="J13" s="151">
        <v>5</v>
      </c>
      <c r="K13" s="237" t="s">
        <v>185</v>
      </c>
      <c r="L13" s="27"/>
      <c r="M13" s="176"/>
      <c r="N13" s="176"/>
      <c r="O13" s="176"/>
    </row>
    <row r="14" spans="1:15" ht="6" customHeight="1">
      <c r="A14" s="100"/>
      <c r="B14" s="7"/>
      <c r="C14" s="7"/>
      <c r="D14" s="7"/>
      <c r="E14" s="7"/>
      <c r="F14" s="127"/>
      <c r="G14" s="59"/>
      <c r="H14" s="59"/>
      <c r="I14" s="59"/>
      <c r="J14" s="59"/>
      <c r="K14" s="7"/>
      <c r="L14" s="12"/>
      <c r="M14" s="176"/>
      <c r="N14" s="176"/>
      <c r="O14" s="176"/>
    </row>
    <row r="15" spans="1:15" ht="18" customHeight="1">
      <c r="A15" s="101" t="s">
        <v>161</v>
      </c>
      <c r="B15" s="225" t="s">
        <v>568</v>
      </c>
      <c r="C15" s="225"/>
      <c r="D15" s="225"/>
      <c r="E15" s="225"/>
      <c r="F15" s="693" t="s">
        <v>547</v>
      </c>
      <c r="G15" s="250">
        <v>1</v>
      </c>
      <c r="H15" s="251">
        <v>150</v>
      </c>
      <c r="I15" s="250">
        <v>12</v>
      </c>
      <c r="J15" s="250"/>
      <c r="K15" s="252">
        <f aca="true" t="shared" si="0" ref="K15:K21">G15*(H15+J15)*I15</f>
        <v>1800</v>
      </c>
      <c r="L15" s="27"/>
      <c r="M15" s="176"/>
      <c r="N15" s="176"/>
      <c r="O15" s="176"/>
    </row>
    <row r="16" spans="1:15" ht="18" customHeight="1">
      <c r="A16" s="101" t="s">
        <v>162</v>
      </c>
      <c r="B16" s="225"/>
      <c r="C16" s="225"/>
      <c r="D16" s="225"/>
      <c r="E16" s="225"/>
      <c r="F16" s="693"/>
      <c r="G16" s="250"/>
      <c r="H16" s="251"/>
      <c r="I16" s="250"/>
      <c r="J16" s="250"/>
      <c r="K16" s="252">
        <f t="shared" si="0"/>
        <v>0</v>
      </c>
      <c r="L16" s="27"/>
      <c r="M16" s="176"/>
      <c r="N16" s="176"/>
      <c r="O16" s="176"/>
    </row>
    <row r="17" spans="1:15" ht="18" customHeight="1">
      <c r="A17" s="101" t="s">
        <v>163</v>
      </c>
      <c r="B17" s="249"/>
      <c r="C17" s="225"/>
      <c r="D17" s="225"/>
      <c r="E17" s="225"/>
      <c r="F17" s="693"/>
      <c r="G17" s="250"/>
      <c r="H17" s="250"/>
      <c r="I17" s="250"/>
      <c r="J17" s="250"/>
      <c r="K17" s="252">
        <f t="shared" si="0"/>
        <v>0</v>
      </c>
      <c r="L17" s="27"/>
      <c r="M17" s="176"/>
      <c r="N17" s="176"/>
      <c r="O17" s="176"/>
    </row>
    <row r="18" spans="1:15" ht="18" customHeight="1">
      <c r="A18" s="101" t="s">
        <v>164</v>
      </c>
      <c r="B18" s="249"/>
      <c r="C18" s="225"/>
      <c r="D18" s="225"/>
      <c r="E18" s="225"/>
      <c r="F18" s="693"/>
      <c r="G18" s="250"/>
      <c r="H18" s="250"/>
      <c r="I18" s="250"/>
      <c r="J18" s="250"/>
      <c r="K18" s="252">
        <f t="shared" si="0"/>
        <v>0</v>
      </c>
      <c r="L18" s="27"/>
      <c r="M18" s="176"/>
      <c r="N18" s="176"/>
      <c r="O18" s="176"/>
    </row>
    <row r="19" spans="1:15" ht="18" customHeight="1">
      <c r="A19" s="101" t="s">
        <v>165</v>
      </c>
      <c r="B19" s="249"/>
      <c r="C19" s="225"/>
      <c r="D19" s="225"/>
      <c r="E19" s="225"/>
      <c r="F19" s="693"/>
      <c r="G19" s="250"/>
      <c r="H19" s="250"/>
      <c r="I19" s="250"/>
      <c r="J19" s="250"/>
      <c r="K19" s="252">
        <f t="shared" si="0"/>
        <v>0</v>
      </c>
      <c r="L19" s="27"/>
      <c r="M19" s="176"/>
      <c r="N19" s="176"/>
      <c r="O19" s="176"/>
    </row>
    <row r="20" spans="1:15" ht="18" customHeight="1">
      <c r="A20" s="101" t="s">
        <v>166</v>
      </c>
      <c r="B20" s="249"/>
      <c r="C20" s="225"/>
      <c r="D20" s="225"/>
      <c r="E20" s="225"/>
      <c r="F20" s="693"/>
      <c r="G20" s="250"/>
      <c r="H20" s="250"/>
      <c r="I20" s="250"/>
      <c r="J20" s="250"/>
      <c r="K20" s="252">
        <f t="shared" si="0"/>
        <v>0</v>
      </c>
      <c r="L20" s="27"/>
      <c r="M20" s="176"/>
      <c r="N20" s="176"/>
      <c r="O20" s="176"/>
    </row>
    <row r="21" spans="1:15" ht="18" customHeight="1" thickBot="1">
      <c r="A21" s="101" t="s">
        <v>167</v>
      </c>
      <c r="B21" s="225"/>
      <c r="C21" s="225"/>
      <c r="D21" s="225"/>
      <c r="E21" s="225"/>
      <c r="F21" s="693"/>
      <c r="G21" s="250"/>
      <c r="H21" s="250"/>
      <c r="I21" s="250"/>
      <c r="J21" s="250"/>
      <c r="K21" s="252">
        <f t="shared" si="0"/>
        <v>0</v>
      </c>
      <c r="L21" s="110"/>
      <c r="M21" s="176"/>
      <c r="N21" s="176"/>
      <c r="O21" s="176"/>
    </row>
    <row r="22" spans="1:15" ht="4.5" customHeight="1">
      <c r="A22" s="75"/>
      <c r="B22" s="7"/>
      <c r="C22" s="7"/>
      <c r="D22" s="7"/>
      <c r="E22" s="7"/>
      <c r="F22" s="7"/>
      <c r="G22" s="7"/>
      <c r="H22" s="33"/>
      <c r="I22" s="7"/>
      <c r="J22" s="7"/>
      <c r="K22" s="79"/>
      <c r="L22" s="12"/>
      <c r="M22" s="176"/>
      <c r="N22" s="176"/>
      <c r="O22" s="176"/>
    </row>
    <row r="23" spans="1:15" ht="14.25" customHeight="1" thickBot="1">
      <c r="A23" s="102" t="s">
        <v>186</v>
      </c>
      <c r="B23" s="7"/>
      <c r="C23" s="7"/>
      <c r="D23" s="7"/>
      <c r="E23" s="7"/>
      <c r="F23" s="7"/>
      <c r="G23" s="7"/>
      <c r="H23" s="33"/>
      <c r="I23" s="7"/>
      <c r="J23" s="7"/>
      <c r="K23" s="104">
        <f>SUM(K15:K22)</f>
        <v>1800</v>
      </c>
      <c r="L23" s="110"/>
      <c r="M23" s="176"/>
      <c r="N23" s="176"/>
      <c r="O23" s="176"/>
    </row>
    <row r="24" spans="1:15" ht="4.5" customHeight="1">
      <c r="A24" s="103"/>
      <c r="B24" s="19"/>
      <c r="C24" s="19"/>
      <c r="D24" s="19"/>
      <c r="E24" s="19"/>
      <c r="F24" s="19"/>
      <c r="G24" s="19"/>
      <c r="H24" s="94"/>
      <c r="I24" s="19"/>
      <c r="J24" s="19"/>
      <c r="K24" s="19"/>
      <c r="L24" s="27"/>
      <c r="M24" s="176"/>
      <c r="N24" s="176"/>
      <c r="O24" s="176"/>
    </row>
    <row r="25" spans="1:15" ht="3.75" customHeight="1">
      <c r="A25" s="102"/>
      <c r="B25" s="7"/>
      <c r="C25" s="7"/>
      <c r="D25" s="7"/>
      <c r="E25" s="7"/>
      <c r="F25" s="59"/>
      <c r="G25" s="59"/>
      <c r="H25" s="70"/>
      <c r="I25" s="59"/>
      <c r="J25" s="134"/>
      <c r="K25" s="7"/>
      <c r="L25" s="12"/>
      <c r="M25" s="176"/>
      <c r="N25" s="176"/>
      <c r="O25" s="176"/>
    </row>
    <row r="26" spans="1:15" ht="12.75" customHeight="1">
      <c r="A26" s="102"/>
      <c r="B26" s="97" t="s">
        <v>187</v>
      </c>
      <c r="C26" s="7"/>
      <c r="D26" s="7"/>
      <c r="E26" s="7"/>
      <c r="F26" s="59"/>
      <c r="G26" s="133" t="s">
        <v>188</v>
      </c>
      <c r="H26" s="152" t="s">
        <v>189</v>
      </c>
      <c r="I26" s="152" t="s">
        <v>190</v>
      </c>
      <c r="J26" s="168"/>
      <c r="K26" s="98" t="s">
        <v>181</v>
      </c>
      <c r="L26" s="12"/>
      <c r="M26" s="176"/>
      <c r="N26" s="176"/>
      <c r="O26" s="176"/>
    </row>
    <row r="27" spans="1:15" ht="9.75" customHeight="1">
      <c r="A27" s="75"/>
      <c r="B27" s="19"/>
      <c r="C27" s="19"/>
      <c r="D27" s="19"/>
      <c r="E27" s="19"/>
      <c r="F27" s="63"/>
      <c r="G27" s="72">
        <v>7</v>
      </c>
      <c r="H27" s="72">
        <v>8</v>
      </c>
      <c r="I27" s="72">
        <v>9</v>
      </c>
      <c r="J27" s="169"/>
      <c r="K27" s="105" t="s">
        <v>191</v>
      </c>
      <c r="L27" s="27"/>
      <c r="M27" s="176"/>
      <c r="N27" s="176"/>
      <c r="O27" s="176"/>
    </row>
    <row r="28" spans="1:15" ht="18" customHeight="1">
      <c r="A28" s="101" t="s">
        <v>161</v>
      </c>
      <c r="B28" s="249"/>
      <c r="C28" s="225"/>
      <c r="D28" s="225"/>
      <c r="E28" s="225"/>
      <c r="F28" s="167"/>
      <c r="G28" s="250"/>
      <c r="H28" s="253"/>
      <c r="I28" s="253"/>
      <c r="J28" s="170"/>
      <c r="K28" s="245">
        <f aca="true" t="shared" si="1" ref="K28:K35">H28*I28</f>
        <v>0</v>
      </c>
      <c r="L28" s="27"/>
      <c r="M28" s="176"/>
      <c r="N28" s="176"/>
      <c r="O28" s="176"/>
    </row>
    <row r="29" spans="1:15" ht="18" customHeight="1">
      <c r="A29" s="101" t="s">
        <v>162</v>
      </c>
      <c r="B29" s="225"/>
      <c r="C29" s="225"/>
      <c r="D29" s="225"/>
      <c r="E29" s="225"/>
      <c r="F29" s="167"/>
      <c r="G29" s="250"/>
      <c r="H29" s="253"/>
      <c r="I29" s="253"/>
      <c r="J29" s="170"/>
      <c r="K29" s="245">
        <f t="shared" si="1"/>
        <v>0</v>
      </c>
      <c r="L29" s="27"/>
      <c r="M29" s="176"/>
      <c r="N29" s="176"/>
      <c r="O29" s="176"/>
    </row>
    <row r="30" spans="1:15" ht="18" customHeight="1">
      <c r="A30" s="101" t="s">
        <v>163</v>
      </c>
      <c r="B30" s="225"/>
      <c r="C30" s="225"/>
      <c r="D30" s="225"/>
      <c r="E30" s="225"/>
      <c r="F30" s="167"/>
      <c r="G30" s="254"/>
      <c r="H30" s="253"/>
      <c r="I30" s="255"/>
      <c r="J30" s="171"/>
      <c r="K30" s="245">
        <f t="shared" si="1"/>
        <v>0</v>
      </c>
      <c r="L30" s="27"/>
      <c r="M30" s="176"/>
      <c r="N30" s="176"/>
      <c r="O30" s="176"/>
    </row>
    <row r="31" spans="1:15" ht="18" customHeight="1">
      <c r="A31" s="101" t="s">
        <v>164</v>
      </c>
      <c r="B31" s="225"/>
      <c r="C31" s="225"/>
      <c r="D31" s="225"/>
      <c r="E31" s="225"/>
      <c r="F31" s="167"/>
      <c r="G31" s="256"/>
      <c r="H31" s="253"/>
      <c r="I31" s="255"/>
      <c r="J31" s="172"/>
      <c r="K31" s="245">
        <f t="shared" si="1"/>
        <v>0</v>
      </c>
      <c r="L31" s="27"/>
      <c r="M31" s="176"/>
      <c r="N31" s="176"/>
      <c r="O31" s="176"/>
    </row>
    <row r="32" spans="1:15" ht="18" customHeight="1">
      <c r="A32" s="101" t="s">
        <v>165</v>
      </c>
      <c r="B32" s="225"/>
      <c r="C32" s="225"/>
      <c r="D32" s="225"/>
      <c r="E32" s="225"/>
      <c r="F32" s="167"/>
      <c r="G32" s="256"/>
      <c r="H32" s="253"/>
      <c r="I32" s="255"/>
      <c r="J32" s="172"/>
      <c r="K32" s="245">
        <f t="shared" si="1"/>
        <v>0</v>
      </c>
      <c r="L32" s="27"/>
      <c r="M32" s="176"/>
      <c r="N32" s="176"/>
      <c r="O32" s="176"/>
    </row>
    <row r="33" spans="1:15" ht="18" customHeight="1">
      <c r="A33" s="101" t="s">
        <v>166</v>
      </c>
      <c r="B33" s="225"/>
      <c r="C33" s="225"/>
      <c r="D33" s="225"/>
      <c r="E33" s="225"/>
      <c r="F33" s="167"/>
      <c r="G33" s="256"/>
      <c r="H33" s="253"/>
      <c r="I33" s="255"/>
      <c r="J33" s="172"/>
      <c r="K33" s="245">
        <f t="shared" si="1"/>
        <v>0</v>
      </c>
      <c r="L33" s="27"/>
      <c r="M33" s="176"/>
      <c r="N33" s="176"/>
      <c r="O33" s="176"/>
    </row>
    <row r="34" spans="1:15" ht="18" customHeight="1">
      <c r="A34" s="101" t="s">
        <v>167</v>
      </c>
      <c r="B34" s="225"/>
      <c r="C34" s="225"/>
      <c r="D34" s="225"/>
      <c r="E34" s="225"/>
      <c r="F34" s="167"/>
      <c r="G34" s="256"/>
      <c r="H34" s="253"/>
      <c r="I34" s="255"/>
      <c r="J34" s="172"/>
      <c r="K34" s="245">
        <f t="shared" si="1"/>
        <v>0</v>
      </c>
      <c r="L34" s="27"/>
      <c r="M34" s="176"/>
      <c r="N34" s="176"/>
      <c r="O34" s="176"/>
    </row>
    <row r="35" spans="1:15" ht="18" customHeight="1" thickBot="1">
      <c r="A35" s="101" t="s">
        <v>168</v>
      </c>
      <c r="B35" s="225"/>
      <c r="C35" s="225"/>
      <c r="D35" s="225"/>
      <c r="E35" s="225"/>
      <c r="F35" s="167"/>
      <c r="G35" s="256"/>
      <c r="H35" s="253"/>
      <c r="I35" s="255"/>
      <c r="J35" s="172"/>
      <c r="K35" s="245">
        <f t="shared" si="1"/>
        <v>0</v>
      </c>
      <c r="L35" s="110"/>
      <c r="M35" s="176"/>
      <c r="N35" s="176"/>
      <c r="O35" s="176"/>
    </row>
    <row r="36" spans="1:15" ht="4.5" customHeight="1">
      <c r="A36" s="75"/>
      <c r="B36" s="7"/>
      <c r="C36" s="7"/>
      <c r="D36" s="7"/>
      <c r="E36" s="7"/>
      <c r="F36" s="7"/>
      <c r="G36" s="7"/>
      <c r="H36" s="7"/>
      <c r="I36" s="7"/>
      <c r="J36" s="7"/>
      <c r="K36" s="79"/>
      <c r="L36" s="12"/>
      <c r="M36" s="176"/>
      <c r="N36" s="176"/>
      <c r="O36" s="176"/>
    </row>
    <row r="37" spans="1:15" ht="14.25" customHeight="1" thickBot="1">
      <c r="A37" s="103" t="s">
        <v>186</v>
      </c>
      <c r="B37" s="19"/>
      <c r="C37" s="19"/>
      <c r="D37" s="19"/>
      <c r="E37" s="19"/>
      <c r="F37" s="19"/>
      <c r="G37" s="19"/>
      <c r="H37" s="19"/>
      <c r="I37" s="19"/>
      <c r="J37" s="19"/>
      <c r="K37" s="104">
        <f>SUM(K28:K36)</f>
        <v>0</v>
      </c>
      <c r="L37" s="110"/>
      <c r="M37" s="176"/>
      <c r="N37" s="176"/>
      <c r="O37" s="176"/>
    </row>
    <row r="38" spans="1:15" ht="4.5" customHeight="1" thickBot="1">
      <c r="A38" s="102"/>
      <c r="B38" s="7"/>
      <c r="C38" s="7"/>
      <c r="D38" s="7"/>
      <c r="E38" s="7"/>
      <c r="F38" s="7"/>
      <c r="G38" s="7"/>
      <c r="H38" s="7"/>
      <c r="I38" s="7"/>
      <c r="J38" s="7"/>
      <c r="K38" s="7"/>
      <c r="L38" s="110"/>
      <c r="M38" s="176"/>
      <c r="N38" s="176"/>
      <c r="O38" s="176"/>
    </row>
    <row r="39" spans="1:15" ht="4.5" customHeight="1">
      <c r="A39" s="75"/>
      <c r="B39" s="7"/>
      <c r="C39" s="7"/>
      <c r="D39" s="7"/>
      <c r="E39" s="7"/>
      <c r="F39" s="7"/>
      <c r="G39" s="7"/>
      <c r="H39" s="7"/>
      <c r="I39" s="7"/>
      <c r="J39" s="7"/>
      <c r="K39" s="79"/>
      <c r="L39" s="12"/>
      <c r="M39" s="176"/>
      <c r="N39" s="176"/>
      <c r="O39" s="176"/>
    </row>
    <row r="40" spans="1:15" ht="16.5" customHeight="1">
      <c r="A40" s="20" t="s">
        <v>113</v>
      </c>
      <c r="B40" s="7"/>
      <c r="C40" s="7"/>
      <c r="D40" s="7"/>
      <c r="E40" s="7"/>
      <c r="F40" s="7"/>
      <c r="G40" s="7"/>
      <c r="H40" s="7"/>
      <c r="I40" s="7"/>
      <c r="J40" s="83" t="str">
        <f>K12</f>
        <v>has</v>
      </c>
      <c r="K40" s="106">
        <f>+K23+K37</f>
        <v>1800</v>
      </c>
      <c r="L40" s="12"/>
      <c r="M40" s="176"/>
      <c r="N40" s="176"/>
      <c r="O40" s="176"/>
    </row>
    <row r="41" spans="1:15" ht="3.75" customHeight="1" thickBot="1">
      <c r="A41" s="45"/>
      <c r="B41" s="46"/>
      <c r="C41" s="46"/>
      <c r="D41" s="46"/>
      <c r="E41" s="46"/>
      <c r="F41" s="46"/>
      <c r="G41" s="46"/>
      <c r="H41" s="46"/>
      <c r="I41" s="46"/>
      <c r="J41" s="46"/>
      <c r="K41" s="81"/>
      <c r="L41" s="53"/>
      <c r="M41" s="176"/>
      <c r="N41" s="176"/>
      <c r="O41" s="176"/>
    </row>
    <row r="42" spans="1:15" ht="7.5" customHeight="1" thickBot="1" thickTop="1">
      <c r="A42" s="173"/>
      <c r="B42" s="173"/>
      <c r="C42" s="173"/>
      <c r="D42" s="173"/>
      <c r="E42" s="173"/>
      <c r="F42" s="173"/>
      <c r="G42" s="173"/>
      <c r="H42" s="173"/>
      <c r="I42" s="173"/>
      <c r="J42" s="173"/>
      <c r="K42" s="173"/>
      <c r="L42" s="173"/>
      <c r="M42" s="176"/>
      <c r="N42" s="176"/>
      <c r="O42" s="176"/>
    </row>
    <row r="43" spans="1:15" ht="12.75" customHeight="1" thickBot="1" thickTop="1">
      <c r="A43" s="3"/>
      <c r="B43" s="4"/>
      <c r="C43" s="4"/>
      <c r="D43" s="4"/>
      <c r="E43" s="4"/>
      <c r="F43" s="4"/>
      <c r="G43" s="4"/>
      <c r="H43" s="4"/>
      <c r="I43" s="4"/>
      <c r="J43" s="4"/>
      <c r="K43" s="4"/>
      <c r="L43" s="5"/>
      <c r="M43" s="176"/>
      <c r="N43" s="176"/>
      <c r="O43" s="176"/>
    </row>
    <row r="44" spans="1:15" ht="18.75" thickBot="1">
      <c r="A44" s="6"/>
      <c r="B44" s="49" t="s">
        <v>507</v>
      </c>
      <c r="C44" s="7"/>
      <c r="D44" s="7"/>
      <c r="E44" s="7"/>
      <c r="F44" s="7"/>
      <c r="G44" s="7"/>
      <c r="H44" s="7"/>
      <c r="I44" s="431">
        <v>6.5</v>
      </c>
      <c r="J44" s="7"/>
      <c r="K44" s="7"/>
      <c r="L44" s="12"/>
      <c r="M44" s="176"/>
      <c r="N44" s="176"/>
      <c r="O44" s="176"/>
    </row>
    <row r="45" spans="1:15" ht="13.5" thickBot="1">
      <c r="A45" s="45"/>
      <c r="B45" s="46"/>
      <c r="C45" s="46"/>
      <c r="D45" s="46"/>
      <c r="E45" s="46"/>
      <c r="F45" s="46"/>
      <c r="G45" s="46"/>
      <c r="H45" s="46"/>
      <c r="I45" s="46"/>
      <c r="J45" s="46"/>
      <c r="K45" s="46"/>
      <c r="L45" s="53"/>
      <c r="M45" s="176"/>
      <c r="N45" s="176"/>
      <c r="O45" s="176"/>
    </row>
    <row r="46" spans="1:15" ht="13.5" thickTop="1">
      <c r="A46" s="176"/>
      <c r="B46" s="176"/>
      <c r="C46" s="176"/>
      <c r="D46" s="176"/>
      <c r="E46" s="176"/>
      <c r="F46" s="176"/>
      <c r="G46" s="176"/>
      <c r="H46" s="176"/>
      <c r="I46" s="176"/>
      <c r="J46" s="176"/>
      <c r="K46" s="176"/>
      <c r="L46" s="176"/>
      <c r="M46" s="176"/>
      <c r="N46" s="176"/>
      <c r="O46" s="176"/>
    </row>
    <row r="47" spans="1:15" ht="12.75">
      <c r="A47" s="176"/>
      <c r="B47" s="176"/>
      <c r="C47" s="176"/>
      <c r="D47" s="176"/>
      <c r="E47" s="176"/>
      <c r="F47" s="176"/>
      <c r="G47" s="176"/>
      <c r="H47" s="176"/>
      <c r="I47" s="176"/>
      <c r="J47" s="176"/>
      <c r="K47" s="176"/>
      <c r="L47" s="176"/>
      <c r="M47" s="176"/>
      <c r="N47" s="176"/>
      <c r="O47" s="176"/>
    </row>
  </sheetData>
  <sheetProtection sheet="1" objects="1" scenarios="1"/>
  <mergeCells count="1">
    <mergeCell ref="F1:H1"/>
  </mergeCells>
  <printOptions horizontalCentered="1"/>
  <pageMargins left="0.3937007874015748" right="0.3937007874015748" top="0.3937007874015748" bottom="0.3937007874015748" header="0.11811023622047245" footer="0.11811023622047245"/>
  <pageSetup fitToHeight="1" fitToWidth="1" horizontalDpi="600" verticalDpi="600" orientation="portrait" scale="80"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Q43"/>
  <sheetViews>
    <sheetView showGridLines="0" zoomScale="75" zoomScaleNormal="75" workbookViewId="0" topLeftCell="A4">
      <selection activeCell="I34" sqref="I34"/>
    </sheetView>
  </sheetViews>
  <sheetFormatPr defaultColWidth="11.421875" defaultRowHeight="12.75"/>
  <cols>
    <col min="1" max="1" width="10.7109375" style="702" customWidth="1"/>
    <col min="2" max="16384" width="8.8515625" style="702" customWidth="1"/>
  </cols>
  <sheetData>
    <row r="1" spans="1:17" ht="17.25" thickBot="1" thickTop="1">
      <c r="A1" s="920" t="s">
        <v>541</v>
      </c>
      <c r="B1" s="177"/>
      <c r="C1" s="700"/>
      <c r="D1" s="700"/>
      <c r="E1" s="701"/>
      <c r="G1" s="972" t="s">
        <v>471</v>
      </c>
      <c r="H1" s="973"/>
      <c r="I1" s="974"/>
      <c r="J1" s="701"/>
      <c r="K1" s="701"/>
      <c r="L1" s="701"/>
      <c r="M1" s="701"/>
      <c r="N1" s="701"/>
      <c r="O1" s="701"/>
      <c r="P1" s="703"/>
      <c r="Q1" s="703" t="s">
        <v>192</v>
      </c>
    </row>
    <row r="2" spans="1:17" ht="18" customHeight="1" thickTop="1">
      <c r="A2" s="701"/>
      <c r="B2" s="701"/>
      <c r="C2" s="701"/>
      <c r="D2" s="701"/>
      <c r="E2" s="701"/>
      <c r="F2" s="701"/>
      <c r="G2" s="701"/>
      <c r="H2" s="701"/>
      <c r="I2" s="701"/>
      <c r="J2" s="701"/>
      <c r="K2" s="701"/>
      <c r="L2" s="701"/>
      <c r="M2" s="701"/>
      <c r="N2" s="701"/>
      <c r="O2" s="701"/>
      <c r="P2" s="701"/>
      <c r="Q2" s="701"/>
    </row>
    <row r="3" spans="1:17" ht="18.75" thickBot="1">
      <c r="A3" s="700"/>
      <c r="B3" s="704"/>
      <c r="C3" s="704"/>
      <c r="D3" s="704"/>
      <c r="E3" s="700"/>
      <c r="F3" s="705"/>
      <c r="G3" s="700"/>
      <c r="H3" s="700"/>
      <c r="I3" s="700"/>
      <c r="J3" s="700"/>
      <c r="K3" s="700"/>
      <c r="L3" s="700"/>
      <c r="M3" s="700"/>
      <c r="N3" s="700"/>
      <c r="O3" s="700"/>
      <c r="P3" s="706"/>
      <c r="Q3" s="700"/>
    </row>
    <row r="4" spans="1:17" ht="14.25" thickBot="1" thickTop="1">
      <c r="A4" s="707"/>
      <c r="B4" s="303"/>
      <c r="C4" s="303"/>
      <c r="D4" s="303"/>
      <c r="E4" s="303"/>
      <c r="F4" s="303"/>
      <c r="G4" s="303"/>
      <c r="H4" s="303"/>
      <c r="I4" s="303"/>
      <c r="J4" s="303"/>
      <c r="K4" s="303"/>
      <c r="L4" s="303"/>
      <c r="M4" s="303"/>
      <c r="N4" s="303"/>
      <c r="O4" s="303"/>
      <c r="P4" s="147"/>
      <c r="Q4" s="304"/>
    </row>
    <row r="5" spans="1:17" ht="16.5" thickBot="1">
      <c r="A5" s="298"/>
      <c r="B5" s="708" t="s">
        <v>193</v>
      </c>
      <c r="C5" s="147"/>
      <c r="D5" s="147"/>
      <c r="E5" s="147"/>
      <c r="F5" s="147"/>
      <c r="G5" s="709" t="s">
        <v>194</v>
      </c>
      <c r="H5" s="710"/>
      <c r="I5" s="710"/>
      <c r="J5" s="710"/>
      <c r="K5" s="711"/>
      <c r="L5" s="712"/>
      <c r="M5" s="713"/>
      <c r="N5" s="713"/>
      <c r="O5" s="147"/>
      <c r="P5" s="147"/>
      <c r="Q5" s="287"/>
    </row>
    <row r="6" spans="1:17" ht="13.5" thickBot="1">
      <c r="A6" s="298"/>
      <c r="B6" s="147"/>
      <c r="C6" s="147"/>
      <c r="D6" s="147"/>
      <c r="E6" s="147"/>
      <c r="F6" s="147"/>
      <c r="G6" s="147"/>
      <c r="H6" s="147"/>
      <c r="I6" s="147"/>
      <c r="J6" s="147"/>
      <c r="K6" s="147"/>
      <c r="L6" s="147"/>
      <c r="M6" s="147"/>
      <c r="N6" s="147"/>
      <c r="O6" s="147"/>
      <c r="P6" s="147"/>
      <c r="Q6" s="287"/>
    </row>
    <row r="7" spans="1:17" ht="16.5" thickBot="1">
      <c r="A7" s="298"/>
      <c r="B7" s="714" t="s">
        <v>508</v>
      </c>
      <c r="C7" s="147"/>
      <c r="D7" s="147"/>
      <c r="E7" s="147"/>
      <c r="F7" s="147"/>
      <c r="G7" s="147"/>
      <c r="H7" s="708"/>
      <c r="I7" s="147"/>
      <c r="J7" s="147"/>
      <c r="K7" s="147"/>
      <c r="L7" s="975" t="s">
        <v>558</v>
      </c>
      <c r="M7" s="976"/>
      <c r="N7" s="147"/>
      <c r="O7" s="147"/>
      <c r="P7" s="147"/>
      <c r="Q7" s="287"/>
    </row>
    <row r="8" spans="1:17" ht="12.75">
      <c r="A8" s="298"/>
      <c r="B8" s="147"/>
      <c r="C8" s="147"/>
      <c r="D8" s="147"/>
      <c r="E8" s="147"/>
      <c r="F8" s="147"/>
      <c r="G8" s="147"/>
      <c r="H8" s="147"/>
      <c r="I8" s="147"/>
      <c r="J8" s="147"/>
      <c r="K8" s="147"/>
      <c r="L8" s="147"/>
      <c r="M8" s="147"/>
      <c r="N8" s="147"/>
      <c r="O8" s="147"/>
      <c r="P8" s="147"/>
      <c r="Q8" s="287"/>
    </row>
    <row r="9" spans="1:17" ht="12.75">
      <c r="A9" s="715" t="s">
        <v>444</v>
      </c>
      <c r="B9" s="147"/>
      <c r="C9" s="147"/>
      <c r="D9" s="147"/>
      <c r="E9" s="147"/>
      <c r="F9" s="147"/>
      <c r="G9" s="147"/>
      <c r="H9" s="147"/>
      <c r="I9" s="147"/>
      <c r="J9" s="147"/>
      <c r="K9" s="147"/>
      <c r="L9" s="147"/>
      <c r="M9" s="147"/>
      <c r="N9" s="147"/>
      <c r="O9" s="147"/>
      <c r="P9" s="147"/>
      <c r="Q9" s="287"/>
    </row>
    <row r="10" spans="1:17" ht="13.5" thickBot="1">
      <c r="A10" s="298"/>
      <c r="B10" s="147"/>
      <c r="C10" s="147"/>
      <c r="D10" s="147"/>
      <c r="E10" s="147"/>
      <c r="F10" s="147"/>
      <c r="G10" s="147"/>
      <c r="H10" s="147"/>
      <c r="I10" s="147"/>
      <c r="J10" s="147"/>
      <c r="K10" s="147"/>
      <c r="L10" s="147"/>
      <c r="M10" s="147"/>
      <c r="N10" s="147"/>
      <c r="O10" s="147"/>
      <c r="P10" s="716"/>
      <c r="Q10" s="287"/>
    </row>
    <row r="11" spans="1:17" ht="12.75">
      <c r="A11" s="717"/>
      <c r="B11" s="718"/>
      <c r="C11" s="718"/>
      <c r="D11" s="719"/>
      <c r="E11" s="720" t="str">
        <f>L7</f>
        <v>mayo</v>
      </c>
      <c r="F11" s="739" t="s">
        <v>559</v>
      </c>
      <c r="G11" s="739" t="s">
        <v>560</v>
      </c>
      <c r="H11" s="739" t="s">
        <v>561</v>
      </c>
      <c r="I11" s="739" t="s">
        <v>562</v>
      </c>
      <c r="J11" s="739" t="s">
        <v>563</v>
      </c>
      <c r="K11" s="739" t="s">
        <v>564</v>
      </c>
      <c r="L11" s="739" t="s">
        <v>565</v>
      </c>
      <c r="M11" s="739" t="s">
        <v>566</v>
      </c>
      <c r="N11" s="739" t="s">
        <v>567</v>
      </c>
      <c r="O11" s="739" t="s">
        <v>556</v>
      </c>
      <c r="P11" s="739" t="s">
        <v>557</v>
      </c>
      <c r="Q11" s="721" t="s">
        <v>457</v>
      </c>
    </row>
    <row r="12" spans="1:17" ht="15.75">
      <c r="A12" s="283"/>
      <c r="B12" s="722" t="s">
        <v>456</v>
      </c>
      <c r="C12" s="722"/>
      <c r="D12" s="284"/>
      <c r="E12" s="723"/>
      <c r="F12" s="723"/>
      <c r="G12" s="723"/>
      <c r="H12" s="723"/>
      <c r="I12" s="723"/>
      <c r="J12" s="723"/>
      <c r="K12" s="723"/>
      <c r="L12" s="723"/>
      <c r="M12" s="723"/>
      <c r="N12" s="723"/>
      <c r="O12" s="723"/>
      <c r="P12" s="724"/>
      <c r="Q12" s="281"/>
    </row>
    <row r="13" spans="1:17" ht="12.75">
      <c r="A13" s="299"/>
      <c r="B13" s="147"/>
      <c r="C13" s="147"/>
      <c r="D13" s="290"/>
      <c r="E13" s="725"/>
      <c r="F13" s="725"/>
      <c r="G13" s="725"/>
      <c r="H13" s="725"/>
      <c r="I13" s="725"/>
      <c r="J13" s="725"/>
      <c r="K13" s="725"/>
      <c r="L13" s="725"/>
      <c r="M13" s="725"/>
      <c r="N13" s="725"/>
      <c r="O13" s="725"/>
      <c r="P13" s="726"/>
      <c r="Q13" s="287"/>
    </row>
    <row r="14" spans="1:17" ht="16.5" customHeight="1">
      <c r="A14" s="727" t="s">
        <v>446</v>
      </c>
      <c r="B14" s="728" t="str">
        <f>'ANEXO (1)'!$D$7</f>
        <v>Establecimiento  de cacao  año 1 y cultivos asociados</v>
      </c>
      <c r="C14" s="694"/>
      <c r="D14" s="729"/>
      <c r="E14" s="921">
        <v>0.4</v>
      </c>
      <c r="F14" s="675">
        <v>0.4</v>
      </c>
      <c r="G14" s="675">
        <v>0.02</v>
      </c>
      <c r="H14" s="675">
        <v>0.02</v>
      </c>
      <c r="I14" s="675">
        <v>0.02</v>
      </c>
      <c r="J14" s="675">
        <v>0.02</v>
      </c>
      <c r="K14" s="675">
        <v>0.02</v>
      </c>
      <c r="L14" s="675">
        <v>0.02</v>
      </c>
      <c r="M14" s="675">
        <v>0.02</v>
      </c>
      <c r="N14" s="675">
        <v>0.02</v>
      </c>
      <c r="O14" s="675">
        <v>0.02</v>
      </c>
      <c r="P14" s="675">
        <v>0.02</v>
      </c>
      <c r="Q14" s="730">
        <f>SUM(E14:P14)</f>
        <v>1.0000000000000002</v>
      </c>
    </row>
    <row r="15" spans="1:17" ht="16.5" customHeight="1">
      <c r="A15" s="731" t="s">
        <v>445</v>
      </c>
      <c r="B15" s="732" t="str">
        <f>B14</f>
        <v>Establecimiento  de cacao  año 1 y cultivos asociados</v>
      </c>
      <c r="C15" s="696"/>
      <c r="D15" s="733"/>
      <c r="E15" s="921">
        <v>0</v>
      </c>
      <c r="F15" s="675">
        <v>0</v>
      </c>
      <c r="G15" s="675">
        <v>0</v>
      </c>
      <c r="H15" s="675">
        <v>0</v>
      </c>
      <c r="I15" s="675">
        <v>0</v>
      </c>
      <c r="J15" s="675">
        <v>0.17</v>
      </c>
      <c r="K15" s="675">
        <v>0</v>
      </c>
      <c r="L15" s="675">
        <v>0</v>
      </c>
      <c r="M15" s="675">
        <v>0</v>
      </c>
      <c r="N15" s="675">
        <v>0.13</v>
      </c>
      <c r="O15" s="675">
        <v>0.58</v>
      </c>
      <c r="P15" s="675">
        <v>0.12</v>
      </c>
      <c r="Q15" s="734">
        <f>SUM(E15:P15)</f>
        <v>1</v>
      </c>
    </row>
    <row r="16" spans="1:17" ht="15">
      <c r="A16" s="299"/>
      <c r="B16" s="694"/>
      <c r="C16" s="694"/>
      <c r="D16" s="695"/>
      <c r="E16" s="725"/>
      <c r="F16" s="725"/>
      <c r="G16" s="725"/>
      <c r="H16" s="725"/>
      <c r="I16" s="725"/>
      <c r="J16" s="725"/>
      <c r="K16" s="725"/>
      <c r="L16" s="725"/>
      <c r="M16" s="725"/>
      <c r="N16" s="725"/>
      <c r="O16" s="725"/>
      <c r="P16" s="726"/>
      <c r="Q16" s="287"/>
    </row>
    <row r="17" spans="1:17" ht="16.5" customHeight="1">
      <c r="A17" s="727" t="s">
        <v>447</v>
      </c>
      <c r="B17" s="728" t="str">
        <f>'ANEXO (2)'!$D$7</f>
        <v>Establecimiento cacao año 2 y cuyltivos asociados</v>
      </c>
      <c r="C17" s="694"/>
      <c r="D17" s="729"/>
      <c r="E17" s="921">
        <v>0.05</v>
      </c>
      <c r="F17" s="675">
        <v>0.05</v>
      </c>
      <c r="G17" s="675">
        <v>0.05</v>
      </c>
      <c r="H17" s="675">
        <v>0.05</v>
      </c>
      <c r="I17" s="675">
        <v>0.05</v>
      </c>
      <c r="J17" s="675">
        <v>0.25</v>
      </c>
      <c r="K17" s="675">
        <v>0.05</v>
      </c>
      <c r="L17" s="675">
        <v>0.05</v>
      </c>
      <c r="M17" s="675">
        <v>0.05</v>
      </c>
      <c r="N17" s="675">
        <v>0.05</v>
      </c>
      <c r="O17" s="675">
        <v>0.05</v>
      </c>
      <c r="P17" s="675">
        <v>0.25</v>
      </c>
      <c r="Q17" s="730">
        <f>SUM(E17:P17)</f>
        <v>1.0000000000000002</v>
      </c>
    </row>
    <row r="18" spans="1:17" ht="16.5" customHeight="1">
      <c r="A18" s="731" t="s">
        <v>445</v>
      </c>
      <c r="B18" s="732" t="str">
        <f>B17</f>
        <v>Establecimiento cacao año 2 y cuyltivos asociados</v>
      </c>
      <c r="C18" s="696"/>
      <c r="D18" s="697"/>
      <c r="E18" s="679">
        <v>0.2</v>
      </c>
      <c r="F18" s="679">
        <v>0.04</v>
      </c>
      <c r="G18" s="675">
        <v>0.04</v>
      </c>
      <c r="H18" s="681">
        <v>0.04</v>
      </c>
      <c r="I18" s="681">
        <v>0.15</v>
      </c>
      <c r="J18" s="679">
        <v>0.04</v>
      </c>
      <c r="K18" s="679">
        <v>0.15</v>
      </c>
      <c r="L18" s="679">
        <v>0.04</v>
      </c>
      <c r="M18" s="679">
        <v>0.04</v>
      </c>
      <c r="N18" s="679">
        <v>0.03</v>
      </c>
      <c r="O18" s="679">
        <v>0.03</v>
      </c>
      <c r="P18" s="682">
        <v>0.2</v>
      </c>
      <c r="Q18" s="734">
        <f>SUM(E18:P18)</f>
        <v>1.0000000000000002</v>
      </c>
    </row>
    <row r="19" spans="1:17" ht="15">
      <c r="A19" s="299"/>
      <c r="B19" s="694"/>
      <c r="C19" s="694"/>
      <c r="D19" s="695"/>
      <c r="E19" s="725"/>
      <c r="F19" s="725"/>
      <c r="G19" s="725"/>
      <c r="H19" s="725"/>
      <c r="I19" s="725"/>
      <c r="J19" s="725"/>
      <c r="K19" s="725"/>
      <c r="L19" s="725"/>
      <c r="M19" s="725"/>
      <c r="N19" s="725"/>
      <c r="O19" s="725"/>
      <c r="P19" s="726"/>
      <c r="Q19" s="287"/>
    </row>
    <row r="20" spans="1:17" ht="16.5" customHeight="1">
      <c r="A20" s="727" t="s">
        <v>448</v>
      </c>
      <c r="B20" s="728" t="str">
        <f>'ANEXO (3)'!$D$7</f>
        <v>Producción de cacao año 3</v>
      </c>
      <c r="C20" s="694"/>
      <c r="D20" s="729"/>
      <c r="E20" s="921">
        <v>0.05</v>
      </c>
      <c r="F20" s="675">
        <v>0.05</v>
      </c>
      <c r="G20" s="675">
        <v>0.05</v>
      </c>
      <c r="H20" s="675">
        <v>0.05</v>
      </c>
      <c r="I20" s="675">
        <v>0.05</v>
      </c>
      <c r="J20" s="675">
        <v>0.25</v>
      </c>
      <c r="K20" s="675">
        <v>0.05</v>
      </c>
      <c r="L20" s="675">
        <v>0.05</v>
      </c>
      <c r="M20" s="675">
        <v>0.05</v>
      </c>
      <c r="N20" s="675">
        <v>0.05</v>
      </c>
      <c r="O20" s="675">
        <v>0.05</v>
      </c>
      <c r="P20" s="675">
        <v>0.25</v>
      </c>
      <c r="Q20" s="730">
        <f>SUM(E20:P20)</f>
        <v>1.0000000000000002</v>
      </c>
    </row>
    <row r="21" spans="1:17" ht="16.5" customHeight="1">
      <c r="A21" s="731" t="s">
        <v>445</v>
      </c>
      <c r="B21" s="732" t="str">
        <f>B20</f>
        <v>Producción de cacao año 3</v>
      </c>
      <c r="C21" s="696"/>
      <c r="D21" s="733"/>
      <c r="E21" s="679">
        <v>0.05</v>
      </c>
      <c r="F21" s="679">
        <v>0.05</v>
      </c>
      <c r="G21" s="675">
        <v>0.05</v>
      </c>
      <c r="H21" s="681">
        <v>0.2</v>
      </c>
      <c r="I21" s="681">
        <v>0.05</v>
      </c>
      <c r="J21" s="679">
        <v>0.05</v>
      </c>
      <c r="K21" s="679">
        <v>0.05</v>
      </c>
      <c r="L21" s="679">
        <v>0.05</v>
      </c>
      <c r="M21" s="679">
        <v>0.05</v>
      </c>
      <c r="N21" s="679">
        <v>0.1</v>
      </c>
      <c r="O21" s="679">
        <v>0.15</v>
      </c>
      <c r="P21" s="682">
        <v>0.15</v>
      </c>
      <c r="Q21" s="734">
        <f>SUM(E21:P21)</f>
        <v>1</v>
      </c>
    </row>
    <row r="22" spans="1:17" ht="15">
      <c r="A22" s="299"/>
      <c r="B22" s="694"/>
      <c r="C22" s="694"/>
      <c r="D22" s="695"/>
      <c r="E22" s="725"/>
      <c r="F22" s="725"/>
      <c r="G22" s="725"/>
      <c r="H22" s="725"/>
      <c r="I22" s="725"/>
      <c r="J22" s="725"/>
      <c r="K22" s="725"/>
      <c r="L22" s="725"/>
      <c r="M22" s="725"/>
      <c r="N22" s="725"/>
      <c r="O22" s="725"/>
      <c r="P22" s="726"/>
      <c r="Q22" s="287"/>
    </row>
    <row r="23" spans="1:17" ht="17.25" customHeight="1">
      <c r="A23" s="727" t="s">
        <v>449</v>
      </c>
      <c r="B23" s="728" t="str">
        <f>'ANEXO (4)'!$D$7</f>
        <v>Producción de cacao año 4</v>
      </c>
      <c r="C23" s="694"/>
      <c r="D23" s="695"/>
      <c r="E23" s="921">
        <v>0.05</v>
      </c>
      <c r="F23" s="675">
        <v>0.05</v>
      </c>
      <c r="G23" s="675">
        <v>0.05</v>
      </c>
      <c r="H23" s="675">
        <v>0.05</v>
      </c>
      <c r="I23" s="675">
        <v>0.05</v>
      </c>
      <c r="J23" s="675">
        <v>0.25</v>
      </c>
      <c r="K23" s="675">
        <v>0.05</v>
      </c>
      <c r="L23" s="675">
        <v>0.05</v>
      </c>
      <c r="M23" s="675">
        <v>0.05</v>
      </c>
      <c r="N23" s="675">
        <v>0.05</v>
      </c>
      <c r="O23" s="675">
        <v>0.05</v>
      </c>
      <c r="P23" s="675">
        <v>0.25</v>
      </c>
      <c r="Q23" s="730">
        <f>SUM(E23:P23)</f>
        <v>1.0000000000000002</v>
      </c>
    </row>
    <row r="24" spans="1:17" ht="17.25" customHeight="1">
      <c r="A24" s="731" t="s">
        <v>445</v>
      </c>
      <c r="B24" s="732" t="str">
        <f>B23</f>
        <v>Producción de cacao año 4</v>
      </c>
      <c r="C24" s="696"/>
      <c r="D24" s="697"/>
      <c r="E24" s="679">
        <v>0.2</v>
      </c>
      <c r="F24" s="679">
        <v>0.03</v>
      </c>
      <c r="G24" s="675">
        <v>0.03</v>
      </c>
      <c r="H24" s="681">
        <v>0.03</v>
      </c>
      <c r="I24" s="681">
        <v>0.03</v>
      </c>
      <c r="J24" s="679">
        <v>0.02</v>
      </c>
      <c r="K24" s="679">
        <v>0.02</v>
      </c>
      <c r="L24" s="679">
        <v>0.2</v>
      </c>
      <c r="M24" s="679">
        <v>0.2</v>
      </c>
      <c r="N24" s="679">
        <v>0.02</v>
      </c>
      <c r="O24" s="679">
        <v>0.02</v>
      </c>
      <c r="P24" s="682">
        <v>0.2</v>
      </c>
      <c r="Q24" s="734">
        <f>SUM(E24:P24)</f>
        <v>1</v>
      </c>
    </row>
    <row r="25" spans="1:17" ht="15">
      <c r="A25" s="299"/>
      <c r="B25" s="694"/>
      <c r="C25" s="694"/>
      <c r="D25" s="695"/>
      <c r="E25" s="725"/>
      <c r="F25" s="725"/>
      <c r="G25" s="725"/>
      <c r="H25" s="725"/>
      <c r="I25" s="725"/>
      <c r="J25" s="725"/>
      <c r="K25" s="725"/>
      <c r="L25" s="725"/>
      <c r="M25" s="725"/>
      <c r="N25" s="725"/>
      <c r="O25" s="725"/>
      <c r="P25" s="726"/>
      <c r="Q25" s="287"/>
    </row>
    <row r="26" spans="1:17" ht="16.5" customHeight="1">
      <c r="A26" s="727" t="s">
        <v>450</v>
      </c>
      <c r="B26" s="728" t="str">
        <f>'ANEXO (5)'!$D$7</f>
        <v>Producción de cacao ano 5</v>
      </c>
      <c r="C26" s="694"/>
      <c r="D26" s="695"/>
      <c r="E26" s="921">
        <v>0.05</v>
      </c>
      <c r="F26" s="675">
        <v>0.05</v>
      </c>
      <c r="G26" s="675">
        <v>0.05</v>
      </c>
      <c r="H26" s="675">
        <v>0.05</v>
      </c>
      <c r="I26" s="675">
        <v>0.05</v>
      </c>
      <c r="J26" s="675">
        <v>0.25</v>
      </c>
      <c r="K26" s="675">
        <v>0.05</v>
      </c>
      <c r="L26" s="675">
        <v>0.05</v>
      </c>
      <c r="M26" s="675">
        <v>0.05</v>
      </c>
      <c r="N26" s="675">
        <v>0.05</v>
      </c>
      <c r="O26" s="675">
        <v>0.05</v>
      </c>
      <c r="P26" s="675">
        <v>0.25</v>
      </c>
      <c r="Q26" s="730">
        <f>SUM(E26:P26)</f>
        <v>1.0000000000000002</v>
      </c>
    </row>
    <row r="27" spans="1:17" ht="16.5" customHeight="1">
      <c r="A27" s="731" t="s">
        <v>445</v>
      </c>
      <c r="B27" s="732" t="str">
        <f>B26</f>
        <v>Producción de cacao ano 5</v>
      </c>
      <c r="C27" s="696"/>
      <c r="D27" s="697"/>
      <c r="E27" s="679">
        <v>0.2</v>
      </c>
      <c r="F27" s="679">
        <v>0.03</v>
      </c>
      <c r="G27" s="675">
        <v>0.03</v>
      </c>
      <c r="H27" s="681">
        <v>0.03</v>
      </c>
      <c r="I27" s="681">
        <v>0.03</v>
      </c>
      <c r="J27" s="679">
        <v>0.02</v>
      </c>
      <c r="K27" s="679">
        <v>0.02</v>
      </c>
      <c r="L27" s="679">
        <v>0.2</v>
      </c>
      <c r="M27" s="679">
        <v>0.2</v>
      </c>
      <c r="N27" s="679">
        <v>0.02</v>
      </c>
      <c r="O27" s="679">
        <v>0.02</v>
      </c>
      <c r="P27" s="682">
        <v>0.2</v>
      </c>
      <c r="Q27" s="734">
        <f>SUM(E27:P27)</f>
        <v>1</v>
      </c>
    </row>
    <row r="28" spans="1:17" ht="15">
      <c r="A28" s="299"/>
      <c r="B28" s="694"/>
      <c r="C28" s="694"/>
      <c r="D28" s="695"/>
      <c r="E28" s="725"/>
      <c r="F28" s="725"/>
      <c r="G28" s="725"/>
      <c r="H28" s="725"/>
      <c r="I28" s="725"/>
      <c r="J28" s="725"/>
      <c r="K28" s="725"/>
      <c r="L28" s="725"/>
      <c r="M28" s="725"/>
      <c r="N28" s="725"/>
      <c r="O28" s="725"/>
      <c r="P28" s="726"/>
      <c r="Q28" s="287"/>
    </row>
    <row r="29" spans="1:17" ht="16.5" customHeight="1">
      <c r="A29" s="727" t="s">
        <v>451</v>
      </c>
      <c r="B29" s="728">
        <f>'ANEXO (6)'!$D$7</f>
        <v>0</v>
      </c>
      <c r="C29" s="694"/>
      <c r="D29" s="695"/>
      <c r="E29" s="921"/>
      <c r="F29" s="675"/>
      <c r="G29" s="921"/>
      <c r="H29" s="675"/>
      <c r="I29" s="921"/>
      <c r="J29" s="675"/>
      <c r="K29" s="921"/>
      <c r="L29" s="675"/>
      <c r="M29" s="921"/>
      <c r="N29" s="675"/>
      <c r="O29" s="921"/>
      <c r="P29" s="675"/>
      <c r="Q29" s="730">
        <f>SUM(E29:P29)</f>
        <v>0</v>
      </c>
    </row>
    <row r="30" spans="1:17" ht="16.5" customHeight="1">
      <c r="A30" s="731" t="s">
        <v>445</v>
      </c>
      <c r="B30" s="732">
        <f>B29</f>
        <v>0</v>
      </c>
      <c r="C30" s="696"/>
      <c r="D30" s="697"/>
      <c r="E30" s="921"/>
      <c r="F30" s="675"/>
      <c r="G30" s="921"/>
      <c r="H30" s="675"/>
      <c r="I30" s="921"/>
      <c r="J30" s="675"/>
      <c r="K30" s="921"/>
      <c r="L30" s="675"/>
      <c r="M30" s="921"/>
      <c r="N30" s="675"/>
      <c r="O30" s="921"/>
      <c r="P30" s="675"/>
      <c r="Q30" s="734">
        <f>SUM(E30:P30)</f>
        <v>0</v>
      </c>
    </row>
    <row r="31" spans="1:17" ht="15">
      <c r="A31" s="299"/>
      <c r="B31" s="694"/>
      <c r="C31" s="694"/>
      <c r="D31" s="695"/>
      <c r="E31" s="725"/>
      <c r="F31" s="725"/>
      <c r="G31" s="725"/>
      <c r="H31" s="725"/>
      <c r="I31" s="725"/>
      <c r="J31" s="725"/>
      <c r="K31" s="725"/>
      <c r="L31" s="725"/>
      <c r="M31" s="725"/>
      <c r="N31" s="725"/>
      <c r="O31" s="725"/>
      <c r="P31" s="726"/>
      <c r="Q31" s="287"/>
    </row>
    <row r="32" spans="1:17" ht="16.5" customHeight="1">
      <c r="A32" s="727" t="s">
        <v>452</v>
      </c>
      <c r="B32" s="728">
        <f>'ANEXO (7)'!$D$7</f>
        <v>0</v>
      </c>
      <c r="C32" s="694"/>
      <c r="D32" s="695"/>
      <c r="E32" s="921"/>
      <c r="F32" s="675"/>
      <c r="G32" s="921"/>
      <c r="H32" s="675"/>
      <c r="I32" s="921"/>
      <c r="J32" s="675"/>
      <c r="K32" s="921"/>
      <c r="L32" s="675"/>
      <c r="M32" s="921"/>
      <c r="N32" s="675"/>
      <c r="O32" s="921"/>
      <c r="P32" s="675"/>
      <c r="Q32" s="730">
        <f>SUM(E32:P32)</f>
        <v>0</v>
      </c>
    </row>
    <row r="33" spans="1:17" ht="16.5" customHeight="1">
      <c r="A33" s="731" t="s">
        <v>445</v>
      </c>
      <c r="B33" s="732">
        <f>B32</f>
        <v>0</v>
      </c>
      <c r="C33" s="696"/>
      <c r="D33" s="697"/>
      <c r="E33" s="921"/>
      <c r="F33" s="675"/>
      <c r="G33" s="921"/>
      <c r="H33" s="675"/>
      <c r="I33" s="921"/>
      <c r="J33" s="675"/>
      <c r="K33" s="921"/>
      <c r="L33" s="675"/>
      <c r="M33" s="921"/>
      <c r="N33" s="675"/>
      <c r="O33" s="921"/>
      <c r="P33" s="675"/>
      <c r="Q33" s="734">
        <f>SUM(E33:P33)</f>
        <v>0</v>
      </c>
    </row>
    <row r="34" spans="1:17" ht="15">
      <c r="A34" s="299"/>
      <c r="B34" s="694"/>
      <c r="C34" s="694"/>
      <c r="D34" s="695"/>
      <c r="E34" s="725"/>
      <c r="F34" s="725"/>
      <c r="G34" s="725"/>
      <c r="H34" s="725"/>
      <c r="I34" s="725"/>
      <c r="J34" s="725"/>
      <c r="K34" s="725"/>
      <c r="L34" s="725"/>
      <c r="M34" s="725"/>
      <c r="N34" s="725"/>
      <c r="O34" s="725"/>
      <c r="P34" s="726"/>
      <c r="Q34" s="287"/>
    </row>
    <row r="35" spans="1:17" ht="16.5" customHeight="1">
      <c r="A35" s="727" t="s">
        <v>453</v>
      </c>
      <c r="B35" s="728">
        <f>'ANEXO (8)'!$D$7</f>
        <v>0</v>
      </c>
      <c r="C35" s="694"/>
      <c r="D35" s="695"/>
      <c r="E35" s="921"/>
      <c r="F35" s="675"/>
      <c r="G35" s="921"/>
      <c r="H35" s="675"/>
      <c r="I35" s="921"/>
      <c r="J35" s="675"/>
      <c r="K35" s="921"/>
      <c r="L35" s="675"/>
      <c r="M35" s="921"/>
      <c r="N35" s="675"/>
      <c r="O35" s="921"/>
      <c r="P35" s="675"/>
      <c r="Q35" s="730">
        <f>SUM(E35:P35)</f>
        <v>0</v>
      </c>
    </row>
    <row r="36" spans="1:17" ht="16.5" customHeight="1">
      <c r="A36" s="731" t="s">
        <v>445</v>
      </c>
      <c r="B36" s="732">
        <f>B35</f>
        <v>0</v>
      </c>
      <c r="C36" s="696"/>
      <c r="D36" s="697"/>
      <c r="E36" s="921"/>
      <c r="F36" s="675"/>
      <c r="G36" s="921"/>
      <c r="H36" s="675"/>
      <c r="I36" s="921"/>
      <c r="J36" s="675"/>
      <c r="K36" s="921"/>
      <c r="L36" s="675"/>
      <c r="M36" s="921"/>
      <c r="N36" s="675"/>
      <c r="O36" s="921"/>
      <c r="P36" s="675"/>
      <c r="Q36" s="734">
        <f>SUM(E36:P36)</f>
        <v>0</v>
      </c>
    </row>
    <row r="37" spans="1:17" ht="15">
      <c r="A37" s="299"/>
      <c r="B37" s="694"/>
      <c r="C37" s="694"/>
      <c r="D37" s="695"/>
      <c r="E37" s="725"/>
      <c r="F37" s="725"/>
      <c r="G37" s="725"/>
      <c r="H37" s="725"/>
      <c r="I37" s="725"/>
      <c r="J37" s="725"/>
      <c r="K37" s="725"/>
      <c r="L37" s="725"/>
      <c r="M37" s="725"/>
      <c r="N37" s="725"/>
      <c r="O37" s="725"/>
      <c r="P37" s="726"/>
      <c r="Q37" s="287"/>
    </row>
    <row r="38" spans="1:17" ht="16.5" customHeight="1">
      <c r="A38" s="727" t="s">
        <v>454</v>
      </c>
      <c r="B38" s="728">
        <f>'ANEXO (9)'!$D$7</f>
        <v>0</v>
      </c>
      <c r="C38" s="694"/>
      <c r="D38" s="695"/>
      <c r="E38" s="675"/>
      <c r="F38" s="675"/>
      <c r="G38" s="675"/>
      <c r="H38" s="675"/>
      <c r="I38" s="675"/>
      <c r="J38" s="675"/>
      <c r="K38" s="675"/>
      <c r="L38" s="675"/>
      <c r="M38" s="675"/>
      <c r="N38" s="675"/>
      <c r="O38" s="675"/>
      <c r="P38" s="676"/>
      <c r="Q38" s="730">
        <f>SUM(E38:P38)</f>
        <v>0</v>
      </c>
    </row>
    <row r="39" spans="1:17" ht="16.5" customHeight="1">
      <c r="A39" s="731" t="s">
        <v>445</v>
      </c>
      <c r="B39" s="732">
        <f>B38</f>
        <v>0</v>
      </c>
      <c r="C39" s="696"/>
      <c r="D39" s="697"/>
      <c r="E39" s="679"/>
      <c r="F39" s="679"/>
      <c r="G39" s="680"/>
      <c r="H39" s="681"/>
      <c r="I39" s="681"/>
      <c r="J39" s="679"/>
      <c r="K39" s="679"/>
      <c r="L39" s="679"/>
      <c r="M39" s="679"/>
      <c r="N39" s="679"/>
      <c r="O39" s="679"/>
      <c r="P39" s="682"/>
      <c r="Q39" s="734">
        <f>SUM(E39:P39)</f>
        <v>0</v>
      </c>
    </row>
    <row r="40" spans="1:17" ht="15">
      <c r="A40" s="299"/>
      <c r="B40" s="694"/>
      <c r="C40" s="694"/>
      <c r="D40" s="695"/>
      <c r="E40" s="725"/>
      <c r="F40" s="725"/>
      <c r="G40" s="725"/>
      <c r="H40" s="725"/>
      <c r="I40" s="725"/>
      <c r="J40" s="725"/>
      <c r="K40" s="725"/>
      <c r="L40" s="725"/>
      <c r="M40" s="725"/>
      <c r="N40" s="725"/>
      <c r="O40" s="725"/>
      <c r="P40" s="726"/>
      <c r="Q40" s="287"/>
    </row>
    <row r="41" spans="1:17" ht="16.5" customHeight="1">
      <c r="A41" s="727" t="s">
        <v>455</v>
      </c>
      <c r="B41" s="728">
        <f>'ANEXO (10)'!$D$7</f>
        <v>0</v>
      </c>
      <c r="C41" s="694"/>
      <c r="D41" s="695"/>
      <c r="E41" s="675"/>
      <c r="F41" s="675"/>
      <c r="G41" s="675"/>
      <c r="H41" s="675"/>
      <c r="I41" s="675"/>
      <c r="J41" s="675"/>
      <c r="K41" s="675"/>
      <c r="L41" s="675"/>
      <c r="M41" s="675"/>
      <c r="N41" s="675"/>
      <c r="O41" s="675"/>
      <c r="P41" s="676"/>
      <c r="Q41" s="730">
        <f>SUM(E41:P41)</f>
        <v>0</v>
      </c>
    </row>
    <row r="42" spans="1:17" ht="16.5" customHeight="1">
      <c r="A42" s="731" t="s">
        <v>445</v>
      </c>
      <c r="B42" s="732">
        <f>B41</f>
        <v>0</v>
      </c>
      <c r="C42" s="696"/>
      <c r="D42" s="697"/>
      <c r="E42" s="679"/>
      <c r="F42" s="679"/>
      <c r="G42" s="680"/>
      <c r="H42" s="681"/>
      <c r="I42" s="681"/>
      <c r="J42" s="679"/>
      <c r="K42" s="679"/>
      <c r="L42" s="679"/>
      <c r="M42" s="679"/>
      <c r="N42" s="679"/>
      <c r="O42" s="679"/>
      <c r="P42" s="682"/>
      <c r="Q42" s="734">
        <f>SUM(E42:P42)</f>
        <v>0</v>
      </c>
    </row>
    <row r="43" spans="1:17" ht="13.5" thickBot="1">
      <c r="A43" s="735"/>
      <c r="B43" s="698"/>
      <c r="C43" s="698"/>
      <c r="D43" s="699"/>
      <c r="E43" s="736"/>
      <c r="F43" s="736"/>
      <c r="G43" s="736"/>
      <c r="H43" s="736"/>
      <c r="I43" s="736"/>
      <c r="J43" s="736"/>
      <c r="K43" s="736"/>
      <c r="L43" s="736"/>
      <c r="M43" s="736"/>
      <c r="N43" s="736"/>
      <c r="O43" s="736"/>
      <c r="P43" s="737"/>
      <c r="Q43" s="738"/>
    </row>
    <row r="44" ht="13.5" thickTop="1"/>
  </sheetData>
  <sheetProtection sheet="1" objects="1" scenarios="1"/>
  <mergeCells count="2">
    <mergeCell ref="G1:I1"/>
    <mergeCell ref="L7:M7"/>
  </mergeCells>
  <printOptions horizontalCentered="1"/>
  <pageMargins left="0.3937007874015748" right="0.3937007874015748" top="0.3937007874015748" bottom="0.3937007874015748" header="0.11811023622047245" footer="0.11811023622047245"/>
  <pageSetup fitToHeight="1" fitToWidth="1" horizontalDpi="300" verticalDpi="300" orientation="landscape" scale="82"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S69"/>
  <sheetViews>
    <sheetView showGridLines="0" zoomScale="75" zoomScaleNormal="75" workbookViewId="0" topLeftCell="A25">
      <selection activeCell="J66" sqref="J66"/>
    </sheetView>
  </sheetViews>
  <sheetFormatPr defaultColWidth="11.421875" defaultRowHeight="12.75"/>
  <cols>
    <col min="1" max="1" width="4.28125" style="702" customWidth="1"/>
    <col min="2" max="2" width="12.8515625" style="702" customWidth="1"/>
    <col min="3" max="3" width="10.28125" style="702" customWidth="1"/>
    <col min="4" max="4" width="7.8515625" style="702" customWidth="1"/>
    <col min="5" max="17" width="10.7109375" style="702" customWidth="1"/>
    <col min="18" max="16384" width="8.8515625" style="702" customWidth="1"/>
  </cols>
  <sheetData>
    <row r="1" spans="1:19" ht="17.25" thickBot="1" thickTop="1">
      <c r="A1" s="920" t="s">
        <v>541</v>
      </c>
      <c r="B1" s="700"/>
      <c r="C1" s="700"/>
      <c r="D1" s="700"/>
      <c r="E1" s="701"/>
      <c r="G1" s="740"/>
      <c r="H1" s="972" t="s">
        <v>471</v>
      </c>
      <c r="I1" s="973"/>
      <c r="J1" s="974"/>
      <c r="K1" s="701"/>
      <c r="L1" s="701"/>
      <c r="M1" s="701"/>
      <c r="N1" s="701"/>
      <c r="O1" s="701"/>
      <c r="P1" s="701"/>
      <c r="Q1" s="703" t="s">
        <v>195</v>
      </c>
      <c r="R1" s="700"/>
      <c r="S1" s="701"/>
    </row>
    <row r="2" spans="1:19" ht="9.75" customHeight="1" thickTop="1">
      <c r="A2" s="701"/>
      <c r="B2" s="701"/>
      <c r="C2" s="701"/>
      <c r="D2" s="701"/>
      <c r="E2" s="701"/>
      <c r="F2" s="701"/>
      <c r="G2" s="701"/>
      <c r="H2" s="701"/>
      <c r="I2" s="701"/>
      <c r="J2" s="701"/>
      <c r="K2" s="701"/>
      <c r="L2" s="701"/>
      <c r="M2" s="701"/>
      <c r="N2" s="701"/>
      <c r="O2" s="701"/>
      <c r="P2" s="701"/>
      <c r="Q2" s="701"/>
      <c r="R2" s="701"/>
      <c r="S2" s="701"/>
    </row>
    <row r="3" spans="1:19" ht="7.5" customHeight="1">
      <c r="A3" s="701"/>
      <c r="B3" s="701"/>
      <c r="C3" s="701"/>
      <c r="D3" s="701"/>
      <c r="E3" s="701"/>
      <c r="F3" s="701"/>
      <c r="G3" s="701"/>
      <c r="H3" s="701"/>
      <c r="I3" s="701"/>
      <c r="J3" s="701"/>
      <c r="K3" s="701"/>
      <c r="L3" s="701"/>
      <c r="M3" s="701"/>
      <c r="N3" s="701"/>
      <c r="O3" s="701"/>
      <c r="P3" s="701"/>
      <c r="Q3" s="701"/>
      <c r="R3" s="701"/>
      <c r="S3" s="701"/>
    </row>
    <row r="4" spans="1:19" ht="7.5" customHeight="1" thickBot="1">
      <c r="A4" s="706"/>
      <c r="B4" s="706"/>
      <c r="C4" s="706"/>
      <c r="D4" s="706"/>
      <c r="E4" s="706"/>
      <c r="F4" s="706"/>
      <c r="G4" s="706"/>
      <c r="H4" s="706"/>
      <c r="I4" s="706"/>
      <c r="J4" s="706"/>
      <c r="K4" s="706"/>
      <c r="L4" s="706"/>
      <c r="M4" s="706"/>
      <c r="N4" s="706"/>
      <c r="O4" s="706"/>
      <c r="P4" s="706"/>
      <c r="Q4" s="701"/>
      <c r="R4" s="701"/>
      <c r="S4" s="701"/>
    </row>
    <row r="5" spans="1:19" ht="10.5" customHeight="1" thickBot="1" thickTop="1">
      <c r="A5" s="298"/>
      <c r="B5" s="147"/>
      <c r="C5" s="147"/>
      <c r="D5" s="147"/>
      <c r="E5" s="147"/>
      <c r="F5" s="147"/>
      <c r="G5" s="147"/>
      <c r="H5" s="147"/>
      <c r="I5" s="147"/>
      <c r="J5" s="147"/>
      <c r="K5" s="147"/>
      <c r="L5" s="147"/>
      <c r="M5" s="147"/>
      <c r="N5" s="147"/>
      <c r="O5" s="147"/>
      <c r="P5" s="147"/>
      <c r="Q5" s="304"/>
      <c r="R5" s="701"/>
      <c r="S5" s="701"/>
    </row>
    <row r="6" spans="1:19" ht="16.5" customHeight="1" thickBot="1">
      <c r="A6" s="298"/>
      <c r="B6" s="708" t="s">
        <v>196</v>
      </c>
      <c r="C6" s="147"/>
      <c r="D6" s="147"/>
      <c r="E6" s="147"/>
      <c r="F6" s="147"/>
      <c r="G6" s="713"/>
      <c r="H6" s="977" t="s">
        <v>197</v>
      </c>
      <c r="I6" s="978"/>
      <c r="J6" s="979"/>
      <c r="K6" s="147"/>
      <c r="L6" s="147"/>
      <c r="M6" s="713"/>
      <c r="N6" s="147"/>
      <c r="O6" s="147"/>
      <c r="P6" s="147"/>
      <c r="Q6" s="287"/>
      <c r="R6" s="701"/>
      <c r="S6" s="701"/>
    </row>
    <row r="7" spans="1:19" ht="12" customHeight="1">
      <c r="A7" s="298"/>
      <c r="B7" s="147"/>
      <c r="C7" s="147"/>
      <c r="D7" s="147"/>
      <c r="E7" s="147"/>
      <c r="F7" s="147"/>
      <c r="G7" s="147"/>
      <c r="H7" s="708"/>
      <c r="I7" s="147"/>
      <c r="J7" s="147"/>
      <c r="K7" s="147"/>
      <c r="L7" s="147"/>
      <c r="M7" s="147"/>
      <c r="N7" s="147"/>
      <c r="O7" s="147"/>
      <c r="P7" s="147"/>
      <c r="Q7" s="287"/>
      <c r="R7" s="701"/>
      <c r="S7" s="701"/>
    </row>
    <row r="8" spans="1:19" ht="9" customHeight="1" thickBot="1">
      <c r="A8" s="741"/>
      <c r="B8" s="716"/>
      <c r="C8" s="716"/>
      <c r="D8" s="716"/>
      <c r="E8" s="716"/>
      <c r="F8" s="716"/>
      <c r="G8" s="716"/>
      <c r="H8" s="716"/>
      <c r="I8" s="716"/>
      <c r="J8" s="716"/>
      <c r="K8" s="716"/>
      <c r="L8" s="716"/>
      <c r="M8" s="716"/>
      <c r="N8" s="716"/>
      <c r="O8" s="716"/>
      <c r="P8" s="716"/>
      <c r="Q8" s="742"/>
      <c r="R8" s="701"/>
      <c r="S8" s="701"/>
    </row>
    <row r="9" spans="1:19" ht="15" customHeight="1">
      <c r="A9" s="743"/>
      <c r="B9" s="708" t="s">
        <v>198</v>
      </c>
      <c r="C9" s="147"/>
      <c r="D9" s="290"/>
      <c r="E9" s="744" t="str">
        <f>'C4-CRON'!E11</f>
        <v>mayo</v>
      </c>
      <c r="F9" s="744" t="str">
        <f>'C4-CRON'!F11</f>
        <v>junio</v>
      </c>
      <c r="G9" s="744" t="str">
        <f>'C4-CRON'!G11</f>
        <v>julio</v>
      </c>
      <c r="H9" s="744" t="str">
        <f>'C4-CRON'!H11</f>
        <v>agosto</v>
      </c>
      <c r="I9" s="744" t="str">
        <f>'C4-CRON'!I11</f>
        <v>septiembre</v>
      </c>
      <c r="J9" s="744" t="str">
        <f>'C4-CRON'!J11</f>
        <v>octubre</v>
      </c>
      <c r="K9" s="744" t="str">
        <f>'C4-CRON'!K11</f>
        <v>noviembre</v>
      </c>
      <c r="L9" s="744" t="str">
        <f>'C4-CRON'!L11</f>
        <v>diciembre</v>
      </c>
      <c r="M9" s="744" t="str">
        <f>'C4-CRON'!M11</f>
        <v>enero</v>
      </c>
      <c r="N9" s="744" t="str">
        <f>'C4-CRON'!N11</f>
        <v>febrero</v>
      </c>
      <c r="O9" s="744" t="str">
        <f>'C4-CRON'!O11</f>
        <v>marzo</v>
      </c>
      <c r="P9" s="745" t="str">
        <f>'C4-CRON'!P11</f>
        <v>abril</v>
      </c>
      <c r="Q9" s="746" t="s">
        <v>112</v>
      </c>
      <c r="R9" s="701"/>
      <c r="S9" s="701"/>
    </row>
    <row r="10" spans="1:19" ht="4.5" customHeight="1">
      <c r="A10" s="283"/>
      <c r="B10" s="280"/>
      <c r="C10" s="280"/>
      <c r="D10" s="284"/>
      <c r="E10" s="747"/>
      <c r="F10" s="747"/>
      <c r="G10" s="747"/>
      <c r="H10" s="747"/>
      <c r="I10" s="747"/>
      <c r="J10" s="747"/>
      <c r="K10" s="747"/>
      <c r="L10" s="747"/>
      <c r="M10" s="747"/>
      <c r="N10" s="747"/>
      <c r="O10" s="747"/>
      <c r="P10" s="296"/>
      <c r="Q10" s="282"/>
      <c r="R10" s="701"/>
      <c r="S10" s="701"/>
    </row>
    <row r="11" spans="1:19" ht="3.75" customHeight="1">
      <c r="A11" s="298"/>
      <c r="B11" s="147"/>
      <c r="C11" s="147"/>
      <c r="D11" s="290"/>
      <c r="E11" s="748"/>
      <c r="F11" s="748"/>
      <c r="G11" s="748"/>
      <c r="H11" s="748"/>
      <c r="I11" s="748"/>
      <c r="J11" s="748"/>
      <c r="K11" s="748"/>
      <c r="L11" s="748"/>
      <c r="M11" s="748"/>
      <c r="N11" s="748"/>
      <c r="O11" s="748"/>
      <c r="P11" s="290"/>
      <c r="Q11" s="287"/>
      <c r="R11" s="701"/>
      <c r="S11" s="701"/>
    </row>
    <row r="12" spans="1:19" ht="12.75">
      <c r="A12" s="743" t="s">
        <v>199</v>
      </c>
      <c r="B12" s="286"/>
      <c r="C12" s="286"/>
      <c r="D12" s="288"/>
      <c r="E12" s="748"/>
      <c r="F12" s="748"/>
      <c r="G12" s="748"/>
      <c r="H12" s="748"/>
      <c r="I12" s="749"/>
      <c r="J12" s="749"/>
      <c r="K12" s="750" t="str">
        <f>'C3-COST'!K12</f>
        <v>has</v>
      </c>
      <c r="L12" s="751"/>
      <c r="M12" s="748"/>
      <c r="N12" s="748"/>
      <c r="O12" s="748"/>
      <c r="P12" s="290"/>
      <c r="Q12" s="287"/>
      <c r="R12" s="701"/>
      <c r="S12" s="701"/>
    </row>
    <row r="13" spans="1:19" ht="3.75" customHeight="1">
      <c r="A13" s="743"/>
      <c r="B13" s="286"/>
      <c r="C13" s="286"/>
      <c r="D13" s="288"/>
      <c r="E13" s="748"/>
      <c r="F13" s="748"/>
      <c r="G13" s="748"/>
      <c r="H13" s="748"/>
      <c r="I13" s="748"/>
      <c r="J13" s="748"/>
      <c r="K13" s="748"/>
      <c r="L13" s="748"/>
      <c r="M13" s="748"/>
      <c r="N13" s="748"/>
      <c r="O13" s="748"/>
      <c r="P13" s="290"/>
      <c r="Q13" s="282"/>
      <c r="R13" s="701"/>
      <c r="S13" s="701"/>
    </row>
    <row r="14" spans="1:19" ht="16.5" customHeight="1">
      <c r="A14" s="752">
        <v>1</v>
      </c>
      <c r="B14" s="753" t="str">
        <f>'ANEXO (1)'!$D$7</f>
        <v>Establecimiento  de cacao  año 1 y cultivos asociados</v>
      </c>
      <c r="C14" s="754"/>
      <c r="D14" s="755"/>
      <c r="E14" s="756">
        <f>'C1-PRODN'!$G$17*'C4-CRON'!E15</f>
        <v>0</v>
      </c>
      <c r="F14" s="756">
        <f>'C1-PRODN'!$G$17*'C4-CRON'!F15</f>
        <v>0</v>
      </c>
      <c r="G14" s="756">
        <f>'C1-PRODN'!$G$17*'C4-CRON'!G15</f>
        <v>0</v>
      </c>
      <c r="H14" s="756">
        <f>'C1-PRODN'!$G$17*'C4-CRON'!H15</f>
        <v>0</v>
      </c>
      <c r="I14" s="756">
        <f>'C1-PRODN'!$G$17*'C4-CRON'!I15</f>
        <v>0</v>
      </c>
      <c r="J14" s="756">
        <f>'C1-PRODN'!$G$17*'C4-CRON'!J15</f>
        <v>15438.848860000002</v>
      </c>
      <c r="K14" s="756">
        <f>'C1-PRODN'!$G$17*'C4-CRON'!K15</f>
        <v>0</v>
      </c>
      <c r="L14" s="756">
        <f>'C1-PRODN'!$G$17*'C4-CRON'!L15</f>
        <v>0</v>
      </c>
      <c r="M14" s="756">
        <f>'C1-PRODN'!$G$17*'C4-CRON'!M15</f>
        <v>0</v>
      </c>
      <c r="N14" s="756">
        <f>'C1-PRODN'!$G$17*'C4-CRON'!N15</f>
        <v>11806.17854</v>
      </c>
      <c r="O14" s="756">
        <f>'C1-PRODN'!$G$17*'C4-CRON'!O15</f>
        <v>52673.719639999996</v>
      </c>
      <c r="P14" s="757">
        <f>'C1-PRODN'!$G$17*'C4-CRON'!P15</f>
        <v>10898.01096</v>
      </c>
      <c r="Q14" s="758">
        <f>SUM(E14:P14)</f>
        <v>90816.758</v>
      </c>
      <c r="R14" s="701"/>
      <c r="S14" s="701"/>
    </row>
    <row r="15" spans="1:19" ht="16.5" customHeight="1">
      <c r="A15" s="299">
        <v>2</v>
      </c>
      <c r="B15" s="759" t="str">
        <f>'ANEXO (2)'!$D$7</f>
        <v>Establecimiento cacao año 2 y cuyltivos asociados</v>
      </c>
      <c r="C15" s="760"/>
      <c r="D15" s="284"/>
      <c r="E15" s="761">
        <f>'C1-PRODN'!$H$17*'C4-CRON'!E18</f>
        <v>0</v>
      </c>
      <c r="F15" s="761">
        <f>'C1-PRODN'!$H$17*'C4-CRON'!F18</f>
        <v>0</v>
      </c>
      <c r="G15" s="761">
        <f>'C1-PRODN'!$H$17*'C4-CRON'!G18</f>
        <v>0</v>
      </c>
      <c r="H15" s="761">
        <f>'C1-PRODN'!$H$17*'C4-CRON'!H18</f>
        <v>0</v>
      </c>
      <c r="I15" s="761">
        <f>'C1-PRODN'!$H$17*'C4-CRON'!I18</f>
        <v>0</v>
      </c>
      <c r="J15" s="761">
        <f>'C1-PRODN'!$H$17*'C4-CRON'!J18</f>
        <v>0</v>
      </c>
      <c r="K15" s="761">
        <f>'C1-PRODN'!$H$17*'C4-CRON'!K18</f>
        <v>0</v>
      </c>
      <c r="L15" s="761">
        <f>'C1-PRODN'!$H$17*'C4-CRON'!L18</f>
        <v>0</v>
      </c>
      <c r="M15" s="761">
        <f>'C1-PRODN'!$H$17*'C4-CRON'!M18</f>
        <v>0</v>
      </c>
      <c r="N15" s="761">
        <f>'C1-PRODN'!$H$17*'C4-CRON'!N18</f>
        <v>0</v>
      </c>
      <c r="O15" s="761">
        <f>'C1-PRODN'!$H$17*'C4-CRON'!O18</f>
        <v>0</v>
      </c>
      <c r="P15" s="762">
        <f>'C1-PRODN'!$H$17*'C4-CRON'!P18</f>
        <v>0</v>
      </c>
      <c r="Q15" s="758">
        <f aca="true" t="shared" si="0" ref="Q15:Q23">SUM(E15:P15)</f>
        <v>0</v>
      </c>
      <c r="R15" s="701"/>
      <c r="S15" s="701"/>
    </row>
    <row r="16" spans="1:19" ht="16.5" customHeight="1">
      <c r="A16" s="299">
        <v>3</v>
      </c>
      <c r="B16" s="763" t="str">
        <f>'ANEXO (3)'!$D$7</f>
        <v>Producción de cacao año 3</v>
      </c>
      <c r="C16" s="760"/>
      <c r="D16" s="284"/>
      <c r="E16" s="761">
        <f>'C1-PRODN'!$I$17*'C4-CRON'!E21</f>
        <v>0</v>
      </c>
      <c r="F16" s="761">
        <f>'C1-PRODN'!$I$17*'C4-CRON'!F21</f>
        <v>0</v>
      </c>
      <c r="G16" s="761">
        <f>'C1-PRODN'!$I$17*'C4-CRON'!G21</f>
        <v>0</v>
      </c>
      <c r="H16" s="761">
        <f>'C1-PRODN'!$I$17*'C4-CRON'!H21</f>
        <v>0</v>
      </c>
      <c r="I16" s="761">
        <f>'C1-PRODN'!$I$17*'C4-CRON'!I21</f>
        <v>0</v>
      </c>
      <c r="J16" s="761">
        <f>'C1-PRODN'!$I$17*'C4-CRON'!J21</f>
        <v>0</v>
      </c>
      <c r="K16" s="761">
        <f>'C1-PRODN'!$I$17*'C4-CRON'!K21</f>
        <v>0</v>
      </c>
      <c r="L16" s="761">
        <f>'C1-PRODN'!$I$17*'C4-CRON'!L21</f>
        <v>0</v>
      </c>
      <c r="M16" s="761">
        <f>'C1-PRODN'!$I$17*'C4-CRON'!M21</f>
        <v>0</v>
      </c>
      <c r="N16" s="761">
        <f>'C1-PRODN'!$I$17*'C4-CRON'!N21</f>
        <v>0</v>
      </c>
      <c r="O16" s="761">
        <f>'C1-PRODN'!$I$17*'C4-CRON'!O21</f>
        <v>0</v>
      </c>
      <c r="P16" s="762">
        <f>'C1-PRODN'!$I$17*'C4-CRON'!P21</f>
        <v>0</v>
      </c>
      <c r="Q16" s="758">
        <f t="shared" si="0"/>
        <v>0</v>
      </c>
      <c r="R16" s="701"/>
      <c r="S16" s="701"/>
    </row>
    <row r="17" spans="1:19" ht="16.5" customHeight="1">
      <c r="A17" s="299">
        <v>4</v>
      </c>
      <c r="B17" s="763" t="str">
        <f>'ANEXO (4)'!$D$7</f>
        <v>Producción de cacao año 4</v>
      </c>
      <c r="C17" s="760"/>
      <c r="D17" s="284"/>
      <c r="E17" s="761">
        <f>'C1-PRODN'!$J$17*'C4-CRON'!E24</f>
        <v>0</v>
      </c>
      <c r="F17" s="761">
        <f>'C1-PRODN'!$J$17*'C4-CRON'!F24</f>
        <v>0</v>
      </c>
      <c r="G17" s="761">
        <f>'C1-PRODN'!$J$17*'C4-CRON'!G24</f>
        <v>0</v>
      </c>
      <c r="H17" s="761">
        <f>'C1-PRODN'!$J$17*'C4-CRON'!H24</f>
        <v>0</v>
      </c>
      <c r="I17" s="761">
        <f>'C1-PRODN'!$J$17*'C4-CRON'!I24</f>
        <v>0</v>
      </c>
      <c r="J17" s="761">
        <f>'C1-PRODN'!$J$17*'C4-CRON'!J24</f>
        <v>0</v>
      </c>
      <c r="K17" s="761">
        <f>'C1-PRODN'!$J$17*'C4-CRON'!K24</f>
        <v>0</v>
      </c>
      <c r="L17" s="761">
        <f>'C1-PRODN'!$J$17*'C4-CRON'!L24</f>
        <v>0</v>
      </c>
      <c r="M17" s="761">
        <f>'C1-PRODN'!$J$17*'C4-CRON'!M24</f>
        <v>0</v>
      </c>
      <c r="N17" s="761">
        <f>'C1-PRODN'!$J$17*'C4-CRON'!N24</f>
        <v>0</v>
      </c>
      <c r="O17" s="761">
        <f>'C1-PRODN'!$J$17*'C4-CRON'!O24</f>
        <v>0</v>
      </c>
      <c r="P17" s="762">
        <f>'C1-PRODN'!$J$17*'C4-CRON'!P24</f>
        <v>0</v>
      </c>
      <c r="Q17" s="758">
        <f t="shared" si="0"/>
        <v>0</v>
      </c>
      <c r="R17" s="701"/>
      <c r="S17" s="701"/>
    </row>
    <row r="18" spans="1:19" ht="16.5" customHeight="1">
      <c r="A18" s="299">
        <v>5</v>
      </c>
      <c r="B18" s="763" t="str">
        <f>'ANEXO (5)'!$D$7</f>
        <v>Producción de cacao ano 5</v>
      </c>
      <c r="C18" s="760"/>
      <c r="D18" s="284"/>
      <c r="E18" s="761">
        <f>'C1-PRODN'!$K$17*'C4-CRON'!E27</f>
        <v>0</v>
      </c>
      <c r="F18" s="761">
        <f>'C1-PRODN'!$K$17*'C4-CRON'!F27</f>
        <v>0</v>
      </c>
      <c r="G18" s="761">
        <f>'C1-PRODN'!$K$17*'C4-CRON'!G27</f>
        <v>0</v>
      </c>
      <c r="H18" s="761">
        <f>'C1-PRODN'!$K$17*'C4-CRON'!H27</f>
        <v>0</v>
      </c>
      <c r="I18" s="761">
        <f>'C1-PRODN'!$K$17*'C4-CRON'!I27</f>
        <v>0</v>
      </c>
      <c r="J18" s="761">
        <f>'C1-PRODN'!$K$17*'C4-CRON'!J27</f>
        <v>0</v>
      </c>
      <c r="K18" s="761">
        <f>'C1-PRODN'!$K$17*'C4-CRON'!K27</f>
        <v>0</v>
      </c>
      <c r="L18" s="761">
        <f>'C1-PRODN'!$K$17*'C4-CRON'!L27</f>
        <v>0</v>
      </c>
      <c r="M18" s="761">
        <f>'C1-PRODN'!$K$17*'C4-CRON'!M27</f>
        <v>0</v>
      </c>
      <c r="N18" s="761">
        <f>'C1-PRODN'!$K$17*'C4-CRON'!N27</f>
        <v>0</v>
      </c>
      <c r="O18" s="761">
        <f>'C1-PRODN'!$K$17*'C4-CRON'!O27</f>
        <v>0</v>
      </c>
      <c r="P18" s="762">
        <f>'C1-PRODN'!$K$17*'C4-CRON'!P27</f>
        <v>0</v>
      </c>
      <c r="Q18" s="758">
        <f t="shared" si="0"/>
        <v>0</v>
      </c>
      <c r="R18" s="701"/>
      <c r="S18" s="701"/>
    </row>
    <row r="19" spans="1:19" ht="16.5" customHeight="1">
      <c r="A19" s="299">
        <v>6</v>
      </c>
      <c r="B19" s="763">
        <f>'ANEXO (6)'!$D$7</f>
        <v>0</v>
      </c>
      <c r="C19" s="760"/>
      <c r="D19" s="284"/>
      <c r="E19" s="761">
        <f>'C1-PRODN'!$L$17*'C4-CRON'!E30</f>
        <v>0</v>
      </c>
      <c r="F19" s="761">
        <f>'C1-PRODN'!$L$17*'C4-CRON'!F30</f>
        <v>0</v>
      </c>
      <c r="G19" s="761">
        <f>'C1-PRODN'!$L$17*'C4-CRON'!G30</f>
        <v>0</v>
      </c>
      <c r="H19" s="761">
        <f>'C1-PRODN'!$L$17*'C4-CRON'!H30</f>
        <v>0</v>
      </c>
      <c r="I19" s="761">
        <f>'C1-PRODN'!$L$17*'C4-CRON'!I30</f>
        <v>0</v>
      </c>
      <c r="J19" s="761">
        <f>'C1-PRODN'!$L$17*'C4-CRON'!J30</f>
        <v>0</v>
      </c>
      <c r="K19" s="761">
        <f>'C1-PRODN'!$L$17*'C4-CRON'!K30</f>
        <v>0</v>
      </c>
      <c r="L19" s="761">
        <f>'C1-PRODN'!$L$17*'C4-CRON'!L30</f>
        <v>0</v>
      </c>
      <c r="M19" s="761">
        <f>'C1-PRODN'!$L$17*'C4-CRON'!M30</f>
        <v>0</v>
      </c>
      <c r="N19" s="761">
        <f>'C1-PRODN'!$L$17*'C4-CRON'!N30</f>
        <v>0</v>
      </c>
      <c r="O19" s="761">
        <f>'C1-PRODN'!$L$17*'C4-CRON'!O30</f>
        <v>0</v>
      </c>
      <c r="P19" s="762">
        <f>'C1-PRODN'!$L$17*'C4-CRON'!P30</f>
        <v>0</v>
      </c>
      <c r="Q19" s="758">
        <f t="shared" si="0"/>
        <v>0</v>
      </c>
      <c r="R19" s="701"/>
      <c r="S19" s="701"/>
    </row>
    <row r="20" spans="1:19" ht="16.5" customHeight="1">
      <c r="A20" s="299">
        <v>7</v>
      </c>
      <c r="B20" s="763">
        <f>'ANEXO (7)'!$D$7</f>
        <v>0</v>
      </c>
      <c r="C20" s="760"/>
      <c r="D20" s="284"/>
      <c r="E20" s="761">
        <f>'C1-PRODN'!$M$17*'C4-CRON'!E33</f>
        <v>0</v>
      </c>
      <c r="F20" s="761">
        <f>'C1-PRODN'!$M$17*'C4-CRON'!F33</f>
        <v>0</v>
      </c>
      <c r="G20" s="761">
        <f>'C1-PRODN'!$M$17*'C4-CRON'!G33</f>
        <v>0</v>
      </c>
      <c r="H20" s="761">
        <f>'C1-PRODN'!$M$17*'C4-CRON'!H33</f>
        <v>0</v>
      </c>
      <c r="I20" s="761">
        <f>'C1-PRODN'!$M$17*'C4-CRON'!I33</f>
        <v>0</v>
      </c>
      <c r="J20" s="761">
        <f>'C1-PRODN'!$M$17*'C4-CRON'!J33</f>
        <v>0</v>
      </c>
      <c r="K20" s="761">
        <f>'C1-PRODN'!$M$17*'C4-CRON'!K33</f>
        <v>0</v>
      </c>
      <c r="L20" s="761">
        <f>'C1-PRODN'!$M$17*'C4-CRON'!L33</f>
        <v>0</v>
      </c>
      <c r="M20" s="761">
        <f>'C1-PRODN'!$M$17*'C4-CRON'!M33</f>
        <v>0</v>
      </c>
      <c r="N20" s="761">
        <f>'C1-PRODN'!$M$17*'C4-CRON'!N33</f>
        <v>0</v>
      </c>
      <c r="O20" s="761">
        <f>'C1-PRODN'!$M$17*'C4-CRON'!O33</f>
        <v>0</v>
      </c>
      <c r="P20" s="762">
        <f>'C1-PRODN'!$M$17*'C4-CRON'!P33</f>
        <v>0</v>
      </c>
      <c r="Q20" s="758">
        <f t="shared" si="0"/>
        <v>0</v>
      </c>
      <c r="R20" s="701"/>
      <c r="S20" s="701"/>
    </row>
    <row r="21" spans="1:19" ht="16.5" customHeight="1">
      <c r="A21" s="299">
        <v>8</v>
      </c>
      <c r="B21" s="763">
        <f>'ANEXO (8)'!$D$7</f>
        <v>0</v>
      </c>
      <c r="C21" s="760"/>
      <c r="D21" s="284"/>
      <c r="E21" s="761">
        <f>'C1-PRODN'!$N$17*'C4-CRON'!E36</f>
        <v>0</v>
      </c>
      <c r="F21" s="761">
        <f>'C1-PRODN'!$N$17*'C4-CRON'!F36</f>
        <v>0</v>
      </c>
      <c r="G21" s="761">
        <f>'C1-PRODN'!$N$17*'C4-CRON'!G36</f>
        <v>0</v>
      </c>
      <c r="H21" s="761">
        <f>'C1-PRODN'!$N$17*'C4-CRON'!H36</f>
        <v>0</v>
      </c>
      <c r="I21" s="761">
        <f>'C1-PRODN'!$N$17*'C4-CRON'!I36</f>
        <v>0</v>
      </c>
      <c r="J21" s="761">
        <f>'C1-PRODN'!$N$17*'C4-CRON'!J36</f>
        <v>0</v>
      </c>
      <c r="K21" s="761">
        <f>'C1-PRODN'!$N$17*'C4-CRON'!K36</f>
        <v>0</v>
      </c>
      <c r="L21" s="761">
        <f>'C1-PRODN'!$N$17*'C4-CRON'!L36</f>
        <v>0</v>
      </c>
      <c r="M21" s="761">
        <f>'C1-PRODN'!$N$17*'C4-CRON'!M36</f>
        <v>0</v>
      </c>
      <c r="N21" s="761">
        <f>'C1-PRODN'!$N$17*'C4-CRON'!N36</f>
        <v>0</v>
      </c>
      <c r="O21" s="761">
        <f>'C1-PRODN'!$N$17*'C4-CRON'!O36</f>
        <v>0</v>
      </c>
      <c r="P21" s="762">
        <f>'C1-PRODN'!$N$17*'C4-CRON'!P36</f>
        <v>0</v>
      </c>
      <c r="Q21" s="758">
        <f t="shared" si="0"/>
        <v>0</v>
      </c>
      <c r="R21" s="701"/>
      <c r="S21" s="701"/>
    </row>
    <row r="22" spans="1:19" ht="16.5" customHeight="1">
      <c r="A22" s="299">
        <v>9</v>
      </c>
      <c r="B22" s="763">
        <f>'ANEXO (9)'!$D$7</f>
        <v>0</v>
      </c>
      <c r="C22" s="760"/>
      <c r="D22" s="284"/>
      <c r="E22" s="761">
        <f>'C1-PRODN'!$O$17*'C4-CRON'!E39</f>
        <v>0</v>
      </c>
      <c r="F22" s="761">
        <f>'C1-PRODN'!$O$17*'C4-CRON'!F39</f>
        <v>0</v>
      </c>
      <c r="G22" s="761">
        <f>'C1-PRODN'!$O$17*'C4-CRON'!G39</f>
        <v>0</v>
      </c>
      <c r="H22" s="761">
        <f>'C1-PRODN'!$O$17*'C4-CRON'!H39</f>
        <v>0</v>
      </c>
      <c r="I22" s="761">
        <f>'C1-PRODN'!$O$17*'C4-CRON'!I39</f>
        <v>0</v>
      </c>
      <c r="J22" s="761">
        <f>'C1-PRODN'!$O$17*'C4-CRON'!J39</f>
        <v>0</v>
      </c>
      <c r="K22" s="761">
        <f>'C1-PRODN'!$O$17*'C4-CRON'!K39</f>
        <v>0</v>
      </c>
      <c r="L22" s="761">
        <f>'C1-PRODN'!$O$17*'C4-CRON'!L39</f>
        <v>0</v>
      </c>
      <c r="M22" s="761">
        <f>'C1-PRODN'!$O$17*'C4-CRON'!M39</f>
        <v>0</v>
      </c>
      <c r="N22" s="761">
        <f>'C1-PRODN'!$O$17*'C4-CRON'!N39</f>
        <v>0</v>
      </c>
      <c r="O22" s="761">
        <f>'C1-PRODN'!$O$17*'C4-CRON'!O39</f>
        <v>0</v>
      </c>
      <c r="P22" s="762">
        <f>'C1-PRODN'!$O$17*'C4-CRON'!P39</f>
        <v>0</v>
      </c>
      <c r="Q22" s="758">
        <f t="shared" si="0"/>
        <v>0</v>
      </c>
      <c r="R22" s="701"/>
      <c r="S22" s="701"/>
    </row>
    <row r="23" spans="1:19" ht="16.5" customHeight="1">
      <c r="A23" s="299">
        <v>10</v>
      </c>
      <c r="B23" s="759">
        <f>'ANEXO (10)'!$D$7</f>
        <v>0</v>
      </c>
      <c r="C23" s="760"/>
      <c r="D23" s="284"/>
      <c r="E23" s="761">
        <f>'C1-PRODN'!$P$17*'C4-CRON'!E42</f>
        <v>0</v>
      </c>
      <c r="F23" s="761">
        <f>'C1-PRODN'!$P$17*'C4-CRON'!F42</f>
        <v>0</v>
      </c>
      <c r="G23" s="761">
        <f>'C1-PRODN'!$P$17*'C4-CRON'!G42</f>
        <v>0</v>
      </c>
      <c r="H23" s="761">
        <f>'C1-PRODN'!$P$17*'C4-CRON'!H42</f>
        <v>0</v>
      </c>
      <c r="I23" s="761">
        <f>'C1-PRODN'!$P$17*'C4-CRON'!I42</f>
        <v>0</v>
      </c>
      <c r="J23" s="761">
        <f>'C1-PRODN'!$P$17*'C4-CRON'!J42</f>
        <v>0</v>
      </c>
      <c r="K23" s="761">
        <f>'C1-PRODN'!$P$17*'C4-CRON'!K42</f>
        <v>0</v>
      </c>
      <c r="L23" s="761">
        <f>'C1-PRODN'!$P$17*'C4-CRON'!L42</f>
        <v>0</v>
      </c>
      <c r="M23" s="761">
        <f>'C1-PRODN'!$P$17*'C4-CRON'!M42</f>
        <v>0</v>
      </c>
      <c r="N23" s="761">
        <f>'C1-PRODN'!$P$17*'C4-CRON'!N42</f>
        <v>0</v>
      </c>
      <c r="O23" s="761">
        <f>'C1-PRODN'!$P$17*'C4-CRON'!O42</f>
        <v>0</v>
      </c>
      <c r="P23" s="762">
        <f>'C1-PRODN'!$P$17*'C4-CRON'!P42</f>
        <v>0</v>
      </c>
      <c r="Q23" s="758">
        <f t="shared" si="0"/>
        <v>0</v>
      </c>
      <c r="R23" s="701"/>
      <c r="S23" s="701"/>
    </row>
    <row r="24" spans="1:19" ht="16.5" customHeight="1">
      <c r="A24" s="743" t="s">
        <v>200</v>
      </c>
      <c r="B24" s="286"/>
      <c r="C24" s="147"/>
      <c r="D24" s="290"/>
      <c r="E24" s="764">
        <f>SUM(E14:E23)</f>
        <v>0</v>
      </c>
      <c r="F24" s="764">
        <f aca="true" t="shared" si="1" ref="F24:Q24">SUM(F14:F23)</f>
        <v>0</v>
      </c>
      <c r="G24" s="764">
        <f t="shared" si="1"/>
        <v>0</v>
      </c>
      <c r="H24" s="764">
        <f t="shared" si="1"/>
        <v>0</v>
      </c>
      <c r="I24" s="764">
        <f t="shared" si="1"/>
        <v>0</v>
      </c>
      <c r="J24" s="764">
        <f t="shared" si="1"/>
        <v>15438.848860000002</v>
      </c>
      <c r="K24" s="764">
        <f t="shared" si="1"/>
        <v>0</v>
      </c>
      <c r="L24" s="764">
        <f t="shared" si="1"/>
        <v>0</v>
      </c>
      <c r="M24" s="764">
        <f t="shared" si="1"/>
        <v>0</v>
      </c>
      <c r="N24" s="764">
        <f t="shared" si="1"/>
        <v>11806.17854</v>
      </c>
      <c r="O24" s="764">
        <f t="shared" si="1"/>
        <v>52673.719639999996</v>
      </c>
      <c r="P24" s="765">
        <f t="shared" si="1"/>
        <v>10898.01096</v>
      </c>
      <c r="Q24" s="766">
        <f t="shared" si="1"/>
        <v>90816.758</v>
      </c>
      <c r="R24" s="701"/>
      <c r="S24" s="701"/>
    </row>
    <row r="25" spans="1:19" ht="6.75" customHeight="1" thickBot="1">
      <c r="A25" s="741"/>
      <c r="B25" s="716"/>
      <c r="C25" s="716"/>
      <c r="D25" s="767"/>
      <c r="E25" s="768"/>
      <c r="F25" s="768"/>
      <c r="G25" s="768"/>
      <c r="H25" s="768"/>
      <c r="I25" s="768"/>
      <c r="J25" s="768"/>
      <c r="K25" s="768"/>
      <c r="L25" s="768"/>
      <c r="M25" s="768"/>
      <c r="N25" s="768"/>
      <c r="O25" s="768"/>
      <c r="P25" s="769"/>
      <c r="Q25" s="770"/>
      <c r="R25" s="701"/>
      <c r="S25" s="701"/>
    </row>
    <row r="26" spans="1:19" ht="3.75" customHeight="1">
      <c r="A26" s="298"/>
      <c r="B26" s="147"/>
      <c r="C26" s="147"/>
      <c r="D26" s="290"/>
      <c r="E26" s="748"/>
      <c r="F26" s="748"/>
      <c r="G26" s="748"/>
      <c r="H26" s="748"/>
      <c r="I26" s="748"/>
      <c r="J26" s="748"/>
      <c r="K26" s="748"/>
      <c r="L26" s="748"/>
      <c r="M26" s="748"/>
      <c r="N26" s="748"/>
      <c r="O26" s="748"/>
      <c r="P26" s="290"/>
      <c r="Q26" s="287"/>
      <c r="R26" s="701"/>
      <c r="S26" s="701"/>
    </row>
    <row r="27" spans="1:19" ht="12.75">
      <c r="A27" s="743" t="s">
        <v>201</v>
      </c>
      <c r="B27" s="147"/>
      <c r="C27" s="147"/>
      <c r="D27" s="290"/>
      <c r="E27" s="771" t="s">
        <v>74</v>
      </c>
      <c r="F27" s="772"/>
      <c r="G27" s="772"/>
      <c r="H27" s="772"/>
      <c r="I27" s="772"/>
      <c r="J27" s="772"/>
      <c r="K27" s="772"/>
      <c r="L27" s="772"/>
      <c r="M27" s="772"/>
      <c r="N27" s="772"/>
      <c r="O27" s="772"/>
      <c r="P27" s="773"/>
      <c r="Q27" s="774"/>
      <c r="R27" s="701"/>
      <c r="S27" s="701"/>
    </row>
    <row r="28" spans="1:19" ht="3" customHeight="1">
      <c r="A28" s="743"/>
      <c r="B28" s="147"/>
      <c r="C28" s="147"/>
      <c r="D28" s="290"/>
      <c r="E28" s="772"/>
      <c r="F28" s="772"/>
      <c r="G28" s="772"/>
      <c r="H28" s="772"/>
      <c r="I28" s="772"/>
      <c r="J28" s="772"/>
      <c r="K28" s="772"/>
      <c r="L28" s="772"/>
      <c r="M28" s="772"/>
      <c r="N28" s="772"/>
      <c r="O28" s="772"/>
      <c r="P28" s="773"/>
      <c r="Q28" s="775"/>
      <c r="R28" s="701"/>
      <c r="S28" s="701"/>
    </row>
    <row r="29" spans="1:19" ht="16.5" customHeight="1">
      <c r="A29" s="752">
        <v>1</v>
      </c>
      <c r="B29" s="753" t="str">
        <f>'ANEXO (1)'!$D$7</f>
        <v>Establecimiento  de cacao  año 1 y cultivos asociados</v>
      </c>
      <c r="C29" s="754"/>
      <c r="D29" s="755"/>
      <c r="E29" s="756">
        <f>'C1-PRODN'!$G$18*'C4-CRON'!E14</f>
        <v>23595.1086</v>
      </c>
      <c r="F29" s="756">
        <f>'C1-PRODN'!$G$18*'C4-CRON'!F14</f>
        <v>23595.1086</v>
      </c>
      <c r="G29" s="756">
        <f>'C1-PRODN'!$G$18*'C4-CRON'!G14</f>
        <v>1179.75543</v>
      </c>
      <c r="H29" s="756">
        <f>'C1-PRODN'!$G$18*'C4-CRON'!H14</f>
        <v>1179.75543</v>
      </c>
      <c r="I29" s="756">
        <f>'C1-PRODN'!$G$18*'C4-CRON'!I14</f>
        <v>1179.75543</v>
      </c>
      <c r="J29" s="756">
        <f>'C1-PRODN'!$G$18*'C4-CRON'!J14</f>
        <v>1179.75543</v>
      </c>
      <c r="K29" s="756">
        <f>'C1-PRODN'!$G$18*'C4-CRON'!K14</f>
        <v>1179.75543</v>
      </c>
      <c r="L29" s="756">
        <f>'C1-PRODN'!$G$18*'C4-CRON'!L14</f>
        <v>1179.75543</v>
      </c>
      <c r="M29" s="756">
        <f>'C1-PRODN'!$G$18*'C4-CRON'!M14</f>
        <v>1179.75543</v>
      </c>
      <c r="N29" s="756">
        <f>'C1-PRODN'!$G$18*'C4-CRON'!N14</f>
        <v>1179.75543</v>
      </c>
      <c r="O29" s="756">
        <f>'C1-PRODN'!$G$18*'C4-CRON'!O14</f>
        <v>1179.75543</v>
      </c>
      <c r="P29" s="757">
        <f>'C1-PRODN'!$G$18*'C4-CRON'!P14</f>
        <v>1179.75543</v>
      </c>
      <c r="Q29" s="758">
        <f aca="true" t="shared" si="2" ref="Q29:Q38">SUM(E29:P29)</f>
        <v>58987.77149999997</v>
      </c>
      <c r="R29" s="701"/>
      <c r="S29" s="701"/>
    </row>
    <row r="30" spans="1:19" ht="16.5" customHeight="1">
      <c r="A30" s="299">
        <v>2</v>
      </c>
      <c r="B30" s="759" t="str">
        <f>'ANEXO (2)'!$D$7</f>
        <v>Establecimiento cacao año 2 y cuyltivos asociados</v>
      </c>
      <c r="C30" s="760"/>
      <c r="D30" s="284"/>
      <c r="E30" s="761">
        <f>'C1-PRODN'!$H$18*'C4-CRON'!E17</f>
        <v>0</v>
      </c>
      <c r="F30" s="761">
        <f>'C1-PRODN'!$H$18*'C4-CRON'!F17</f>
        <v>0</v>
      </c>
      <c r="G30" s="761">
        <f>'C1-PRODN'!$H$18*'C4-CRON'!G17</f>
        <v>0</v>
      </c>
      <c r="H30" s="761">
        <f>'C1-PRODN'!$H$18*'C4-CRON'!H17</f>
        <v>0</v>
      </c>
      <c r="I30" s="761">
        <f>'C1-PRODN'!$H$18*'C4-CRON'!I17</f>
        <v>0</v>
      </c>
      <c r="J30" s="761">
        <f>'C1-PRODN'!$H$18*'C4-CRON'!J17</f>
        <v>0</v>
      </c>
      <c r="K30" s="761">
        <f>'C1-PRODN'!$H$18*'C4-CRON'!K17</f>
        <v>0</v>
      </c>
      <c r="L30" s="761">
        <f>'C1-PRODN'!$H$18*'C4-CRON'!L17</f>
        <v>0</v>
      </c>
      <c r="M30" s="761">
        <f>'C1-PRODN'!$H$18*'C4-CRON'!M17</f>
        <v>0</v>
      </c>
      <c r="N30" s="761">
        <f>'C1-PRODN'!$H$18*'C4-CRON'!N17</f>
        <v>0</v>
      </c>
      <c r="O30" s="761">
        <f>'C1-PRODN'!$H$18*'C4-CRON'!O17</f>
        <v>0</v>
      </c>
      <c r="P30" s="762">
        <f>'C1-PRODN'!$H$18*'C4-CRON'!P17</f>
        <v>0</v>
      </c>
      <c r="Q30" s="758">
        <f t="shared" si="2"/>
        <v>0</v>
      </c>
      <c r="R30" s="701"/>
      <c r="S30" s="701"/>
    </row>
    <row r="31" spans="1:19" ht="16.5" customHeight="1">
      <c r="A31" s="299">
        <v>3</v>
      </c>
      <c r="B31" s="759" t="str">
        <f>'ANEXO (3)'!$D$7</f>
        <v>Producción de cacao año 3</v>
      </c>
      <c r="C31" s="760"/>
      <c r="D31" s="284"/>
      <c r="E31" s="761">
        <f>'C1-PRODN'!$I$18*'C4-CRON'!E20</f>
        <v>0</v>
      </c>
      <c r="F31" s="761">
        <f>'C1-PRODN'!$I$18*'C4-CRON'!F20</f>
        <v>0</v>
      </c>
      <c r="G31" s="761">
        <f>'C1-PRODN'!$I$18*'C4-CRON'!G20</f>
        <v>0</v>
      </c>
      <c r="H31" s="761">
        <f>'C1-PRODN'!$I$18*'C4-CRON'!H20</f>
        <v>0</v>
      </c>
      <c r="I31" s="761">
        <f>'C1-PRODN'!$I$18*'C4-CRON'!I20</f>
        <v>0</v>
      </c>
      <c r="J31" s="761">
        <f>'C1-PRODN'!$I$18*'C4-CRON'!J20</f>
        <v>0</v>
      </c>
      <c r="K31" s="761">
        <f>'C1-PRODN'!$I$18*'C4-CRON'!K20</f>
        <v>0</v>
      </c>
      <c r="L31" s="761">
        <f>'C1-PRODN'!$I$18*'C4-CRON'!L20</f>
        <v>0</v>
      </c>
      <c r="M31" s="761">
        <f>'C1-PRODN'!$I$18*'C4-CRON'!M20</f>
        <v>0</v>
      </c>
      <c r="N31" s="761">
        <f>'C1-PRODN'!$I$18*'C4-CRON'!N20</f>
        <v>0</v>
      </c>
      <c r="O31" s="761">
        <f>'C1-PRODN'!$I$18*'C4-CRON'!O20</f>
        <v>0</v>
      </c>
      <c r="P31" s="762">
        <f>'C1-PRODN'!$I$18*'C4-CRON'!P20</f>
        <v>0</v>
      </c>
      <c r="Q31" s="758">
        <f t="shared" si="2"/>
        <v>0</v>
      </c>
      <c r="R31" s="701"/>
      <c r="S31" s="701"/>
    </row>
    <row r="32" spans="1:19" ht="16.5" customHeight="1">
      <c r="A32" s="299">
        <v>4</v>
      </c>
      <c r="B32" s="759" t="str">
        <f>'ANEXO (4)'!$D$7</f>
        <v>Producción de cacao año 4</v>
      </c>
      <c r="C32" s="760"/>
      <c r="D32" s="284"/>
      <c r="E32" s="761">
        <f>'C1-PRODN'!$J$18*'C4-CRON'!E23</f>
        <v>0</v>
      </c>
      <c r="F32" s="761">
        <f>'C1-PRODN'!$J$18*'C4-CRON'!F23</f>
        <v>0</v>
      </c>
      <c r="G32" s="761">
        <f>'C1-PRODN'!$J$18*'C4-CRON'!G23</f>
        <v>0</v>
      </c>
      <c r="H32" s="761">
        <f>'C1-PRODN'!$J$18*'C4-CRON'!H23</f>
        <v>0</v>
      </c>
      <c r="I32" s="761">
        <f>'C1-PRODN'!$J$18*'C4-CRON'!I23</f>
        <v>0</v>
      </c>
      <c r="J32" s="761">
        <f>'C1-PRODN'!$J$18*'C4-CRON'!J23</f>
        <v>0</v>
      </c>
      <c r="K32" s="761">
        <f>'C1-PRODN'!$J$18*'C4-CRON'!K23</f>
        <v>0</v>
      </c>
      <c r="L32" s="761">
        <f>'C1-PRODN'!$J$18*'C4-CRON'!L23</f>
        <v>0</v>
      </c>
      <c r="M32" s="761">
        <f>'C1-PRODN'!$J$18*'C4-CRON'!M23</f>
        <v>0</v>
      </c>
      <c r="N32" s="761">
        <f>'C1-PRODN'!$J$18*'C4-CRON'!N23</f>
        <v>0</v>
      </c>
      <c r="O32" s="761">
        <f>'C1-PRODN'!$J$18*'C4-CRON'!O23</f>
        <v>0</v>
      </c>
      <c r="P32" s="762">
        <f>'C1-PRODN'!$J$18*'C4-CRON'!P23</f>
        <v>0</v>
      </c>
      <c r="Q32" s="758">
        <f t="shared" si="2"/>
        <v>0</v>
      </c>
      <c r="R32" s="701"/>
      <c r="S32" s="701"/>
    </row>
    <row r="33" spans="1:19" ht="16.5" customHeight="1">
      <c r="A33" s="299">
        <v>5</v>
      </c>
      <c r="B33" s="759" t="str">
        <f>'ANEXO (5)'!$D$7</f>
        <v>Producción de cacao ano 5</v>
      </c>
      <c r="C33" s="760"/>
      <c r="D33" s="284"/>
      <c r="E33" s="761">
        <f>'C1-PRODN'!$K$18*'C4-CRON'!E26</f>
        <v>0</v>
      </c>
      <c r="F33" s="761">
        <f>'C1-PRODN'!$K$18*'C4-CRON'!F26</f>
        <v>0</v>
      </c>
      <c r="G33" s="761">
        <f>'C1-PRODN'!$K$18*'C4-CRON'!G26</f>
        <v>0</v>
      </c>
      <c r="H33" s="761">
        <f>'C1-PRODN'!$K$18*'C4-CRON'!H26</f>
        <v>0</v>
      </c>
      <c r="I33" s="761">
        <f>'C1-PRODN'!$K$18*'C4-CRON'!I26</f>
        <v>0</v>
      </c>
      <c r="J33" s="761">
        <f>'C1-PRODN'!$K$18*'C4-CRON'!J26</f>
        <v>0</v>
      </c>
      <c r="K33" s="761">
        <f>'C1-PRODN'!$K$18*'C4-CRON'!K26</f>
        <v>0</v>
      </c>
      <c r="L33" s="761">
        <f>'C1-PRODN'!$K$18*'C4-CRON'!L26</f>
        <v>0</v>
      </c>
      <c r="M33" s="761">
        <f>'C1-PRODN'!$K$18*'C4-CRON'!M26</f>
        <v>0</v>
      </c>
      <c r="N33" s="761">
        <f>'C1-PRODN'!$K$18*'C4-CRON'!N26</f>
        <v>0</v>
      </c>
      <c r="O33" s="761">
        <f>'C1-PRODN'!$K$18*'C4-CRON'!O26</f>
        <v>0</v>
      </c>
      <c r="P33" s="762">
        <f>'C1-PRODN'!$K$18*'C4-CRON'!P26</f>
        <v>0</v>
      </c>
      <c r="Q33" s="758">
        <f t="shared" si="2"/>
        <v>0</v>
      </c>
      <c r="R33" s="701"/>
      <c r="S33" s="701"/>
    </row>
    <row r="34" spans="1:19" ht="16.5" customHeight="1">
      <c r="A34" s="299">
        <v>6</v>
      </c>
      <c r="B34" s="759">
        <f>'ANEXO (6)'!$D$7</f>
        <v>0</v>
      </c>
      <c r="C34" s="760"/>
      <c r="D34" s="284"/>
      <c r="E34" s="761">
        <f>'C1-PRODN'!$L$18*'C4-CRON'!E29</f>
        <v>0</v>
      </c>
      <c r="F34" s="761">
        <f>'C1-PRODN'!$L$18*'C4-CRON'!F29</f>
        <v>0</v>
      </c>
      <c r="G34" s="761">
        <f>'C1-PRODN'!$L$18*'C4-CRON'!G29</f>
        <v>0</v>
      </c>
      <c r="H34" s="761">
        <f>'C1-PRODN'!$L$18*'C4-CRON'!H29</f>
        <v>0</v>
      </c>
      <c r="I34" s="761">
        <f>'C1-PRODN'!$L$18*'C4-CRON'!I29</f>
        <v>0</v>
      </c>
      <c r="J34" s="761">
        <f>'C1-PRODN'!$L$18*'C4-CRON'!J29</f>
        <v>0</v>
      </c>
      <c r="K34" s="761">
        <f>'C1-PRODN'!$L$18*'C4-CRON'!K29</f>
        <v>0</v>
      </c>
      <c r="L34" s="761">
        <f>'C1-PRODN'!$L$18*'C4-CRON'!L29</f>
        <v>0</v>
      </c>
      <c r="M34" s="761">
        <f>'C1-PRODN'!$L$18*'C4-CRON'!M29</f>
        <v>0</v>
      </c>
      <c r="N34" s="761">
        <f>'C1-PRODN'!$L$18*'C4-CRON'!N29</f>
        <v>0</v>
      </c>
      <c r="O34" s="761">
        <f>'C1-PRODN'!$L$18*'C4-CRON'!O29</f>
        <v>0</v>
      </c>
      <c r="P34" s="762">
        <f>'C1-PRODN'!$L$18*'C4-CRON'!P29</f>
        <v>0</v>
      </c>
      <c r="Q34" s="758">
        <f t="shared" si="2"/>
        <v>0</v>
      </c>
      <c r="R34" s="701"/>
      <c r="S34" s="701"/>
    </row>
    <row r="35" spans="1:19" ht="16.5" customHeight="1">
      <c r="A35" s="299">
        <v>7</v>
      </c>
      <c r="B35" s="759">
        <f>'ANEXO (7)'!$D$7</f>
        <v>0</v>
      </c>
      <c r="C35" s="760"/>
      <c r="D35" s="284"/>
      <c r="E35" s="761">
        <f>'C1-PRODN'!$M$18*'C4-CRON'!E32</f>
        <v>0</v>
      </c>
      <c r="F35" s="761">
        <f>'C1-PRODN'!$M$18*'C4-CRON'!F32</f>
        <v>0</v>
      </c>
      <c r="G35" s="761">
        <f>'C1-PRODN'!$M$18*'C4-CRON'!G32</f>
        <v>0</v>
      </c>
      <c r="H35" s="761">
        <f>'C1-PRODN'!$M$18*'C4-CRON'!H32</f>
        <v>0</v>
      </c>
      <c r="I35" s="761">
        <f>'C1-PRODN'!$M$18*'C4-CRON'!I32</f>
        <v>0</v>
      </c>
      <c r="J35" s="761">
        <f>'C1-PRODN'!$M$18*'C4-CRON'!J32</f>
        <v>0</v>
      </c>
      <c r="K35" s="761">
        <f>'C1-PRODN'!$M$18*'C4-CRON'!K32</f>
        <v>0</v>
      </c>
      <c r="L35" s="761">
        <f>'C1-PRODN'!$M$18*'C4-CRON'!L32</f>
        <v>0</v>
      </c>
      <c r="M35" s="761">
        <f>'C1-PRODN'!$M$18*'C4-CRON'!M32</f>
        <v>0</v>
      </c>
      <c r="N35" s="761">
        <f>'C1-PRODN'!$M$18*'C4-CRON'!N32</f>
        <v>0</v>
      </c>
      <c r="O35" s="761">
        <f>'C1-PRODN'!$M$18*'C4-CRON'!O32</f>
        <v>0</v>
      </c>
      <c r="P35" s="762">
        <f>'C1-PRODN'!$M$18*'C4-CRON'!P32</f>
        <v>0</v>
      </c>
      <c r="Q35" s="758">
        <f t="shared" si="2"/>
        <v>0</v>
      </c>
      <c r="R35" s="701"/>
      <c r="S35" s="701"/>
    </row>
    <row r="36" spans="1:19" ht="16.5" customHeight="1">
      <c r="A36" s="299">
        <v>8</v>
      </c>
      <c r="B36" s="776">
        <f>'ANEXO (8)'!$D$7</f>
        <v>0</v>
      </c>
      <c r="C36" s="760"/>
      <c r="D36" s="284"/>
      <c r="E36" s="761">
        <f>'C1-PRODN'!$N$18*'C4-CRON'!E35</f>
        <v>0</v>
      </c>
      <c r="F36" s="761">
        <f>'C1-PRODN'!$N$18*'C4-CRON'!F35</f>
        <v>0</v>
      </c>
      <c r="G36" s="761">
        <f>'C1-PRODN'!$N$18*'C4-CRON'!G35</f>
        <v>0</v>
      </c>
      <c r="H36" s="761">
        <f>'C1-PRODN'!$N$18*'C4-CRON'!H35</f>
        <v>0</v>
      </c>
      <c r="I36" s="761">
        <f>'C1-PRODN'!$N$18*'C4-CRON'!I35</f>
        <v>0</v>
      </c>
      <c r="J36" s="761">
        <f>'C1-PRODN'!$N$18*'C4-CRON'!J35</f>
        <v>0</v>
      </c>
      <c r="K36" s="761">
        <f>'C1-PRODN'!$N$18*'C4-CRON'!K35</f>
        <v>0</v>
      </c>
      <c r="L36" s="761">
        <f>'C1-PRODN'!$N$18*'C4-CRON'!L35</f>
        <v>0</v>
      </c>
      <c r="M36" s="761">
        <f>'C1-PRODN'!$N$18*'C4-CRON'!M35</f>
        <v>0</v>
      </c>
      <c r="N36" s="761">
        <f>'C1-PRODN'!$N$18*'C4-CRON'!N35</f>
        <v>0</v>
      </c>
      <c r="O36" s="761">
        <f>'C1-PRODN'!$N$18*'C4-CRON'!O35</f>
        <v>0</v>
      </c>
      <c r="P36" s="762">
        <f>'C1-PRODN'!$N$18*'C4-CRON'!P35</f>
        <v>0</v>
      </c>
      <c r="Q36" s="758">
        <f t="shared" si="2"/>
        <v>0</v>
      </c>
      <c r="R36" s="701"/>
      <c r="S36" s="701"/>
    </row>
    <row r="37" spans="1:19" ht="16.5" customHeight="1">
      <c r="A37" s="299">
        <v>9</v>
      </c>
      <c r="B37" s="776">
        <f>'ANEXO (9)'!$D$7</f>
        <v>0</v>
      </c>
      <c r="C37" s="760"/>
      <c r="D37" s="284"/>
      <c r="E37" s="761">
        <f>'C1-PRODN'!$O$18*'C4-CRON'!E38</f>
        <v>0</v>
      </c>
      <c r="F37" s="761">
        <f>'C1-PRODN'!$O$18*'C4-CRON'!F38</f>
        <v>0</v>
      </c>
      <c r="G37" s="761">
        <f>'C1-PRODN'!$O$18*'C4-CRON'!G38</f>
        <v>0</v>
      </c>
      <c r="H37" s="761">
        <f>'C1-PRODN'!$O$18*'C4-CRON'!H38</f>
        <v>0</v>
      </c>
      <c r="I37" s="761">
        <f>'C1-PRODN'!$O$18*'C4-CRON'!I38</f>
        <v>0</v>
      </c>
      <c r="J37" s="761">
        <f>'C1-PRODN'!$O$18*'C4-CRON'!J38</f>
        <v>0</v>
      </c>
      <c r="K37" s="761">
        <f>'C1-PRODN'!$O$18*'C4-CRON'!K38</f>
        <v>0</v>
      </c>
      <c r="L37" s="761">
        <f>'C1-PRODN'!$O$18*'C4-CRON'!L38</f>
        <v>0</v>
      </c>
      <c r="M37" s="761">
        <f>'C1-PRODN'!$O$18*'C4-CRON'!M38</f>
        <v>0</v>
      </c>
      <c r="N37" s="761">
        <f>'C1-PRODN'!$O$18*'C4-CRON'!N38</f>
        <v>0</v>
      </c>
      <c r="O37" s="761">
        <f>'C1-PRODN'!$O$18*'C4-CRON'!O38</f>
        <v>0</v>
      </c>
      <c r="P37" s="762">
        <f>'C1-PRODN'!$O$18*'C4-CRON'!P38</f>
        <v>0</v>
      </c>
      <c r="Q37" s="758">
        <f t="shared" si="2"/>
        <v>0</v>
      </c>
      <c r="R37" s="701"/>
      <c r="S37" s="701"/>
    </row>
    <row r="38" spans="1:19" ht="16.5" customHeight="1">
      <c r="A38" s="299">
        <v>10</v>
      </c>
      <c r="B38" s="759">
        <f>'ANEXO (10)'!$D$7</f>
        <v>0</v>
      </c>
      <c r="C38" s="760"/>
      <c r="D38" s="284"/>
      <c r="E38" s="761">
        <f>'C1-PRODN'!$P$18*'C4-CRON'!E41</f>
        <v>0</v>
      </c>
      <c r="F38" s="761">
        <f>'C1-PRODN'!$P$18*'C4-CRON'!F41</f>
        <v>0</v>
      </c>
      <c r="G38" s="761">
        <f>'C1-PRODN'!$P$18*'C4-CRON'!G41</f>
        <v>0</v>
      </c>
      <c r="H38" s="761">
        <f>'C1-PRODN'!$P$18*'C4-CRON'!H41</f>
        <v>0</v>
      </c>
      <c r="I38" s="761">
        <f>'C1-PRODN'!$P$18*'C4-CRON'!I41</f>
        <v>0</v>
      </c>
      <c r="J38" s="761">
        <f>'C1-PRODN'!$P$18*'C4-CRON'!J41</f>
        <v>0</v>
      </c>
      <c r="K38" s="761">
        <f>'C1-PRODN'!$P$18*'C4-CRON'!K41</f>
        <v>0</v>
      </c>
      <c r="L38" s="761">
        <f>'C1-PRODN'!$P$18*'C4-CRON'!L41</f>
        <v>0</v>
      </c>
      <c r="M38" s="761">
        <f>'C1-PRODN'!$P$18*'C4-CRON'!M41</f>
        <v>0</v>
      </c>
      <c r="N38" s="761">
        <f>'C1-PRODN'!$P$18*'C4-CRON'!N41</f>
        <v>0</v>
      </c>
      <c r="O38" s="761">
        <f>'C1-PRODN'!$P$18*'C4-CRON'!O41</f>
        <v>0</v>
      </c>
      <c r="P38" s="762">
        <f>'C1-PRODN'!$P$18*'C4-CRON'!P41</f>
        <v>0</v>
      </c>
      <c r="Q38" s="758">
        <f t="shared" si="2"/>
        <v>0</v>
      </c>
      <c r="R38" s="701"/>
      <c r="S38" s="701"/>
    </row>
    <row r="39" spans="1:19" ht="16.5" customHeight="1">
      <c r="A39" s="298"/>
      <c r="B39" s="286" t="s">
        <v>202</v>
      </c>
      <c r="C39" s="147"/>
      <c r="D39" s="290"/>
      <c r="E39" s="764">
        <f>SUM(E29:E38)</f>
        <v>23595.1086</v>
      </c>
      <c r="F39" s="764">
        <f aca="true" t="shared" si="3" ref="F39:P39">SUM(F29:F38)</f>
        <v>23595.1086</v>
      </c>
      <c r="G39" s="764">
        <f t="shared" si="3"/>
        <v>1179.75543</v>
      </c>
      <c r="H39" s="764">
        <f t="shared" si="3"/>
        <v>1179.75543</v>
      </c>
      <c r="I39" s="764">
        <f t="shared" si="3"/>
        <v>1179.75543</v>
      </c>
      <c r="J39" s="764">
        <f t="shared" si="3"/>
        <v>1179.75543</v>
      </c>
      <c r="K39" s="764">
        <f t="shared" si="3"/>
        <v>1179.75543</v>
      </c>
      <c r="L39" s="764">
        <f t="shared" si="3"/>
        <v>1179.75543</v>
      </c>
      <c r="M39" s="764">
        <f t="shared" si="3"/>
        <v>1179.75543</v>
      </c>
      <c r="N39" s="764">
        <f t="shared" si="3"/>
        <v>1179.75543</v>
      </c>
      <c r="O39" s="764">
        <f t="shared" si="3"/>
        <v>1179.75543</v>
      </c>
      <c r="P39" s="765">
        <f t="shared" si="3"/>
        <v>1179.75543</v>
      </c>
      <c r="Q39" s="766">
        <f>SUM(Q29:Q38)</f>
        <v>58987.77149999997</v>
      </c>
      <c r="R39" s="701"/>
      <c r="S39" s="701"/>
    </row>
    <row r="40" spans="1:19" ht="6.75" customHeight="1" thickBot="1">
      <c r="A40" s="741"/>
      <c r="B40" s="777"/>
      <c r="C40" s="716"/>
      <c r="D40" s="767"/>
      <c r="E40" s="778"/>
      <c r="F40" s="778"/>
      <c r="G40" s="778"/>
      <c r="H40" s="778"/>
      <c r="I40" s="778"/>
      <c r="J40" s="778"/>
      <c r="K40" s="778"/>
      <c r="L40" s="778"/>
      <c r="M40" s="778"/>
      <c r="N40" s="778"/>
      <c r="O40" s="778"/>
      <c r="P40" s="779"/>
      <c r="Q40" s="780"/>
      <c r="R40" s="701"/>
      <c r="S40" s="701"/>
    </row>
    <row r="41" spans="1:19" ht="4.5" customHeight="1">
      <c r="A41" s="298"/>
      <c r="B41" s="147"/>
      <c r="C41" s="147"/>
      <c r="D41" s="290"/>
      <c r="E41" s="772"/>
      <c r="F41" s="772"/>
      <c r="G41" s="772"/>
      <c r="H41" s="772"/>
      <c r="I41" s="772"/>
      <c r="J41" s="772"/>
      <c r="K41" s="772"/>
      <c r="L41" s="772"/>
      <c r="M41" s="772"/>
      <c r="N41" s="772"/>
      <c r="O41" s="772"/>
      <c r="P41" s="773"/>
      <c r="Q41" s="774"/>
      <c r="R41" s="701"/>
      <c r="S41" s="701"/>
    </row>
    <row r="42" spans="1:19" ht="15" customHeight="1">
      <c r="A42" s="743"/>
      <c r="B42" s="286" t="s">
        <v>203</v>
      </c>
      <c r="C42" s="147"/>
      <c r="D42" s="290"/>
      <c r="E42" s="781">
        <f>'C2-INV'!T70/12</f>
        <v>67</v>
      </c>
      <c r="F42" s="781">
        <f>+E42</f>
        <v>67</v>
      </c>
      <c r="G42" s="781">
        <f aca="true" t="shared" si="4" ref="G42:P42">+F42</f>
        <v>67</v>
      </c>
      <c r="H42" s="781">
        <f t="shared" si="4"/>
        <v>67</v>
      </c>
      <c r="I42" s="781">
        <f t="shared" si="4"/>
        <v>67</v>
      </c>
      <c r="J42" s="781">
        <f t="shared" si="4"/>
        <v>67</v>
      </c>
      <c r="K42" s="781">
        <f t="shared" si="4"/>
        <v>67</v>
      </c>
      <c r="L42" s="781">
        <f t="shared" si="4"/>
        <v>67</v>
      </c>
      <c r="M42" s="781">
        <f t="shared" si="4"/>
        <v>67</v>
      </c>
      <c r="N42" s="781">
        <f t="shared" si="4"/>
        <v>67</v>
      </c>
      <c r="O42" s="781">
        <f t="shared" si="4"/>
        <v>67</v>
      </c>
      <c r="P42" s="782">
        <f t="shared" si="4"/>
        <v>67</v>
      </c>
      <c r="Q42" s="766">
        <f>SUM(E42:P42)</f>
        <v>804</v>
      </c>
      <c r="R42" s="701"/>
      <c r="S42" s="701"/>
    </row>
    <row r="43" spans="1:19" ht="4.5" customHeight="1" thickBot="1">
      <c r="A43" s="783"/>
      <c r="B43" s="716"/>
      <c r="C43" s="716"/>
      <c r="D43" s="767"/>
      <c r="E43" s="784"/>
      <c r="F43" s="784"/>
      <c r="G43" s="784"/>
      <c r="H43" s="784"/>
      <c r="I43" s="784"/>
      <c r="J43" s="784"/>
      <c r="K43" s="784"/>
      <c r="L43" s="784"/>
      <c r="M43" s="784"/>
      <c r="N43" s="784"/>
      <c r="O43" s="784"/>
      <c r="P43" s="785"/>
      <c r="Q43" s="780"/>
      <c r="R43" s="701"/>
      <c r="S43" s="701"/>
    </row>
    <row r="44" spans="1:19" ht="3.75" customHeight="1">
      <c r="A44" s="743"/>
      <c r="B44" s="147"/>
      <c r="C44" s="147"/>
      <c r="D44" s="290"/>
      <c r="E44" s="772"/>
      <c r="F44" s="772"/>
      <c r="G44" s="772"/>
      <c r="H44" s="772"/>
      <c r="I44" s="772"/>
      <c r="J44" s="772"/>
      <c r="K44" s="772"/>
      <c r="L44" s="772"/>
      <c r="M44" s="772"/>
      <c r="N44" s="772"/>
      <c r="O44" s="772"/>
      <c r="P44" s="773"/>
      <c r="Q44" s="786"/>
      <c r="R44" s="701"/>
      <c r="S44" s="701"/>
    </row>
    <row r="45" spans="1:19" ht="14.25" customHeight="1">
      <c r="A45" s="743"/>
      <c r="B45" s="787" t="s">
        <v>204</v>
      </c>
      <c r="C45" s="147"/>
      <c r="D45" s="290"/>
      <c r="E45" s="781">
        <f>'C3-COST'!K40/12</f>
        <v>150</v>
      </c>
      <c r="F45" s="781">
        <f aca="true" t="shared" si="5" ref="F45:P45">E45</f>
        <v>150</v>
      </c>
      <c r="G45" s="781">
        <f t="shared" si="5"/>
        <v>150</v>
      </c>
      <c r="H45" s="781">
        <f t="shared" si="5"/>
        <v>150</v>
      </c>
      <c r="I45" s="781">
        <f t="shared" si="5"/>
        <v>150</v>
      </c>
      <c r="J45" s="781">
        <f t="shared" si="5"/>
        <v>150</v>
      </c>
      <c r="K45" s="781">
        <f t="shared" si="5"/>
        <v>150</v>
      </c>
      <c r="L45" s="781">
        <f t="shared" si="5"/>
        <v>150</v>
      </c>
      <c r="M45" s="781">
        <f t="shared" si="5"/>
        <v>150</v>
      </c>
      <c r="N45" s="781">
        <f t="shared" si="5"/>
        <v>150</v>
      </c>
      <c r="O45" s="781">
        <f t="shared" si="5"/>
        <v>150</v>
      </c>
      <c r="P45" s="782">
        <f t="shared" si="5"/>
        <v>150</v>
      </c>
      <c r="Q45" s="766">
        <f>SUM(E45:P45)</f>
        <v>1800</v>
      </c>
      <c r="R45" s="701"/>
      <c r="S45" s="701"/>
    </row>
    <row r="46" spans="1:19" ht="3.75" customHeight="1" thickBot="1">
      <c r="A46" s="783"/>
      <c r="B46" s="716"/>
      <c r="C46" s="716"/>
      <c r="D46" s="767"/>
      <c r="E46" s="784"/>
      <c r="F46" s="784"/>
      <c r="G46" s="784"/>
      <c r="H46" s="784"/>
      <c r="I46" s="784"/>
      <c r="J46" s="784"/>
      <c r="K46" s="784"/>
      <c r="L46" s="784"/>
      <c r="M46" s="784"/>
      <c r="N46" s="784"/>
      <c r="O46" s="784"/>
      <c r="P46" s="785"/>
      <c r="Q46" s="770"/>
      <c r="R46" s="701"/>
      <c r="S46" s="701"/>
    </row>
    <row r="47" spans="1:19" ht="3.75" customHeight="1">
      <c r="A47" s="743"/>
      <c r="B47" s="147"/>
      <c r="C47" s="147"/>
      <c r="D47" s="290"/>
      <c r="E47" s="772"/>
      <c r="F47" s="772"/>
      <c r="G47" s="772"/>
      <c r="H47" s="772"/>
      <c r="I47" s="772"/>
      <c r="J47" s="772"/>
      <c r="K47" s="772"/>
      <c r="L47" s="772"/>
      <c r="M47" s="772"/>
      <c r="N47" s="772"/>
      <c r="O47" s="772"/>
      <c r="P47" s="773"/>
      <c r="Q47" s="786"/>
      <c r="R47" s="701"/>
      <c r="S47" s="701"/>
    </row>
    <row r="48" spans="1:19" ht="13.5" customHeight="1">
      <c r="A48" s="743"/>
      <c r="B48" s="694" t="s">
        <v>180</v>
      </c>
      <c r="C48" s="147"/>
      <c r="D48" s="290"/>
      <c r="E48" s="597"/>
      <c r="F48" s="597"/>
      <c r="G48" s="597"/>
      <c r="H48" s="597"/>
      <c r="I48" s="597"/>
      <c r="J48" s="597"/>
      <c r="K48" s="597"/>
      <c r="L48" s="597"/>
      <c r="M48" s="597"/>
      <c r="N48" s="597"/>
      <c r="O48" s="597"/>
      <c r="P48" s="598"/>
      <c r="Q48" s="766">
        <f>SUM(E48:P48)</f>
        <v>0</v>
      </c>
      <c r="R48" s="701"/>
      <c r="S48" s="701"/>
    </row>
    <row r="49" spans="1:19" ht="3.75" customHeight="1">
      <c r="A49" s="743"/>
      <c r="B49" s="147"/>
      <c r="C49" s="147"/>
      <c r="D49" s="290"/>
      <c r="E49" s="788"/>
      <c r="F49" s="788"/>
      <c r="G49" s="788"/>
      <c r="H49" s="788"/>
      <c r="I49" s="788"/>
      <c r="J49" s="788"/>
      <c r="K49" s="788"/>
      <c r="L49" s="788"/>
      <c r="M49" s="788"/>
      <c r="N49" s="788"/>
      <c r="O49" s="788"/>
      <c r="P49" s="789"/>
      <c r="Q49" s="774"/>
      <c r="R49" s="701"/>
      <c r="S49" s="701"/>
    </row>
    <row r="50" spans="1:19" ht="3.75" customHeight="1" thickBot="1">
      <c r="A50" s="783"/>
      <c r="B50" s="716"/>
      <c r="C50" s="716"/>
      <c r="D50" s="767"/>
      <c r="E50" s="784"/>
      <c r="F50" s="784"/>
      <c r="G50" s="784"/>
      <c r="H50" s="784"/>
      <c r="I50" s="784"/>
      <c r="J50" s="784"/>
      <c r="K50" s="784"/>
      <c r="L50" s="784"/>
      <c r="M50" s="784"/>
      <c r="N50" s="784"/>
      <c r="O50" s="784"/>
      <c r="P50" s="785"/>
      <c r="Q50" s="770"/>
      <c r="R50" s="701"/>
      <c r="S50" s="701"/>
    </row>
    <row r="51" spans="1:19" ht="17.25" customHeight="1">
      <c r="A51" s="790" t="s">
        <v>205</v>
      </c>
      <c r="B51" s="286"/>
      <c r="C51" s="147"/>
      <c r="D51" s="290"/>
      <c r="E51" s="764">
        <f>+E39+E42+E45+E48</f>
        <v>23812.1086</v>
      </c>
      <c r="F51" s="764">
        <f aca="true" t="shared" si="6" ref="F51:Q51">+F39+F42+F45+F48</f>
        <v>23812.1086</v>
      </c>
      <c r="G51" s="764">
        <f t="shared" si="6"/>
        <v>1396.75543</v>
      </c>
      <c r="H51" s="764">
        <f t="shared" si="6"/>
        <v>1396.75543</v>
      </c>
      <c r="I51" s="764">
        <f t="shared" si="6"/>
        <v>1396.75543</v>
      </c>
      <c r="J51" s="764">
        <f t="shared" si="6"/>
        <v>1396.75543</v>
      </c>
      <c r="K51" s="764">
        <f t="shared" si="6"/>
        <v>1396.75543</v>
      </c>
      <c r="L51" s="764">
        <f t="shared" si="6"/>
        <v>1396.75543</v>
      </c>
      <c r="M51" s="764">
        <f t="shared" si="6"/>
        <v>1396.75543</v>
      </c>
      <c r="N51" s="764">
        <f t="shared" si="6"/>
        <v>1396.75543</v>
      </c>
      <c r="O51" s="764">
        <f t="shared" si="6"/>
        <v>1396.75543</v>
      </c>
      <c r="P51" s="765">
        <f t="shared" si="6"/>
        <v>1396.75543</v>
      </c>
      <c r="Q51" s="766">
        <f t="shared" si="6"/>
        <v>61591.77149999997</v>
      </c>
      <c r="R51" s="701"/>
      <c r="S51" s="701"/>
    </row>
    <row r="52" spans="1:19" ht="4.5" customHeight="1" thickBot="1">
      <c r="A52" s="791"/>
      <c r="B52" s="792"/>
      <c r="C52" s="698"/>
      <c r="D52" s="699"/>
      <c r="E52" s="793"/>
      <c r="F52" s="793"/>
      <c r="G52" s="793"/>
      <c r="H52" s="793"/>
      <c r="I52" s="793"/>
      <c r="J52" s="793"/>
      <c r="K52" s="793"/>
      <c r="L52" s="793"/>
      <c r="M52" s="793"/>
      <c r="N52" s="793"/>
      <c r="O52" s="793"/>
      <c r="P52" s="794"/>
      <c r="Q52" s="795"/>
      <c r="R52" s="701"/>
      <c r="S52" s="701"/>
    </row>
    <row r="53" spans="1:19" ht="6" customHeight="1" thickTop="1">
      <c r="A53" s="298"/>
      <c r="B53" s="147"/>
      <c r="C53" s="147"/>
      <c r="D53" s="290"/>
      <c r="E53" s="772"/>
      <c r="F53" s="772"/>
      <c r="G53" s="772"/>
      <c r="H53" s="772"/>
      <c r="I53" s="772"/>
      <c r="J53" s="772"/>
      <c r="K53" s="772"/>
      <c r="L53" s="772"/>
      <c r="M53" s="772"/>
      <c r="N53" s="772"/>
      <c r="O53" s="772"/>
      <c r="P53" s="773"/>
      <c r="Q53" s="774"/>
      <c r="R53" s="701"/>
      <c r="S53" s="701"/>
    </row>
    <row r="54" spans="1:19" ht="17.25" customHeight="1">
      <c r="A54" s="790" t="s">
        <v>460</v>
      </c>
      <c r="B54" s="147"/>
      <c r="C54" s="147"/>
      <c r="D54" s="796" t="str">
        <f>'C3-COST'!K12</f>
        <v>has</v>
      </c>
      <c r="E54" s="781">
        <f>+E24-E51</f>
        <v>-23812.1086</v>
      </c>
      <c r="F54" s="781">
        <f aca="true" t="shared" si="7" ref="F54:P54">+F24-F51</f>
        <v>-23812.1086</v>
      </c>
      <c r="G54" s="781">
        <f t="shared" si="7"/>
        <v>-1396.75543</v>
      </c>
      <c r="H54" s="781">
        <f t="shared" si="7"/>
        <v>-1396.75543</v>
      </c>
      <c r="I54" s="781">
        <f t="shared" si="7"/>
        <v>-1396.75543</v>
      </c>
      <c r="J54" s="781">
        <f t="shared" si="7"/>
        <v>14042.093430000003</v>
      </c>
      <c r="K54" s="781">
        <f t="shared" si="7"/>
        <v>-1396.75543</v>
      </c>
      <c r="L54" s="781">
        <f t="shared" si="7"/>
        <v>-1396.75543</v>
      </c>
      <c r="M54" s="781">
        <f t="shared" si="7"/>
        <v>-1396.75543</v>
      </c>
      <c r="N54" s="781">
        <f t="shared" si="7"/>
        <v>10409.423110000002</v>
      </c>
      <c r="O54" s="781">
        <f t="shared" si="7"/>
        <v>51276.96421</v>
      </c>
      <c r="P54" s="782">
        <f t="shared" si="7"/>
        <v>9501.25553</v>
      </c>
      <c r="Q54" s="797">
        <f>+Q24-Q51</f>
        <v>29224.986500000028</v>
      </c>
      <c r="R54" s="701"/>
      <c r="S54" s="701"/>
    </row>
    <row r="55" spans="1:19" ht="8.25" customHeight="1" thickBot="1">
      <c r="A55" s="798"/>
      <c r="B55" s="698"/>
      <c r="C55" s="698"/>
      <c r="D55" s="699"/>
      <c r="E55" s="799"/>
      <c r="F55" s="799"/>
      <c r="G55" s="799"/>
      <c r="H55" s="799"/>
      <c r="I55" s="799"/>
      <c r="J55" s="799"/>
      <c r="K55" s="799"/>
      <c r="L55" s="799"/>
      <c r="M55" s="799"/>
      <c r="N55" s="799"/>
      <c r="O55" s="799"/>
      <c r="P55" s="800"/>
      <c r="Q55" s="801"/>
      <c r="R55" s="701"/>
      <c r="S55" s="701"/>
    </row>
    <row r="56" spans="1:19" ht="6" customHeight="1" thickTop="1">
      <c r="A56" s="298"/>
      <c r="B56" s="147"/>
      <c r="C56" s="147"/>
      <c r="D56" s="290"/>
      <c r="E56" s="772"/>
      <c r="F56" s="772"/>
      <c r="G56" s="772"/>
      <c r="H56" s="772"/>
      <c r="I56" s="772"/>
      <c r="J56" s="772"/>
      <c r="K56" s="772"/>
      <c r="L56" s="772"/>
      <c r="M56" s="772"/>
      <c r="N56" s="772"/>
      <c r="O56" s="772"/>
      <c r="P56" s="773"/>
      <c r="Q56" s="774"/>
      <c r="R56" s="701"/>
      <c r="S56" s="701"/>
    </row>
    <row r="57" spans="1:19" ht="17.25" customHeight="1">
      <c r="A57" s="790" t="s">
        <v>461</v>
      </c>
      <c r="B57" s="147"/>
      <c r="C57" s="147"/>
      <c r="D57" s="796">
        <f>'C3-COST'!K15</f>
        <v>1800</v>
      </c>
      <c r="E57" s="781">
        <f>E54</f>
        <v>-23812.1086</v>
      </c>
      <c r="F57" s="781">
        <f>E57+F54</f>
        <v>-47624.2172</v>
      </c>
      <c r="G57" s="781">
        <f aca="true" t="shared" si="8" ref="G57:P57">F57+G54</f>
        <v>-49020.97263</v>
      </c>
      <c r="H57" s="781">
        <f t="shared" si="8"/>
        <v>-50417.728059999994</v>
      </c>
      <c r="I57" s="781">
        <f t="shared" si="8"/>
        <v>-51814.48348999999</v>
      </c>
      <c r="J57" s="781">
        <f t="shared" si="8"/>
        <v>-37772.39005999999</v>
      </c>
      <c r="K57" s="781">
        <f t="shared" si="8"/>
        <v>-39169.14548999999</v>
      </c>
      <c r="L57" s="781">
        <f t="shared" si="8"/>
        <v>-40565.900919999985</v>
      </c>
      <c r="M57" s="781">
        <f t="shared" si="8"/>
        <v>-41962.65634999998</v>
      </c>
      <c r="N57" s="781">
        <f t="shared" si="8"/>
        <v>-31553.23323999998</v>
      </c>
      <c r="O57" s="781">
        <f t="shared" si="8"/>
        <v>19723.73097000002</v>
      </c>
      <c r="P57" s="782">
        <f t="shared" si="8"/>
        <v>29224.98650000002</v>
      </c>
      <c r="Q57" s="797">
        <f>P57</f>
        <v>29224.98650000002</v>
      </c>
      <c r="R57" s="701"/>
      <c r="S57" s="701"/>
    </row>
    <row r="58" spans="1:19" ht="8.25" customHeight="1" thickBot="1">
      <c r="A58" s="798"/>
      <c r="B58" s="698"/>
      <c r="C58" s="698"/>
      <c r="D58" s="699"/>
      <c r="E58" s="799"/>
      <c r="F58" s="799"/>
      <c r="G58" s="799"/>
      <c r="H58" s="799"/>
      <c r="I58" s="799"/>
      <c r="J58" s="799"/>
      <c r="K58" s="799"/>
      <c r="L58" s="799"/>
      <c r="M58" s="799"/>
      <c r="N58" s="799"/>
      <c r="O58" s="799"/>
      <c r="P58" s="800"/>
      <c r="Q58" s="801"/>
      <c r="R58" s="701"/>
      <c r="S58" s="701"/>
    </row>
    <row r="59" spans="1:19" ht="13.5" customHeight="1" thickBot="1" thickTop="1">
      <c r="A59" s="802"/>
      <c r="B59" s="706"/>
      <c r="C59" s="706"/>
      <c r="D59" s="706"/>
      <c r="E59" s="706"/>
      <c r="F59" s="803"/>
      <c r="G59" s="803"/>
      <c r="H59" s="803"/>
      <c r="I59" s="803"/>
      <c r="J59" s="803"/>
      <c r="K59" s="803"/>
      <c r="L59" s="803"/>
      <c r="M59" s="803"/>
      <c r="N59" s="803"/>
      <c r="O59" s="803"/>
      <c r="P59" s="803"/>
      <c r="Q59" s="706"/>
      <c r="R59" s="701"/>
      <c r="S59" s="701"/>
    </row>
    <row r="60" spans="1:19" ht="9" customHeight="1" thickBot="1" thickTop="1">
      <c r="A60" s="804"/>
      <c r="B60" s="147"/>
      <c r="C60" s="147"/>
      <c r="D60" s="147"/>
      <c r="E60" s="147"/>
      <c r="F60" s="130"/>
      <c r="G60" s="130"/>
      <c r="H60" s="130"/>
      <c r="I60" s="130"/>
      <c r="J60" s="130"/>
      <c r="K60" s="130"/>
      <c r="L60" s="130"/>
      <c r="M60" s="130"/>
      <c r="N60" s="130"/>
      <c r="O60" s="130"/>
      <c r="P60" s="130"/>
      <c r="Q60" s="287"/>
      <c r="R60" s="701"/>
      <c r="S60" s="701"/>
    </row>
    <row r="61" spans="1:19" ht="17.25" customHeight="1" thickBot="1">
      <c r="A61" s="804" t="s">
        <v>335</v>
      </c>
      <c r="B61" s="713"/>
      <c r="C61" s="147"/>
      <c r="D61" s="147"/>
      <c r="E61" s="147"/>
      <c r="F61" s="147"/>
      <c r="G61" s="147"/>
      <c r="H61" s="147"/>
      <c r="I61" s="805" t="str">
        <f>D54</f>
        <v>has</v>
      </c>
      <c r="J61" s="662">
        <f>-MIN(E57:P57)</f>
        <v>51814.48348999999</v>
      </c>
      <c r="K61" s="806" t="s">
        <v>206</v>
      </c>
      <c r="L61" s="713"/>
      <c r="M61" s="713"/>
      <c r="N61" s="713"/>
      <c r="O61" s="147"/>
      <c r="P61" s="226"/>
      <c r="Q61" s="287"/>
      <c r="R61" s="701"/>
      <c r="S61" s="701"/>
    </row>
    <row r="62" spans="1:19" ht="4.5" customHeight="1" thickBot="1">
      <c r="A62" s="804"/>
      <c r="B62" s="713"/>
      <c r="C62" s="147"/>
      <c r="D62" s="147"/>
      <c r="E62" s="147"/>
      <c r="F62" s="147"/>
      <c r="G62" s="147"/>
      <c r="H62" s="147"/>
      <c r="I62" s="286"/>
      <c r="J62" s="286"/>
      <c r="K62" s="807"/>
      <c r="L62" s="713"/>
      <c r="M62" s="713"/>
      <c r="N62" s="713"/>
      <c r="O62" s="147"/>
      <c r="P62" s="808"/>
      <c r="Q62" s="287"/>
      <c r="R62" s="701"/>
      <c r="S62" s="701"/>
    </row>
    <row r="63" spans="1:19" ht="17.25" customHeight="1" thickBot="1">
      <c r="A63" s="804"/>
      <c r="B63" s="713"/>
      <c r="C63" s="809" t="s">
        <v>207</v>
      </c>
      <c r="D63" s="713"/>
      <c r="E63" s="147"/>
      <c r="F63" s="147"/>
      <c r="G63" s="147"/>
      <c r="H63" s="147"/>
      <c r="I63" s="286"/>
      <c r="J63" s="286"/>
      <c r="K63" s="227" t="str">
        <f>I61</f>
        <v>has</v>
      </c>
      <c r="L63" s="233"/>
      <c r="M63" s="713"/>
      <c r="N63" s="713"/>
      <c r="O63" s="713"/>
      <c r="P63" s="147"/>
      <c r="Q63" s="810"/>
      <c r="R63" s="701"/>
      <c r="S63" s="701"/>
    </row>
    <row r="64" spans="1:19" ht="11.25" customHeight="1" thickBot="1">
      <c r="A64" s="791"/>
      <c r="B64" s="698"/>
      <c r="C64" s="698"/>
      <c r="D64" s="698"/>
      <c r="E64" s="698"/>
      <c r="F64" s="698"/>
      <c r="G64" s="698"/>
      <c r="H64" s="698"/>
      <c r="I64" s="698"/>
      <c r="J64" s="698"/>
      <c r="K64" s="698"/>
      <c r="L64" s="698"/>
      <c r="M64" s="698"/>
      <c r="N64" s="698"/>
      <c r="O64" s="698"/>
      <c r="P64" s="698"/>
      <c r="Q64" s="738"/>
      <c r="R64" s="701"/>
      <c r="S64" s="701"/>
    </row>
    <row r="65" spans="1:19" ht="13.5" thickTop="1">
      <c r="A65" s="701"/>
      <c r="B65" s="701"/>
      <c r="C65" s="701"/>
      <c r="D65" s="701"/>
      <c r="E65" s="701"/>
      <c r="F65" s="701"/>
      <c r="G65" s="701"/>
      <c r="H65" s="701"/>
      <c r="I65" s="701"/>
      <c r="J65" s="701"/>
      <c r="K65" s="701"/>
      <c r="L65" s="701"/>
      <c r="M65" s="701"/>
      <c r="N65" s="701"/>
      <c r="O65" s="701"/>
      <c r="P65" s="701"/>
      <c r="Q65" s="701"/>
      <c r="R65" s="701"/>
      <c r="S65" s="701"/>
    </row>
    <row r="66" spans="1:19" ht="12.75">
      <c r="A66" s="701"/>
      <c r="B66" s="701"/>
      <c r="C66" s="701"/>
      <c r="D66" s="701"/>
      <c r="E66" s="220">
        <f>IF(E54&gt;0,0,E54)</f>
        <v>-23812.1086</v>
      </c>
      <c r="F66" s="220">
        <f aca="true" t="shared" si="9" ref="F66:P66">IF(F54&gt;0,0,F54)</f>
        <v>-23812.1086</v>
      </c>
      <c r="G66" s="220">
        <f t="shared" si="9"/>
        <v>-1396.75543</v>
      </c>
      <c r="H66" s="220">
        <f t="shared" si="9"/>
        <v>-1396.75543</v>
      </c>
      <c r="I66" s="220">
        <f t="shared" si="9"/>
        <v>-1396.75543</v>
      </c>
      <c r="J66" s="220">
        <f t="shared" si="9"/>
        <v>0</v>
      </c>
      <c r="K66" s="220">
        <f t="shared" si="9"/>
        <v>-1396.75543</v>
      </c>
      <c r="L66" s="220">
        <f t="shared" si="9"/>
        <v>-1396.75543</v>
      </c>
      <c r="M66" s="220">
        <f t="shared" si="9"/>
        <v>-1396.75543</v>
      </c>
      <c r="N66" s="220">
        <f t="shared" si="9"/>
        <v>0</v>
      </c>
      <c r="O66" s="220">
        <f t="shared" si="9"/>
        <v>0</v>
      </c>
      <c r="P66" s="220">
        <f t="shared" si="9"/>
        <v>0</v>
      </c>
      <c r="Q66" s="220"/>
      <c r="R66" s="220">
        <f>SUM(E66:P66)</f>
        <v>-56004.749779999984</v>
      </c>
      <c r="S66" s="701"/>
    </row>
    <row r="67" spans="1:19" ht="12.75">
      <c r="A67" s="701"/>
      <c r="B67" s="701"/>
      <c r="C67" s="701"/>
      <c r="D67" s="701"/>
      <c r="E67" s="701"/>
      <c r="F67" s="701"/>
      <c r="G67" s="701"/>
      <c r="H67" s="701"/>
      <c r="I67" s="701"/>
      <c r="J67" s="701"/>
      <c r="K67" s="701"/>
      <c r="L67" s="701"/>
      <c r="M67" s="701"/>
      <c r="N67" s="701"/>
      <c r="O67" s="701"/>
      <c r="P67" s="701"/>
      <c r="Q67" s="701"/>
      <c r="R67" s="701"/>
      <c r="S67" s="701"/>
    </row>
    <row r="68" spans="1:19" ht="12.75">
      <c r="A68" s="701"/>
      <c r="B68" s="701"/>
      <c r="C68" s="701"/>
      <c r="D68" s="701"/>
      <c r="E68" s="701"/>
      <c r="F68" s="701"/>
      <c r="G68" s="701"/>
      <c r="H68" s="701"/>
      <c r="I68" s="701"/>
      <c r="J68" s="701"/>
      <c r="K68" s="701"/>
      <c r="L68" s="701"/>
      <c r="M68" s="701"/>
      <c r="N68" s="701"/>
      <c r="O68" s="701"/>
      <c r="P68" s="701"/>
      <c r="Q68" s="701"/>
      <c r="R68" s="701"/>
      <c r="S68" s="701"/>
    </row>
    <row r="69" spans="1:19" ht="12.75">
      <c r="A69" s="701"/>
      <c r="B69" s="701"/>
      <c r="C69" s="701"/>
      <c r="D69" s="701"/>
      <c r="E69" s="701"/>
      <c r="F69" s="701"/>
      <c r="G69" s="701"/>
      <c r="H69" s="701"/>
      <c r="I69" s="701"/>
      <c r="J69" s="701"/>
      <c r="K69" s="701"/>
      <c r="L69" s="701"/>
      <c r="M69" s="701"/>
      <c r="N69" s="701"/>
      <c r="O69" s="701"/>
      <c r="P69" s="701"/>
      <c r="Q69" s="701"/>
      <c r="R69" s="701"/>
      <c r="S69" s="701"/>
    </row>
  </sheetData>
  <sheetProtection sheet="1" objects="1" scenarios="1"/>
  <mergeCells count="2">
    <mergeCell ref="H1:J1"/>
    <mergeCell ref="H6:J6"/>
  </mergeCells>
  <printOptions horizontalCentered="1"/>
  <pageMargins left="0.3937007874015748" right="0.3937007874015748" top="0.3937007874015748" bottom="0.3937007874015748" header="0.11811023622047245" footer="0.11811023622047245"/>
  <pageSetup fitToHeight="1" fitToWidth="1" horizontalDpi="600" verticalDpi="600" orientation="landscape" scale="74"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N52"/>
  <sheetViews>
    <sheetView showGridLines="0" zoomScale="75" zoomScaleNormal="75" workbookViewId="0" topLeftCell="A5">
      <selection activeCell="H9" sqref="H9"/>
    </sheetView>
  </sheetViews>
  <sheetFormatPr defaultColWidth="11.421875" defaultRowHeight="12.75"/>
  <cols>
    <col min="1" max="1" width="7.57421875" style="0" customWidth="1"/>
    <col min="2" max="2" width="9.57421875" style="0" customWidth="1"/>
    <col min="3" max="3" width="9.421875" style="0" customWidth="1"/>
    <col min="4" max="4" width="3.28125" style="0" customWidth="1"/>
    <col min="5" max="5" width="13.57421875" style="0" customWidth="1"/>
    <col min="6" max="6" width="12.140625" style="0" customWidth="1"/>
    <col min="7" max="7" width="14.28125" style="0" customWidth="1"/>
    <col min="8" max="8" width="12.28125" style="0" customWidth="1"/>
    <col min="9" max="9" width="11.00390625" style="0" customWidth="1"/>
    <col min="10" max="10" width="10.8515625" style="0" customWidth="1"/>
    <col min="11" max="11" width="12.421875" style="0" customWidth="1"/>
    <col min="12" max="12" width="11.28125" style="0" customWidth="1"/>
    <col min="13" max="14" width="11.8515625" style="0" customWidth="1"/>
    <col min="15" max="16384" width="8.8515625" style="0" customWidth="1"/>
  </cols>
  <sheetData>
    <row r="1" spans="1:14" ht="17.25" thickBot="1" thickTop="1">
      <c r="A1" s="920" t="s">
        <v>541</v>
      </c>
      <c r="B1" s="700"/>
      <c r="C1" s="173"/>
      <c r="D1" s="173"/>
      <c r="E1" s="173"/>
      <c r="F1" s="176"/>
      <c r="G1" s="964" t="s">
        <v>471</v>
      </c>
      <c r="H1" s="965"/>
      <c r="I1" s="966"/>
      <c r="J1" s="176"/>
      <c r="K1" s="176"/>
      <c r="L1" s="444" t="s">
        <v>208</v>
      </c>
      <c r="M1" s="176"/>
      <c r="N1" s="176"/>
    </row>
    <row r="2" spans="1:14" ht="12.75" customHeight="1" thickBot="1" thickTop="1">
      <c r="A2" s="176"/>
      <c r="B2" s="176"/>
      <c r="C2" s="176"/>
      <c r="D2" s="176"/>
      <c r="E2" s="176"/>
      <c r="F2" s="176"/>
      <c r="G2" s="176"/>
      <c r="H2" s="176"/>
      <c r="I2" s="176"/>
      <c r="J2" s="176"/>
      <c r="K2" s="176"/>
      <c r="L2" s="176"/>
      <c r="M2" s="176"/>
      <c r="N2" s="176"/>
    </row>
    <row r="3" spans="1:14" ht="3.75" customHeight="1" thickTop="1">
      <c r="A3" s="191"/>
      <c r="B3" s="192"/>
      <c r="C3" s="192"/>
      <c r="D3" s="192"/>
      <c r="E3" s="192"/>
      <c r="F3" s="192"/>
      <c r="G3" s="192"/>
      <c r="H3" s="192"/>
      <c r="I3" s="192"/>
      <c r="J3" s="192"/>
      <c r="K3" s="192"/>
      <c r="L3" s="193"/>
      <c r="M3" s="176"/>
      <c r="N3" s="176"/>
    </row>
    <row r="4" spans="1:14" ht="18.75" customHeight="1">
      <c r="A4" s="194"/>
      <c r="B4" s="178" t="s">
        <v>209</v>
      </c>
      <c r="C4" s="173"/>
      <c r="D4" s="173"/>
      <c r="E4" s="173"/>
      <c r="F4" s="173"/>
      <c r="G4" s="195" t="s">
        <v>210</v>
      </c>
      <c r="H4" s="173"/>
      <c r="I4" s="173"/>
      <c r="J4" s="173"/>
      <c r="K4" s="173"/>
      <c r="L4" s="196"/>
      <c r="M4" s="176"/>
      <c r="N4" s="176"/>
    </row>
    <row r="5" spans="1:14" ht="4.5" customHeight="1">
      <c r="A5" s="194"/>
      <c r="B5" s="173"/>
      <c r="C5" s="173"/>
      <c r="D5" s="173"/>
      <c r="E5" s="173"/>
      <c r="F5" s="173"/>
      <c r="G5" s="173"/>
      <c r="H5" s="173"/>
      <c r="I5" s="173"/>
      <c r="J5" s="173"/>
      <c r="K5" s="173"/>
      <c r="L5" s="196"/>
      <c r="M5" s="176"/>
      <c r="N5" s="176"/>
    </row>
    <row r="6" spans="1:14" ht="4.5" customHeight="1" thickBot="1">
      <c r="A6" s="190"/>
      <c r="B6" s="180"/>
      <c r="C6" s="180"/>
      <c r="D6" s="180"/>
      <c r="E6" s="180"/>
      <c r="F6" s="180"/>
      <c r="G6" s="180"/>
      <c r="H6" s="180"/>
      <c r="I6" s="180"/>
      <c r="J6" s="180"/>
      <c r="K6" s="180"/>
      <c r="L6" s="196"/>
      <c r="M6" s="176"/>
      <c r="N6" s="176"/>
    </row>
    <row r="7" spans="1:14" ht="3.75" customHeight="1" thickTop="1">
      <c r="A7" s="3"/>
      <c r="B7" s="4"/>
      <c r="C7" s="4"/>
      <c r="D7" s="4"/>
      <c r="E7" s="5"/>
      <c r="F7" s="116"/>
      <c r="G7" s="116"/>
      <c r="H7" s="8"/>
      <c r="I7" s="116"/>
      <c r="J7" s="4"/>
      <c r="K7" s="4"/>
      <c r="L7" s="5"/>
      <c r="M7" s="176"/>
      <c r="N7" s="176"/>
    </row>
    <row r="8" spans="1:14" ht="12.75">
      <c r="A8" s="17"/>
      <c r="B8" s="15"/>
      <c r="C8" s="15"/>
      <c r="D8" s="15"/>
      <c r="E8" s="117"/>
      <c r="F8" s="61" t="s">
        <v>211</v>
      </c>
      <c r="G8" s="61" t="s">
        <v>212</v>
      </c>
      <c r="H8" s="28" t="s">
        <v>213</v>
      </c>
      <c r="I8" s="118"/>
      <c r="J8" s="62" t="s">
        <v>214</v>
      </c>
      <c r="K8" s="67"/>
      <c r="L8" s="121"/>
      <c r="M8" s="176"/>
      <c r="N8" s="176"/>
    </row>
    <row r="9" spans="1:14" ht="12.75">
      <c r="A9" s="17"/>
      <c r="B9" s="15" t="s">
        <v>215</v>
      </c>
      <c r="C9" s="15"/>
      <c r="D9" s="15"/>
      <c r="E9" s="117"/>
      <c r="F9" s="64"/>
      <c r="G9" s="61" t="s">
        <v>216</v>
      </c>
      <c r="H9" s="67" t="s">
        <v>217</v>
      </c>
      <c r="I9" s="136"/>
      <c r="J9" s="61" t="s">
        <v>218</v>
      </c>
      <c r="K9" s="61" t="s">
        <v>219</v>
      </c>
      <c r="L9" s="65" t="s">
        <v>220</v>
      </c>
      <c r="M9" s="176"/>
      <c r="N9" s="176"/>
    </row>
    <row r="10" spans="1:14" ht="12.75">
      <c r="A10" s="17"/>
      <c r="B10" s="15"/>
      <c r="C10" s="15"/>
      <c r="D10" s="15"/>
      <c r="E10" s="117"/>
      <c r="F10" s="609" t="str">
        <f>'C5-FLJO'!K63</f>
        <v>has</v>
      </c>
      <c r="G10" s="61" t="s">
        <v>160</v>
      </c>
      <c r="H10" s="64" t="s">
        <v>221</v>
      </c>
      <c r="I10" s="61" t="s">
        <v>222</v>
      </c>
      <c r="J10" s="61" t="s">
        <v>159</v>
      </c>
      <c r="K10" s="61" t="s">
        <v>159</v>
      </c>
      <c r="L10" s="65" t="s">
        <v>159</v>
      </c>
      <c r="M10" s="176"/>
      <c r="N10" s="176"/>
    </row>
    <row r="11" spans="1:14" ht="9.75" customHeight="1">
      <c r="A11" s="18"/>
      <c r="B11" s="19"/>
      <c r="C11" s="119">
        <v>1</v>
      </c>
      <c r="D11" s="119"/>
      <c r="E11" s="27"/>
      <c r="F11" s="72">
        <v>2</v>
      </c>
      <c r="G11" s="72">
        <v>3</v>
      </c>
      <c r="H11" s="72">
        <v>4</v>
      </c>
      <c r="I11" s="72">
        <v>5</v>
      </c>
      <c r="J11" s="72">
        <v>6</v>
      </c>
      <c r="K11" s="72">
        <v>7</v>
      </c>
      <c r="L11" s="74" t="s">
        <v>223</v>
      </c>
      <c r="M11" s="176"/>
      <c r="N11" s="176"/>
    </row>
    <row r="12" spans="1:14" ht="3.75" customHeight="1">
      <c r="A12" s="6"/>
      <c r="B12" s="7"/>
      <c r="C12" s="7"/>
      <c r="D12" s="7"/>
      <c r="E12" s="12"/>
      <c r="F12" s="59"/>
      <c r="G12" s="59"/>
      <c r="H12" s="134"/>
      <c r="I12" s="134"/>
      <c r="J12" s="606"/>
      <c r="K12" s="614"/>
      <c r="L12" s="12"/>
      <c r="M12" s="176"/>
      <c r="N12" s="176"/>
    </row>
    <row r="13" spans="1:14" ht="14.25">
      <c r="A13" s="120" t="s">
        <v>459</v>
      </c>
      <c r="B13" s="67"/>
      <c r="C13" s="19"/>
      <c r="D13" s="19"/>
      <c r="E13" s="27"/>
      <c r="F13" s="87">
        <f>'C5-FLJO'!J61-'C5-FLJO'!L63</f>
        <v>51814.48348999999</v>
      </c>
      <c r="G13" s="144">
        <f>'C5-FLJO'!P61/12</f>
        <v>0</v>
      </c>
      <c r="H13" s="135"/>
      <c r="I13" s="135"/>
      <c r="J13" s="602">
        <v>0.12</v>
      </c>
      <c r="K13" s="615">
        <v>0.04</v>
      </c>
      <c r="L13" s="257">
        <f>IF(J13&gt;0,J13," ")</f>
        <v>0.12</v>
      </c>
      <c r="M13" s="176"/>
      <c r="N13" s="176"/>
    </row>
    <row r="14" spans="1:14" ht="4.5" customHeight="1">
      <c r="A14" s="6"/>
      <c r="B14" s="15"/>
      <c r="C14" s="7"/>
      <c r="D14" s="7"/>
      <c r="E14" s="12"/>
      <c r="F14" s="85"/>
      <c r="G14" s="123"/>
      <c r="H14" s="606"/>
      <c r="I14" s="606"/>
      <c r="J14" s="605"/>
      <c r="K14" s="605"/>
      <c r="L14" s="258"/>
      <c r="M14" s="176"/>
      <c r="N14" s="176"/>
    </row>
    <row r="15" spans="1:14" ht="14.25">
      <c r="A15" s="18" t="s">
        <v>416</v>
      </c>
      <c r="B15" s="67"/>
      <c r="C15" s="19"/>
      <c r="D15" s="19"/>
      <c r="E15" s="27"/>
      <c r="F15" s="87">
        <f>'C2-INV'!N73</f>
        <v>0</v>
      </c>
      <c r="G15" s="122">
        <f>'C2-INV'!U73</f>
        <v>0</v>
      </c>
      <c r="H15" s="610">
        <v>1</v>
      </c>
      <c r="I15" s="610"/>
      <c r="J15" s="602">
        <v>0.14</v>
      </c>
      <c r="K15" s="603">
        <v>0.04</v>
      </c>
      <c r="L15" s="257">
        <f>IF(J15&gt;0,J15-K15," ")</f>
        <v>0.1</v>
      </c>
      <c r="M15" s="176"/>
      <c r="N15" s="176"/>
    </row>
    <row r="16" spans="1:14" ht="3" customHeight="1">
      <c r="A16" s="6"/>
      <c r="B16" s="15"/>
      <c r="C16" s="7"/>
      <c r="D16" s="7"/>
      <c r="E16" s="12"/>
      <c r="F16" s="85"/>
      <c r="G16" s="607"/>
      <c r="H16" s="608"/>
      <c r="I16" s="608"/>
      <c r="J16" s="604"/>
      <c r="K16" s="604"/>
      <c r="L16" s="258"/>
      <c r="M16" s="176"/>
      <c r="N16" s="176"/>
    </row>
    <row r="17" spans="1:14" ht="14.25">
      <c r="A17" s="120" t="s">
        <v>417</v>
      </c>
      <c r="B17" s="67"/>
      <c r="C17" s="19"/>
      <c r="D17" s="19"/>
      <c r="E17" s="27"/>
      <c r="F17" s="87">
        <f>'C2-INV'!G73</f>
        <v>0</v>
      </c>
      <c r="G17" s="601"/>
      <c r="H17" s="253">
        <v>0</v>
      </c>
      <c r="I17" s="253">
        <v>0</v>
      </c>
      <c r="J17" s="603"/>
      <c r="K17" s="603"/>
      <c r="L17" s="257" t="str">
        <f>IF(J17&gt;0,J17-K17," ")</f>
        <v> </v>
      </c>
      <c r="M17" s="176"/>
      <c r="N17" s="176"/>
    </row>
    <row r="18" spans="1:14" ht="2.25" customHeight="1">
      <c r="A18" s="6"/>
      <c r="B18" s="15"/>
      <c r="C18" s="7"/>
      <c r="D18" s="7"/>
      <c r="E18" s="12"/>
      <c r="F18" s="85"/>
      <c r="G18" s="2"/>
      <c r="H18" s="2">
        <v>1</v>
      </c>
      <c r="I18" s="242"/>
      <c r="J18" s="2"/>
      <c r="K18" s="134"/>
      <c r="L18" s="238"/>
      <c r="M18" s="176"/>
      <c r="N18" s="176"/>
    </row>
    <row r="19" spans="1:14" ht="12.75">
      <c r="A19" s="6"/>
      <c r="B19" s="15" t="s">
        <v>224</v>
      </c>
      <c r="C19" s="7"/>
      <c r="D19" s="7"/>
      <c r="E19" s="12"/>
      <c r="F19" s="89">
        <f>SUM(F13:F17)</f>
        <v>51814.48348999999</v>
      </c>
      <c r="G19" s="2"/>
      <c r="H19" s="2"/>
      <c r="I19" s="241"/>
      <c r="J19" s="2"/>
      <c r="K19" s="2"/>
      <c r="L19" s="238"/>
      <c r="M19" s="176"/>
      <c r="N19" s="176"/>
    </row>
    <row r="20" spans="1:14" ht="6.75" customHeight="1" thickBot="1">
      <c r="A20" s="45"/>
      <c r="B20" s="46"/>
      <c r="C20" s="46"/>
      <c r="D20" s="46"/>
      <c r="E20" s="53"/>
      <c r="F20" s="109"/>
      <c r="G20" s="239"/>
      <c r="H20" s="239"/>
      <c r="I20" s="239"/>
      <c r="J20" s="239"/>
      <c r="K20" s="239"/>
      <c r="L20" s="240"/>
      <c r="M20" s="176"/>
      <c r="N20" s="176"/>
    </row>
    <row r="21" spans="1:14" ht="9" customHeight="1" thickTop="1">
      <c r="A21" s="176"/>
      <c r="B21" s="176"/>
      <c r="C21" s="176"/>
      <c r="D21" s="176"/>
      <c r="E21" s="176"/>
      <c r="F21" s="176"/>
      <c r="G21" s="176"/>
      <c r="H21" s="176"/>
      <c r="I21" s="176"/>
      <c r="J21" s="176"/>
      <c r="K21" s="176"/>
      <c r="L21" s="176"/>
      <c r="M21" s="176"/>
      <c r="N21" s="176"/>
    </row>
    <row r="22" spans="1:14" ht="13.5" thickBot="1">
      <c r="A22" s="176"/>
      <c r="B22" s="176"/>
      <c r="C22" s="176"/>
      <c r="D22" s="176"/>
      <c r="E22" s="176"/>
      <c r="F22" s="176"/>
      <c r="G22" s="176"/>
      <c r="H22" s="344"/>
      <c r="I22" s="176"/>
      <c r="J22" s="176"/>
      <c r="K22" s="176"/>
      <c r="L22" s="176"/>
      <c r="M22" s="176"/>
      <c r="N22" s="176"/>
    </row>
    <row r="23" spans="1:14" ht="7.5" customHeight="1" thickTop="1">
      <c r="A23" s="176" t="s">
        <v>148</v>
      </c>
      <c r="B23" s="176"/>
      <c r="C23" s="3"/>
      <c r="D23" s="4"/>
      <c r="E23" s="4"/>
      <c r="F23" s="5"/>
      <c r="G23" s="234"/>
      <c r="H23" s="611">
        <v>0</v>
      </c>
      <c r="I23" s="3"/>
      <c r="J23" s="4"/>
      <c r="K23" s="4"/>
      <c r="L23" s="5"/>
      <c r="M23" s="344"/>
      <c r="N23" s="176"/>
    </row>
    <row r="24" spans="1:14" ht="15.75">
      <c r="A24" s="176"/>
      <c r="B24" s="176"/>
      <c r="C24" s="980" t="s">
        <v>418</v>
      </c>
      <c r="D24" s="981"/>
      <c r="E24" s="981"/>
      <c r="F24" s="982"/>
      <c r="G24" s="344">
        <f>IF(J15&gt;0,(L15*F15)," ")</f>
        <v>0</v>
      </c>
      <c r="H24" s="611">
        <f>H23+1</f>
        <v>1</v>
      </c>
      <c r="I24" s="980" t="s">
        <v>421</v>
      </c>
      <c r="J24" s="981"/>
      <c r="K24" s="981"/>
      <c r="L24" s="982"/>
      <c r="M24" s="344" t="str">
        <f>IF(J17&gt;0,(L17*F17)," ")</f>
        <v> </v>
      </c>
      <c r="N24" s="176"/>
    </row>
    <row r="25" spans="1:14" ht="12.75">
      <c r="A25" s="176"/>
      <c r="B25" s="176"/>
      <c r="C25" s="6"/>
      <c r="D25" s="7"/>
      <c r="E25" s="43" t="s">
        <v>225</v>
      </c>
      <c r="F25" s="137"/>
      <c r="G25" s="344">
        <f>IF(J15&gt;0,(G24+(L15*(F15+G24)))," ")</f>
        <v>0</v>
      </c>
      <c r="H25" s="611">
        <f>H24+1</f>
        <v>2</v>
      </c>
      <c r="I25" s="6"/>
      <c r="J25" s="43" t="s">
        <v>226</v>
      </c>
      <c r="K25" s="8"/>
      <c r="L25" s="137"/>
      <c r="M25" s="344" t="str">
        <f>IF(J17&gt;0,(M24+(L17*(F17+M24)))," ")</f>
        <v> </v>
      </c>
      <c r="N25" s="176"/>
    </row>
    <row r="26" spans="1:14" ht="5.25" customHeight="1" thickBot="1">
      <c r="A26" s="176"/>
      <c r="B26" s="176"/>
      <c r="C26" s="112"/>
      <c r="D26" s="113"/>
      <c r="E26" s="138"/>
      <c r="F26" s="139"/>
      <c r="G26" s="344"/>
      <c r="H26" s="611">
        <f aca="true" t="shared" si="0" ref="H26:H40">H25+1</f>
        <v>3</v>
      </c>
      <c r="I26" s="112"/>
      <c r="J26" s="113"/>
      <c r="K26" s="138"/>
      <c r="L26" s="139"/>
      <c r="M26" s="344"/>
      <c r="N26" s="176"/>
    </row>
    <row r="27" spans="1:14" ht="12.75">
      <c r="A27" s="176"/>
      <c r="B27" s="176"/>
      <c r="C27" s="140"/>
      <c r="D27" s="7"/>
      <c r="E27" s="7"/>
      <c r="F27" s="12"/>
      <c r="G27" s="200">
        <f>IF($H$15=0,$F$15,IF($H$15=1,($G$24+$F$15),($G$25+$F$15)))</f>
        <v>0</v>
      </c>
      <c r="H27" s="611">
        <f t="shared" si="0"/>
        <v>4</v>
      </c>
      <c r="I27" s="140"/>
      <c r="J27" s="8"/>
      <c r="K27" s="7"/>
      <c r="L27" s="12"/>
      <c r="M27" s="200">
        <f>IF($H$17=0,$F$17,IF($H$17=1,($M$24+$F$17),($M$25+$F$17)))</f>
        <v>0</v>
      </c>
      <c r="N27" s="176"/>
    </row>
    <row r="28" spans="1:14" ht="14.25">
      <c r="A28" s="176"/>
      <c r="B28" s="197"/>
      <c r="C28" s="140" t="s">
        <v>227</v>
      </c>
      <c r="D28" s="7"/>
      <c r="E28" s="143">
        <f>IF(J15=0," ",IF($H$15+$I$15=0,-1*PMT($L$15,$G$15,$F$15),IF($H$15&gt;0,0,($L$15*$F$15))))</f>
        <v>0</v>
      </c>
      <c r="F28" s="84"/>
      <c r="G28" s="344"/>
      <c r="H28" s="611">
        <f t="shared" si="0"/>
        <v>5</v>
      </c>
      <c r="I28" s="140" t="s">
        <v>227</v>
      </c>
      <c r="J28" s="8"/>
      <c r="K28" s="143" t="str">
        <f>IF(J17=0," ",IF($H$17+$I$17=0,-1*PMT($L$17,$G$17,$F$17),IF($H$17&gt;0,0,($L$17*$F$17))))</f>
        <v> </v>
      </c>
      <c r="L28" s="84"/>
      <c r="M28" s="344"/>
      <c r="N28" s="176"/>
    </row>
    <row r="29" spans="1:14" ht="14.25">
      <c r="A29" s="176"/>
      <c r="B29" s="197"/>
      <c r="C29" s="140" t="s">
        <v>228</v>
      </c>
      <c r="D29" s="7"/>
      <c r="E29" s="143" t="e">
        <f>IF(J15&gt;0,(IF($H$15+$I$15=0,-1*PMT($L$15,$G$15,$G$27),IF($H$15&gt;1,0,IF($I$15&gt;1,($L$15*$G$27),-1*PMT($L$15,$G$15-$I$15,$G$27)))))," ")</f>
        <v>#DIV/0!</v>
      </c>
      <c r="F29" s="84"/>
      <c r="G29" s="344"/>
      <c r="H29" s="611">
        <f t="shared" si="0"/>
        <v>6</v>
      </c>
      <c r="I29" s="140" t="s">
        <v>228</v>
      </c>
      <c r="J29" s="8"/>
      <c r="K29" s="143" t="str">
        <f>IF(J17=0," ",IF($H$17+$I$17=0,-1*PMT($L$17,$G$17,$M$27),IF($H$17&gt;1,0,IF($I$17&gt;1,($L$17*$M$27),-1*PMT($L$17,$G$17-$I$17,$M$27)))))</f>
        <v> </v>
      </c>
      <c r="L29" s="84"/>
      <c r="M29" s="344"/>
      <c r="N29" s="176"/>
    </row>
    <row r="30" spans="1:14" ht="14.25">
      <c r="A30" s="176"/>
      <c r="B30" s="197"/>
      <c r="C30" s="140" t="s">
        <v>229</v>
      </c>
      <c r="D30" s="7"/>
      <c r="E30" s="143" t="e">
        <f>IF(J15&gt;0,(IF(OR($I$15=2,$I$15=1),-1*PMT($L$15,$G$15-$I$15,$G$27),IF($I$15=0,-1*PMT($L$15,$G$15,$G$27),($L$15*$G$27))))," ")</f>
        <v>#DIV/0!</v>
      </c>
      <c r="F30" s="84"/>
      <c r="G30" s="344"/>
      <c r="H30" s="611">
        <f t="shared" si="0"/>
        <v>7</v>
      </c>
      <c r="I30" s="140" t="s">
        <v>229</v>
      </c>
      <c r="J30" s="8"/>
      <c r="K30" s="143" t="str">
        <f>IF(J17=0," ",IF(OR($I$17=2,$I$17=1),-1*PMT($L$17,$G$17-$I$17,$M$27),IF($I$17=0,-1*PMT($L$17,$G$17,$M$27),($L$17*$M$27))))</f>
        <v> </v>
      </c>
      <c r="L30" s="84"/>
      <c r="M30" s="344"/>
      <c r="N30" s="176"/>
    </row>
    <row r="31" spans="1:14" ht="14.25">
      <c r="A31" s="176"/>
      <c r="B31" s="197"/>
      <c r="C31" s="140" t="s">
        <v>230</v>
      </c>
      <c r="D31" s="7"/>
      <c r="E31" s="143">
        <f>IF(AND($I$15&gt;0,$H27&lt;$G$15+1),-1*PMT($L$15,$G$15-$I$15,$G$27),IF($H27&lt;$G$15+1,-1*PMT($L$15,$G$15,$G$27),0))</f>
        <v>0</v>
      </c>
      <c r="F31" s="84"/>
      <c r="G31" s="344"/>
      <c r="H31" s="611">
        <f t="shared" si="0"/>
        <v>8</v>
      </c>
      <c r="I31" s="140" t="s">
        <v>230</v>
      </c>
      <c r="J31" s="8"/>
      <c r="K31" s="143">
        <f>IF(AND($I$17&gt;0,$H27&lt;$G$17+1),-1*PMT($L$17,$G$17-$I$17,$M$27),IF($H28&lt;$G$17+1,-1*PMT($L$17,$G$17,$M$27),0))</f>
        <v>0</v>
      </c>
      <c r="L31" s="84"/>
      <c r="M31" s="344"/>
      <c r="N31" s="176"/>
    </row>
    <row r="32" spans="1:14" ht="14.25">
      <c r="A32" s="176"/>
      <c r="B32" s="197"/>
      <c r="C32" s="140" t="s">
        <v>231</v>
      </c>
      <c r="D32" s="7"/>
      <c r="E32" s="143">
        <f aca="true" t="shared" si="1" ref="E32:E42">IF(AND($I$15&gt;0,$H28&lt;$G$15+1),-1*PMT($L$15,$G$15-$I$15,$G$27),IF($H28&lt;$G$15+1,-1*PMT($L$15,$G$15,$G$27),0))</f>
        <v>0</v>
      </c>
      <c r="F32" s="84"/>
      <c r="G32" s="344"/>
      <c r="H32" s="611">
        <f t="shared" si="0"/>
        <v>9</v>
      </c>
      <c r="I32" s="140" t="s">
        <v>231</v>
      </c>
      <c r="J32" s="8"/>
      <c r="K32" s="143">
        <f>IF(AND($I$17&gt;0,$H28&lt;$G$17+1),-1*PMT($L$17,$G$17-$I$17,$M$27),IF($H29&lt;$G$17+1,-1*PMT($L$17,$G$17,$M$27),0))</f>
        <v>0</v>
      </c>
      <c r="L32" s="84"/>
      <c r="M32" s="344"/>
      <c r="N32" s="176"/>
    </row>
    <row r="33" spans="1:14" ht="14.25">
      <c r="A33" s="198"/>
      <c r="B33" s="197"/>
      <c r="C33" s="140" t="s">
        <v>232</v>
      </c>
      <c r="D33" s="7"/>
      <c r="E33" s="143">
        <f t="shared" si="1"/>
        <v>0</v>
      </c>
      <c r="F33" s="84"/>
      <c r="G33" s="176"/>
      <c r="H33" s="611">
        <f t="shared" si="0"/>
        <v>10</v>
      </c>
      <c r="I33" s="140" t="s">
        <v>232</v>
      </c>
      <c r="J33" s="8"/>
      <c r="K33" s="143">
        <f>IF(AND($I$17&gt;0,$H29&lt;$G$17+1),-1*PMT($L$17,$G$17-$I$17,$M$27),IF($H29&lt;$G$17+1,-1*PMT($L$17,$G$17,$M$27),0))</f>
        <v>0</v>
      </c>
      <c r="L33" s="84"/>
      <c r="M33" s="344"/>
      <c r="N33" s="176"/>
    </row>
    <row r="34" spans="1:14" ht="14.25">
      <c r="A34" s="198"/>
      <c r="B34" s="197"/>
      <c r="C34" s="140" t="s">
        <v>233</v>
      </c>
      <c r="D34" s="7"/>
      <c r="E34" s="143">
        <f t="shared" si="1"/>
        <v>0</v>
      </c>
      <c r="F34" s="84"/>
      <c r="G34" s="176"/>
      <c r="H34" s="611">
        <f t="shared" si="0"/>
        <v>11</v>
      </c>
      <c r="I34" s="140" t="s">
        <v>233</v>
      </c>
      <c r="J34" s="8"/>
      <c r="K34" s="143"/>
      <c r="L34" s="84"/>
      <c r="M34" s="176"/>
      <c r="N34" s="176"/>
    </row>
    <row r="35" spans="1:14" ht="14.25">
      <c r="A35" s="198"/>
      <c r="B35" s="197"/>
      <c r="C35" s="140" t="s">
        <v>234</v>
      </c>
      <c r="D35" s="7"/>
      <c r="E35" s="143">
        <f t="shared" si="1"/>
        <v>0</v>
      </c>
      <c r="F35" s="84"/>
      <c r="G35" s="176"/>
      <c r="H35" s="611">
        <v>12</v>
      </c>
      <c r="I35" s="140" t="s">
        <v>234</v>
      </c>
      <c r="J35" s="8"/>
      <c r="K35" s="143">
        <f>IF(AND($I$17&gt;0,$H31&lt;$G$17+1),-1*PMT($L$17,$G$17-$I$17,$M$27),IF($H31&lt;$G$17+1,-1*PMT($L$17,$G$17,$M$27),0))</f>
        <v>0</v>
      </c>
      <c r="L35" s="84"/>
      <c r="M35" s="176"/>
      <c r="N35" s="176"/>
    </row>
    <row r="36" spans="1:14" ht="14.25">
      <c r="A36" s="198"/>
      <c r="B36" s="197"/>
      <c r="C36" s="140" t="s">
        <v>235</v>
      </c>
      <c r="D36" s="7"/>
      <c r="E36" s="143">
        <f t="shared" si="1"/>
        <v>0</v>
      </c>
      <c r="F36" s="84"/>
      <c r="G36" s="176"/>
      <c r="H36" s="611">
        <f t="shared" si="0"/>
        <v>13</v>
      </c>
      <c r="I36" s="140" t="s">
        <v>235</v>
      </c>
      <c r="J36" s="8"/>
      <c r="K36" s="143">
        <f>IF(AND($I$17&gt;0,$H32&lt;$G$17+1),-1*PMT($L$17,$G$17-$I$17,$M$27),IF($H32&lt;$G$17+1,-1*PMT($L$17,$G$17,$M$27),0))</f>
        <v>0</v>
      </c>
      <c r="L36" s="84"/>
      <c r="M36" s="176"/>
      <c r="N36" s="176"/>
    </row>
    <row r="37" spans="1:14" ht="14.25">
      <c r="A37" s="198"/>
      <c r="B37" s="197"/>
      <c r="C37" s="140" t="s">
        <v>236</v>
      </c>
      <c r="D37" s="7"/>
      <c r="E37" s="143">
        <f t="shared" si="1"/>
        <v>0</v>
      </c>
      <c r="F37" s="84"/>
      <c r="G37" s="176"/>
      <c r="H37" s="200">
        <f t="shared" si="0"/>
        <v>14</v>
      </c>
      <c r="I37" s="140" t="s">
        <v>236</v>
      </c>
      <c r="J37" s="8"/>
      <c r="K37" s="143">
        <f>IF(AND($I$17&gt;0,$H33&lt;$G$17+1),-1*PMT($L$17,$G$17-$I$17,$M$27),IF($H33&lt;$G$17+1,-1*PMT($L$17,$G$17,$M$27),0))</f>
        <v>0</v>
      </c>
      <c r="L37" s="84"/>
      <c r="M37" s="176"/>
      <c r="N37" s="176"/>
    </row>
    <row r="38" spans="1:14" ht="15" thickBot="1">
      <c r="A38" s="198"/>
      <c r="B38" s="197"/>
      <c r="C38" s="140" t="s">
        <v>237</v>
      </c>
      <c r="D38" s="7"/>
      <c r="E38" s="143">
        <f t="shared" si="1"/>
        <v>0</v>
      </c>
      <c r="F38" s="84"/>
      <c r="G38" s="176"/>
      <c r="H38" s="200">
        <f t="shared" si="0"/>
        <v>15</v>
      </c>
      <c r="I38" s="140"/>
      <c r="J38" s="8"/>
      <c r="K38" s="143"/>
      <c r="L38" s="84"/>
      <c r="M38" s="176"/>
      <c r="N38" s="176"/>
    </row>
    <row r="39" spans="1:14" ht="16.5" thickBot="1">
      <c r="A39" s="198"/>
      <c r="B39" s="197"/>
      <c r="C39" s="140" t="s">
        <v>238</v>
      </c>
      <c r="D39" s="7"/>
      <c r="E39" s="143">
        <f t="shared" si="1"/>
        <v>0</v>
      </c>
      <c r="F39" s="84"/>
      <c r="G39" s="176"/>
      <c r="H39" s="200">
        <f t="shared" si="0"/>
        <v>16</v>
      </c>
      <c r="I39" s="140" t="s">
        <v>239</v>
      </c>
      <c r="J39" s="8"/>
      <c r="K39" s="236">
        <f>SUM(K28:K37)</f>
        <v>0</v>
      </c>
      <c r="L39" s="84"/>
      <c r="M39" s="176"/>
      <c r="N39" s="176"/>
    </row>
    <row r="40" spans="1:14" ht="15" thickBot="1">
      <c r="A40" s="176"/>
      <c r="B40" s="197"/>
      <c r="C40" s="140" t="s">
        <v>240</v>
      </c>
      <c r="D40" s="7"/>
      <c r="E40" s="143">
        <f t="shared" si="1"/>
        <v>0</v>
      </c>
      <c r="F40" s="84"/>
      <c r="G40" s="176"/>
      <c r="H40" s="200">
        <f t="shared" si="0"/>
        <v>17</v>
      </c>
      <c r="I40" s="141"/>
      <c r="J40" s="46"/>
      <c r="K40" s="142"/>
      <c r="L40" s="53"/>
      <c r="M40" s="176"/>
      <c r="N40" s="176"/>
    </row>
    <row r="41" spans="1:14" ht="15" thickTop="1">
      <c r="A41" s="176"/>
      <c r="B41" s="197"/>
      <c r="C41" s="140" t="s">
        <v>241</v>
      </c>
      <c r="D41" s="7"/>
      <c r="E41" s="143">
        <f t="shared" si="1"/>
        <v>0</v>
      </c>
      <c r="F41" s="84"/>
      <c r="G41" s="176"/>
      <c r="H41" s="176"/>
      <c r="I41" s="176"/>
      <c r="J41" s="176"/>
      <c r="K41" s="176"/>
      <c r="L41" s="176"/>
      <c r="M41" s="176"/>
      <c r="N41" s="176"/>
    </row>
    <row r="42" spans="1:14" ht="14.25">
      <c r="A42" s="176"/>
      <c r="B42" s="197"/>
      <c r="C42" s="140" t="s">
        <v>242</v>
      </c>
      <c r="D42" s="7"/>
      <c r="E42" s="143">
        <f t="shared" si="1"/>
        <v>0</v>
      </c>
      <c r="F42" s="84"/>
      <c r="G42" s="176"/>
      <c r="H42" s="176"/>
      <c r="I42" s="176"/>
      <c r="J42" s="176"/>
      <c r="K42" s="176"/>
      <c r="L42" s="176"/>
      <c r="M42" s="176"/>
      <c r="N42" s="176"/>
    </row>
    <row r="43" spans="1:14" ht="6.75" customHeight="1" thickBot="1">
      <c r="A43" s="176"/>
      <c r="B43" s="176"/>
      <c r="C43" s="140"/>
      <c r="D43" s="7"/>
      <c r="E43" s="8"/>
      <c r="F43" s="84"/>
      <c r="G43" s="176"/>
      <c r="H43" s="176"/>
      <c r="I43" s="176"/>
      <c r="J43" s="176"/>
      <c r="K43" s="176"/>
      <c r="L43" s="176"/>
      <c r="M43" s="176"/>
      <c r="N43" s="176"/>
    </row>
    <row r="44" spans="1:14" ht="16.5" thickBot="1">
      <c r="A44" s="176"/>
      <c r="B44" s="199"/>
      <c r="C44" s="140" t="s">
        <v>239</v>
      </c>
      <c r="D44" s="7"/>
      <c r="E44" s="236" t="e">
        <f>SUM(E28:E43)</f>
        <v>#DIV/0!</v>
      </c>
      <c r="F44" s="84"/>
      <c r="G44" s="176"/>
      <c r="H44" s="176"/>
      <c r="I44" s="176"/>
      <c r="J44" s="176"/>
      <c r="K44" s="176"/>
      <c r="L44" s="176"/>
      <c r="M44" s="176"/>
      <c r="N44" s="176"/>
    </row>
    <row r="45" spans="1:14" ht="7.5" customHeight="1" thickBot="1">
      <c r="A45" s="176"/>
      <c r="B45" s="176"/>
      <c r="C45" s="141"/>
      <c r="D45" s="46"/>
      <c r="E45" s="142"/>
      <c r="F45" s="53"/>
      <c r="G45" s="176"/>
      <c r="H45" s="176"/>
      <c r="I45" s="176"/>
      <c r="J45" s="176"/>
      <c r="K45" s="176"/>
      <c r="L45" s="176"/>
      <c r="M45" s="176"/>
      <c r="N45" s="176"/>
    </row>
    <row r="46" spans="1:14" ht="13.5" thickTop="1">
      <c r="A46" s="176"/>
      <c r="B46" s="176"/>
      <c r="C46" s="176"/>
      <c r="D46" s="176"/>
      <c r="E46" s="176"/>
      <c r="F46" s="176"/>
      <c r="G46" s="176"/>
      <c r="H46" s="176"/>
      <c r="I46" s="176"/>
      <c r="J46" s="176"/>
      <c r="K46" s="176"/>
      <c r="L46" s="176"/>
      <c r="M46" s="176"/>
      <c r="N46" s="176"/>
    </row>
    <row r="47" spans="1:14" ht="12.75">
      <c r="A47" s="176"/>
      <c r="B47" s="176"/>
      <c r="C47" s="176"/>
      <c r="D47" s="176"/>
      <c r="E47" s="176"/>
      <c r="F47" s="176"/>
      <c r="G47" s="176"/>
      <c r="H47" s="176"/>
      <c r="I47" s="176"/>
      <c r="J47" s="176"/>
      <c r="K47" s="176"/>
      <c r="L47" s="176"/>
      <c r="M47" s="176"/>
      <c r="N47" s="176"/>
    </row>
    <row r="48" spans="1:14" ht="12.75">
      <c r="A48" s="176"/>
      <c r="B48" s="176"/>
      <c r="C48" s="176"/>
      <c r="D48" s="176"/>
      <c r="E48" s="176"/>
      <c r="F48" s="176"/>
      <c r="G48" s="176"/>
      <c r="H48" s="176"/>
      <c r="I48" s="176"/>
      <c r="J48" s="176"/>
      <c r="K48" s="176"/>
      <c r="L48" s="176"/>
      <c r="M48" s="176"/>
      <c r="N48" s="176"/>
    </row>
    <row r="49" spans="1:14" ht="12.75">
      <c r="A49" s="176"/>
      <c r="B49" s="176"/>
      <c r="C49" s="176"/>
      <c r="D49" s="176"/>
      <c r="E49" s="176"/>
      <c r="F49" s="176"/>
      <c r="G49" s="176"/>
      <c r="H49" s="176"/>
      <c r="I49" s="176"/>
      <c r="J49" s="176"/>
      <c r="K49" s="176"/>
      <c r="L49" s="176"/>
      <c r="M49" s="176"/>
      <c r="N49" s="176"/>
    </row>
    <row r="50" spans="1:14" ht="12.75">
      <c r="A50" s="176"/>
      <c r="B50" s="176"/>
      <c r="C50" s="176"/>
      <c r="D50" s="176"/>
      <c r="E50" s="176"/>
      <c r="F50" s="176"/>
      <c r="G50" s="176"/>
      <c r="H50" s="176"/>
      <c r="I50" s="176"/>
      <c r="J50" s="176"/>
      <c r="K50" s="176"/>
      <c r="L50" s="176"/>
      <c r="M50" s="176"/>
      <c r="N50" s="176"/>
    </row>
    <row r="51" spans="1:14" ht="12.75">
      <c r="A51" s="176"/>
      <c r="B51" s="176"/>
      <c r="C51" s="176"/>
      <c r="D51" s="176"/>
      <c r="E51" s="176"/>
      <c r="F51" s="176"/>
      <c r="G51" s="176"/>
      <c r="H51" s="176"/>
      <c r="I51" s="176"/>
      <c r="J51" s="176"/>
      <c r="K51" s="176"/>
      <c r="L51" s="176"/>
      <c r="M51" s="176"/>
      <c r="N51" s="176"/>
    </row>
    <row r="52" spans="1:12" ht="12.75">
      <c r="A52" s="176"/>
      <c r="B52" s="176"/>
      <c r="C52" s="176"/>
      <c r="D52" s="176"/>
      <c r="E52" s="176"/>
      <c r="F52" s="176"/>
      <c r="G52" s="176"/>
      <c r="H52" s="176"/>
      <c r="I52" s="176"/>
      <c r="J52" s="176"/>
      <c r="K52" s="176"/>
      <c r="L52" s="176"/>
    </row>
  </sheetData>
  <sheetProtection password="CB61" sheet="1" objects="1" scenarios="1"/>
  <mergeCells count="3">
    <mergeCell ref="G1:I1"/>
    <mergeCell ref="I24:L24"/>
    <mergeCell ref="C24:F24"/>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scale="78"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S69"/>
  <sheetViews>
    <sheetView showGridLines="0" zoomScale="75" zoomScaleNormal="75" workbookViewId="0" topLeftCell="A9">
      <selection activeCell="F25" sqref="F25"/>
    </sheetView>
  </sheetViews>
  <sheetFormatPr defaultColWidth="11.421875" defaultRowHeight="12.75"/>
  <cols>
    <col min="1" max="1" width="3.8515625" style="702" customWidth="1"/>
    <col min="2" max="2" width="11.8515625" style="702" customWidth="1"/>
    <col min="3" max="3" width="23.140625" style="702" customWidth="1"/>
    <col min="4" max="4" width="1.1484375" style="702" customWidth="1"/>
    <col min="5" max="16" width="10.7109375" style="702" customWidth="1"/>
    <col min="17" max="17" width="0.85546875" style="702" customWidth="1"/>
    <col min="18" max="18" width="8.8515625" style="702" customWidth="1"/>
    <col min="19" max="19" width="2.7109375" style="702" customWidth="1"/>
    <col min="20" max="20" width="8.8515625" style="702" customWidth="1"/>
    <col min="21" max="21" width="2.7109375" style="702" customWidth="1"/>
    <col min="22" max="16384" width="8.8515625" style="702" customWidth="1"/>
  </cols>
  <sheetData>
    <row r="1" spans="1:19" ht="17.25" thickBot="1" thickTop="1">
      <c r="A1" s="920" t="s">
        <v>541</v>
      </c>
      <c r="B1" s="700"/>
      <c r="C1" s="700"/>
      <c r="D1" s="700"/>
      <c r="E1" s="700"/>
      <c r="F1" s="701"/>
      <c r="G1" s="972" t="s">
        <v>471</v>
      </c>
      <c r="H1" s="973"/>
      <c r="I1" s="974"/>
      <c r="J1" s="701"/>
      <c r="K1" s="701"/>
      <c r="L1" s="701"/>
      <c r="M1" s="701"/>
      <c r="N1" s="701"/>
      <c r="O1" s="701"/>
      <c r="P1" s="811" t="s">
        <v>243</v>
      </c>
      <c r="Q1" s="701"/>
      <c r="R1" s="701"/>
      <c r="S1" s="701"/>
    </row>
    <row r="2" spans="1:19" ht="12.75" customHeight="1" thickTop="1">
      <c r="A2" s="701"/>
      <c r="B2" s="701"/>
      <c r="C2" s="701"/>
      <c r="D2" s="701"/>
      <c r="E2" s="701"/>
      <c r="F2" s="701"/>
      <c r="G2" s="701"/>
      <c r="H2" s="701"/>
      <c r="I2" s="701"/>
      <c r="J2" s="701"/>
      <c r="K2" s="701"/>
      <c r="L2" s="701"/>
      <c r="M2" s="701"/>
      <c r="N2" s="701"/>
      <c r="O2" s="701"/>
      <c r="P2" s="701"/>
      <c r="Q2" s="701"/>
      <c r="R2" s="701"/>
      <c r="S2" s="701"/>
    </row>
    <row r="3" spans="1:19" ht="12.75" customHeight="1">
      <c r="A3" s="700"/>
      <c r="B3" s="700"/>
      <c r="C3" s="700"/>
      <c r="D3" s="700"/>
      <c r="E3" s="700"/>
      <c r="F3" s="700"/>
      <c r="G3" s="700"/>
      <c r="H3" s="700"/>
      <c r="I3" s="700"/>
      <c r="J3" s="701"/>
      <c r="K3" s="701"/>
      <c r="L3" s="701"/>
      <c r="M3" s="701"/>
      <c r="N3" s="701"/>
      <c r="O3" s="701"/>
      <c r="P3" s="701"/>
      <c r="Q3" s="701"/>
      <c r="R3" s="701"/>
      <c r="S3" s="701"/>
    </row>
    <row r="4" spans="1:19" ht="17.25" customHeight="1">
      <c r="A4" s="704"/>
      <c r="B4" s="812" t="s">
        <v>244</v>
      </c>
      <c r="C4" s="813" t="s">
        <v>370</v>
      </c>
      <c r="E4" s="701"/>
      <c r="F4" s="701"/>
      <c r="G4" s="701"/>
      <c r="H4" s="700"/>
      <c r="I4" s="700"/>
      <c r="J4" s="701"/>
      <c r="K4" s="701"/>
      <c r="L4" s="701"/>
      <c r="M4" s="701"/>
      <c r="N4" s="701"/>
      <c r="O4" s="701"/>
      <c r="P4" s="701"/>
      <c r="Q4" s="701"/>
      <c r="R4" s="701"/>
      <c r="S4" s="701"/>
    </row>
    <row r="5" spans="1:19" ht="12.75" customHeight="1">
      <c r="A5" s="700"/>
      <c r="B5" s="700"/>
      <c r="C5" s="700"/>
      <c r="D5" s="700"/>
      <c r="E5" s="700"/>
      <c r="F5" s="700"/>
      <c r="G5" s="700"/>
      <c r="H5" s="700"/>
      <c r="I5" s="700"/>
      <c r="J5" s="701"/>
      <c r="K5" s="814" t="str">
        <f>'C6-CRED'!F10</f>
        <v>has</v>
      </c>
      <c r="L5" s="701"/>
      <c r="M5" s="701"/>
      <c r="N5" s="701"/>
      <c r="O5" s="701"/>
      <c r="P5" s="701"/>
      <c r="Q5" s="701"/>
      <c r="R5" s="701"/>
      <c r="S5" s="701"/>
    </row>
    <row r="6" spans="1:19" ht="13.5" customHeight="1" thickBot="1">
      <c r="A6" s="701"/>
      <c r="B6" s="701"/>
      <c r="C6" s="701"/>
      <c r="D6" s="701"/>
      <c r="E6" s="701"/>
      <c r="F6" s="701"/>
      <c r="G6" s="701"/>
      <c r="H6" s="701"/>
      <c r="I6" s="701"/>
      <c r="J6" s="701"/>
      <c r="K6" s="701"/>
      <c r="L6" s="701"/>
      <c r="M6" s="701"/>
      <c r="N6" s="701"/>
      <c r="O6" s="701"/>
      <c r="P6" s="701"/>
      <c r="Q6" s="701"/>
      <c r="R6" s="701"/>
      <c r="S6" s="701"/>
    </row>
    <row r="7" spans="1:19" ht="4.5" customHeight="1" thickTop="1">
      <c r="A7" s="707"/>
      <c r="B7" s="303"/>
      <c r="C7" s="303"/>
      <c r="D7" s="304"/>
      <c r="E7" s="707"/>
      <c r="F7" s="303"/>
      <c r="G7" s="303"/>
      <c r="H7" s="303"/>
      <c r="I7" s="303"/>
      <c r="J7" s="303"/>
      <c r="K7" s="303"/>
      <c r="L7" s="303"/>
      <c r="M7" s="303"/>
      <c r="N7" s="303"/>
      <c r="O7" s="303"/>
      <c r="P7" s="303"/>
      <c r="Q7" s="304"/>
      <c r="R7" s="701"/>
      <c r="S7" s="701"/>
    </row>
    <row r="8" spans="1:19" ht="13.5" customHeight="1">
      <c r="A8" s="298"/>
      <c r="B8" s="147"/>
      <c r="C8" s="147"/>
      <c r="D8" s="287"/>
      <c r="E8" s="283"/>
      <c r="F8" s="280"/>
      <c r="G8" s="280"/>
      <c r="H8" s="280"/>
      <c r="I8" s="297"/>
      <c r="J8" s="297" t="s">
        <v>112</v>
      </c>
      <c r="K8" s="280"/>
      <c r="L8" s="280"/>
      <c r="M8" s="280"/>
      <c r="N8" s="280"/>
      <c r="O8" s="280"/>
      <c r="P8" s="286"/>
      <c r="Q8" s="287"/>
      <c r="R8" s="701"/>
      <c r="S8" s="701"/>
    </row>
    <row r="9" spans="1:19" ht="18.75" customHeight="1">
      <c r="A9" s="743" t="s">
        <v>111</v>
      </c>
      <c r="B9" s="147"/>
      <c r="C9" s="147"/>
      <c r="D9" s="287"/>
      <c r="E9" s="291">
        <v>1</v>
      </c>
      <c r="F9" s="292">
        <f aca="true" t="shared" si="0" ref="F9:L9">+E9+1</f>
        <v>2</v>
      </c>
      <c r="G9" s="292">
        <f t="shared" si="0"/>
        <v>3</v>
      </c>
      <c r="H9" s="292">
        <f t="shared" si="0"/>
        <v>4</v>
      </c>
      <c r="I9" s="292">
        <f t="shared" si="0"/>
        <v>5</v>
      </c>
      <c r="J9" s="292">
        <f t="shared" si="0"/>
        <v>6</v>
      </c>
      <c r="K9" s="292">
        <f t="shared" si="0"/>
        <v>7</v>
      </c>
      <c r="L9" s="292">
        <f t="shared" si="0"/>
        <v>8</v>
      </c>
      <c r="M9" s="292">
        <v>9</v>
      </c>
      <c r="N9" s="292">
        <v>10</v>
      </c>
      <c r="O9" s="292">
        <v>11</v>
      </c>
      <c r="P9" s="815">
        <v>12</v>
      </c>
      <c r="Q9" s="816"/>
      <c r="R9" s="701"/>
      <c r="S9" s="701"/>
    </row>
    <row r="10" spans="1:19" ht="4.5" customHeight="1">
      <c r="A10" s="283"/>
      <c r="B10" s="280"/>
      <c r="C10" s="280"/>
      <c r="D10" s="282"/>
      <c r="E10" s="294"/>
      <c r="F10" s="295"/>
      <c r="G10" s="295"/>
      <c r="H10" s="295"/>
      <c r="I10" s="295"/>
      <c r="J10" s="295"/>
      <c r="K10" s="295"/>
      <c r="L10" s="295"/>
      <c r="M10" s="295"/>
      <c r="N10" s="295"/>
      <c r="O10" s="295"/>
      <c r="P10" s="297"/>
      <c r="Q10" s="281"/>
      <c r="R10" s="701"/>
      <c r="S10" s="701"/>
    </row>
    <row r="11" spans="1:19" ht="6.75" customHeight="1">
      <c r="A11" s="298"/>
      <c r="B11" s="147"/>
      <c r="C11" s="147"/>
      <c r="D11" s="287"/>
      <c r="E11" s="299"/>
      <c r="F11" s="300"/>
      <c r="G11" s="300"/>
      <c r="H11" s="300"/>
      <c r="I11" s="300"/>
      <c r="J11" s="300"/>
      <c r="K11" s="300"/>
      <c r="L11" s="300"/>
      <c r="M11" s="300"/>
      <c r="N11" s="300"/>
      <c r="O11" s="300"/>
      <c r="P11" s="147"/>
      <c r="Q11" s="287"/>
      <c r="R11" s="701"/>
      <c r="S11" s="701"/>
    </row>
    <row r="12" spans="1:19" ht="15.75" customHeight="1">
      <c r="A12" s="817" t="s">
        <v>245</v>
      </c>
      <c r="B12" s="147"/>
      <c r="C12" s="147"/>
      <c r="D12" s="287"/>
      <c r="E12" s="299"/>
      <c r="F12" s="300"/>
      <c r="G12" s="300"/>
      <c r="H12" s="300"/>
      <c r="I12" s="300"/>
      <c r="J12" s="300"/>
      <c r="K12" s="300"/>
      <c r="L12" s="300"/>
      <c r="M12" s="300"/>
      <c r="N12" s="300"/>
      <c r="O12" s="300"/>
      <c r="P12" s="147"/>
      <c r="Q12" s="287"/>
      <c r="R12" s="701"/>
      <c r="S12" s="701"/>
    </row>
    <row r="13" spans="1:19" ht="6.75" customHeight="1">
      <c r="A13" s="298"/>
      <c r="B13" s="147"/>
      <c r="C13" s="147"/>
      <c r="D13" s="287"/>
      <c r="E13" s="299"/>
      <c r="F13" s="300"/>
      <c r="G13" s="300"/>
      <c r="H13" s="300"/>
      <c r="I13" s="300"/>
      <c r="J13" s="300"/>
      <c r="K13" s="300"/>
      <c r="L13" s="300"/>
      <c r="M13" s="300"/>
      <c r="N13" s="300"/>
      <c r="O13" s="300"/>
      <c r="P13" s="147"/>
      <c r="Q13" s="287"/>
      <c r="R13" s="701"/>
      <c r="S13" s="701"/>
    </row>
    <row r="14" spans="1:19" ht="12.75" customHeight="1">
      <c r="A14" s="715" t="s">
        <v>246</v>
      </c>
      <c r="B14" s="286"/>
      <c r="C14" s="286"/>
      <c r="D14" s="287"/>
      <c r="E14" s="273">
        <f>+'C5-FLJO'!Q24</f>
        <v>90816.758</v>
      </c>
      <c r="F14" s="259">
        <f>'C1-PRODN'!AK19</f>
        <v>130866.1152</v>
      </c>
      <c r="G14" s="259">
        <f>'C1-PRODN'!AK23</f>
        <v>73274.97545</v>
      </c>
      <c r="H14" s="259">
        <f>'C1-PRODN'!AK27</f>
        <v>83646.15000000001</v>
      </c>
      <c r="I14" s="259">
        <f>'C1-PRODN'!AK31</f>
        <v>91287.5</v>
      </c>
      <c r="J14" s="259">
        <f>'C1-PRODN'!AK35</f>
        <v>91287.5</v>
      </c>
      <c r="K14" s="259">
        <f>'C1-PRODN'!AK39</f>
        <v>91287.5</v>
      </c>
      <c r="L14" s="259">
        <f>'C1-PRODN'!AK43</f>
        <v>91287.5</v>
      </c>
      <c r="M14" s="259">
        <f>'C1-PRODN'!AK47</f>
        <v>91287.5</v>
      </c>
      <c r="N14" s="259">
        <f>'C1-PRODN'!AK51</f>
        <v>91287.5</v>
      </c>
      <c r="O14" s="259">
        <f>'C1-PRODN'!AK55</f>
        <v>91287.5</v>
      </c>
      <c r="P14" s="274">
        <f>'C1-PRODN'!AK59</f>
        <v>91287.5</v>
      </c>
      <c r="Q14" s="287"/>
      <c r="R14" s="701"/>
      <c r="S14" s="701"/>
    </row>
    <row r="15" spans="1:19" ht="9.75" customHeight="1">
      <c r="A15" s="285" t="s">
        <v>334</v>
      </c>
      <c r="B15" s="286"/>
      <c r="C15" s="286"/>
      <c r="D15" s="287"/>
      <c r="E15" s="273"/>
      <c r="F15" s="259"/>
      <c r="G15" s="259"/>
      <c r="H15" s="259"/>
      <c r="I15" s="259"/>
      <c r="J15" s="259"/>
      <c r="K15" s="259"/>
      <c r="L15" s="259"/>
      <c r="M15" s="259"/>
      <c r="N15" s="259"/>
      <c r="O15" s="259"/>
      <c r="P15" s="274"/>
      <c r="Q15" s="287"/>
      <c r="R15" s="701"/>
      <c r="S15" s="701"/>
    </row>
    <row r="16" spans="1:19" ht="3.75" customHeight="1">
      <c r="A16" s="818"/>
      <c r="B16" s="286"/>
      <c r="C16" s="286"/>
      <c r="D16" s="287"/>
      <c r="E16" s="273"/>
      <c r="F16" s="259"/>
      <c r="G16" s="259"/>
      <c r="H16" s="259"/>
      <c r="I16" s="259"/>
      <c r="J16" s="259"/>
      <c r="K16" s="259"/>
      <c r="L16" s="259"/>
      <c r="M16" s="259"/>
      <c r="N16" s="259"/>
      <c r="O16" s="259"/>
      <c r="P16" s="274"/>
      <c r="Q16" s="287"/>
      <c r="R16" s="701"/>
      <c r="S16" s="701"/>
    </row>
    <row r="17" spans="1:19" ht="12.75" customHeight="1">
      <c r="A17" s="715" t="s">
        <v>247</v>
      </c>
      <c r="B17" s="286"/>
      <c r="C17" s="286"/>
      <c r="D17" s="287"/>
      <c r="E17" s="273"/>
      <c r="F17" s="259">
        <f>SUMIF('C2-INV'!$Q$11:$Q$1024,2,'C2-INV'!$U$11:$U$1024)</f>
        <v>0</v>
      </c>
      <c r="G17" s="259">
        <f>SUMIF('C2-INV'!$Q$11:$Q$1024,3,'C2-INV'!$U$11:$U$1024)</f>
        <v>0</v>
      </c>
      <c r="H17" s="259">
        <f>SUMIF('C2-INV'!$Q$11:$Q$1024,4,'C2-INV'!$U$11:$U$1024)+SUMIF('C2-INV'!$Q$11:$Q$1024,2,'C2-INV'!$U$11:$U$1024)</f>
        <v>0</v>
      </c>
      <c r="I17" s="259">
        <f>SUMIF('C2-INV'!$Q$11:$Q$1024,5,'C2-INV'!$U$11:$U$1024)</f>
        <v>0</v>
      </c>
      <c r="J17" s="259">
        <f>SUMIF('C2-INV'!$Q$11:$Q$1024,6,'C2-INV'!$U$11:$U$1024)+SUMIF('C2-INV'!$Q$11:$Q$1024,3,'C2-INV'!$U$11:$U$1024)+SUMIF('C2-INV'!$Q$11:$Q$1024,2,'C2-INV'!$U$11:$U$1024)</f>
        <v>9648</v>
      </c>
      <c r="K17" s="259">
        <f>SUMIF('C2-INV'!$Q$11:$Q$1024,7,'C2-INV'!$U$11:$U$1024)</f>
        <v>0</v>
      </c>
      <c r="L17" s="259">
        <f>SUMIF('C2-INV'!$Q$11:$Q$1024,8,'C2-INV'!$U$11:$U$1024)+SUMIF('C2-INV'!$Q$11:$Q$1024,4,'C2-INV'!$U$11:$U$1024)+SUMIF('C2-INV'!$Q$11:$Q$1024,2,'C2-INV'!$U$11:$U$1024)</f>
        <v>0</v>
      </c>
      <c r="M17" s="259">
        <f>SUMIF('C2-INV'!$Q$11:$Q$1024,9,'C2-INV'!$U$11:$U$1024)</f>
        <v>0</v>
      </c>
      <c r="N17" s="259">
        <f>SUMIF('C2-INV'!$Q$11:$Q$1024,10,'C2-INV'!$U$11:$U$1024)+SUMIF('C2-INV'!$Q$11:$Q$1024,5,'C2-INV'!$U$11:$U$1024)</f>
        <v>0</v>
      </c>
      <c r="O17" s="259">
        <f>SUMIF('C2-INV'!$Q$11:$Q$1024,11,'C2-INV'!$U$11:$U$1024)</f>
        <v>0</v>
      </c>
      <c r="P17" s="274">
        <f>SUMIF('C2-INV'!$Q$11:$Q$1024,12,'C2-INV'!$U$11:$U$1024)+SUMIF('C2-INV'!$Q$11:$Q$1024,6,'C2-INV'!$U$11:$U$1024)+SUMIF('C2-INV'!$Q$11:$Q$1024,4,'C2-INV'!$U$11:$U$1024)+SUMIF('C2-INV'!$Q$11:$Q$1024,3,'C2-INV'!$U$11:$U$1024)+SUMIF('C2-INV'!$Q$11:$Q$1024,2,'C2-INV'!$U$11:$U$1024)</f>
        <v>9648</v>
      </c>
      <c r="Q17" s="287"/>
      <c r="R17" s="701"/>
      <c r="S17" s="701"/>
    </row>
    <row r="18" spans="1:19" ht="12.75" customHeight="1">
      <c r="A18" s="818" t="s">
        <v>248</v>
      </c>
      <c r="B18" s="787" t="s">
        <v>338</v>
      </c>
      <c r="C18" s="819"/>
      <c r="D18" s="287"/>
      <c r="E18" s="273"/>
      <c r="F18" s="259"/>
      <c r="G18" s="259"/>
      <c r="H18" s="259"/>
      <c r="I18" s="259"/>
      <c r="J18" s="259"/>
      <c r="K18" s="259"/>
      <c r="L18" s="259"/>
      <c r="M18" s="259"/>
      <c r="N18" s="259"/>
      <c r="O18" s="259"/>
      <c r="P18" s="274"/>
      <c r="Q18" s="287"/>
      <c r="R18" s="701"/>
      <c r="S18" s="701"/>
    </row>
    <row r="19" spans="1:19" ht="3.75" customHeight="1">
      <c r="A19" s="285"/>
      <c r="B19" s="286"/>
      <c r="C19" s="286"/>
      <c r="D19" s="287"/>
      <c r="E19" s="273"/>
      <c r="F19" s="259"/>
      <c r="G19" s="259"/>
      <c r="H19" s="259"/>
      <c r="I19" s="259"/>
      <c r="J19" s="259"/>
      <c r="K19" s="259"/>
      <c r="L19" s="259"/>
      <c r="M19" s="259"/>
      <c r="N19" s="259"/>
      <c r="O19" s="259"/>
      <c r="P19" s="274"/>
      <c r="Q19" s="287"/>
      <c r="R19" s="701"/>
      <c r="S19" s="701"/>
    </row>
    <row r="20" spans="1:19" ht="12.75" customHeight="1">
      <c r="A20" s="820" t="s">
        <v>249</v>
      </c>
      <c r="B20" s="286"/>
      <c r="C20" s="286"/>
      <c r="D20" s="287"/>
      <c r="E20" s="273">
        <f>'C5-FLJO'!L63</f>
        <v>0</v>
      </c>
      <c r="F20" s="259"/>
      <c r="G20" s="259"/>
      <c r="H20" s="259"/>
      <c r="I20" s="259"/>
      <c r="J20" s="259"/>
      <c r="K20" s="259"/>
      <c r="L20" s="259"/>
      <c r="M20" s="259"/>
      <c r="N20" s="259"/>
      <c r="O20" s="259"/>
      <c r="P20" s="274"/>
      <c r="Q20" s="287"/>
      <c r="R20" s="701"/>
      <c r="S20" s="701"/>
    </row>
    <row r="21" spans="1:19" ht="3.75" customHeight="1">
      <c r="A21" s="820"/>
      <c r="B21" s="286"/>
      <c r="C21" s="286"/>
      <c r="D21" s="287"/>
      <c r="E21" s="273"/>
      <c r="F21" s="259"/>
      <c r="G21" s="259"/>
      <c r="H21" s="259"/>
      <c r="I21" s="259"/>
      <c r="J21" s="259"/>
      <c r="K21" s="259"/>
      <c r="L21" s="259"/>
      <c r="M21" s="259"/>
      <c r="N21" s="259"/>
      <c r="O21" s="259"/>
      <c r="P21" s="274"/>
      <c r="Q21" s="287"/>
      <c r="R21" s="701"/>
      <c r="S21" s="701"/>
    </row>
    <row r="22" spans="1:19" ht="12.75" customHeight="1">
      <c r="A22" s="821" t="s">
        <v>250</v>
      </c>
      <c r="B22" s="286" t="s">
        <v>251</v>
      </c>
      <c r="C22" s="286"/>
      <c r="D22" s="287"/>
      <c r="E22" s="277"/>
      <c r="F22" s="275"/>
      <c r="G22" s="275"/>
      <c r="H22" s="275"/>
      <c r="I22" s="275"/>
      <c r="J22" s="275"/>
      <c r="K22" s="275"/>
      <c r="L22" s="275"/>
      <c r="M22" s="275"/>
      <c r="N22" s="275"/>
      <c r="O22" s="275"/>
      <c r="P22" s="276"/>
      <c r="Q22" s="287"/>
      <c r="R22" s="701"/>
      <c r="S22" s="701"/>
    </row>
    <row r="23" spans="1:19" ht="3.75" customHeight="1">
      <c r="A23" s="285"/>
      <c r="B23" s="286"/>
      <c r="C23" s="286"/>
      <c r="D23" s="287"/>
      <c r="E23" s="273"/>
      <c r="F23" s="259"/>
      <c r="G23" s="259"/>
      <c r="H23" s="259"/>
      <c r="I23" s="259"/>
      <c r="J23" s="259"/>
      <c r="K23" s="259"/>
      <c r="L23" s="259"/>
      <c r="M23" s="259"/>
      <c r="N23" s="259"/>
      <c r="O23" s="259"/>
      <c r="P23" s="274"/>
      <c r="Q23" s="287"/>
      <c r="R23" s="701"/>
      <c r="S23" s="701"/>
    </row>
    <row r="24" spans="1:19" s="826" customFormat="1" ht="3" customHeight="1" thickBot="1">
      <c r="A24" s="822"/>
      <c r="B24" s="792"/>
      <c r="C24" s="792"/>
      <c r="D24" s="738"/>
      <c r="E24" s="823"/>
      <c r="F24" s="824"/>
      <c r="G24" s="824"/>
      <c r="H24" s="824"/>
      <c r="I24" s="824"/>
      <c r="J24" s="824"/>
      <c r="K24" s="824"/>
      <c r="L24" s="824"/>
      <c r="M24" s="824"/>
      <c r="N24" s="824"/>
      <c r="O24" s="824"/>
      <c r="P24" s="825"/>
      <c r="Q24" s="738"/>
      <c r="R24" s="700"/>
      <c r="S24" s="700"/>
    </row>
    <row r="25" spans="1:19" s="826" customFormat="1" ht="15.75" customHeight="1" thickTop="1">
      <c r="A25" s="743" t="s">
        <v>252</v>
      </c>
      <c r="B25" s="286"/>
      <c r="C25" s="286"/>
      <c r="D25" s="287"/>
      <c r="E25" s="827">
        <f aca="true" t="shared" si="1" ref="E25:Q25">SUM(E14:E22)</f>
        <v>90816.758</v>
      </c>
      <c r="F25" s="828">
        <f t="shared" si="1"/>
        <v>130866.1152</v>
      </c>
      <c r="G25" s="828">
        <f t="shared" si="1"/>
        <v>73274.97545</v>
      </c>
      <c r="H25" s="828">
        <f t="shared" si="1"/>
        <v>83646.15000000001</v>
      </c>
      <c r="I25" s="828">
        <f t="shared" si="1"/>
        <v>91287.5</v>
      </c>
      <c r="J25" s="828">
        <f t="shared" si="1"/>
        <v>100935.5</v>
      </c>
      <c r="K25" s="828">
        <f t="shared" si="1"/>
        <v>91287.5</v>
      </c>
      <c r="L25" s="828">
        <f t="shared" si="1"/>
        <v>91287.5</v>
      </c>
      <c r="M25" s="828">
        <f t="shared" si="1"/>
        <v>91287.5</v>
      </c>
      <c r="N25" s="828">
        <f t="shared" si="1"/>
        <v>91287.5</v>
      </c>
      <c r="O25" s="828">
        <f t="shared" si="1"/>
        <v>91287.5</v>
      </c>
      <c r="P25" s="829">
        <f t="shared" si="1"/>
        <v>100935.5</v>
      </c>
      <c r="Q25" s="287">
        <f t="shared" si="1"/>
        <v>0</v>
      </c>
      <c r="R25" s="700"/>
      <c r="S25" s="700"/>
    </row>
    <row r="26" spans="1:19" ht="4.5" customHeight="1" thickBot="1">
      <c r="A26" s="791"/>
      <c r="B26" s="698"/>
      <c r="C26" s="698"/>
      <c r="D26" s="738"/>
      <c r="E26" s="823"/>
      <c r="F26" s="824"/>
      <c r="G26" s="824"/>
      <c r="H26" s="824"/>
      <c r="I26" s="824"/>
      <c r="J26" s="824"/>
      <c r="K26" s="824"/>
      <c r="L26" s="824"/>
      <c r="M26" s="824"/>
      <c r="N26" s="824"/>
      <c r="O26" s="824"/>
      <c r="P26" s="825"/>
      <c r="Q26" s="738"/>
      <c r="R26" s="701"/>
      <c r="S26" s="701"/>
    </row>
    <row r="27" spans="1:19" ht="4.5" customHeight="1" thickTop="1">
      <c r="A27" s="298"/>
      <c r="B27" s="147"/>
      <c r="C27" s="147"/>
      <c r="D27" s="287"/>
      <c r="E27" s="273"/>
      <c r="F27" s="259"/>
      <c r="G27" s="259"/>
      <c r="H27" s="259"/>
      <c r="I27" s="259"/>
      <c r="J27" s="259"/>
      <c r="K27" s="259"/>
      <c r="L27" s="259"/>
      <c r="M27" s="259"/>
      <c r="N27" s="259"/>
      <c r="O27" s="259"/>
      <c r="P27" s="274"/>
      <c r="Q27" s="287"/>
      <c r="R27" s="701"/>
      <c r="S27" s="701"/>
    </row>
    <row r="28" spans="1:19" ht="15.75" customHeight="1">
      <c r="A28" s="817" t="s">
        <v>253</v>
      </c>
      <c r="B28" s="147"/>
      <c r="C28" s="147"/>
      <c r="D28" s="287"/>
      <c r="E28" s="273"/>
      <c r="F28" s="259"/>
      <c r="G28" s="259"/>
      <c r="H28" s="259"/>
      <c r="I28" s="259"/>
      <c r="J28" s="259"/>
      <c r="K28" s="259"/>
      <c r="L28" s="259"/>
      <c r="M28" s="259"/>
      <c r="N28" s="259"/>
      <c r="O28" s="259"/>
      <c r="P28" s="274"/>
      <c r="Q28" s="287"/>
      <c r="R28" s="701"/>
      <c r="S28" s="701"/>
    </row>
    <row r="29" spans="1:19" ht="6.75" customHeight="1">
      <c r="A29" s="298"/>
      <c r="B29" s="147"/>
      <c r="C29" s="147"/>
      <c r="D29" s="287"/>
      <c r="E29" s="273"/>
      <c r="F29" s="259"/>
      <c r="G29" s="259"/>
      <c r="H29" s="259"/>
      <c r="I29" s="259"/>
      <c r="J29" s="259"/>
      <c r="K29" s="259"/>
      <c r="L29" s="259"/>
      <c r="M29" s="259"/>
      <c r="N29" s="259"/>
      <c r="O29" s="259"/>
      <c r="P29" s="274"/>
      <c r="Q29" s="287"/>
      <c r="R29" s="701"/>
      <c r="S29" s="701"/>
    </row>
    <row r="30" spans="1:19" ht="12.75" customHeight="1">
      <c r="A30" s="830" t="s">
        <v>254</v>
      </c>
      <c r="B30" s="286"/>
      <c r="C30" s="286"/>
      <c r="D30" s="287"/>
      <c r="E30" s="273">
        <f>'C5-FLJO'!Q39</f>
        <v>58987.77149999997</v>
      </c>
      <c r="F30" s="259">
        <f>'C1-PRODN'!AK20</f>
        <v>30284</v>
      </c>
      <c r="G30" s="259">
        <f>'C1-PRODN'!AK24</f>
        <v>13802</v>
      </c>
      <c r="H30" s="259">
        <f>'C1-PRODN'!AK28</f>
        <v>11926</v>
      </c>
      <c r="I30" s="259">
        <f>'C1-PRODN'!AK32</f>
        <v>9648</v>
      </c>
      <c r="J30" s="259">
        <f>'C1-PRODN'!AK36</f>
        <v>9648</v>
      </c>
      <c r="K30" s="259">
        <f>'C1-PRODN'!AK40</f>
        <v>9648</v>
      </c>
      <c r="L30" s="259">
        <f>'C1-PRODN'!AK44</f>
        <v>9648</v>
      </c>
      <c r="M30" s="259">
        <f>'C1-PRODN'!AK48</f>
        <v>9648</v>
      </c>
      <c r="N30" s="259">
        <f>'C1-PRODN'!AK52</f>
        <v>9648</v>
      </c>
      <c r="O30" s="259">
        <f>'C1-PRODN'!AK56</f>
        <v>9648</v>
      </c>
      <c r="P30" s="278">
        <f>'C1-PRODN'!AK60</f>
        <v>9648</v>
      </c>
      <c r="Q30" s="831"/>
      <c r="R30" s="701"/>
      <c r="S30" s="701"/>
    </row>
    <row r="31" spans="1:19" ht="9.75" customHeight="1">
      <c r="A31" s="285" t="s">
        <v>334</v>
      </c>
      <c r="B31" s="286"/>
      <c r="C31" s="286"/>
      <c r="D31" s="287"/>
      <c r="E31" s="273"/>
      <c r="F31" s="259"/>
      <c r="G31" s="259"/>
      <c r="H31" s="259"/>
      <c r="I31" s="259"/>
      <c r="J31" s="259"/>
      <c r="K31" s="259"/>
      <c r="L31" s="259"/>
      <c r="M31" s="259"/>
      <c r="N31" s="259"/>
      <c r="O31" s="259"/>
      <c r="P31" s="274"/>
      <c r="Q31" s="287"/>
      <c r="R31" s="701"/>
      <c r="S31" s="701"/>
    </row>
    <row r="32" spans="1:19" ht="3.75" customHeight="1">
      <c r="A32" s="832"/>
      <c r="B32" s="286"/>
      <c r="C32" s="286"/>
      <c r="D32" s="287"/>
      <c r="E32" s="273"/>
      <c r="F32" s="259"/>
      <c r="G32" s="259"/>
      <c r="H32" s="259"/>
      <c r="I32" s="259"/>
      <c r="J32" s="259"/>
      <c r="K32" s="259"/>
      <c r="L32" s="259"/>
      <c r="M32" s="259"/>
      <c r="N32" s="259"/>
      <c r="O32" s="259"/>
      <c r="P32" s="274"/>
      <c r="Q32" s="287"/>
      <c r="R32" s="701"/>
      <c r="S32" s="701"/>
    </row>
    <row r="33" spans="1:19" ht="12.75" customHeight="1">
      <c r="A33" s="715" t="s">
        <v>255</v>
      </c>
      <c r="B33" s="286"/>
      <c r="C33" s="286"/>
      <c r="D33" s="287"/>
      <c r="E33" s="273">
        <f>'C3-COST'!K40</f>
        <v>1800</v>
      </c>
      <c r="F33" s="259">
        <f aca="true" t="shared" si="2" ref="F33:N33">E33</f>
        <v>1800</v>
      </c>
      <c r="G33" s="259">
        <f t="shared" si="2"/>
        <v>1800</v>
      </c>
      <c r="H33" s="259">
        <f t="shared" si="2"/>
        <v>1800</v>
      </c>
      <c r="I33" s="259">
        <f t="shared" si="2"/>
        <v>1800</v>
      </c>
      <c r="J33" s="259">
        <f t="shared" si="2"/>
        <v>1800</v>
      </c>
      <c r="K33" s="259">
        <f t="shared" si="2"/>
        <v>1800</v>
      </c>
      <c r="L33" s="259">
        <f t="shared" si="2"/>
        <v>1800</v>
      </c>
      <c r="M33" s="259">
        <f t="shared" si="2"/>
        <v>1800</v>
      </c>
      <c r="N33" s="259">
        <f t="shared" si="2"/>
        <v>1800</v>
      </c>
      <c r="O33" s="259">
        <f>L33</f>
        <v>1800</v>
      </c>
      <c r="P33" s="274">
        <f>O33</f>
        <v>1800</v>
      </c>
      <c r="Q33" s="287"/>
      <c r="R33" s="701"/>
      <c r="S33" s="701"/>
    </row>
    <row r="34" spans="1:19" ht="9.75" customHeight="1">
      <c r="A34" s="833" t="s">
        <v>256</v>
      </c>
      <c r="B34" s="286"/>
      <c r="C34" s="286"/>
      <c r="D34" s="287"/>
      <c r="E34" s="273"/>
      <c r="F34" s="259"/>
      <c r="G34" s="259"/>
      <c r="H34" s="259"/>
      <c r="I34" s="259"/>
      <c r="J34" s="259"/>
      <c r="K34" s="259"/>
      <c r="L34" s="259"/>
      <c r="M34" s="259"/>
      <c r="N34" s="259"/>
      <c r="O34" s="259"/>
      <c r="P34" s="274"/>
      <c r="Q34" s="287"/>
      <c r="R34" s="701"/>
      <c r="S34" s="701"/>
    </row>
    <row r="35" spans="1:19" ht="3.75" customHeight="1">
      <c r="A35" s="833"/>
      <c r="B35" s="286"/>
      <c r="C35" s="286"/>
      <c r="D35" s="287"/>
      <c r="E35" s="273"/>
      <c r="F35" s="259"/>
      <c r="G35" s="259"/>
      <c r="H35" s="259"/>
      <c r="I35" s="259"/>
      <c r="J35" s="259"/>
      <c r="K35" s="259"/>
      <c r="L35" s="259"/>
      <c r="M35" s="259"/>
      <c r="N35" s="259"/>
      <c r="O35" s="259"/>
      <c r="P35" s="274"/>
      <c r="Q35" s="287"/>
      <c r="R35" s="701"/>
      <c r="S35" s="701"/>
    </row>
    <row r="36" spans="1:19" ht="12.75" customHeight="1">
      <c r="A36" s="820" t="s">
        <v>257</v>
      </c>
      <c r="B36" s="286"/>
      <c r="C36" s="286"/>
      <c r="D36" s="287"/>
      <c r="E36" s="273">
        <f>'C2-INV'!T70</f>
        <v>804</v>
      </c>
      <c r="F36" s="259">
        <f aca="true" t="shared" si="3" ref="F36:N36">E36</f>
        <v>804</v>
      </c>
      <c r="G36" s="259">
        <f>F36</f>
        <v>804</v>
      </c>
      <c r="H36" s="259">
        <f t="shared" si="3"/>
        <v>804</v>
      </c>
      <c r="I36" s="259">
        <f t="shared" si="3"/>
        <v>804</v>
      </c>
      <c r="J36" s="259">
        <f t="shared" si="3"/>
        <v>804</v>
      </c>
      <c r="K36" s="259">
        <f t="shared" si="3"/>
        <v>804</v>
      </c>
      <c r="L36" s="259">
        <f t="shared" si="3"/>
        <v>804</v>
      </c>
      <c r="M36" s="259">
        <f t="shared" si="3"/>
        <v>804</v>
      </c>
      <c r="N36" s="259">
        <f t="shared" si="3"/>
        <v>804</v>
      </c>
      <c r="O36" s="259">
        <f>L36</f>
        <v>804</v>
      </c>
      <c r="P36" s="274">
        <f>O36</f>
        <v>804</v>
      </c>
      <c r="Q36" s="287"/>
      <c r="R36" s="701"/>
      <c r="S36" s="701"/>
    </row>
    <row r="37" spans="1:19" ht="9.75" customHeight="1">
      <c r="A37" s="834" t="s">
        <v>336</v>
      </c>
      <c r="B37" s="286"/>
      <c r="C37" s="286"/>
      <c r="D37" s="287"/>
      <c r="E37" s="273"/>
      <c r="F37" s="259"/>
      <c r="G37" s="259"/>
      <c r="H37" s="259"/>
      <c r="I37" s="259"/>
      <c r="J37" s="259"/>
      <c r="K37" s="259"/>
      <c r="L37" s="259"/>
      <c r="M37" s="259"/>
      <c r="N37" s="259"/>
      <c r="O37" s="259"/>
      <c r="P37" s="274"/>
      <c r="Q37" s="287"/>
      <c r="R37" s="701"/>
      <c r="S37" s="701"/>
    </row>
    <row r="38" spans="1:19" ht="3.75" customHeight="1">
      <c r="A38" s="832"/>
      <c r="B38" s="286"/>
      <c r="C38" s="286"/>
      <c r="D38" s="287"/>
      <c r="E38" s="273"/>
      <c r="F38" s="259"/>
      <c r="G38" s="259"/>
      <c r="H38" s="259"/>
      <c r="I38" s="259"/>
      <c r="J38" s="259"/>
      <c r="K38" s="259"/>
      <c r="L38" s="259"/>
      <c r="M38" s="259"/>
      <c r="N38" s="259"/>
      <c r="O38" s="259"/>
      <c r="P38" s="274"/>
      <c r="Q38" s="287"/>
      <c r="R38" s="701"/>
      <c r="S38" s="701"/>
    </row>
    <row r="39" spans="1:19" ht="12.75" customHeight="1">
      <c r="A39" s="820" t="s">
        <v>443</v>
      </c>
      <c r="B39" s="286"/>
      <c r="C39" s="286"/>
      <c r="D39" s="287"/>
      <c r="E39" s="273"/>
      <c r="F39" s="259">
        <f>SUMIF('C2-INV'!$Q$11:$Q$1024,2,'C2-INV'!$L$11:$L$1024)</f>
        <v>0</v>
      </c>
      <c r="G39" s="259">
        <f>SUMIF('C2-INV'!$Q$11:$Q$1024,3,'C2-INV'!$L$11:$L$1024)</f>
        <v>0</v>
      </c>
      <c r="H39" s="259">
        <f>SUMIF('C2-INV'!$Q$11:$Q$1024,4,'C2-INV'!$L$11:$L$1024)+SUMIF('C2-INV'!$Q$11:$Q$1024,2,'C2-INV'!$L$11:$L$1024)</f>
        <v>0</v>
      </c>
      <c r="I39" s="259">
        <f>SUMIF('C2-INV'!$Q$11:$Q$1024,5,'C2-INV'!$L$11:$L$1024)</f>
        <v>0</v>
      </c>
      <c r="J39" s="259">
        <f>SUMIF('C2-INV'!$Q$11:$Q$1024,6,'C2-INV'!$L$11:$L$1024)+SUMIF('C2-INV'!$Q$11:$Q$1024,3,'C2-INV'!$L$11:$L$1024)+SUMIF('C2-INV'!$Q$11:$Q$1024,2,'C2-INV'!$L$11:$L$1024)</f>
        <v>80400</v>
      </c>
      <c r="K39" s="259">
        <f>SUMIF('C2-INV'!$Q$11:$Q$1024,7,'C2-INV'!$L$11:$L$1024)</f>
        <v>0</v>
      </c>
      <c r="L39" s="259">
        <f>SUMIF('C2-INV'!$Q$11:$Q$1024,8,'C2-INV'!$L$11:$L$1024)+SUMIF('C2-INV'!$Q$11:$Q$1024,4,'C2-INV'!$L$11:$L$1024)+SUMIF('C2-INV'!$Q$11:$Q$1024,2,'C2-INV'!$L$11:$L$1024)</f>
        <v>0</v>
      </c>
      <c r="M39" s="259">
        <f>SUMIF('C2-INV'!$Q$11:$Q$1024,9,'C2-INV'!$L$11:$L$1024)</f>
        <v>0</v>
      </c>
      <c r="N39" s="259">
        <f>SUMIF('C2-INV'!$Q$11:$Q$1024,10,'C2-INV'!$L$11:$L$1024)+SUMIF('C2-INV'!$Q$11:$Q$1024,5,'C2-INV'!$L$11:$L$1024)</f>
        <v>0</v>
      </c>
      <c r="O39" s="259">
        <f>SUMIF('C2-INV'!$Q$11:$Q$1024,11,'C2-INV'!$L$11:$L$1024)</f>
        <v>0</v>
      </c>
      <c r="P39" s="274">
        <f>SUMIF('C2-INV'!$Q$11:$Q$1024,12,'C2-INV'!$L$11:$L$1024)+SUMIF('C2-INV'!$Q$11:$Q$1024,6,'C2-INV'!$L$11:$L$1024)+SUMIF('C2-INV'!$Q$11:$Q$1024,4,'C2-INV'!$L$11:$L$1024)+SUMIF('C2-INV'!$Q$11:$Q$1024,3,'C2-INV'!$L$11:$L$1024)+SUMIF('C2-INV'!$Q$11:$Q$1024,2,'C2-INV'!$L$11:$L$1024)</f>
        <v>80400</v>
      </c>
      <c r="Q39" s="287"/>
      <c r="R39" s="701"/>
      <c r="S39" s="701"/>
    </row>
    <row r="40" spans="1:19" ht="9.75" customHeight="1">
      <c r="A40" s="833" t="s">
        <v>337</v>
      </c>
      <c r="B40" s="787"/>
      <c r="C40" s="787"/>
      <c r="D40" s="287"/>
      <c r="E40" s="273"/>
      <c r="F40" s="259"/>
      <c r="G40" s="259"/>
      <c r="H40" s="259"/>
      <c r="I40" s="259"/>
      <c r="J40" s="259"/>
      <c r="K40" s="259"/>
      <c r="L40" s="259"/>
      <c r="M40" s="259"/>
      <c r="N40" s="259"/>
      <c r="O40" s="259"/>
      <c r="P40" s="274"/>
      <c r="Q40" s="287"/>
      <c r="R40" s="701"/>
      <c r="S40" s="701"/>
    </row>
    <row r="41" spans="1:19" ht="4.5" customHeight="1" thickBot="1">
      <c r="A41" s="835"/>
      <c r="B41" s="792"/>
      <c r="C41" s="792"/>
      <c r="D41" s="738"/>
      <c r="E41" s="823"/>
      <c r="F41" s="824"/>
      <c r="G41" s="824"/>
      <c r="H41" s="824"/>
      <c r="I41" s="824"/>
      <c r="J41" s="824"/>
      <c r="K41" s="824"/>
      <c r="L41" s="824"/>
      <c r="M41" s="824"/>
      <c r="N41" s="824"/>
      <c r="O41" s="824"/>
      <c r="P41" s="825"/>
      <c r="Q41" s="738"/>
      <c r="R41" s="701"/>
      <c r="S41" s="701"/>
    </row>
    <row r="42" spans="1:19" ht="4.5" customHeight="1" thickTop="1">
      <c r="A42" s="832"/>
      <c r="B42" s="286"/>
      <c r="C42" s="286"/>
      <c r="D42" s="287"/>
      <c r="E42" s="273"/>
      <c r="F42" s="259"/>
      <c r="G42" s="259"/>
      <c r="H42" s="259"/>
      <c r="I42" s="259"/>
      <c r="J42" s="259"/>
      <c r="K42" s="259"/>
      <c r="L42" s="259"/>
      <c r="M42" s="259"/>
      <c r="N42" s="259"/>
      <c r="O42" s="259"/>
      <c r="P42" s="274"/>
      <c r="Q42" s="287"/>
      <c r="R42" s="701"/>
      <c r="S42" s="701"/>
    </row>
    <row r="43" spans="1:19" ht="13.5" customHeight="1">
      <c r="A43" s="830" t="s">
        <v>258</v>
      </c>
      <c r="B43" s="286"/>
      <c r="C43" s="286"/>
      <c r="D43" s="287"/>
      <c r="E43" s="827">
        <f aca="true" t="shared" si="4" ref="E43:P43">SUM(E30:E40)</f>
        <v>61591.77149999997</v>
      </c>
      <c r="F43" s="828">
        <f t="shared" si="4"/>
        <v>32888</v>
      </c>
      <c r="G43" s="828">
        <f t="shared" si="4"/>
        <v>16406</v>
      </c>
      <c r="H43" s="828">
        <f t="shared" si="4"/>
        <v>14530</v>
      </c>
      <c r="I43" s="828">
        <f t="shared" si="4"/>
        <v>12252</v>
      </c>
      <c r="J43" s="828">
        <f t="shared" si="4"/>
        <v>92652</v>
      </c>
      <c r="K43" s="828">
        <f t="shared" si="4"/>
        <v>12252</v>
      </c>
      <c r="L43" s="828">
        <f t="shared" si="4"/>
        <v>12252</v>
      </c>
      <c r="M43" s="828">
        <f t="shared" si="4"/>
        <v>12252</v>
      </c>
      <c r="N43" s="828">
        <f t="shared" si="4"/>
        <v>12252</v>
      </c>
      <c r="O43" s="828">
        <f t="shared" si="4"/>
        <v>12252</v>
      </c>
      <c r="P43" s="829">
        <f t="shared" si="4"/>
        <v>92652</v>
      </c>
      <c r="Q43" s="287"/>
      <c r="R43" s="701"/>
      <c r="S43" s="701"/>
    </row>
    <row r="44" spans="1:19" ht="5.25" customHeight="1" thickBot="1">
      <c r="A44" s="836"/>
      <c r="B44" s="698"/>
      <c r="C44" s="698"/>
      <c r="D44" s="738"/>
      <c r="E44" s="823"/>
      <c r="F44" s="824"/>
      <c r="G44" s="824"/>
      <c r="H44" s="824"/>
      <c r="I44" s="824"/>
      <c r="J44" s="824"/>
      <c r="K44" s="824"/>
      <c r="L44" s="824"/>
      <c r="M44" s="824"/>
      <c r="N44" s="824"/>
      <c r="O44" s="824"/>
      <c r="P44" s="825"/>
      <c r="Q44" s="738"/>
      <c r="R44" s="701"/>
      <c r="S44" s="701"/>
    </row>
    <row r="45" spans="1:19" ht="8.25" customHeight="1" thickTop="1">
      <c r="A45" s="830"/>
      <c r="B45" s="147"/>
      <c r="C45" s="147"/>
      <c r="D45" s="287"/>
      <c r="E45" s="128"/>
      <c r="F45" s="129"/>
      <c r="G45" s="129"/>
      <c r="H45" s="129"/>
      <c r="I45" s="129"/>
      <c r="J45" s="129"/>
      <c r="K45" s="129"/>
      <c r="L45" s="129"/>
      <c r="M45" s="129"/>
      <c r="N45" s="129"/>
      <c r="O45" s="129"/>
      <c r="P45" s="130"/>
      <c r="Q45" s="287"/>
      <c r="R45" s="701"/>
      <c r="S45" s="701"/>
    </row>
    <row r="46" spans="1:19" ht="13.5" customHeight="1">
      <c r="A46" s="830" t="s">
        <v>259</v>
      </c>
      <c r="B46" s="147"/>
      <c r="C46" s="147"/>
      <c r="D46" s="287"/>
      <c r="E46" s="827">
        <f aca="true" t="shared" si="5" ref="E46:P46">E25-E43</f>
        <v>29224.986500000028</v>
      </c>
      <c r="F46" s="828">
        <f t="shared" si="5"/>
        <v>97978.1152</v>
      </c>
      <c r="G46" s="828">
        <f t="shared" si="5"/>
        <v>56868.97545</v>
      </c>
      <c r="H46" s="828">
        <f t="shared" si="5"/>
        <v>69116.15000000001</v>
      </c>
      <c r="I46" s="828">
        <f t="shared" si="5"/>
        <v>79035.5</v>
      </c>
      <c r="J46" s="828">
        <f t="shared" si="5"/>
        <v>8283.5</v>
      </c>
      <c r="K46" s="828">
        <f t="shared" si="5"/>
        <v>79035.5</v>
      </c>
      <c r="L46" s="828">
        <f t="shared" si="5"/>
        <v>79035.5</v>
      </c>
      <c r="M46" s="828">
        <f t="shared" si="5"/>
        <v>79035.5</v>
      </c>
      <c r="N46" s="828">
        <f t="shared" si="5"/>
        <v>79035.5</v>
      </c>
      <c r="O46" s="828">
        <f t="shared" si="5"/>
        <v>79035.5</v>
      </c>
      <c r="P46" s="829">
        <f t="shared" si="5"/>
        <v>8283.5</v>
      </c>
      <c r="Q46" s="287"/>
      <c r="R46" s="701"/>
      <c r="S46" s="701"/>
    </row>
    <row r="47" spans="1:19" ht="10.5" customHeight="1">
      <c r="A47" s="830"/>
      <c r="B47" s="286" t="s">
        <v>260</v>
      </c>
      <c r="C47" s="286"/>
      <c r="D47" s="287"/>
      <c r="E47" s="273"/>
      <c r="F47" s="259"/>
      <c r="G47" s="259"/>
      <c r="H47" s="259"/>
      <c r="I47" s="259"/>
      <c r="J47" s="259"/>
      <c r="K47" s="259"/>
      <c r="L47" s="259"/>
      <c r="M47" s="259"/>
      <c r="N47" s="259"/>
      <c r="O47" s="259"/>
      <c r="P47" s="274"/>
      <c r="Q47" s="287"/>
      <c r="R47" s="701"/>
      <c r="S47" s="701"/>
    </row>
    <row r="48" spans="1:19" ht="4.5" customHeight="1" thickBot="1">
      <c r="A48" s="836"/>
      <c r="B48" s="698"/>
      <c r="C48" s="698"/>
      <c r="D48" s="738"/>
      <c r="E48" s="837"/>
      <c r="F48" s="838"/>
      <c r="G48" s="838"/>
      <c r="H48" s="838"/>
      <c r="I48" s="838"/>
      <c r="J48" s="838"/>
      <c r="K48" s="838"/>
      <c r="L48" s="838"/>
      <c r="M48" s="838"/>
      <c r="N48" s="838"/>
      <c r="O48" s="838"/>
      <c r="P48" s="839"/>
      <c r="Q48" s="738"/>
      <c r="R48" s="701"/>
      <c r="S48" s="701"/>
    </row>
    <row r="49" spans="1:19" ht="17.25" customHeight="1" thickTop="1">
      <c r="A49" s="840" t="s">
        <v>261</v>
      </c>
      <c r="B49" s="147"/>
      <c r="C49" s="147"/>
      <c r="D49" s="287"/>
      <c r="E49" s="128"/>
      <c r="F49" s="129"/>
      <c r="G49" s="129"/>
      <c r="H49" s="129"/>
      <c r="I49" s="129"/>
      <c r="J49" s="129"/>
      <c r="K49" s="129"/>
      <c r="L49" s="129"/>
      <c r="M49" s="129"/>
      <c r="N49" s="129"/>
      <c r="O49" s="129"/>
      <c r="P49" s="130"/>
      <c r="Q49" s="287"/>
      <c r="R49" s="701"/>
      <c r="S49" s="701"/>
    </row>
    <row r="50" spans="1:19" ht="15" customHeight="1">
      <c r="A50" s="715" t="s">
        <v>262</v>
      </c>
      <c r="B50" s="147"/>
      <c r="C50" s="147"/>
      <c r="D50" s="287"/>
      <c r="E50" s="841">
        <f>IF(E43&gt;0,('C6-CRED'!F13*'C6-CRED'!L13*'C6-CRED'!G13)," ")</f>
        <v>0</v>
      </c>
      <c r="F50" s="842">
        <f>IF(E59&gt;E50,0,E50)</f>
        <v>0</v>
      </c>
      <c r="G50" s="842"/>
      <c r="H50" s="842"/>
      <c r="I50" s="842"/>
      <c r="J50" s="842"/>
      <c r="K50" s="842"/>
      <c r="L50" s="842"/>
      <c r="M50" s="842"/>
      <c r="N50" s="842"/>
      <c r="O50" s="842"/>
      <c r="P50" s="843"/>
      <c r="Q50" s="282"/>
      <c r="R50" s="701"/>
      <c r="S50" s="701"/>
    </row>
    <row r="51" spans="1:19" ht="18" customHeight="1">
      <c r="A51" s="715" t="s">
        <v>428</v>
      </c>
      <c r="B51" s="147"/>
      <c r="C51" s="147"/>
      <c r="D51" s="287"/>
      <c r="E51" s="844">
        <f>'C6-CRED'!E28</f>
        <v>0</v>
      </c>
      <c r="F51" s="844" t="e">
        <f>'C6-CRED'!E29</f>
        <v>#DIV/0!</v>
      </c>
      <c r="G51" s="844" t="e">
        <f>'C6-CRED'!E30</f>
        <v>#DIV/0!</v>
      </c>
      <c r="H51" s="844">
        <f>'C6-CRED'!E31</f>
        <v>0</v>
      </c>
      <c r="I51" s="844">
        <f>'C6-CRED'!E32</f>
        <v>0</v>
      </c>
      <c r="J51" s="844">
        <f>'C6-CRED'!E33</f>
        <v>0</v>
      </c>
      <c r="K51" s="845">
        <f>'C6-CRED'!E34</f>
        <v>0</v>
      </c>
      <c r="L51" s="844">
        <f>'C6-CRED'!E35</f>
        <v>0</v>
      </c>
      <c r="M51" s="844">
        <f>'C6-CRED'!E36</f>
        <v>0</v>
      </c>
      <c r="N51" s="844">
        <f>'C6-CRED'!E37</f>
        <v>0</v>
      </c>
      <c r="O51" s="844">
        <f>'C6-CRED'!E38</f>
        <v>0</v>
      </c>
      <c r="P51" s="846">
        <f>'C6-CRED'!E39</f>
        <v>0</v>
      </c>
      <c r="Q51" s="847"/>
      <c r="R51" s="701"/>
      <c r="S51" s="701"/>
    </row>
    <row r="52" spans="1:19" ht="18" customHeight="1">
      <c r="A52" s="715" t="s">
        <v>429</v>
      </c>
      <c r="B52" s="147"/>
      <c r="C52" s="147"/>
      <c r="D52" s="287"/>
      <c r="E52" s="848" t="str">
        <f>'C6-CRED'!$K28</f>
        <v> </v>
      </c>
      <c r="F52" s="849" t="str">
        <f>'C6-CRED'!$K29</f>
        <v> </v>
      </c>
      <c r="G52" s="849" t="str">
        <f>'C6-CRED'!$K30</f>
        <v> </v>
      </c>
      <c r="H52" s="849">
        <f>'C6-CRED'!$K31</f>
        <v>0</v>
      </c>
      <c r="I52" s="849">
        <f>'C6-CRED'!$K32</f>
        <v>0</v>
      </c>
      <c r="J52" s="849">
        <f>'C6-CRED'!$K33</f>
        <v>0</v>
      </c>
      <c r="K52" s="849"/>
      <c r="L52" s="849"/>
      <c r="M52" s="849"/>
      <c r="N52" s="849"/>
      <c r="O52" s="849"/>
      <c r="P52" s="850"/>
      <c r="Q52" s="287"/>
      <c r="R52" s="701"/>
      <c r="S52" s="701"/>
    </row>
    <row r="53" spans="1:19" ht="5.25" customHeight="1" thickBot="1">
      <c r="A53" s="851"/>
      <c r="B53" s="698"/>
      <c r="C53" s="698"/>
      <c r="D53" s="738"/>
      <c r="E53" s="837"/>
      <c r="F53" s="838"/>
      <c r="G53" s="838"/>
      <c r="H53" s="838"/>
      <c r="I53" s="838"/>
      <c r="J53" s="838"/>
      <c r="K53" s="838"/>
      <c r="L53" s="838"/>
      <c r="M53" s="838"/>
      <c r="N53" s="838"/>
      <c r="O53" s="838"/>
      <c r="P53" s="839"/>
      <c r="Q53" s="738"/>
      <c r="R53" s="701"/>
      <c r="S53" s="701"/>
    </row>
    <row r="54" spans="1:19" ht="5.25" customHeight="1" thickTop="1">
      <c r="A54" s="821"/>
      <c r="B54" s="147"/>
      <c r="C54" s="147"/>
      <c r="D54" s="287"/>
      <c r="E54" s="128"/>
      <c r="F54" s="129"/>
      <c r="G54" s="129"/>
      <c r="H54" s="129"/>
      <c r="I54" s="129"/>
      <c r="J54" s="129"/>
      <c r="K54" s="129"/>
      <c r="L54" s="129"/>
      <c r="M54" s="129"/>
      <c r="N54" s="129"/>
      <c r="O54" s="129"/>
      <c r="P54" s="130"/>
      <c r="Q54" s="287"/>
      <c r="R54" s="701"/>
      <c r="S54" s="701"/>
    </row>
    <row r="55" spans="1:19" ht="14.25" customHeight="1">
      <c r="A55" s="715" t="s">
        <v>263</v>
      </c>
      <c r="B55" s="147"/>
      <c r="C55" s="147"/>
      <c r="D55" s="287"/>
      <c r="E55" s="852">
        <f aca="true" t="shared" si="6" ref="E55:P55">SUM(E50:E54)</f>
        <v>0</v>
      </c>
      <c r="F55" s="853" t="e">
        <f t="shared" si="6"/>
        <v>#DIV/0!</v>
      </c>
      <c r="G55" s="853" t="e">
        <f t="shared" si="6"/>
        <v>#DIV/0!</v>
      </c>
      <c r="H55" s="853">
        <f t="shared" si="6"/>
        <v>0</v>
      </c>
      <c r="I55" s="853">
        <f t="shared" si="6"/>
        <v>0</v>
      </c>
      <c r="J55" s="853">
        <f t="shared" si="6"/>
        <v>0</v>
      </c>
      <c r="K55" s="853">
        <f t="shared" si="6"/>
        <v>0</v>
      </c>
      <c r="L55" s="853">
        <f t="shared" si="6"/>
        <v>0</v>
      </c>
      <c r="M55" s="853">
        <f t="shared" si="6"/>
        <v>0</v>
      </c>
      <c r="N55" s="853">
        <f t="shared" si="6"/>
        <v>0</v>
      </c>
      <c r="O55" s="853">
        <f t="shared" si="6"/>
        <v>0</v>
      </c>
      <c r="P55" s="854">
        <f t="shared" si="6"/>
        <v>0</v>
      </c>
      <c r="Q55" s="287"/>
      <c r="R55" s="701"/>
      <c r="S55" s="701"/>
    </row>
    <row r="56" spans="1:19" ht="4.5" customHeight="1" thickBot="1">
      <c r="A56" s="851"/>
      <c r="B56" s="698"/>
      <c r="C56" s="698"/>
      <c r="D56" s="738"/>
      <c r="E56" s="855"/>
      <c r="F56" s="856"/>
      <c r="G56" s="856"/>
      <c r="H56" s="856"/>
      <c r="I56" s="856"/>
      <c r="J56" s="856"/>
      <c r="K56" s="856"/>
      <c r="L56" s="856"/>
      <c r="M56" s="856"/>
      <c r="N56" s="856"/>
      <c r="O56" s="856"/>
      <c r="P56" s="857"/>
      <c r="Q56" s="738"/>
      <c r="R56" s="701"/>
      <c r="S56" s="701"/>
    </row>
    <row r="57" spans="1:19" ht="4.5" customHeight="1" thickTop="1">
      <c r="A57" s="858"/>
      <c r="B57" s="147"/>
      <c r="C57" s="147"/>
      <c r="D57" s="287"/>
      <c r="E57" s="128"/>
      <c r="F57" s="129"/>
      <c r="G57" s="129"/>
      <c r="H57" s="129"/>
      <c r="I57" s="129"/>
      <c r="J57" s="129"/>
      <c r="K57" s="129"/>
      <c r="L57" s="129"/>
      <c r="M57" s="129"/>
      <c r="N57" s="129"/>
      <c r="O57" s="129"/>
      <c r="P57" s="267"/>
      <c r="Q57" s="287"/>
      <c r="R57" s="701"/>
      <c r="S57" s="701"/>
    </row>
    <row r="58" spans="1:19" ht="12.75" customHeight="1">
      <c r="A58" s="840" t="s">
        <v>264</v>
      </c>
      <c r="B58" s="147"/>
      <c r="C58" s="147"/>
      <c r="D58" s="287"/>
      <c r="E58" s="852"/>
      <c r="F58" s="859"/>
      <c r="G58" s="859"/>
      <c r="H58" s="859"/>
      <c r="I58" s="859"/>
      <c r="J58" s="859"/>
      <c r="K58" s="859"/>
      <c r="L58" s="853"/>
      <c r="M58" s="853"/>
      <c r="N58" s="853"/>
      <c r="O58" s="853"/>
      <c r="P58" s="854"/>
      <c r="Q58" s="287"/>
      <c r="R58" s="701"/>
      <c r="S58" s="701"/>
    </row>
    <row r="59" spans="1:19" ht="18" customHeight="1">
      <c r="A59" s="840" t="s">
        <v>265</v>
      </c>
      <c r="B59" s="147"/>
      <c r="C59" s="147"/>
      <c r="D59" s="287"/>
      <c r="E59" s="852">
        <f aca="true" t="shared" si="7" ref="E59:P59">E46-E55</f>
        <v>29224.986500000028</v>
      </c>
      <c r="F59" s="853" t="e">
        <f t="shared" si="7"/>
        <v>#DIV/0!</v>
      </c>
      <c r="G59" s="853" t="e">
        <f t="shared" si="7"/>
        <v>#DIV/0!</v>
      </c>
      <c r="H59" s="853">
        <f t="shared" si="7"/>
        <v>69116.15000000001</v>
      </c>
      <c r="I59" s="853">
        <f t="shared" si="7"/>
        <v>79035.5</v>
      </c>
      <c r="J59" s="853">
        <f t="shared" si="7"/>
        <v>8283.5</v>
      </c>
      <c r="K59" s="853">
        <f t="shared" si="7"/>
        <v>79035.5</v>
      </c>
      <c r="L59" s="853">
        <f t="shared" si="7"/>
        <v>79035.5</v>
      </c>
      <c r="M59" s="853">
        <f t="shared" si="7"/>
        <v>79035.5</v>
      </c>
      <c r="N59" s="853">
        <f t="shared" si="7"/>
        <v>79035.5</v>
      </c>
      <c r="O59" s="853">
        <f t="shared" si="7"/>
        <v>79035.5</v>
      </c>
      <c r="P59" s="860">
        <f t="shared" si="7"/>
        <v>8283.5</v>
      </c>
      <c r="Q59" s="287"/>
      <c r="R59" s="701"/>
      <c r="S59" s="701"/>
    </row>
    <row r="60" spans="1:19" ht="6.75" customHeight="1" thickBot="1">
      <c r="A60" s="861"/>
      <c r="B60" s="698"/>
      <c r="C60" s="698"/>
      <c r="D60" s="738"/>
      <c r="E60" s="735"/>
      <c r="F60" s="862"/>
      <c r="G60" s="862"/>
      <c r="H60" s="862"/>
      <c r="I60" s="862"/>
      <c r="J60" s="862"/>
      <c r="K60" s="862"/>
      <c r="L60" s="862"/>
      <c r="M60" s="862"/>
      <c r="N60" s="862"/>
      <c r="O60" s="862"/>
      <c r="P60" s="698"/>
      <c r="Q60" s="738"/>
      <c r="R60" s="701"/>
      <c r="S60" s="701"/>
    </row>
    <row r="61" spans="1:19" ht="9.75" customHeight="1" thickTop="1">
      <c r="A61" s="701"/>
      <c r="B61" s="701"/>
      <c r="C61" s="701"/>
      <c r="D61" s="701"/>
      <c r="E61" s="220">
        <f>IF(E59&lt;0,1,0)</f>
        <v>0</v>
      </c>
      <c r="F61" s="220" t="e">
        <f aca="true" t="shared" si="8" ref="F61:P61">IF(F59&lt;0,1,0)</f>
        <v>#DIV/0!</v>
      </c>
      <c r="G61" s="220" t="e">
        <f t="shared" si="8"/>
        <v>#DIV/0!</v>
      </c>
      <c r="H61" s="220">
        <f t="shared" si="8"/>
        <v>0</v>
      </c>
      <c r="I61" s="220">
        <f t="shared" si="8"/>
        <v>0</v>
      </c>
      <c r="J61" s="220">
        <f t="shared" si="8"/>
        <v>0</v>
      </c>
      <c r="K61" s="220">
        <f t="shared" si="8"/>
        <v>0</v>
      </c>
      <c r="L61" s="220">
        <f t="shared" si="8"/>
        <v>0</v>
      </c>
      <c r="M61" s="220">
        <f t="shared" si="8"/>
        <v>0</v>
      </c>
      <c r="N61" s="220">
        <f t="shared" si="8"/>
        <v>0</v>
      </c>
      <c r="O61" s="220">
        <f t="shared" si="8"/>
        <v>0</v>
      </c>
      <c r="P61" s="220">
        <f t="shared" si="8"/>
        <v>0</v>
      </c>
      <c r="Q61" s="701"/>
      <c r="R61" s="701"/>
      <c r="S61" s="701"/>
    </row>
    <row r="62" spans="1:19" ht="12.75">
      <c r="A62" s="701"/>
      <c r="B62" s="701"/>
      <c r="C62" s="701"/>
      <c r="D62" s="863" t="s">
        <v>369</v>
      </c>
      <c r="E62" s="220" t="e">
        <f>SUM(E61:Q61)</f>
        <v>#DIV/0!</v>
      </c>
      <c r="F62" s="701"/>
      <c r="G62" s="701"/>
      <c r="H62" s="701"/>
      <c r="I62" s="701"/>
      <c r="J62" s="701"/>
      <c r="K62" s="701"/>
      <c r="L62" s="701"/>
      <c r="M62" s="701"/>
      <c r="N62" s="701"/>
      <c r="O62" s="701"/>
      <c r="P62" s="701"/>
      <c r="Q62" s="701"/>
      <c r="R62" s="701"/>
      <c r="S62" s="701"/>
    </row>
    <row r="63" spans="1:19" ht="12.75">
      <c r="A63" s="701"/>
      <c r="B63" s="701"/>
      <c r="C63" s="701"/>
      <c r="D63" s="701"/>
      <c r="E63" s="701"/>
      <c r="F63" s="701"/>
      <c r="G63" s="701"/>
      <c r="H63" s="701"/>
      <c r="I63" s="701"/>
      <c r="J63" s="701"/>
      <c r="K63" s="701"/>
      <c r="L63" s="701"/>
      <c r="M63" s="701"/>
      <c r="N63" s="701"/>
      <c r="O63" s="701"/>
      <c r="P63" s="701"/>
      <c r="Q63" s="701"/>
      <c r="R63" s="701"/>
      <c r="S63" s="701"/>
    </row>
    <row r="64" spans="1:19" ht="12.75">
      <c r="A64" s="701"/>
      <c r="B64" s="701"/>
      <c r="C64" s="701"/>
      <c r="D64" s="701"/>
      <c r="E64" s="701"/>
      <c r="F64" s="701"/>
      <c r="G64" s="701"/>
      <c r="H64" s="701"/>
      <c r="I64" s="701"/>
      <c r="J64" s="701"/>
      <c r="K64" s="701"/>
      <c r="L64" s="701"/>
      <c r="M64" s="701"/>
      <c r="N64" s="701"/>
      <c r="O64" s="701"/>
      <c r="P64" s="701"/>
      <c r="Q64" s="701"/>
      <c r="R64" s="701"/>
      <c r="S64" s="701"/>
    </row>
    <row r="65" spans="1:19" ht="12.75">
      <c r="A65" s="701"/>
      <c r="B65" s="701"/>
      <c r="C65" s="701"/>
      <c r="D65" s="701"/>
      <c r="E65" s="701"/>
      <c r="F65" s="701"/>
      <c r="G65" s="701"/>
      <c r="H65" s="701"/>
      <c r="I65" s="701"/>
      <c r="J65" s="701"/>
      <c r="K65" s="701"/>
      <c r="L65" s="701"/>
      <c r="M65" s="701"/>
      <c r="N65" s="701"/>
      <c r="O65" s="701"/>
      <c r="P65" s="701"/>
      <c r="Q65" s="701"/>
      <c r="R65" s="701"/>
      <c r="S65" s="701"/>
    </row>
    <row r="69" ht="12.75">
      <c r="E69" s="864"/>
    </row>
  </sheetData>
  <sheetProtection password="CB61" sheet="1" objects="1" scenarios="1"/>
  <mergeCells count="1">
    <mergeCell ref="G1:I1"/>
  </mergeCells>
  <printOptions horizontalCentered="1"/>
  <pageMargins left="0.3937007874015748" right="0.3937007874015748" top="0.3937007874015748" bottom="0.3937007874015748" header="0.11811023622047245" footer="0.11811023622047245"/>
  <pageSetup fitToHeight="1" fitToWidth="1" horizontalDpi="600" verticalDpi="600" orientation="landscape" scale="78"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S59"/>
  <sheetViews>
    <sheetView showGridLines="0" zoomScale="75" zoomScaleNormal="75" workbookViewId="0" topLeftCell="A1">
      <pane ySplit="1275" topLeftCell="BM24" activePane="bottomLeft" state="split"/>
      <selection pane="topLeft" activeCell="A1" sqref="A1"/>
      <selection pane="bottomLeft" activeCell="N57" sqref="N57"/>
    </sheetView>
  </sheetViews>
  <sheetFormatPr defaultColWidth="11.421875" defaultRowHeight="12.75"/>
  <cols>
    <col min="1" max="1" width="3.8515625" style="702" customWidth="1"/>
    <col min="2" max="2" width="11.8515625" style="702" customWidth="1"/>
    <col min="3" max="3" width="23.00390625" style="702" customWidth="1"/>
    <col min="4" max="4" width="0.9921875" style="702" customWidth="1"/>
    <col min="5" max="5" width="15.140625" style="702" customWidth="1"/>
    <col min="6" max="16" width="10.7109375" style="702" customWidth="1"/>
    <col min="17" max="17" width="0.85546875" style="702" customWidth="1"/>
    <col min="18" max="18" width="8.8515625" style="702" customWidth="1"/>
    <col min="19" max="19" width="2.7109375" style="702" customWidth="1"/>
    <col min="20" max="20" width="8.8515625" style="702" customWidth="1"/>
    <col min="21" max="21" width="2.7109375" style="702" customWidth="1"/>
    <col min="22" max="16384" width="8.8515625" style="702" customWidth="1"/>
  </cols>
  <sheetData>
    <row r="1" spans="1:19" ht="17.25" thickBot="1" thickTop="1">
      <c r="A1" s="920" t="s">
        <v>541</v>
      </c>
      <c r="B1" s="700"/>
      <c r="C1" s="700"/>
      <c r="D1" s="700"/>
      <c r="E1" s="700"/>
      <c r="F1" s="701"/>
      <c r="G1" s="972" t="s">
        <v>471</v>
      </c>
      <c r="H1" s="973"/>
      <c r="I1" s="974"/>
      <c r="J1" s="701"/>
      <c r="K1" s="701"/>
      <c r="L1" s="701"/>
      <c r="M1" s="701"/>
      <c r="N1" s="701"/>
      <c r="O1" s="701"/>
      <c r="P1" s="703" t="s">
        <v>266</v>
      </c>
      <c r="Q1" s="701"/>
      <c r="R1" s="701"/>
      <c r="S1" s="701"/>
    </row>
    <row r="2" spans="1:19" ht="12.75" customHeight="1" thickTop="1">
      <c r="A2" s="701"/>
      <c r="B2" s="701"/>
      <c r="C2" s="701"/>
      <c r="D2" s="701"/>
      <c r="E2" s="701"/>
      <c r="F2" s="701"/>
      <c r="G2" s="701"/>
      <c r="H2" s="701"/>
      <c r="I2" s="701"/>
      <c r="J2" s="701"/>
      <c r="K2" s="701"/>
      <c r="L2" s="701"/>
      <c r="M2" s="701"/>
      <c r="N2" s="701"/>
      <c r="O2" s="701"/>
      <c r="P2" s="701"/>
      <c r="Q2" s="701"/>
      <c r="R2" s="701"/>
      <c r="S2" s="701"/>
    </row>
    <row r="3" spans="1:19" ht="12.75" customHeight="1">
      <c r="A3" s="700"/>
      <c r="B3" s="700"/>
      <c r="C3" s="700"/>
      <c r="D3" s="700"/>
      <c r="E3" s="700"/>
      <c r="F3" s="700"/>
      <c r="G3" s="700"/>
      <c r="H3" s="700"/>
      <c r="I3" s="700"/>
      <c r="J3" s="701"/>
      <c r="K3" s="701"/>
      <c r="L3" s="701"/>
      <c r="M3" s="701"/>
      <c r="N3" s="701"/>
      <c r="O3" s="701"/>
      <c r="P3" s="701"/>
      <c r="Q3" s="701"/>
      <c r="R3" s="701"/>
      <c r="S3" s="701"/>
    </row>
    <row r="4" spans="1:19" ht="17.25" customHeight="1">
      <c r="A4" s="704"/>
      <c r="B4" s="812" t="s">
        <v>267</v>
      </c>
      <c r="C4" s="812"/>
      <c r="D4" s="813" t="s">
        <v>268</v>
      </c>
      <c r="E4" s="865" t="s">
        <v>269</v>
      </c>
      <c r="F4" s="701"/>
      <c r="G4" s="701"/>
      <c r="H4" s="700"/>
      <c r="I4" s="700"/>
      <c r="J4" s="701"/>
      <c r="K4" s="701"/>
      <c r="L4" s="701"/>
      <c r="M4" s="701"/>
      <c r="N4" s="701"/>
      <c r="O4" s="701"/>
      <c r="P4" s="701"/>
      <c r="Q4" s="701"/>
      <c r="R4" s="701"/>
      <c r="S4" s="701"/>
    </row>
    <row r="5" spans="1:19" ht="12.75" customHeight="1">
      <c r="A5" s="700"/>
      <c r="B5" s="700"/>
      <c r="C5" s="700"/>
      <c r="D5" s="700"/>
      <c r="E5" s="700"/>
      <c r="F5" s="700"/>
      <c r="G5" s="700"/>
      <c r="H5" s="700"/>
      <c r="I5" s="700"/>
      <c r="J5" s="701"/>
      <c r="K5" s="701"/>
      <c r="L5" s="701"/>
      <c r="M5" s="701"/>
      <c r="N5" s="701"/>
      <c r="O5" s="701"/>
      <c r="P5" s="701"/>
      <c r="Q5" s="701"/>
      <c r="R5" s="701"/>
      <c r="S5" s="701"/>
    </row>
    <row r="6" spans="1:19" ht="13.5" customHeight="1" thickBot="1">
      <c r="A6" s="701"/>
      <c r="B6" s="701"/>
      <c r="C6" s="701"/>
      <c r="D6" s="701"/>
      <c r="E6" s="701"/>
      <c r="F6" s="701"/>
      <c r="G6" s="701"/>
      <c r="H6" s="701"/>
      <c r="I6" s="701"/>
      <c r="J6" s="701"/>
      <c r="K6" s="701"/>
      <c r="L6" s="701"/>
      <c r="M6" s="701"/>
      <c r="N6" s="701"/>
      <c r="O6" s="701"/>
      <c r="P6" s="701"/>
      <c r="Q6" s="701"/>
      <c r="R6" s="701"/>
      <c r="S6" s="701"/>
    </row>
    <row r="7" spans="1:19" ht="4.5" customHeight="1" thickTop="1">
      <c r="A7" s="707"/>
      <c r="B7" s="303"/>
      <c r="C7" s="303"/>
      <c r="D7" s="304"/>
      <c r="E7" s="707"/>
      <c r="F7" s="303"/>
      <c r="G7" s="303"/>
      <c r="H7" s="303"/>
      <c r="I7" s="303"/>
      <c r="J7" s="303"/>
      <c r="K7" s="303"/>
      <c r="L7" s="303"/>
      <c r="M7" s="303"/>
      <c r="N7" s="303"/>
      <c r="O7" s="303"/>
      <c r="P7" s="303"/>
      <c r="Q7" s="304"/>
      <c r="R7" s="701"/>
      <c r="S7" s="701"/>
    </row>
    <row r="8" spans="1:19" ht="13.5" customHeight="1">
      <c r="A8" s="298"/>
      <c r="B8" s="147"/>
      <c r="C8" s="147"/>
      <c r="D8" s="287"/>
      <c r="E8" s="283"/>
      <c r="F8" s="280"/>
      <c r="G8" s="280"/>
      <c r="H8" s="280"/>
      <c r="I8" s="297"/>
      <c r="J8" s="297" t="s">
        <v>112</v>
      </c>
      <c r="K8" s="280"/>
      <c r="L8" s="280"/>
      <c r="M8" s="280"/>
      <c r="N8" s="280"/>
      <c r="O8" s="280"/>
      <c r="P8" s="311"/>
      <c r="Q8" s="287"/>
      <c r="R8" s="701"/>
      <c r="S8" s="701"/>
    </row>
    <row r="9" spans="1:19" ht="18.75" customHeight="1">
      <c r="A9" s="743" t="s">
        <v>111</v>
      </c>
      <c r="B9" s="147"/>
      <c r="C9" s="147"/>
      <c r="D9" s="287"/>
      <c r="E9" s="291">
        <v>1</v>
      </c>
      <c r="F9" s="292">
        <f aca="true" t="shared" si="0" ref="F9:L9">+E9+1</f>
        <v>2</v>
      </c>
      <c r="G9" s="292">
        <f t="shared" si="0"/>
        <v>3</v>
      </c>
      <c r="H9" s="292">
        <f t="shared" si="0"/>
        <v>4</v>
      </c>
      <c r="I9" s="292">
        <f t="shared" si="0"/>
        <v>5</v>
      </c>
      <c r="J9" s="292">
        <f t="shared" si="0"/>
        <v>6</v>
      </c>
      <c r="K9" s="292">
        <f t="shared" si="0"/>
        <v>7</v>
      </c>
      <c r="L9" s="292">
        <f t="shared" si="0"/>
        <v>8</v>
      </c>
      <c r="M9" s="292">
        <v>9</v>
      </c>
      <c r="N9" s="292">
        <v>10</v>
      </c>
      <c r="O9" s="292">
        <v>11</v>
      </c>
      <c r="P9" s="815">
        <v>12</v>
      </c>
      <c r="Q9" s="816"/>
      <c r="R9" s="701"/>
      <c r="S9" s="701"/>
    </row>
    <row r="10" spans="1:19" ht="4.5" customHeight="1">
      <c r="A10" s="283"/>
      <c r="B10" s="280"/>
      <c r="C10" s="280"/>
      <c r="D10" s="282"/>
      <c r="E10" s="294"/>
      <c r="F10" s="295"/>
      <c r="G10" s="295"/>
      <c r="H10" s="295"/>
      <c r="I10" s="295"/>
      <c r="J10" s="295"/>
      <c r="K10" s="295"/>
      <c r="L10" s="295"/>
      <c r="M10" s="295"/>
      <c r="N10" s="295"/>
      <c r="O10" s="295"/>
      <c r="P10" s="297"/>
      <c r="Q10" s="281"/>
      <c r="R10" s="701"/>
      <c r="S10" s="701"/>
    </row>
    <row r="11" spans="1:19" ht="6.75" customHeight="1">
      <c r="A11" s="298"/>
      <c r="B11" s="147"/>
      <c r="C11" s="147"/>
      <c r="D11" s="287"/>
      <c r="E11" s="299"/>
      <c r="F11" s="300"/>
      <c r="G11" s="300"/>
      <c r="H11" s="300"/>
      <c r="I11" s="300"/>
      <c r="J11" s="300"/>
      <c r="K11" s="300"/>
      <c r="L11" s="300"/>
      <c r="M11" s="300"/>
      <c r="N11" s="300"/>
      <c r="O11" s="300"/>
      <c r="P11" s="147"/>
      <c r="Q11" s="287"/>
      <c r="R11" s="701"/>
      <c r="S11" s="701"/>
    </row>
    <row r="12" spans="1:19" ht="15.75" customHeight="1">
      <c r="A12" s="817" t="s">
        <v>245</v>
      </c>
      <c r="B12" s="147"/>
      <c r="C12" s="147"/>
      <c r="D12" s="287"/>
      <c r="E12" s="299"/>
      <c r="F12" s="300"/>
      <c r="G12" s="300"/>
      <c r="H12" s="300"/>
      <c r="I12" s="300"/>
      <c r="J12" s="300"/>
      <c r="K12" s="300"/>
      <c r="L12" s="300"/>
      <c r="M12" s="300"/>
      <c r="N12" s="300"/>
      <c r="O12" s="300"/>
      <c r="P12" s="147"/>
      <c r="Q12" s="287"/>
      <c r="R12" s="701"/>
      <c r="S12" s="701"/>
    </row>
    <row r="13" spans="1:19" ht="6.75" customHeight="1">
      <c r="A13" s="298"/>
      <c r="B13" s="147"/>
      <c r="C13" s="147"/>
      <c r="D13" s="287"/>
      <c r="E13" s="299"/>
      <c r="F13" s="300"/>
      <c r="G13" s="300"/>
      <c r="H13" s="300"/>
      <c r="I13" s="300"/>
      <c r="J13" s="300"/>
      <c r="K13" s="300"/>
      <c r="L13" s="300"/>
      <c r="M13" s="300"/>
      <c r="N13" s="300"/>
      <c r="O13" s="300"/>
      <c r="P13" s="147"/>
      <c r="Q13" s="287"/>
      <c r="R13" s="701"/>
      <c r="S13" s="701"/>
    </row>
    <row r="14" spans="1:19" ht="12.75" customHeight="1">
      <c r="A14" s="715" t="s">
        <v>270</v>
      </c>
      <c r="B14" s="286"/>
      <c r="C14" s="286"/>
      <c r="D14" s="287"/>
      <c r="E14" s="128">
        <f>'C1-PRODN'!AK17</f>
        <v>94711.2</v>
      </c>
      <c r="F14" s="129">
        <f>'C1-PRODN'!AK21</f>
        <v>134774.52</v>
      </c>
      <c r="G14" s="129">
        <f>'C1-PRODN'!AK25</f>
        <v>75023.585</v>
      </c>
      <c r="H14" s="129">
        <f>'C1-PRODN'!AK29</f>
        <v>84641.09999999999</v>
      </c>
      <c r="I14" s="129">
        <f>'C1-PRODN'!AK33</f>
        <v>91287.5</v>
      </c>
      <c r="J14" s="129">
        <f>'C1-PRODN'!AK37</f>
        <v>91287.5</v>
      </c>
      <c r="K14" s="129">
        <f>'C1-PRODN'!AK41</f>
        <v>91287.5</v>
      </c>
      <c r="L14" s="129">
        <f>'C1-PRODN'!AK45</f>
        <v>91287.5</v>
      </c>
      <c r="M14" s="129">
        <f>'C1-PRODN'!AK49</f>
        <v>91287.5</v>
      </c>
      <c r="N14" s="129">
        <f>'C1-PRODN'!AK53</f>
        <v>91287.5</v>
      </c>
      <c r="O14" s="129">
        <f>'C1-PRODN'!AK57</f>
        <v>91287.5</v>
      </c>
      <c r="P14" s="267">
        <f>'C1-PRODN'!AK61</f>
        <v>91287.5</v>
      </c>
      <c r="Q14" s="287"/>
      <c r="R14" s="701"/>
      <c r="S14" s="701"/>
    </row>
    <row r="15" spans="1:19" ht="12" customHeight="1">
      <c r="A15" s="285" t="s">
        <v>334</v>
      </c>
      <c r="B15" s="286"/>
      <c r="C15" s="286"/>
      <c r="D15" s="287"/>
      <c r="E15" s="128"/>
      <c r="F15" s="129"/>
      <c r="G15" s="129"/>
      <c r="H15" s="129"/>
      <c r="I15" s="129"/>
      <c r="J15" s="129"/>
      <c r="K15" s="129"/>
      <c r="L15" s="129"/>
      <c r="M15" s="129"/>
      <c r="N15" s="129"/>
      <c r="O15" s="129"/>
      <c r="P15" s="130"/>
      <c r="Q15" s="287"/>
      <c r="R15" s="701"/>
      <c r="S15" s="701"/>
    </row>
    <row r="16" spans="1:19" ht="3.75" customHeight="1">
      <c r="A16" s="818"/>
      <c r="B16" s="286"/>
      <c r="C16" s="286"/>
      <c r="D16" s="287"/>
      <c r="E16" s="128"/>
      <c r="F16" s="129"/>
      <c r="G16" s="129"/>
      <c r="H16" s="129"/>
      <c r="I16" s="129"/>
      <c r="J16" s="129"/>
      <c r="K16" s="129"/>
      <c r="L16" s="129"/>
      <c r="M16" s="129"/>
      <c r="N16" s="129"/>
      <c r="O16" s="129"/>
      <c r="P16" s="130"/>
      <c r="Q16" s="287"/>
      <c r="R16" s="701"/>
      <c r="S16" s="701"/>
    </row>
    <row r="17" spans="1:19" ht="12" customHeight="1">
      <c r="A17" s="715" t="s">
        <v>247</v>
      </c>
      <c r="B17" s="286"/>
      <c r="C17" s="286"/>
      <c r="D17" s="287"/>
      <c r="E17" s="128"/>
      <c r="F17" s="129"/>
      <c r="G17" s="612">
        <f>'C7-UTIL'!G17</f>
        <v>0</v>
      </c>
      <c r="H17" s="612">
        <f>'C7-UTIL'!H17</f>
        <v>0</v>
      </c>
      <c r="I17" s="612">
        <f>'C7-UTIL'!I17</f>
        <v>0</v>
      </c>
      <c r="J17" s="612">
        <f>'C7-UTIL'!J17</f>
        <v>9648</v>
      </c>
      <c r="K17" s="612">
        <f>'C7-UTIL'!K17</f>
        <v>0</v>
      </c>
      <c r="L17" s="612">
        <f>'C7-UTIL'!L17</f>
        <v>0</v>
      </c>
      <c r="M17" s="612">
        <f>'C7-UTIL'!M17</f>
        <v>0</v>
      </c>
      <c r="N17" s="612">
        <f>'C7-UTIL'!N17</f>
        <v>0</v>
      </c>
      <c r="O17" s="612">
        <f>'C7-UTIL'!O17</f>
        <v>0</v>
      </c>
      <c r="P17" s="613">
        <f>'C7-UTIL'!P17</f>
        <v>9648</v>
      </c>
      <c r="Q17" s="287"/>
      <c r="R17" s="701"/>
      <c r="S17" s="701"/>
    </row>
    <row r="18" spans="1:19" ht="12.75" customHeight="1">
      <c r="A18" s="818" t="s">
        <v>248</v>
      </c>
      <c r="B18" s="787" t="s">
        <v>340</v>
      </c>
      <c r="C18" s="819"/>
      <c r="D18" s="287"/>
      <c r="E18" s="128"/>
      <c r="F18" s="129"/>
      <c r="G18" s="129"/>
      <c r="H18" s="129"/>
      <c r="I18" s="129"/>
      <c r="J18" s="129"/>
      <c r="K18" s="129"/>
      <c r="L18" s="129"/>
      <c r="M18" s="129"/>
      <c r="N18" s="129"/>
      <c r="O18" s="129"/>
      <c r="P18" s="130"/>
      <c r="Q18" s="287"/>
      <c r="R18" s="701"/>
      <c r="S18" s="701"/>
    </row>
    <row r="19" spans="1:19" ht="3.75" customHeight="1">
      <c r="A19" s="285"/>
      <c r="B19" s="286"/>
      <c r="C19" s="286"/>
      <c r="D19" s="287"/>
      <c r="E19" s="128"/>
      <c r="F19" s="129"/>
      <c r="G19" s="129"/>
      <c r="H19" s="129"/>
      <c r="I19" s="129"/>
      <c r="J19" s="129"/>
      <c r="K19" s="129"/>
      <c r="L19" s="129"/>
      <c r="M19" s="129"/>
      <c r="N19" s="129"/>
      <c r="O19" s="129"/>
      <c r="P19" s="130"/>
      <c r="Q19" s="287"/>
      <c r="R19" s="701"/>
      <c r="S19" s="701"/>
    </row>
    <row r="20" spans="1:19" ht="12.75" customHeight="1">
      <c r="A20" s="820" t="s">
        <v>271</v>
      </c>
      <c r="B20" s="286"/>
      <c r="C20" s="286"/>
      <c r="D20" s="287"/>
      <c r="E20" s="128">
        <f>'C5-FLJO'!L63</f>
        <v>0</v>
      </c>
      <c r="F20" s="129"/>
      <c r="G20" s="129"/>
      <c r="H20" s="129"/>
      <c r="I20" s="129"/>
      <c r="J20" s="129"/>
      <c r="K20" s="129"/>
      <c r="L20" s="129"/>
      <c r="M20" s="129"/>
      <c r="N20" s="129"/>
      <c r="O20" s="129"/>
      <c r="P20" s="866">
        <f>SUM('C2-INV'!AN11:AN1024)</f>
        <v>80400</v>
      </c>
      <c r="Q20" s="287"/>
      <c r="R20" s="701"/>
      <c r="S20" s="701"/>
    </row>
    <row r="21" spans="1:19" ht="12" customHeight="1">
      <c r="A21" s="867" t="s">
        <v>419</v>
      </c>
      <c r="B21" s="286"/>
      <c r="C21" s="286"/>
      <c r="D21" s="287"/>
      <c r="E21" s="128"/>
      <c r="F21" s="129"/>
      <c r="G21" s="129"/>
      <c r="H21" s="129"/>
      <c r="I21" s="129"/>
      <c r="J21" s="129"/>
      <c r="K21" s="129"/>
      <c r="L21" s="129"/>
      <c r="M21" s="129"/>
      <c r="N21" s="129"/>
      <c r="O21" s="129"/>
      <c r="P21" s="130"/>
      <c r="Q21" s="287"/>
      <c r="R21" s="701"/>
      <c r="S21" s="701"/>
    </row>
    <row r="22" spans="1:19" ht="3.75" customHeight="1">
      <c r="A22" s="867"/>
      <c r="B22" s="286"/>
      <c r="C22" s="286"/>
      <c r="D22" s="287"/>
      <c r="E22" s="128"/>
      <c r="F22" s="129"/>
      <c r="G22" s="129"/>
      <c r="H22" s="129"/>
      <c r="I22" s="129"/>
      <c r="J22" s="129"/>
      <c r="K22" s="129"/>
      <c r="L22" s="129"/>
      <c r="M22" s="129"/>
      <c r="N22" s="129"/>
      <c r="O22" s="129"/>
      <c r="P22" s="130"/>
      <c r="Q22" s="287"/>
      <c r="R22" s="701"/>
      <c r="S22" s="701"/>
    </row>
    <row r="23" spans="1:19" ht="12" customHeight="1">
      <c r="A23" s="820" t="s">
        <v>272</v>
      </c>
      <c r="B23" s="286"/>
      <c r="C23" s="286"/>
      <c r="D23" s="287"/>
      <c r="E23" s="888"/>
      <c r="F23" s="889"/>
      <c r="G23" s="889"/>
      <c r="H23" s="889"/>
      <c r="I23" s="889"/>
      <c r="J23" s="889"/>
      <c r="K23" s="889"/>
      <c r="L23" s="889"/>
      <c r="M23" s="889"/>
      <c r="N23" s="889"/>
      <c r="O23" s="889"/>
      <c r="P23" s="890"/>
      <c r="Q23" s="287"/>
      <c r="R23" s="701"/>
      <c r="S23" s="701"/>
    </row>
    <row r="24" spans="1:19" ht="3.75" customHeight="1">
      <c r="A24" s="285"/>
      <c r="B24" s="286"/>
      <c r="C24" s="286"/>
      <c r="D24" s="287"/>
      <c r="E24" s="128"/>
      <c r="F24" s="129"/>
      <c r="G24" s="129"/>
      <c r="H24" s="129"/>
      <c r="I24" s="129"/>
      <c r="J24" s="129"/>
      <c r="K24" s="129"/>
      <c r="L24" s="129"/>
      <c r="M24" s="129"/>
      <c r="N24" s="129"/>
      <c r="O24" s="129"/>
      <c r="P24" s="130"/>
      <c r="Q24" s="287"/>
      <c r="R24" s="701"/>
      <c r="S24" s="701"/>
    </row>
    <row r="25" spans="1:19" s="826" customFormat="1" ht="3" customHeight="1" thickBot="1">
      <c r="A25" s="822"/>
      <c r="B25" s="792"/>
      <c r="C25" s="792"/>
      <c r="D25" s="738"/>
      <c r="E25" s="837"/>
      <c r="F25" s="838"/>
      <c r="G25" s="838"/>
      <c r="H25" s="838"/>
      <c r="I25" s="838"/>
      <c r="J25" s="838"/>
      <c r="K25" s="838"/>
      <c r="L25" s="838"/>
      <c r="M25" s="838"/>
      <c r="N25" s="838"/>
      <c r="O25" s="838"/>
      <c r="P25" s="839"/>
      <c r="Q25" s="738"/>
      <c r="R25" s="700"/>
      <c r="S25" s="700"/>
    </row>
    <row r="26" spans="1:19" s="826" customFormat="1" ht="15.75" customHeight="1" thickTop="1">
      <c r="A26" s="743" t="s">
        <v>252</v>
      </c>
      <c r="B26" s="286"/>
      <c r="C26" s="286"/>
      <c r="D26" s="287"/>
      <c r="E26" s="868">
        <f aca="true" t="shared" si="1" ref="E26:Q26">SUM(E14:E21)</f>
        <v>94711.2</v>
      </c>
      <c r="F26" s="869">
        <f t="shared" si="1"/>
        <v>134774.52</v>
      </c>
      <c r="G26" s="869">
        <f t="shared" si="1"/>
        <v>75023.585</v>
      </c>
      <c r="H26" s="869">
        <f t="shared" si="1"/>
        <v>84641.09999999999</v>
      </c>
      <c r="I26" s="869">
        <f t="shared" si="1"/>
        <v>91287.5</v>
      </c>
      <c r="J26" s="869">
        <f t="shared" si="1"/>
        <v>100935.5</v>
      </c>
      <c r="K26" s="869">
        <f t="shared" si="1"/>
        <v>91287.5</v>
      </c>
      <c r="L26" s="869">
        <f t="shared" si="1"/>
        <v>91287.5</v>
      </c>
      <c r="M26" s="869">
        <f t="shared" si="1"/>
        <v>91287.5</v>
      </c>
      <c r="N26" s="869">
        <f t="shared" si="1"/>
        <v>91287.5</v>
      </c>
      <c r="O26" s="869">
        <f t="shared" si="1"/>
        <v>91287.5</v>
      </c>
      <c r="P26" s="870">
        <f t="shared" si="1"/>
        <v>181335.5</v>
      </c>
      <c r="Q26" s="287">
        <f t="shared" si="1"/>
        <v>0</v>
      </c>
      <c r="R26" s="700"/>
      <c r="S26" s="700"/>
    </row>
    <row r="27" spans="1:19" ht="4.5" customHeight="1" thickBot="1">
      <c r="A27" s="791"/>
      <c r="B27" s="698"/>
      <c r="C27" s="698"/>
      <c r="D27" s="738"/>
      <c r="E27" s="837"/>
      <c r="F27" s="838"/>
      <c r="G27" s="838"/>
      <c r="H27" s="838"/>
      <c r="I27" s="838"/>
      <c r="J27" s="838"/>
      <c r="K27" s="838"/>
      <c r="L27" s="838"/>
      <c r="M27" s="838"/>
      <c r="N27" s="838"/>
      <c r="O27" s="838"/>
      <c r="P27" s="839"/>
      <c r="Q27" s="738"/>
      <c r="R27" s="701"/>
      <c r="S27" s="701"/>
    </row>
    <row r="28" spans="1:19" ht="4.5" customHeight="1" thickTop="1">
      <c r="A28" s="298"/>
      <c r="B28" s="147"/>
      <c r="C28" s="147"/>
      <c r="D28" s="287"/>
      <c r="E28" s="128"/>
      <c r="F28" s="129"/>
      <c r="G28" s="129"/>
      <c r="H28" s="129"/>
      <c r="I28" s="129"/>
      <c r="J28" s="129"/>
      <c r="K28" s="129"/>
      <c r="L28" s="129"/>
      <c r="M28" s="129"/>
      <c r="N28" s="129"/>
      <c r="O28" s="129"/>
      <c r="P28" s="130"/>
      <c r="Q28" s="287"/>
      <c r="R28" s="701"/>
      <c r="S28" s="701"/>
    </row>
    <row r="29" spans="1:19" ht="15.75" customHeight="1">
      <c r="A29" s="817" t="s">
        <v>253</v>
      </c>
      <c r="B29" s="147"/>
      <c r="C29" s="147"/>
      <c r="D29" s="287"/>
      <c r="E29" s="128"/>
      <c r="F29" s="129"/>
      <c r="G29" s="129"/>
      <c r="H29" s="129"/>
      <c r="I29" s="129"/>
      <c r="J29" s="129"/>
      <c r="K29" s="129"/>
      <c r="L29" s="129"/>
      <c r="M29" s="129"/>
      <c r="N29" s="129"/>
      <c r="O29" s="129"/>
      <c r="P29" s="130"/>
      <c r="Q29" s="287"/>
      <c r="R29" s="701"/>
      <c r="S29" s="701"/>
    </row>
    <row r="30" spans="1:19" ht="6.75" customHeight="1">
      <c r="A30" s="298"/>
      <c r="B30" s="147"/>
      <c r="C30" s="147"/>
      <c r="D30" s="287"/>
      <c r="E30" s="128"/>
      <c r="F30" s="129"/>
      <c r="G30" s="129"/>
      <c r="H30" s="129"/>
      <c r="I30" s="129"/>
      <c r="J30" s="129"/>
      <c r="K30" s="129"/>
      <c r="L30" s="129"/>
      <c r="M30" s="129"/>
      <c r="N30" s="129"/>
      <c r="O30" s="129"/>
      <c r="P30" s="130"/>
      <c r="Q30" s="287"/>
      <c r="R30" s="701"/>
      <c r="S30" s="701"/>
    </row>
    <row r="31" spans="1:19" ht="12.75" customHeight="1">
      <c r="A31" s="715" t="s">
        <v>273</v>
      </c>
      <c r="B31" s="286"/>
      <c r="C31" s="286"/>
      <c r="D31" s="287"/>
      <c r="E31" s="128">
        <f>'C1-PRODN'!AK18</f>
        <v>95435.77149999999</v>
      </c>
      <c r="F31" s="129">
        <f>'C1-PRODN'!AK22</f>
        <v>71824</v>
      </c>
      <c r="G31" s="129">
        <f>'C1-PRODN'!AK26</f>
        <v>34438</v>
      </c>
      <c r="H31" s="129">
        <f>'C1-PRODN'!AK30</f>
        <v>80534</v>
      </c>
      <c r="I31" s="129">
        <f>'C1-PRODN'!AK34</f>
        <v>27872</v>
      </c>
      <c r="J31" s="129">
        <f>'C1-PRODN'!AK38</f>
        <v>27872</v>
      </c>
      <c r="K31" s="129">
        <f>'C1-PRODN'!AK42</f>
        <v>27872</v>
      </c>
      <c r="L31" s="129">
        <f>'C1-PRODN'!AK46</f>
        <v>27872</v>
      </c>
      <c r="M31" s="129">
        <f>'C1-PRODN'!AK50</f>
        <v>27872</v>
      </c>
      <c r="N31" s="129">
        <f>'C1-PRODN'!AK54</f>
        <v>27872</v>
      </c>
      <c r="O31" s="129">
        <f>'C1-PRODN'!AK58</f>
        <v>27872</v>
      </c>
      <c r="P31" s="267">
        <f>'C1-PRODN'!AK62</f>
        <v>27872</v>
      </c>
      <c r="Q31" s="287"/>
      <c r="R31" s="701"/>
      <c r="S31" s="701"/>
    </row>
    <row r="32" spans="1:19" ht="12" customHeight="1">
      <c r="A32" s="285" t="s">
        <v>334</v>
      </c>
      <c r="B32" s="286"/>
      <c r="C32" s="286"/>
      <c r="D32" s="287"/>
      <c r="E32" s="128"/>
      <c r="F32" s="129"/>
      <c r="G32" s="129"/>
      <c r="H32" s="129"/>
      <c r="I32" s="129"/>
      <c r="J32" s="129"/>
      <c r="K32" s="129"/>
      <c r="L32" s="129"/>
      <c r="M32" s="129"/>
      <c r="N32" s="129"/>
      <c r="O32" s="129"/>
      <c r="P32" s="130"/>
      <c r="Q32" s="287"/>
      <c r="R32" s="701"/>
      <c r="S32" s="701"/>
    </row>
    <row r="33" spans="1:19" ht="8.25" customHeight="1">
      <c r="A33" s="832"/>
      <c r="B33" s="286"/>
      <c r="C33" s="286"/>
      <c r="D33" s="287"/>
      <c r="E33" s="128"/>
      <c r="F33" s="129"/>
      <c r="G33" s="129"/>
      <c r="H33" s="129"/>
      <c r="I33" s="129"/>
      <c r="J33" s="129"/>
      <c r="K33" s="129"/>
      <c r="L33" s="129"/>
      <c r="M33" s="129"/>
      <c r="N33" s="129"/>
      <c r="O33" s="129"/>
      <c r="P33" s="130"/>
      <c r="Q33" s="287"/>
      <c r="R33" s="701"/>
      <c r="S33" s="701"/>
    </row>
    <row r="34" spans="1:19" ht="12.75" customHeight="1">
      <c r="A34" s="715" t="s">
        <v>255</v>
      </c>
      <c r="B34" s="286"/>
      <c r="C34" s="286"/>
      <c r="D34" s="287"/>
      <c r="E34" s="128">
        <f>'C3-COST'!K40</f>
        <v>1800</v>
      </c>
      <c r="F34" s="129">
        <f aca="true" t="shared" si="2" ref="F34:N34">E34</f>
        <v>1800</v>
      </c>
      <c r="G34" s="129">
        <f t="shared" si="2"/>
        <v>1800</v>
      </c>
      <c r="H34" s="129">
        <f t="shared" si="2"/>
        <v>1800</v>
      </c>
      <c r="I34" s="129">
        <f t="shared" si="2"/>
        <v>1800</v>
      </c>
      <c r="J34" s="129">
        <f t="shared" si="2"/>
        <v>1800</v>
      </c>
      <c r="K34" s="129">
        <f t="shared" si="2"/>
        <v>1800</v>
      </c>
      <c r="L34" s="129">
        <f t="shared" si="2"/>
        <v>1800</v>
      </c>
      <c r="M34" s="129">
        <f t="shared" si="2"/>
        <v>1800</v>
      </c>
      <c r="N34" s="129">
        <f t="shared" si="2"/>
        <v>1800</v>
      </c>
      <c r="O34" s="129">
        <f>L34</f>
        <v>1800</v>
      </c>
      <c r="P34" s="130">
        <f>O34</f>
        <v>1800</v>
      </c>
      <c r="Q34" s="287"/>
      <c r="R34" s="701"/>
      <c r="S34" s="701"/>
    </row>
    <row r="35" spans="1:19" ht="10.5" customHeight="1">
      <c r="A35" s="833" t="s">
        <v>256</v>
      </c>
      <c r="B35" s="286"/>
      <c r="C35" s="286"/>
      <c r="D35" s="287"/>
      <c r="E35" s="128"/>
      <c r="F35" s="129"/>
      <c r="G35" s="129"/>
      <c r="H35" s="129"/>
      <c r="I35" s="129"/>
      <c r="J35" s="129"/>
      <c r="K35" s="129"/>
      <c r="L35" s="129"/>
      <c r="M35" s="129"/>
      <c r="N35" s="129"/>
      <c r="O35" s="129"/>
      <c r="P35" s="130"/>
      <c r="Q35" s="287"/>
      <c r="R35" s="701"/>
      <c r="S35" s="701"/>
    </row>
    <row r="36" spans="1:19" ht="7.5" customHeight="1">
      <c r="A36" s="833"/>
      <c r="B36" s="286"/>
      <c r="C36" s="286"/>
      <c r="D36" s="287"/>
      <c r="E36" s="128"/>
      <c r="F36" s="129"/>
      <c r="G36" s="129"/>
      <c r="H36" s="129"/>
      <c r="I36" s="129"/>
      <c r="J36" s="129"/>
      <c r="K36" s="129"/>
      <c r="L36" s="129"/>
      <c r="M36" s="129"/>
      <c r="N36" s="129"/>
      <c r="O36" s="129"/>
      <c r="P36" s="130"/>
      <c r="Q36" s="287"/>
      <c r="R36" s="701"/>
      <c r="S36" s="701"/>
    </row>
    <row r="37" spans="1:19" ht="12.75" customHeight="1">
      <c r="A37" s="820" t="s">
        <v>257</v>
      </c>
      <c r="B37" s="286"/>
      <c r="C37" s="286"/>
      <c r="D37" s="287"/>
      <c r="E37" s="128">
        <f>'C7-UTIL'!E36</f>
        <v>804</v>
      </c>
      <c r="F37" s="129">
        <f aca="true" t="shared" si="3" ref="F37:N37">E37</f>
        <v>804</v>
      </c>
      <c r="G37" s="129">
        <f t="shared" si="3"/>
        <v>804</v>
      </c>
      <c r="H37" s="129">
        <f t="shared" si="3"/>
        <v>804</v>
      </c>
      <c r="I37" s="129">
        <f t="shared" si="3"/>
        <v>804</v>
      </c>
      <c r="J37" s="129">
        <f t="shared" si="3"/>
        <v>804</v>
      </c>
      <c r="K37" s="129">
        <f t="shared" si="3"/>
        <v>804</v>
      </c>
      <c r="L37" s="129">
        <f t="shared" si="3"/>
        <v>804</v>
      </c>
      <c r="M37" s="129">
        <f t="shared" si="3"/>
        <v>804</v>
      </c>
      <c r="N37" s="129">
        <f t="shared" si="3"/>
        <v>804</v>
      </c>
      <c r="O37" s="129">
        <f>L37</f>
        <v>804</v>
      </c>
      <c r="P37" s="130">
        <f>O37</f>
        <v>804</v>
      </c>
      <c r="Q37" s="287"/>
      <c r="R37" s="701"/>
      <c r="S37" s="701"/>
    </row>
    <row r="38" spans="1:19" ht="11.25" customHeight="1">
      <c r="A38" s="834" t="s">
        <v>339</v>
      </c>
      <c r="B38" s="286"/>
      <c r="C38" s="286"/>
      <c r="D38" s="287"/>
      <c r="E38" s="128"/>
      <c r="F38" s="129"/>
      <c r="G38" s="129"/>
      <c r="H38" s="129"/>
      <c r="I38" s="129"/>
      <c r="J38" s="129"/>
      <c r="K38" s="129"/>
      <c r="L38" s="129"/>
      <c r="M38" s="129"/>
      <c r="N38" s="129"/>
      <c r="O38" s="129"/>
      <c r="P38" s="130"/>
      <c r="Q38" s="287"/>
      <c r="R38" s="701"/>
      <c r="S38" s="701"/>
    </row>
    <row r="39" spans="1:19" ht="5.25" customHeight="1">
      <c r="A39" s="832"/>
      <c r="B39" s="286"/>
      <c r="C39" s="286"/>
      <c r="D39" s="287"/>
      <c r="E39" s="128"/>
      <c r="F39" s="129"/>
      <c r="G39" s="129"/>
      <c r="H39" s="129"/>
      <c r="I39" s="129"/>
      <c r="J39" s="129"/>
      <c r="K39" s="129"/>
      <c r="L39" s="129"/>
      <c r="M39" s="129"/>
      <c r="N39" s="129"/>
      <c r="O39" s="129"/>
      <c r="P39" s="130"/>
      <c r="Q39" s="287"/>
      <c r="R39" s="701"/>
      <c r="S39" s="701"/>
    </row>
    <row r="40" spans="1:19" ht="16.5" customHeight="1">
      <c r="A40" s="820" t="s">
        <v>443</v>
      </c>
      <c r="B40" s="286"/>
      <c r="C40" s="286"/>
      <c r="D40" s="287"/>
      <c r="E40" s="128"/>
      <c r="F40" s="129">
        <f>'C7-UTIL'!F39</f>
        <v>0</v>
      </c>
      <c r="G40" s="129">
        <f>'C7-UTIL'!G39</f>
        <v>0</v>
      </c>
      <c r="H40" s="129">
        <f>'C7-UTIL'!H39</f>
        <v>0</v>
      </c>
      <c r="I40" s="129">
        <f>'C7-UTIL'!I39</f>
        <v>0</v>
      </c>
      <c r="J40" s="129">
        <f>'C7-UTIL'!J39</f>
        <v>80400</v>
      </c>
      <c r="K40" s="129">
        <f>'C7-UTIL'!K39</f>
        <v>0</v>
      </c>
      <c r="L40" s="129">
        <f>'C7-UTIL'!L39</f>
        <v>0</v>
      </c>
      <c r="M40" s="129">
        <f>'C7-UTIL'!M39</f>
        <v>0</v>
      </c>
      <c r="N40" s="129">
        <f>'C7-UTIL'!N39</f>
        <v>0</v>
      </c>
      <c r="O40" s="129">
        <f>'C7-UTIL'!O39</f>
        <v>0</v>
      </c>
      <c r="P40" s="130">
        <f>'C7-UTIL'!P39</f>
        <v>80400</v>
      </c>
      <c r="Q40" s="287"/>
      <c r="R40" s="701"/>
      <c r="S40" s="701"/>
    </row>
    <row r="41" spans="1:19" ht="12.75" customHeight="1">
      <c r="A41" s="833" t="s">
        <v>337</v>
      </c>
      <c r="B41" s="787"/>
      <c r="C41" s="787"/>
      <c r="D41" s="287"/>
      <c r="E41" s="128"/>
      <c r="F41" s="129"/>
      <c r="G41" s="129"/>
      <c r="H41" s="129"/>
      <c r="I41" s="129"/>
      <c r="J41" s="129"/>
      <c r="K41" s="129"/>
      <c r="L41" s="129"/>
      <c r="M41" s="129"/>
      <c r="N41" s="129"/>
      <c r="O41" s="129"/>
      <c r="P41" s="130"/>
      <c r="Q41" s="287"/>
      <c r="R41" s="701"/>
      <c r="S41" s="701"/>
    </row>
    <row r="42" spans="1:19" ht="5.25" customHeight="1">
      <c r="A42" s="833"/>
      <c r="B42" s="787"/>
      <c r="C42" s="787"/>
      <c r="D42" s="287"/>
      <c r="E42" s="773"/>
      <c r="F42" s="129"/>
      <c r="G42" s="129"/>
      <c r="H42" s="129"/>
      <c r="I42" s="129"/>
      <c r="J42" s="129"/>
      <c r="K42" s="129"/>
      <c r="L42" s="129"/>
      <c r="M42" s="773"/>
      <c r="N42" s="130"/>
      <c r="O42" s="129"/>
      <c r="P42" s="130"/>
      <c r="Q42" s="287"/>
      <c r="R42" s="701"/>
      <c r="S42" s="701"/>
    </row>
    <row r="43" spans="1:19" ht="12.75" customHeight="1">
      <c r="A43" s="820" t="s">
        <v>274</v>
      </c>
      <c r="B43" s="787"/>
      <c r="C43" s="713"/>
      <c r="D43" s="287"/>
      <c r="E43" s="871">
        <f>+'C2-INV'!O70+'C2-INV'!P70</f>
        <v>68191.796</v>
      </c>
      <c r="F43" s="129"/>
      <c r="G43" s="129"/>
      <c r="H43" s="129"/>
      <c r="I43" s="129"/>
      <c r="J43" s="129"/>
      <c r="K43" s="129"/>
      <c r="L43" s="129"/>
      <c r="M43" s="773"/>
      <c r="N43" s="713"/>
      <c r="O43" s="129"/>
      <c r="P43" s="130"/>
      <c r="Q43" s="287"/>
      <c r="R43" s="701"/>
      <c r="S43" s="701"/>
    </row>
    <row r="44" spans="1:19" ht="12.75" customHeight="1">
      <c r="A44" s="872" t="s">
        <v>607</v>
      </c>
      <c r="B44" s="787"/>
      <c r="C44" s="713"/>
      <c r="D44" s="287"/>
      <c r="E44" s="129"/>
      <c r="F44" s="129"/>
      <c r="G44" s="129"/>
      <c r="H44" s="129"/>
      <c r="I44" s="129"/>
      <c r="J44" s="129"/>
      <c r="K44" s="129"/>
      <c r="L44" s="129"/>
      <c r="M44" s="773"/>
      <c r="N44" s="713"/>
      <c r="O44" s="129"/>
      <c r="P44" s="130"/>
      <c r="Q44" s="287"/>
      <c r="R44" s="701"/>
      <c r="S44" s="701"/>
    </row>
    <row r="45" spans="1:19" ht="4.5" customHeight="1" thickBot="1">
      <c r="A45" s="835"/>
      <c r="B45" s="792"/>
      <c r="C45" s="792"/>
      <c r="D45" s="738"/>
      <c r="E45" s="837"/>
      <c r="F45" s="838"/>
      <c r="G45" s="838"/>
      <c r="H45" s="838"/>
      <c r="I45" s="838"/>
      <c r="J45" s="838"/>
      <c r="K45" s="838"/>
      <c r="L45" s="838"/>
      <c r="M45" s="838"/>
      <c r="N45" s="838"/>
      <c r="O45" s="838"/>
      <c r="P45" s="839"/>
      <c r="Q45" s="738"/>
      <c r="R45" s="701"/>
      <c r="S45" s="701"/>
    </row>
    <row r="46" spans="1:19" ht="4.5" customHeight="1" thickTop="1">
      <c r="A46" s="832"/>
      <c r="B46" s="286"/>
      <c r="C46" s="286"/>
      <c r="D46" s="287"/>
      <c r="E46" s="128"/>
      <c r="F46" s="129"/>
      <c r="G46" s="129"/>
      <c r="H46" s="129"/>
      <c r="I46" s="129"/>
      <c r="J46" s="129"/>
      <c r="K46" s="129"/>
      <c r="L46" s="129"/>
      <c r="M46" s="129"/>
      <c r="N46" s="129"/>
      <c r="O46" s="129"/>
      <c r="P46" s="130"/>
      <c r="Q46" s="287"/>
      <c r="R46" s="701"/>
      <c r="S46" s="701"/>
    </row>
    <row r="47" spans="1:19" ht="13.5" customHeight="1">
      <c r="A47" s="830" t="s">
        <v>258</v>
      </c>
      <c r="B47" s="286"/>
      <c r="C47" s="286"/>
      <c r="D47" s="287"/>
      <c r="E47" s="868">
        <f>SUM(E31:E44)</f>
        <v>166231.5675</v>
      </c>
      <c r="F47" s="869">
        <f aca="true" t="shared" si="4" ref="F47:P47">SUM(F31:F44)</f>
        <v>74428</v>
      </c>
      <c r="G47" s="869">
        <f t="shared" si="4"/>
        <v>37042</v>
      </c>
      <c r="H47" s="869">
        <f t="shared" si="4"/>
        <v>83138</v>
      </c>
      <c r="I47" s="869">
        <f t="shared" si="4"/>
        <v>30476</v>
      </c>
      <c r="J47" s="869">
        <f t="shared" si="4"/>
        <v>110876</v>
      </c>
      <c r="K47" s="869">
        <f t="shared" si="4"/>
        <v>30476</v>
      </c>
      <c r="L47" s="869">
        <f t="shared" si="4"/>
        <v>30476</v>
      </c>
      <c r="M47" s="869">
        <f t="shared" si="4"/>
        <v>30476</v>
      </c>
      <c r="N47" s="869">
        <f t="shared" si="4"/>
        <v>30476</v>
      </c>
      <c r="O47" s="869">
        <f t="shared" si="4"/>
        <v>30476</v>
      </c>
      <c r="P47" s="870">
        <f t="shared" si="4"/>
        <v>110876</v>
      </c>
      <c r="Q47" s="287"/>
      <c r="R47" s="701"/>
      <c r="S47" s="701"/>
    </row>
    <row r="48" spans="1:19" ht="5.25" customHeight="1" thickBot="1">
      <c r="A48" s="836"/>
      <c r="B48" s="698"/>
      <c r="C48" s="698"/>
      <c r="D48" s="738"/>
      <c r="E48" s="837"/>
      <c r="F48" s="838"/>
      <c r="G48" s="838"/>
      <c r="H48" s="838"/>
      <c r="I48" s="838"/>
      <c r="J48" s="838"/>
      <c r="K48" s="838"/>
      <c r="L48" s="838"/>
      <c r="M48" s="838"/>
      <c r="N48" s="838"/>
      <c r="O48" s="838"/>
      <c r="P48" s="839"/>
      <c r="Q48" s="738"/>
      <c r="R48" s="701"/>
      <c r="S48" s="701"/>
    </row>
    <row r="49" spans="1:19" ht="8.25" customHeight="1" thickTop="1">
      <c r="A49" s="830"/>
      <c r="B49" s="147"/>
      <c r="C49" s="147"/>
      <c r="D49" s="287"/>
      <c r="E49" s="128"/>
      <c r="F49" s="129"/>
      <c r="G49" s="129"/>
      <c r="H49" s="129"/>
      <c r="I49" s="129"/>
      <c r="J49" s="129"/>
      <c r="K49" s="129"/>
      <c r="L49" s="129"/>
      <c r="M49" s="129"/>
      <c r="N49" s="129"/>
      <c r="O49" s="129"/>
      <c r="P49" s="130"/>
      <c r="Q49" s="287"/>
      <c r="R49" s="701"/>
      <c r="S49" s="701"/>
    </row>
    <row r="50" spans="1:19" ht="13.5" customHeight="1">
      <c r="A50" s="840" t="s">
        <v>341</v>
      </c>
      <c r="B50" s="147"/>
      <c r="C50" s="147"/>
      <c r="D50" s="287"/>
      <c r="E50" s="868">
        <f aca="true" t="shared" si="5" ref="E50:P50">E26-E47</f>
        <v>-71520.36750000001</v>
      </c>
      <c r="F50" s="869">
        <f t="shared" si="5"/>
        <v>60346.51999999999</v>
      </c>
      <c r="G50" s="869">
        <f t="shared" si="5"/>
        <v>37981.58500000001</v>
      </c>
      <c r="H50" s="869">
        <f t="shared" si="5"/>
        <v>1503.0999999999913</v>
      </c>
      <c r="I50" s="869">
        <f t="shared" si="5"/>
        <v>60811.5</v>
      </c>
      <c r="J50" s="869">
        <f t="shared" si="5"/>
        <v>-9940.5</v>
      </c>
      <c r="K50" s="869">
        <f t="shared" si="5"/>
        <v>60811.5</v>
      </c>
      <c r="L50" s="869">
        <f t="shared" si="5"/>
        <v>60811.5</v>
      </c>
      <c r="M50" s="869">
        <f t="shared" si="5"/>
        <v>60811.5</v>
      </c>
      <c r="N50" s="869">
        <f t="shared" si="5"/>
        <v>60811.5</v>
      </c>
      <c r="O50" s="869">
        <f t="shared" si="5"/>
        <v>60811.5</v>
      </c>
      <c r="P50" s="870">
        <f t="shared" si="5"/>
        <v>70459.5</v>
      </c>
      <c r="Q50" s="287"/>
      <c r="R50" s="701"/>
      <c r="S50" s="701"/>
    </row>
    <row r="51" spans="1:19" ht="4.5" customHeight="1" thickBot="1">
      <c r="A51" s="836"/>
      <c r="B51" s="698"/>
      <c r="C51" s="698"/>
      <c r="D51" s="738"/>
      <c r="E51" s="837"/>
      <c r="F51" s="838"/>
      <c r="G51" s="838"/>
      <c r="H51" s="838"/>
      <c r="I51" s="838"/>
      <c r="J51" s="838"/>
      <c r="K51" s="838"/>
      <c r="L51" s="838"/>
      <c r="M51" s="838"/>
      <c r="N51" s="838"/>
      <c r="O51" s="838"/>
      <c r="P51" s="839"/>
      <c r="Q51" s="738"/>
      <c r="R51" s="701"/>
      <c r="S51" s="701"/>
    </row>
    <row r="52" spans="5:16" ht="9" customHeight="1" thickTop="1">
      <c r="E52" s="873">
        <f>E50-E20-'C2-INV'!$N$70</f>
        <v>-227299.5515</v>
      </c>
      <c r="F52" s="874">
        <f aca="true" t="shared" si="6" ref="F52:P52">+F50</f>
        <v>60346.51999999999</v>
      </c>
      <c r="G52" s="874">
        <f t="shared" si="6"/>
        <v>37981.58500000001</v>
      </c>
      <c r="H52" s="874">
        <f t="shared" si="6"/>
        <v>1503.0999999999913</v>
      </c>
      <c r="I52" s="874">
        <f t="shared" si="6"/>
        <v>60811.5</v>
      </c>
      <c r="J52" s="874">
        <f t="shared" si="6"/>
        <v>-9940.5</v>
      </c>
      <c r="K52" s="874">
        <f t="shared" si="6"/>
        <v>60811.5</v>
      </c>
      <c r="L52" s="874">
        <f t="shared" si="6"/>
        <v>60811.5</v>
      </c>
      <c r="M52" s="874">
        <f t="shared" si="6"/>
        <v>60811.5</v>
      </c>
      <c r="N52" s="874">
        <f t="shared" si="6"/>
        <v>60811.5</v>
      </c>
      <c r="O52" s="874">
        <f t="shared" si="6"/>
        <v>60811.5</v>
      </c>
      <c r="P52" s="874">
        <f t="shared" si="6"/>
        <v>70459.5</v>
      </c>
    </row>
    <row r="53" spans="2:12" ht="15.75" customHeight="1">
      <c r="B53" s="875" t="s">
        <v>275</v>
      </c>
      <c r="G53" s="876" t="s">
        <v>524</v>
      </c>
      <c r="L53" s="876" t="s">
        <v>525</v>
      </c>
    </row>
    <row r="54" ht="10.5" customHeight="1" thickBot="1"/>
    <row r="55" spans="1:13" ht="18" customHeight="1" thickBot="1">
      <c r="A55" s="877"/>
      <c r="B55" s="878" t="s">
        <v>276</v>
      </c>
      <c r="C55" s="879"/>
      <c r="I55" s="880">
        <f>IF(E50=0," ",(IRR(E50:P50,0.1)))</f>
        <v>0.589458987328029</v>
      </c>
      <c r="M55" s="880">
        <f>IF(E52=0," ",(IRR(E52:P52,0.2)))</f>
        <v>0.15118248384691346</v>
      </c>
    </row>
    <row r="56" spans="2:3" ht="4.5" customHeight="1" thickBot="1">
      <c r="B56" s="878"/>
      <c r="C56" s="879"/>
    </row>
    <row r="57" spans="2:14" ht="18" customHeight="1" thickBot="1">
      <c r="B57" s="878" t="s">
        <v>277</v>
      </c>
      <c r="H57" s="881" t="str">
        <f>'C7-UTIL'!K5</f>
        <v>has</v>
      </c>
      <c r="I57" s="882">
        <f>IF(E50=0," ",(NPV(0.1,E50:P50)))</f>
        <v>199140.44394016385</v>
      </c>
      <c r="J57" s="883" t="s">
        <v>420</v>
      </c>
      <c r="L57" s="884" t="str">
        <f>H59</f>
        <v>has</v>
      </c>
      <c r="M57" s="882">
        <f>IF(E52=0," ",(NPV(0.1,E52:P52)))</f>
        <v>57523.00394016391</v>
      </c>
      <c r="N57" s="883" t="s">
        <v>420</v>
      </c>
    </row>
    <row r="58" ht="3.75" customHeight="1" thickBot="1"/>
    <row r="59" spans="2:9" ht="18" customHeight="1" thickBot="1">
      <c r="B59" s="885" t="s">
        <v>278</v>
      </c>
      <c r="H59" s="886" t="str">
        <f>H57</f>
        <v>has</v>
      </c>
      <c r="I59" s="887">
        <f>+F20+'C2-INV'!N70</f>
        <v>155779.184</v>
      </c>
    </row>
    <row r="60" ht="12.75"/>
    <row r="61" ht="12.75"/>
    <row r="63" ht="12.75"/>
    <row r="64" ht="12.75"/>
    <row r="65" ht="12.75"/>
    <row r="66" ht="12.75"/>
    <row r="67" ht="12.75"/>
    <row r="68" ht="12.75"/>
    <row r="69" ht="12.75"/>
  </sheetData>
  <sheetProtection password="CB61" sheet="1" objects="1" scenarios="1"/>
  <mergeCells count="1">
    <mergeCell ref="G1:I1"/>
  </mergeCells>
  <printOptions horizontalCentered="1"/>
  <pageMargins left="0.3937007874015748" right="0.3937007874015748" top="0.3937007874015748" bottom="0.3937007874015748" header="0.11811023622047245" footer="0"/>
  <pageSetup fitToHeight="1" fitToWidth="1" horizontalDpi="600" verticalDpi="600" orientation="landscape" scale="76"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A90"/>
  <sheetViews>
    <sheetView showGridLines="0" zoomScale="75" zoomScaleNormal="75" workbookViewId="0" topLeftCell="A58">
      <selection activeCell="H84" sqref="H84"/>
    </sheetView>
  </sheetViews>
  <sheetFormatPr defaultColWidth="11.421875" defaultRowHeight="12.75"/>
  <cols>
    <col min="1" max="1" width="3.140625" style="0" customWidth="1"/>
    <col min="2" max="2" width="12.421875" style="0" customWidth="1"/>
    <col min="3" max="3" width="0.9921875" style="0" customWidth="1"/>
    <col min="4" max="4" width="15.28125" style="0" customWidth="1"/>
    <col min="5" max="5" width="0.9921875" style="0" customWidth="1"/>
    <col min="6" max="6" width="12.7109375" style="0" customWidth="1"/>
    <col min="7" max="7" width="0.9921875" style="0" customWidth="1"/>
    <col min="8" max="8" width="17.7109375" style="0" customWidth="1"/>
    <col min="9" max="9" width="0.9921875" style="0" customWidth="1"/>
    <col min="10" max="10" width="17.7109375" style="0" customWidth="1"/>
    <col min="11" max="11" width="0.9921875" style="0" customWidth="1"/>
    <col min="12" max="12" width="17.7109375" style="0" customWidth="1"/>
    <col min="13" max="13" width="0.9921875" style="0" customWidth="1"/>
    <col min="14" max="14" width="14.00390625" style="0" customWidth="1"/>
    <col min="15" max="15" width="0.9921875" style="0" customWidth="1"/>
    <col min="16" max="16" width="12.57421875" style="0" customWidth="1"/>
    <col min="17" max="17" width="0.9921875" style="0" customWidth="1"/>
    <col min="18" max="18" width="16.7109375" style="0" customWidth="1"/>
    <col min="19" max="19" width="0.9921875" style="0" customWidth="1"/>
    <col min="20" max="20" width="16.7109375" style="0" customWidth="1"/>
    <col min="21" max="21" width="1.57421875" style="0" customWidth="1"/>
    <col min="22" max="22" width="14.00390625" style="0" customWidth="1"/>
    <col min="23" max="23" width="2.00390625" style="0" customWidth="1"/>
    <col min="24" max="16384" width="9.140625" style="0" customWidth="1"/>
  </cols>
  <sheetData>
    <row r="1" spans="1:24" ht="24.75">
      <c r="A1" s="482"/>
      <c r="B1" s="483"/>
      <c r="D1" s="484"/>
      <c r="E1" s="176"/>
      <c r="F1" s="176"/>
      <c r="G1" s="485"/>
      <c r="H1" s="485"/>
      <c r="I1" s="485"/>
      <c r="J1" s="983" t="s">
        <v>471</v>
      </c>
      <c r="K1" s="984"/>
      <c r="L1" s="985"/>
      <c r="M1" s="176"/>
      <c r="N1" s="176"/>
      <c r="O1" s="176"/>
      <c r="P1" s="176"/>
      <c r="Q1" s="176"/>
      <c r="R1" s="176"/>
      <c r="T1" s="176"/>
      <c r="U1" s="176"/>
      <c r="X1" s="176"/>
    </row>
    <row r="2" spans="1:24" ht="9.75" customHeight="1">
      <c r="A2" s="173"/>
      <c r="B2" s="173"/>
      <c r="C2" s="173"/>
      <c r="D2" s="173"/>
      <c r="E2" s="173"/>
      <c r="F2" s="173"/>
      <c r="G2" s="173"/>
      <c r="H2" s="173"/>
      <c r="I2" s="173"/>
      <c r="J2" s="173"/>
      <c r="K2" s="173"/>
      <c r="L2" s="176"/>
      <c r="M2" s="173"/>
      <c r="N2" s="173"/>
      <c r="O2" s="173"/>
      <c r="P2" s="173"/>
      <c r="Q2" s="173"/>
      <c r="R2" s="173"/>
      <c r="S2" s="173"/>
      <c r="T2" s="173"/>
      <c r="U2" s="173"/>
      <c r="V2" s="173"/>
      <c r="W2" s="173"/>
      <c r="X2" s="176"/>
    </row>
    <row r="3" spans="1:24" ht="20.25">
      <c r="A3" s="177"/>
      <c r="B3" s="173"/>
      <c r="C3" s="176"/>
      <c r="D3" s="176"/>
      <c r="E3" s="173"/>
      <c r="F3" s="176"/>
      <c r="G3" s="173"/>
      <c r="H3" s="176"/>
      <c r="I3" s="178"/>
      <c r="J3" s="346" t="s">
        <v>393</v>
      </c>
      <c r="K3" s="178"/>
      <c r="L3" s="176"/>
      <c r="M3" s="176"/>
      <c r="N3" s="176"/>
      <c r="O3" s="176"/>
      <c r="P3" s="176"/>
      <c r="Q3" s="176"/>
      <c r="R3" s="176"/>
      <c r="S3" s="176"/>
      <c r="T3" s="176"/>
      <c r="U3" s="176"/>
      <c r="V3" s="176"/>
      <c r="W3" s="173"/>
      <c r="X3" s="176"/>
    </row>
    <row r="4" spans="1:24" ht="7.5" customHeight="1">
      <c r="A4" s="177"/>
      <c r="B4" s="173"/>
      <c r="C4" s="486"/>
      <c r="D4" s="176"/>
      <c r="E4" s="173"/>
      <c r="F4" s="176"/>
      <c r="G4" s="173"/>
      <c r="H4" s="176"/>
      <c r="I4" s="178"/>
      <c r="J4" s="178"/>
      <c r="K4" s="178"/>
      <c r="L4" s="176"/>
      <c r="M4" s="176"/>
      <c r="N4" s="176"/>
      <c r="O4" s="176"/>
      <c r="P4" s="176"/>
      <c r="Q4" s="176"/>
      <c r="R4" s="176"/>
      <c r="S4" s="176"/>
      <c r="T4" s="176"/>
      <c r="U4" s="176"/>
      <c r="V4" s="176"/>
      <c r="W4" s="173"/>
      <c r="X4" s="176"/>
    </row>
    <row r="5" spans="1:24" ht="6" customHeight="1">
      <c r="A5" s="177"/>
      <c r="B5" s="173"/>
      <c r="C5" s="179"/>
      <c r="D5" s="347"/>
      <c r="E5" s="173"/>
      <c r="F5" s="176"/>
      <c r="G5" s="176"/>
      <c r="H5" s="176"/>
      <c r="I5" s="178"/>
      <c r="J5" s="178"/>
      <c r="K5" s="178"/>
      <c r="L5" s="176"/>
      <c r="M5" s="176"/>
      <c r="N5" s="176"/>
      <c r="O5" s="176"/>
      <c r="P5" s="176"/>
      <c r="Q5" s="176"/>
      <c r="R5" s="176"/>
      <c r="S5" s="176"/>
      <c r="T5" s="176"/>
      <c r="U5" s="176"/>
      <c r="V5" s="176"/>
      <c r="W5" s="173"/>
      <c r="X5" s="176"/>
    </row>
    <row r="6" spans="1:24" ht="3.75" customHeight="1">
      <c r="A6" s="177"/>
      <c r="B6" s="173"/>
      <c r="C6" s="179"/>
      <c r="D6" s="347"/>
      <c r="E6" s="173"/>
      <c r="F6" s="176"/>
      <c r="G6" s="176"/>
      <c r="H6" s="176"/>
      <c r="I6" s="178"/>
      <c r="J6" s="178"/>
      <c r="K6" s="178"/>
      <c r="L6" s="176"/>
      <c r="M6" s="176"/>
      <c r="N6" s="176"/>
      <c r="O6" s="176"/>
      <c r="P6" s="176"/>
      <c r="Q6" s="176"/>
      <c r="R6" s="176"/>
      <c r="S6" s="176"/>
      <c r="T6" s="176"/>
      <c r="U6" s="176"/>
      <c r="V6" s="176"/>
      <c r="W6" s="173"/>
      <c r="X6" s="176"/>
    </row>
    <row r="7" spans="1:24" ht="16.5" customHeight="1">
      <c r="A7" s="177"/>
      <c r="B7" s="351" t="s">
        <v>458</v>
      </c>
      <c r="C7" s="176"/>
      <c r="D7" s="986" t="s">
        <v>554</v>
      </c>
      <c r="E7" s="987"/>
      <c r="F7" s="987"/>
      <c r="G7" s="987"/>
      <c r="H7" s="230" t="s">
        <v>288</v>
      </c>
      <c r="I7" s="173"/>
      <c r="J7" s="487" t="s">
        <v>632</v>
      </c>
      <c r="K7" s="176"/>
      <c r="L7" s="176"/>
      <c r="M7" s="176"/>
      <c r="N7" s="348" t="s">
        <v>289</v>
      </c>
      <c r="O7" s="176"/>
      <c r="P7" s="349">
        <v>12</v>
      </c>
      <c r="Q7" s="176"/>
      <c r="R7" s="264" t="s">
        <v>290</v>
      </c>
      <c r="S7" s="176"/>
      <c r="T7" s="349">
        <v>1</v>
      </c>
      <c r="U7" s="176"/>
      <c r="V7" s="176"/>
      <c r="W7" s="173"/>
      <c r="X7" s="176"/>
    </row>
    <row r="8" spans="1:24" ht="12" customHeight="1">
      <c r="A8" s="177"/>
      <c r="B8" s="179"/>
      <c r="C8" s="176"/>
      <c r="D8" s="173"/>
      <c r="E8" s="350" t="s">
        <v>291</v>
      </c>
      <c r="F8" s="173"/>
      <c r="G8" s="177"/>
      <c r="H8" s="351" t="s">
        <v>292</v>
      </c>
      <c r="I8" s="173"/>
      <c r="J8" s="352" t="s">
        <v>293</v>
      </c>
      <c r="K8" s="176"/>
      <c r="L8" s="176"/>
      <c r="M8" s="176"/>
      <c r="N8" s="353" t="s">
        <v>294</v>
      </c>
      <c r="O8" s="354"/>
      <c r="P8" s="354" t="s">
        <v>295</v>
      </c>
      <c r="Q8" s="176"/>
      <c r="R8" s="355" t="s">
        <v>296</v>
      </c>
      <c r="S8" s="176"/>
      <c r="T8" s="354" t="s">
        <v>297</v>
      </c>
      <c r="U8" s="176"/>
      <c r="V8" s="176"/>
      <c r="W8" s="173"/>
      <c r="X8" s="176"/>
    </row>
    <row r="9" spans="1:24" ht="9" customHeight="1" thickBot="1">
      <c r="A9" s="180"/>
      <c r="B9" s="180"/>
      <c r="C9" s="180"/>
      <c r="D9" s="180"/>
      <c r="E9" s="180"/>
      <c r="F9" s="180"/>
      <c r="G9" s="180"/>
      <c r="H9" s="180"/>
      <c r="I9" s="180"/>
      <c r="J9" s="180"/>
      <c r="K9" s="180"/>
      <c r="L9" s="356"/>
      <c r="M9" s="180"/>
      <c r="N9" s="180"/>
      <c r="O9" s="180"/>
      <c r="P9" s="180"/>
      <c r="Q9" s="180"/>
      <c r="R9" s="180"/>
      <c r="S9" s="180"/>
      <c r="T9" s="180"/>
      <c r="U9" s="180"/>
      <c r="X9" s="176"/>
    </row>
    <row r="10" spans="1:24" ht="4.5" customHeight="1" thickTop="1">
      <c r="A10" s="6"/>
      <c r="B10" s="7"/>
      <c r="C10" s="7"/>
      <c r="D10" s="7"/>
      <c r="E10" s="7"/>
      <c r="F10" s="7"/>
      <c r="G10" s="7"/>
      <c r="H10" s="7"/>
      <c r="I10" s="7"/>
      <c r="J10" s="7"/>
      <c r="K10" s="7"/>
      <c r="L10" s="7"/>
      <c r="M10" s="7"/>
      <c r="N10" s="7"/>
      <c r="O10" s="7"/>
      <c r="P10" s="7"/>
      <c r="Q10" s="7"/>
      <c r="R10" s="7"/>
      <c r="S10" s="7"/>
      <c r="T10" s="7"/>
      <c r="U10" s="12"/>
      <c r="X10" s="176"/>
    </row>
    <row r="11" spans="1:24" ht="14.25" customHeight="1">
      <c r="A11" s="131" t="s">
        <v>298</v>
      </c>
      <c r="B11" s="7"/>
      <c r="C11" s="7"/>
      <c r="D11" s="7"/>
      <c r="E11" s="7"/>
      <c r="F11" s="7"/>
      <c r="G11" s="7"/>
      <c r="H11" s="7"/>
      <c r="I11" s="7"/>
      <c r="J11" s="7"/>
      <c r="K11" s="7"/>
      <c r="L11" s="7"/>
      <c r="M11" s="7"/>
      <c r="N11" s="7"/>
      <c r="O11" s="7"/>
      <c r="P11" s="7"/>
      <c r="Q11" s="7"/>
      <c r="R11" s="7"/>
      <c r="S11" s="7"/>
      <c r="T11" s="7"/>
      <c r="U11" s="12"/>
      <c r="X11" s="176"/>
    </row>
    <row r="12" spans="1:24" ht="4.5" customHeight="1">
      <c r="A12" s="18"/>
      <c r="B12" s="19"/>
      <c r="C12" s="19"/>
      <c r="D12" s="19"/>
      <c r="E12" s="19"/>
      <c r="F12" s="19"/>
      <c r="G12" s="19"/>
      <c r="H12" s="19"/>
      <c r="I12" s="19"/>
      <c r="J12" s="19"/>
      <c r="K12" s="19"/>
      <c r="L12" s="19"/>
      <c r="M12" s="19"/>
      <c r="N12" s="19"/>
      <c r="O12" s="19"/>
      <c r="P12" s="19"/>
      <c r="Q12" s="19"/>
      <c r="R12" s="19"/>
      <c r="S12" s="19"/>
      <c r="T12" s="19"/>
      <c r="U12" s="27"/>
      <c r="X12" s="176"/>
    </row>
    <row r="13" spans="1:24" ht="12.75" customHeight="1">
      <c r="A13" s="76"/>
      <c r="B13" s="357"/>
      <c r="C13" s="7"/>
      <c r="D13" s="7"/>
      <c r="E13" s="59"/>
      <c r="F13" s="60" t="s">
        <v>110</v>
      </c>
      <c r="G13" s="59"/>
      <c r="H13" s="66" t="s">
        <v>299</v>
      </c>
      <c r="I13" s="19"/>
      <c r="J13" s="19"/>
      <c r="K13" s="19"/>
      <c r="L13" s="67"/>
      <c r="M13" s="63"/>
      <c r="N13" s="60" t="s">
        <v>300</v>
      </c>
      <c r="O13" s="59" t="s">
        <v>74</v>
      </c>
      <c r="P13" s="125" t="s">
        <v>301</v>
      </c>
      <c r="Q13" s="59"/>
      <c r="R13" s="66" t="s">
        <v>302</v>
      </c>
      <c r="S13" s="66"/>
      <c r="T13" s="358"/>
      <c r="U13" s="27"/>
      <c r="X13" s="176"/>
    </row>
    <row r="14" spans="1:27" ht="15.75" customHeight="1">
      <c r="A14" s="47"/>
      <c r="B14" s="124" t="s">
        <v>303</v>
      </c>
      <c r="C14" s="7"/>
      <c r="D14" s="7"/>
      <c r="E14" s="59"/>
      <c r="F14" s="60" t="s">
        <v>304</v>
      </c>
      <c r="G14" s="59"/>
      <c r="H14" s="16" t="s">
        <v>109</v>
      </c>
      <c r="I14" s="59"/>
      <c r="J14" s="40" t="s">
        <v>326</v>
      </c>
      <c r="K14" s="59"/>
      <c r="L14" s="60" t="s">
        <v>327</v>
      </c>
      <c r="M14" s="59"/>
      <c r="N14" s="44" t="s">
        <v>305</v>
      </c>
      <c r="O14" s="59"/>
      <c r="P14" s="7" t="s">
        <v>306</v>
      </c>
      <c r="Q14" s="59"/>
      <c r="R14" s="41" t="s">
        <v>307</v>
      </c>
      <c r="S14" s="61"/>
      <c r="T14" s="41" t="s">
        <v>331</v>
      </c>
      <c r="U14" s="12"/>
      <c r="X14" s="176"/>
      <c r="AA14" s="359"/>
    </row>
    <row r="15" spans="1:27" ht="12.75" customHeight="1">
      <c r="A15" s="76"/>
      <c r="B15" s="360"/>
      <c r="C15" s="7"/>
      <c r="D15" s="7"/>
      <c r="E15" s="59"/>
      <c r="F15" s="14" t="s">
        <v>308</v>
      </c>
      <c r="G15" s="59"/>
      <c r="H15" s="361" t="s">
        <v>309</v>
      </c>
      <c r="I15" s="59"/>
      <c r="J15" s="361" t="s">
        <v>309</v>
      </c>
      <c r="K15" s="59"/>
      <c r="L15" s="361" t="s">
        <v>309</v>
      </c>
      <c r="M15" s="59"/>
      <c r="N15" s="33" t="s">
        <v>388</v>
      </c>
      <c r="O15" s="59"/>
      <c r="P15" s="362"/>
      <c r="Q15" s="59"/>
      <c r="R15" s="362"/>
      <c r="S15" s="363"/>
      <c r="T15" s="362"/>
      <c r="U15" s="12"/>
      <c r="X15" s="176"/>
      <c r="AA15" s="359"/>
    </row>
    <row r="16" spans="1:27" ht="12.75" customHeight="1">
      <c r="A16" s="364"/>
      <c r="B16" s="365">
        <v>5</v>
      </c>
      <c r="C16" s="19"/>
      <c r="D16" s="19"/>
      <c r="E16" s="63"/>
      <c r="F16" s="71">
        <v>6</v>
      </c>
      <c r="G16" s="72">
        <v>1</v>
      </c>
      <c r="H16" s="71">
        <v>7</v>
      </c>
      <c r="I16" s="63"/>
      <c r="J16" s="71">
        <v>8</v>
      </c>
      <c r="K16" s="63"/>
      <c r="L16" s="415" t="s">
        <v>328</v>
      </c>
      <c r="M16" s="111"/>
      <c r="N16" s="71">
        <v>10</v>
      </c>
      <c r="O16" s="111"/>
      <c r="P16" s="71">
        <v>11</v>
      </c>
      <c r="Q16" s="68"/>
      <c r="R16" s="105" t="s">
        <v>310</v>
      </c>
      <c r="S16" s="72"/>
      <c r="T16" s="105" t="s">
        <v>332</v>
      </c>
      <c r="U16" s="27"/>
      <c r="X16" s="176"/>
      <c r="AA16" s="359"/>
    </row>
    <row r="17" spans="1:27" ht="19.5" customHeight="1">
      <c r="A17" s="366">
        <v>1</v>
      </c>
      <c r="B17" s="942" t="s">
        <v>633</v>
      </c>
      <c r="C17" s="260"/>
      <c r="D17" s="623"/>
      <c r="E17" s="284"/>
      <c r="F17" s="947" t="s">
        <v>639</v>
      </c>
      <c r="G17" s="284"/>
      <c r="H17" s="948">
        <v>1100</v>
      </c>
      <c r="I17" s="296"/>
      <c r="J17" s="949">
        <v>0</v>
      </c>
      <c r="K17" s="296"/>
      <c r="L17" s="416">
        <f aca="true" t="shared" si="0" ref="L17:L26">H17-J17</f>
        <v>1100</v>
      </c>
      <c r="M17" s="111"/>
      <c r="N17" s="950">
        <v>0.15</v>
      </c>
      <c r="O17" s="111"/>
      <c r="P17" s="368">
        <f>N17*0.05</f>
        <v>0.0075</v>
      </c>
      <c r="Q17" s="68"/>
      <c r="R17" s="488">
        <f aca="true" t="shared" si="1" ref="R17:R26">(H17*$T$7)*(N17-P17)</f>
        <v>156.75</v>
      </c>
      <c r="S17" s="489"/>
      <c r="T17" s="488">
        <f aca="true" t="shared" si="2" ref="T17:T26">(L17*$T$7)*(N17-P17)</f>
        <v>156.75</v>
      </c>
      <c r="U17" s="27"/>
      <c r="X17" s="176"/>
      <c r="AA17" s="359"/>
    </row>
    <row r="18" spans="1:24" ht="19.5" customHeight="1">
      <c r="A18" s="366">
        <v>2</v>
      </c>
      <c r="B18" s="942" t="s">
        <v>634</v>
      </c>
      <c r="C18" s="260"/>
      <c r="D18" s="623"/>
      <c r="E18" s="284"/>
      <c r="F18" s="947" t="s">
        <v>553</v>
      </c>
      <c r="G18" s="284"/>
      <c r="H18" s="948">
        <v>40</v>
      </c>
      <c r="I18" s="296"/>
      <c r="J18" s="949">
        <f>H18*0.05</f>
        <v>2</v>
      </c>
      <c r="K18" s="296"/>
      <c r="L18" s="416">
        <f t="shared" si="0"/>
        <v>38</v>
      </c>
      <c r="M18" s="111"/>
      <c r="N18" s="950">
        <v>7.3</v>
      </c>
      <c r="O18" s="111"/>
      <c r="P18" s="368">
        <v>0.3</v>
      </c>
      <c r="Q18" s="68"/>
      <c r="R18" s="488">
        <f t="shared" si="1"/>
        <v>280</v>
      </c>
      <c r="S18" s="489"/>
      <c r="T18" s="488">
        <f t="shared" si="2"/>
        <v>266</v>
      </c>
      <c r="U18" s="107"/>
      <c r="X18" s="176"/>
    </row>
    <row r="19" spans="1:24" ht="19.5" customHeight="1">
      <c r="A19" s="366">
        <v>3</v>
      </c>
      <c r="B19" s="942" t="s">
        <v>635</v>
      </c>
      <c r="C19" s="260"/>
      <c r="D19" s="623"/>
      <c r="E19" s="284"/>
      <c r="F19" s="947" t="s">
        <v>639</v>
      </c>
      <c r="G19" s="284"/>
      <c r="H19" s="948">
        <v>1500</v>
      </c>
      <c r="I19" s="296"/>
      <c r="J19" s="949">
        <f>H19*0.02</f>
        <v>30</v>
      </c>
      <c r="K19" s="296"/>
      <c r="L19" s="416">
        <f t="shared" si="0"/>
        <v>1470</v>
      </c>
      <c r="M19" s="111"/>
      <c r="N19" s="950">
        <v>0.08</v>
      </c>
      <c r="O19" s="111"/>
      <c r="P19" s="368">
        <f>+N19*0.01</f>
        <v>0.0008</v>
      </c>
      <c r="Q19" s="68"/>
      <c r="R19" s="488">
        <f t="shared" si="1"/>
        <v>118.80000000000001</v>
      </c>
      <c r="S19" s="489"/>
      <c r="T19" s="488">
        <f t="shared" si="2"/>
        <v>116.424</v>
      </c>
      <c r="U19" s="107"/>
      <c r="X19" s="176"/>
    </row>
    <row r="20" spans="1:24" ht="19.5" customHeight="1">
      <c r="A20" s="366">
        <v>4</v>
      </c>
      <c r="B20" s="942" t="s">
        <v>636</v>
      </c>
      <c r="C20" s="260"/>
      <c r="D20" s="623"/>
      <c r="E20" s="284"/>
      <c r="F20" s="947" t="s">
        <v>640</v>
      </c>
      <c r="G20" s="284"/>
      <c r="H20" s="948">
        <v>25</v>
      </c>
      <c r="I20" s="296"/>
      <c r="J20" s="949">
        <v>0</v>
      </c>
      <c r="K20" s="296"/>
      <c r="L20" s="416">
        <f t="shared" si="0"/>
        <v>25</v>
      </c>
      <c r="M20" s="111"/>
      <c r="N20" s="950">
        <v>8</v>
      </c>
      <c r="O20" s="111"/>
      <c r="P20" s="368"/>
      <c r="Q20" s="68"/>
      <c r="R20" s="488">
        <f t="shared" si="1"/>
        <v>200</v>
      </c>
      <c r="S20" s="489"/>
      <c r="T20" s="488">
        <f t="shared" si="2"/>
        <v>200</v>
      </c>
      <c r="U20" s="107"/>
      <c r="X20" s="176"/>
    </row>
    <row r="21" spans="1:24" ht="19.5" customHeight="1">
      <c r="A21" s="366">
        <v>5</v>
      </c>
      <c r="B21" s="942" t="s">
        <v>637</v>
      </c>
      <c r="C21" s="260"/>
      <c r="D21" s="623"/>
      <c r="E21" s="284"/>
      <c r="F21" s="947" t="s">
        <v>549</v>
      </c>
      <c r="G21" s="284"/>
      <c r="H21" s="948">
        <v>222</v>
      </c>
      <c r="I21" s="296"/>
      <c r="J21" s="949">
        <v>20</v>
      </c>
      <c r="K21" s="296"/>
      <c r="L21" s="416">
        <f t="shared" si="0"/>
        <v>202</v>
      </c>
      <c r="M21" s="111"/>
      <c r="N21" s="950">
        <v>1.5</v>
      </c>
      <c r="O21" s="111"/>
      <c r="P21" s="368">
        <v>0.1</v>
      </c>
      <c r="Q21" s="68"/>
      <c r="R21" s="488">
        <f t="shared" si="1"/>
        <v>310.79999999999995</v>
      </c>
      <c r="S21" s="489"/>
      <c r="T21" s="488">
        <f t="shared" si="2"/>
        <v>282.79999999999995</v>
      </c>
      <c r="U21" s="107"/>
      <c r="X21" s="176"/>
    </row>
    <row r="22" spans="1:24" ht="19.5" customHeight="1">
      <c r="A22" s="366">
        <v>6</v>
      </c>
      <c r="B22" s="942" t="s">
        <v>638</v>
      </c>
      <c r="C22" s="260"/>
      <c r="D22" s="623"/>
      <c r="E22" s="284"/>
      <c r="F22" s="947" t="s">
        <v>110</v>
      </c>
      <c r="G22" s="284"/>
      <c r="H22" s="948">
        <v>1389</v>
      </c>
      <c r="I22" s="296"/>
      <c r="J22" s="949">
        <v>55</v>
      </c>
      <c r="K22" s="296"/>
      <c r="L22" s="416">
        <f t="shared" si="0"/>
        <v>1334</v>
      </c>
      <c r="M22" s="111"/>
      <c r="N22" s="950">
        <v>0.3</v>
      </c>
      <c r="O22" s="111"/>
      <c r="P22" s="368">
        <v>0.05</v>
      </c>
      <c r="Q22" s="68"/>
      <c r="R22" s="488">
        <f t="shared" si="1"/>
        <v>347.25</v>
      </c>
      <c r="S22" s="489"/>
      <c r="T22" s="488">
        <f t="shared" si="2"/>
        <v>333.5</v>
      </c>
      <c r="U22" s="107"/>
      <c r="X22" s="176"/>
    </row>
    <row r="23" spans="1:24" ht="19.5" customHeight="1">
      <c r="A23" s="366">
        <v>7</v>
      </c>
      <c r="B23" s="260"/>
      <c r="C23" s="260"/>
      <c r="D23" s="623"/>
      <c r="E23" s="284"/>
      <c r="F23" s="132"/>
      <c r="G23" s="284"/>
      <c r="H23" s="424"/>
      <c r="I23" s="296"/>
      <c r="J23" s="522"/>
      <c r="K23" s="296"/>
      <c r="L23" s="416">
        <f t="shared" si="0"/>
        <v>0</v>
      </c>
      <c r="M23" s="111"/>
      <c r="N23" s="367"/>
      <c r="O23" s="111"/>
      <c r="P23" s="368"/>
      <c r="Q23" s="68"/>
      <c r="R23" s="488">
        <f t="shared" si="1"/>
        <v>0</v>
      </c>
      <c r="S23" s="489"/>
      <c r="T23" s="488">
        <f t="shared" si="2"/>
        <v>0</v>
      </c>
      <c r="U23" s="107"/>
      <c r="X23" s="176"/>
    </row>
    <row r="24" spans="1:24" ht="19.5" customHeight="1">
      <c r="A24" s="366">
        <v>8</v>
      </c>
      <c r="B24" s="260"/>
      <c r="C24" s="260"/>
      <c r="D24" s="623"/>
      <c r="E24" s="284"/>
      <c r="F24" s="132"/>
      <c r="G24" s="284"/>
      <c r="H24" s="424"/>
      <c r="I24" s="296"/>
      <c r="J24" s="522"/>
      <c r="K24" s="296"/>
      <c r="L24" s="416">
        <f t="shared" si="0"/>
        <v>0</v>
      </c>
      <c r="M24" s="111"/>
      <c r="N24" s="367"/>
      <c r="O24" s="111"/>
      <c r="P24" s="368"/>
      <c r="Q24" s="68"/>
      <c r="R24" s="488">
        <f t="shared" si="1"/>
        <v>0</v>
      </c>
      <c r="S24" s="489"/>
      <c r="T24" s="488">
        <f t="shared" si="2"/>
        <v>0</v>
      </c>
      <c r="U24" s="107"/>
      <c r="X24" s="176"/>
    </row>
    <row r="25" spans="1:24" ht="19.5" customHeight="1">
      <c r="A25" s="366">
        <v>9</v>
      </c>
      <c r="B25" s="260"/>
      <c r="C25" s="260"/>
      <c r="D25" s="623"/>
      <c r="E25" s="284"/>
      <c r="F25" s="132"/>
      <c r="G25" s="284"/>
      <c r="H25" s="424"/>
      <c r="I25" s="296"/>
      <c r="J25" s="522"/>
      <c r="K25" s="296"/>
      <c r="L25" s="416">
        <f t="shared" si="0"/>
        <v>0</v>
      </c>
      <c r="M25" s="111"/>
      <c r="N25" s="367"/>
      <c r="O25" s="111"/>
      <c r="P25" s="368"/>
      <c r="Q25" s="68"/>
      <c r="R25" s="488">
        <f t="shared" si="1"/>
        <v>0</v>
      </c>
      <c r="S25" s="489"/>
      <c r="T25" s="488">
        <f t="shared" si="2"/>
        <v>0</v>
      </c>
      <c r="U25" s="107"/>
      <c r="X25" s="176"/>
    </row>
    <row r="26" spans="1:24" ht="19.5" customHeight="1" thickBot="1">
      <c r="A26" s="366">
        <v>10</v>
      </c>
      <c r="B26" s="260"/>
      <c r="C26" s="260"/>
      <c r="D26" s="623"/>
      <c r="E26" s="284"/>
      <c r="F26" s="132"/>
      <c r="G26" s="284"/>
      <c r="H26" s="424"/>
      <c r="I26" s="296"/>
      <c r="J26" s="522"/>
      <c r="K26" s="296"/>
      <c r="L26" s="416">
        <f t="shared" si="0"/>
        <v>0</v>
      </c>
      <c r="M26" s="111"/>
      <c r="N26" s="367"/>
      <c r="O26" s="111"/>
      <c r="P26" s="368"/>
      <c r="Q26" s="68"/>
      <c r="R26" s="488">
        <f t="shared" si="1"/>
        <v>0</v>
      </c>
      <c r="S26" s="489"/>
      <c r="T26" s="488">
        <f t="shared" si="2"/>
        <v>0</v>
      </c>
      <c r="U26" s="107"/>
      <c r="X26" s="176"/>
    </row>
    <row r="27" spans="1:27" ht="16.5" customHeight="1">
      <c r="A27" s="369"/>
      <c r="B27" s="15"/>
      <c r="C27" s="7"/>
      <c r="D27" s="7" t="s">
        <v>311</v>
      </c>
      <c r="E27" s="59"/>
      <c r="F27" s="370"/>
      <c r="G27" s="370"/>
      <c r="H27" s="371"/>
      <c r="I27" s="370"/>
      <c r="J27" s="372"/>
      <c r="K27" s="370"/>
      <c r="L27" s="373"/>
      <c r="M27" s="370"/>
      <c r="N27" s="370"/>
      <c r="O27" s="370"/>
      <c r="P27" s="2"/>
      <c r="Q27" s="374"/>
      <c r="R27" s="490">
        <f>SUM(R17:R26)</f>
        <v>1413.6</v>
      </c>
      <c r="S27" s="491"/>
      <c r="T27" s="492">
        <f>SUM(T17:T26)</f>
        <v>1355.474</v>
      </c>
      <c r="U27" s="419"/>
      <c r="X27" s="176"/>
      <c r="AA27" s="359"/>
    </row>
    <row r="28" spans="1:27" ht="2.25" customHeight="1" thickBot="1">
      <c r="A28" s="375"/>
      <c r="B28" s="46"/>
      <c r="C28" s="46"/>
      <c r="D28" s="46"/>
      <c r="E28" s="376"/>
      <c r="F28" s="239"/>
      <c r="G28" s="239"/>
      <c r="H28" s="239"/>
      <c r="I28" s="239"/>
      <c r="J28" s="239"/>
      <c r="K28" s="239"/>
      <c r="L28" s="239"/>
      <c r="M28" s="239"/>
      <c r="N28" s="239"/>
      <c r="O28" s="239"/>
      <c r="P28" s="239"/>
      <c r="Q28" s="377"/>
      <c r="R28" s="378"/>
      <c r="S28" s="376"/>
      <c r="T28" s="420"/>
      <c r="U28" s="493"/>
      <c r="X28" s="176"/>
      <c r="AA28" s="359"/>
    </row>
    <row r="29" spans="1:27" ht="6.75" customHeight="1" thickTop="1">
      <c r="A29" s="17"/>
      <c r="B29" s="7"/>
      <c r="C29" s="7"/>
      <c r="D29" s="7"/>
      <c r="E29" s="7"/>
      <c r="F29" s="7"/>
      <c r="G29" s="7"/>
      <c r="H29" s="7"/>
      <c r="I29" s="7"/>
      <c r="J29" s="7"/>
      <c r="K29" s="7"/>
      <c r="L29" s="7"/>
      <c r="M29" s="7"/>
      <c r="N29" s="7"/>
      <c r="O29" s="7"/>
      <c r="P29" s="7"/>
      <c r="Q29" s="7"/>
      <c r="R29" s="7"/>
      <c r="S29" s="7"/>
      <c r="T29" s="7"/>
      <c r="U29" s="12"/>
      <c r="X29" s="176"/>
      <c r="AA29" s="359"/>
    </row>
    <row r="30" spans="1:27" ht="15" customHeight="1">
      <c r="A30" s="76" t="s">
        <v>312</v>
      </c>
      <c r="B30" s="7"/>
      <c r="C30" s="7"/>
      <c r="D30" s="7"/>
      <c r="E30" s="7"/>
      <c r="F30" s="7"/>
      <c r="G30" s="7"/>
      <c r="H30" s="7"/>
      <c r="I30" s="7"/>
      <c r="J30" s="7"/>
      <c r="K30" s="7"/>
      <c r="L30" s="7"/>
      <c r="M30" s="7"/>
      <c r="N30" s="7"/>
      <c r="O30" s="7"/>
      <c r="P30" s="7"/>
      <c r="Q30" s="7"/>
      <c r="R30" s="7"/>
      <c r="S30" s="7"/>
      <c r="T30" s="7"/>
      <c r="U30" s="12"/>
      <c r="X30" s="176"/>
      <c r="AA30" s="359"/>
    </row>
    <row r="31" spans="1:27" ht="3" customHeight="1">
      <c r="A31" s="25"/>
      <c r="B31" s="19"/>
      <c r="C31" s="19"/>
      <c r="D31" s="19"/>
      <c r="E31" s="19"/>
      <c r="F31" s="19"/>
      <c r="G31" s="19"/>
      <c r="H31" s="19"/>
      <c r="I31" s="19"/>
      <c r="J31" s="19"/>
      <c r="K31" s="19"/>
      <c r="L31" s="19"/>
      <c r="M31" s="19"/>
      <c r="N31" s="19"/>
      <c r="O31" s="19"/>
      <c r="P31" s="19"/>
      <c r="Q31" s="19"/>
      <c r="R31" s="19"/>
      <c r="S31" s="19"/>
      <c r="T31" s="19"/>
      <c r="U31" s="27"/>
      <c r="X31" s="176"/>
      <c r="AA31" s="359"/>
    </row>
    <row r="32" spans="1:24" ht="12.75" customHeight="1">
      <c r="A32" s="76"/>
      <c r="B32" s="357"/>
      <c r="C32" s="7"/>
      <c r="D32" s="7"/>
      <c r="E32" s="59"/>
      <c r="F32" s="60" t="s">
        <v>110</v>
      </c>
      <c r="G32" s="59"/>
      <c r="H32" s="66" t="s">
        <v>389</v>
      </c>
      <c r="I32" s="19"/>
      <c r="J32" s="19"/>
      <c r="K32" s="19"/>
      <c r="L32" s="67"/>
      <c r="M32" s="63"/>
      <c r="N32" s="98" t="s">
        <v>313</v>
      </c>
      <c r="O32" s="133"/>
      <c r="P32" s="15" t="s">
        <v>301</v>
      </c>
      <c r="Q32" s="59"/>
      <c r="R32" s="67" t="s">
        <v>314</v>
      </c>
      <c r="S32" s="67"/>
      <c r="T32" s="19"/>
      <c r="U32" s="27"/>
      <c r="X32" s="176"/>
    </row>
    <row r="33" spans="1:24" ht="14.25" customHeight="1">
      <c r="A33" s="47"/>
      <c r="B33" s="124" t="s">
        <v>315</v>
      </c>
      <c r="C33" s="7"/>
      <c r="D33" s="7"/>
      <c r="E33" s="59"/>
      <c r="F33" s="60" t="s">
        <v>316</v>
      </c>
      <c r="G33" s="59"/>
      <c r="H33" s="16" t="s">
        <v>109</v>
      </c>
      <c r="I33" s="59"/>
      <c r="J33" s="417" t="s">
        <v>329</v>
      </c>
      <c r="K33" s="59"/>
      <c r="L33" s="60" t="s">
        <v>317</v>
      </c>
      <c r="M33" s="59"/>
      <c r="N33" s="44" t="s">
        <v>305</v>
      </c>
      <c r="O33" s="379"/>
      <c r="P33" s="7" t="s">
        <v>306</v>
      </c>
      <c r="Q33" s="59"/>
      <c r="R33" s="41" t="s">
        <v>307</v>
      </c>
      <c r="S33" s="61"/>
      <c r="T33" s="41" t="s">
        <v>331</v>
      </c>
      <c r="U33" s="12"/>
      <c r="X33" s="176"/>
    </row>
    <row r="34" spans="1:24" ht="14.25" customHeight="1">
      <c r="A34" s="76"/>
      <c r="B34" s="360"/>
      <c r="C34" s="7"/>
      <c r="D34" s="7"/>
      <c r="E34" s="59"/>
      <c r="F34" s="60" t="s">
        <v>317</v>
      </c>
      <c r="G34" s="59"/>
      <c r="H34" s="361" t="s">
        <v>318</v>
      </c>
      <c r="I34" s="59"/>
      <c r="J34" s="361" t="s">
        <v>318</v>
      </c>
      <c r="K34" s="59"/>
      <c r="L34" s="361" t="s">
        <v>318</v>
      </c>
      <c r="M34" s="59"/>
      <c r="N34" s="494" t="s">
        <v>390</v>
      </c>
      <c r="O34" s="363"/>
      <c r="P34" s="362"/>
      <c r="Q34" s="59"/>
      <c r="R34" s="362"/>
      <c r="S34" s="363"/>
      <c r="T34" s="362"/>
      <c r="U34" s="12"/>
      <c r="X34" s="176"/>
    </row>
    <row r="35" spans="1:24" ht="12" customHeight="1">
      <c r="A35" s="364"/>
      <c r="B35" s="365">
        <v>14</v>
      </c>
      <c r="C35" s="19"/>
      <c r="D35" s="19"/>
      <c r="E35" s="63"/>
      <c r="F35" s="71">
        <v>15</v>
      </c>
      <c r="G35" s="72"/>
      <c r="H35" s="71">
        <v>16</v>
      </c>
      <c r="I35" s="63"/>
      <c r="J35" s="71">
        <v>17</v>
      </c>
      <c r="K35" s="63"/>
      <c r="L35" s="415" t="s">
        <v>330</v>
      </c>
      <c r="M35" s="111"/>
      <c r="N35" s="105">
        <v>19</v>
      </c>
      <c r="O35" s="72"/>
      <c r="P35" s="105">
        <v>20</v>
      </c>
      <c r="Q35" s="380"/>
      <c r="R35" s="105" t="s">
        <v>319</v>
      </c>
      <c r="S35" s="72"/>
      <c r="T35" s="105" t="s">
        <v>333</v>
      </c>
      <c r="U35" s="27"/>
      <c r="X35" s="176"/>
    </row>
    <row r="36" spans="1:24" ht="4.5" customHeight="1">
      <c r="A36" s="6"/>
      <c r="B36" s="7"/>
      <c r="C36" s="7"/>
      <c r="D36" s="7"/>
      <c r="E36" s="59"/>
      <c r="F36" s="7"/>
      <c r="G36" s="59"/>
      <c r="H36" s="7"/>
      <c r="I36" s="59"/>
      <c r="J36" s="7"/>
      <c r="K36" s="59"/>
      <c r="L36" s="7"/>
      <c r="M36" s="59"/>
      <c r="N36" s="381"/>
      <c r="O36" s="59"/>
      <c r="P36" s="7"/>
      <c r="Q36" s="59"/>
      <c r="R36" s="7"/>
      <c r="S36" s="59"/>
      <c r="T36" s="7"/>
      <c r="U36" s="12"/>
      <c r="X36" s="176"/>
    </row>
    <row r="37" spans="1:24" ht="12.75">
      <c r="A37" s="6"/>
      <c r="B37" s="15" t="s">
        <v>320</v>
      </c>
      <c r="C37" s="7"/>
      <c r="D37" s="7"/>
      <c r="E37" s="59"/>
      <c r="F37" s="7"/>
      <c r="G37" s="59"/>
      <c r="H37" s="7"/>
      <c r="I37" s="59"/>
      <c r="J37" s="7"/>
      <c r="K37" s="59"/>
      <c r="L37" s="7"/>
      <c r="M37" s="59"/>
      <c r="N37" s="381"/>
      <c r="O37" s="59"/>
      <c r="P37" s="7"/>
      <c r="Q37" s="59"/>
      <c r="R37" s="7"/>
      <c r="S37" s="59"/>
      <c r="T37" s="7"/>
      <c r="U37" s="12"/>
      <c r="X37" s="176"/>
    </row>
    <row r="38" spans="1:24" ht="3.75" customHeight="1">
      <c r="A38" s="6"/>
      <c r="B38" s="7"/>
      <c r="C38" s="7"/>
      <c r="D38" s="7"/>
      <c r="E38" s="59"/>
      <c r="F38" s="33"/>
      <c r="G38" s="59"/>
      <c r="H38" s="382"/>
      <c r="I38" s="383"/>
      <c r="J38" s="384"/>
      <c r="K38" s="383"/>
      <c r="L38" s="406"/>
      <c r="M38" s="59"/>
      <c r="N38" s="381"/>
      <c r="O38" s="59"/>
      <c r="P38" s="384"/>
      <c r="Q38" s="383"/>
      <c r="R38" s="384"/>
      <c r="S38" s="383"/>
      <c r="T38" s="384"/>
      <c r="U38" s="12"/>
      <c r="X38" s="176"/>
    </row>
    <row r="39" spans="1:24" ht="19.5" customHeight="1">
      <c r="A39" s="18">
        <v>1</v>
      </c>
      <c r="B39" s="942" t="s">
        <v>641</v>
      </c>
      <c r="C39" s="260"/>
      <c r="D39" s="260"/>
      <c r="E39" s="284"/>
      <c r="F39" s="385" t="s">
        <v>642</v>
      </c>
      <c r="G39" s="284"/>
      <c r="H39" s="386">
        <v>1</v>
      </c>
      <c r="I39" s="495"/>
      <c r="J39" s="390"/>
      <c r="K39" s="387"/>
      <c r="L39" s="418">
        <f aca="true" t="shared" si="3" ref="L39:L58">H39-J39</f>
        <v>1</v>
      </c>
      <c r="M39" s="63"/>
      <c r="N39" s="388">
        <v>838.49</v>
      </c>
      <c r="O39" s="63"/>
      <c r="P39" s="388">
        <f>+N39*0.05</f>
        <v>41.9245</v>
      </c>
      <c r="Q39" s="387"/>
      <c r="R39" s="488">
        <f>(H39*$T$7)*(N39+P39)</f>
        <v>880.4145</v>
      </c>
      <c r="S39" s="489"/>
      <c r="T39" s="488">
        <f>(L39*$T$7)*(N39+P39)</f>
        <v>880.4145</v>
      </c>
      <c r="U39" s="27"/>
      <c r="X39" s="176"/>
    </row>
    <row r="40" spans="1:24" ht="19.5" customHeight="1">
      <c r="A40" s="18">
        <v>2</v>
      </c>
      <c r="B40" s="260"/>
      <c r="C40" s="923"/>
      <c r="D40" s="923"/>
      <c r="E40" s="924"/>
      <c r="F40" s="385"/>
      <c r="G40" s="924"/>
      <c r="H40" s="386"/>
      <c r="I40" s="926"/>
      <c r="J40" s="925"/>
      <c r="K40" s="387"/>
      <c r="L40" s="418">
        <f t="shared" si="3"/>
        <v>0</v>
      </c>
      <c r="M40" s="63"/>
      <c r="N40" s="388"/>
      <c r="O40" s="63"/>
      <c r="P40" s="388"/>
      <c r="Q40" s="387"/>
      <c r="R40" s="488">
        <f aca="true" t="shared" si="4" ref="R40:R47">(H40*$T$7)*(N40+P40)</f>
        <v>0</v>
      </c>
      <c r="S40" s="489"/>
      <c r="T40" s="488">
        <f aca="true" t="shared" si="5" ref="T40:T47">(L40*$T$7)*(N40+P40)</f>
        <v>0</v>
      </c>
      <c r="U40" s="27"/>
      <c r="X40" s="176"/>
    </row>
    <row r="41" spans="1:24" ht="19.5" customHeight="1">
      <c r="A41" s="18">
        <v>3</v>
      </c>
      <c r="B41" s="260"/>
      <c r="C41" s="260"/>
      <c r="D41" s="260"/>
      <c r="E41" s="284"/>
      <c r="F41" s="385"/>
      <c r="G41" s="284"/>
      <c r="H41" s="386"/>
      <c r="I41" s="495"/>
      <c r="J41" s="390"/>
      <c r="K41" s="387"/>
      <c r="L41" s="418">
        <f t="shared" si="3"/>
        <v>0</v>
      </c>
      <c r="M41" s="63"/>
      <c r="N41" s="388"/>
      <c r="O41" s="63"/>
      <c r="P41" s="388"/>
      <c r="Q41" s="387"/>
      <c r="R41" s="488">
        <f t="shared" si="4"/>
        <v>0</v>
      </c>
      <c r="S41" s="489"/>
      <c r="T41" s="488">
        <f t="shared" si="5"/>
        <v>0</v>
      </c>
      <c r="U41" s="27"/>
      <c r="X41" s="176"/>
    </row>
    <row r="42" spans="1:24" ht="19.5" customHeight="1">
      <c r="A42" s="18">
        <v>4</v>
      </c>
      <c r="B42" s="622"/>
      <c r="C42" s="260"/>
      <c r="D42" s="260"/>
      <c r="E42" s="284"/>
      <c r="F42" s="385"/>
      <c r="G42" s="284"/>
      <c r="H42" s="386"/>
      <c r="I42" s="495"/>
      <c r="J42" s="390"/>
      <c r="K42" s="387"/>
      <c r="L42" s="418">
        <f t="shared" si="3"/>
        <v>0</v>
      </c>
      <c r="M42" s="63"/>
      <c r="N42" s="388"/>
      <c r="O42" s="63"/>
      <c r="P42" s="388"/>
      <c r="Q42" s="387"/>
      <c r="R42" s="488">
        <f t="shared" si="4"/>
        <v>0</v>
      </c>
      <c r="S42" s="489"/>
      <c r="T42" s="488">
        <f t="shared" si="5"/>
        <v>0</v>
      </c>
      <c r="U42" s="27"/>
      <c r="X42" s="176"/>
    </row>
    <row r="43" spans="1:24" ht="19.5" customHeight="1">
      <c r="A43" s="18">
        <v>5</v>
      </c>
      <c r="B43" s="260"/>
      <c r="C43" s="260"/>
      <c r="D43" s="260"/>
      <c r="E43" s="284"/>
      <c r="F43" s="385"/>
      <c r="G43" s="284"/>
      <c r="H43" s="386"/>
      <c r="I43" s="495"/>
      <c r="J43" s="390"/>
      <c r="K43" s="387"/>
      <c r="L43" s="418">
        <f>H43-J43</f>
        <v>0</v>
      </c>
      <c r="M43" s="63"/>
      <c r="N43" s="401"/>
      <c r="O43" s="63"/>
      <c r="P43" s="388"/>
      <c r="Q43" s="387"/>
      <c r="R43" s="488">
        <f>(H43*$T$7)*(N43+P43)</f>
        <v>0</v>
      </c>
      <c r="S43" s="489"/>
      <c r="T43" s="488">
        <f>(L43*$T$7)*(N43+P43)</f>
        <v>0</v>
      </c>
      <c r="U43" s="27"/>
      <c r="X43" s="176"/>
    </row>
    <row r="44" spans="1:24" ht="19.5" customHeight="1">
      <c r="A44" s="18">
        <v>6</v>
      </c>
      <c r="B44" s="260"/>
      <c r="C44" s="260"/>
      <c r="D44" s="260"/>
      <c r="E44" s="284"/>
      <c r="F44" s="385"/>
      <c r="G44" s="284"/>
      <c r="H44" s="389"/>
      <c r="I44" s="495"/>
      <c r="J44" s="390"/>
      <c r="K44" s="387"/>
      <c r="L44" s="418">
        <f>H44-J44</f>
        <v>0</v>
      </c>
      <c r="M44" s="63"/>
      <c r="N44" s="388"/>
      <c r="O44" s="63"/>
      <c r="P44" s="927"/>
      <c r="Q44" s="387"/>
      <c r="R44" s="488">
        <f>(H44*$T$7)*(N44+P44)</f>
        <v>0</v>
      </c>
      <c r="S44" s="489"/>
      <c r="T44" s="488">
        <f>(L44*$T$7)*(N44+P44)</f>
        <v>0</v>
      </c>
      <c r="U44" s="27"/>
      <c r="X44" s="176"/>
    </row>
    <row r="45" spans="1:24" ht="19.5" customHeight="1">
      <c r="A45" s="18">
        <v>7</v>
      </c>
      <c r="B45" s="260"/>
      <c r="C45" s="260"/>
      <c r="D45" s="260"/>
      <c r="E45" s="284"/>
      <c r="F45" s="385"/>
      <c r="G45" s="284"/>
      <c r="H45" s="386"/>
      <c r="I45" s="495"/>
      <c r="J45" s="390"/>
      <c r="K45" s="387"/>
      <c r="L45" s="418">
        <f>H45-J45</f>
        <v>0</v>
      </c>
      <c r="M45" s="63"/>
      <c r="N45" s="388"/>
      <c r="O45" s="63"/>
      <c r="P45" s="388"/>
      <c r="Q45" s="387"/>
      <c r="R45" s="488">
        <f>(H45*$T$7)*(N45+P45)</f>
        <v>0</v>
      </c>
      <c r="S45" s="489"/>
      <c r="T45" s="488">
        <f>(L45*$T$7)*(N45+P45)</f>
        <v>0</v>
      </c>
      <c r="U45" s="27"/>
      <c r="X45" s="176"/>
    </row>
    <row r="46" spans="1:24" ht="19.5" customHeight="1">
      <c r="A46" s="18">
        <v>8</v>
      </c>
      <c r="B46" s="260"/>
      <c r="C46" s="260"/>
      <c r="D46" s="260"/>
      <c r="E46" s="284"/>
      <c r="F46" s="385"/>
      <c r="G46" s="284"/>
      <c r="H46" s="386"/>
      <c r="I46" s="495"/>
      <c r="J46" s="390"/>
      <c r="K46" s="387"/>
      <c r="L46" s="418">
        <f t="shared" si="3"/>
        <v>0</v>
      </c>
      <c r="M46" s="63"/>
      <c r="N46" s="401"/>
      <c r="O46" s="63"/>
      <c r="P46" s="388"/>
      <c r="Q46" s="387"/>
      <c r="R46" s="488">
        <f t="shared" si="4"/>
        <v>0</v>
      </c>
      <c r="S46" s="489"/>
      <c r="T46" s="488">
        <f t="shared" si="5"/>
        <v>0</v>
      </c>
      <c r="U46" s="27"/>
      <c r="X46" s="176"/>
    </row>
    <row r="47" spans="1:24" ht="19.5" customHeight="1">
      <c r="A47" s="18">
        <v>9</v>
      </c>
      <c r="B47" s="260"/>
      <c r="C47" s="260"/>
      <c r="D47" s="260"/>
      <c r="E47" s="284"/>
      <c r="F47" s="385"/>
      <c r="G47" s="284"/>
      <c r="H47" s="389"/>
      <c r="I47" s="495"/>
      <c r="J47" s="390"/>
      <c r="K47" s="387"/>
      <c r="L47" s="418">
        <f t="shared" si="3"/>
        <v>0</v>
      </c>
      <c r="M47" s="63"/>
      <c r="N47" s="388"/>
      <c r="O47" s="63"/>
      <c r="P47" s="390"/>
      <c r="Q47" s="387"/>
      <c r="R47" s="488">
        <f t="shared" si="4"/>
        <v>0</v>
      </c>
      <c r="S47" s="489"/>
      <c r="T47" s="488">
        <f t="shared" si="5"/>
        <v>0</v>
      </c>
      <c r="U47" s="27"/>
      <c r="X47" s="176"/>
    </row>
    <row r="48" spans="1:24" ht="19.5" customHeight="1">
      <c r="A48" s="18">
        <v>10</v>
      </c>
      <c r="B48" s="260"/>
      <c r="C48" s="260"/>
      <c r="D48" s="260"/>
      <c r="E48" s="284"/>
      <c r="F48" s="385"/>
      <c r="G48" s="284"/>
      <c r="H48" s="386"/>
      <c r="I48" s="495"/>
      <c r="J48" s="390"/>
      <c r="K48" s="387"/>
      <c r="L48" s="418">
        <f>H48-J48</f>
        <v>0</v>
      </c>
      <c r="M48" s="63"/>
      <c r="N48" s="388"/>
      <c r="O48" s="63"/>
      <c r="P48" s="388"/>
      <c r="Q48" s="387"/>
      <c r="R48" s="488">
        <f>(H48*$T$7)*(N48+P48)</f>
        <v>0</v>
      </c>
      <c r="S48" s="489"/>
      <c r="T48" s="488">
        <f>(L48*$T$7)*(N48+P48)</f>
        <v>0</v>
      </c>
      <c r="U48" s="27"/>
      <c r="X48" s="176"/>
    </row>
    <row r="49" spans="1:24" ht="19.5" customHeight="1">
      <c r="A49" s="18">
        <v>11</v>
      </c>
      <c r="B49" s="260"/>
      <c r="C49" s="260"/>
      <c r="D49" s="260"/>
      <c r="E49" s="284"/>
      <c r="F49" s="385"/>
      <c r="G49" s="284"/>
      <c r="H49" s="386"/>
      <c r="I49" s="495"/>
      <c r="J49" s="390"/>
      <c r="K49" s="387"/>
      <c r="L49" s="418">
        <f>H49-J49</f>
        <v>0</v>
      </c>
      <c r="M49" s="63"/>
      <c r="N49" s="388"/>
      <c r="O49" s="63"/>
      <c r="P49" s="388"/>
      <c r="Q49" s="387"/>
      <c r="R49" s="488">
        <f>(H49*$T$7)*(N49+P49)</f>
        <v>0</v>
      </c>
      <c r="S49" s="489"/>
      <c r="T49" s="488">
        <f>(L49*$T$7)*(N49+P49)</f>
        <v>0</v>
      </c>
      <c r="U49" s="27"/>
      <c r="X49" s="176"/>
    </row>
    <row r="50" spans="1:24" ht="19.5" customHeight="1">
      <c r="A50" s="18">
        <v>12</v>
      </c>
      <c r="B50" s="622"/>
      <c r="C50" s="260"/>
      <c r="D50" s="260"/>
      <c r="E50" s="284"/>
      <c r="F50" s="385"/>
      <c r="G50" s="284"/>
      <c r="H50" s="386"/>
      <c r="I50" s="495"/>
      <c r="J50" s="390"/>
      <c r="K50" s="387"/>
      <c r="L50" s="418">
        <f>H50-J50</f>
        <v>0</v>
      </c>
      <c r="M50" s="63"/>
      <c r="N50" s="388"/>
      <c r="O50" s="63"/>
      <c r="P50" s="388"/>
      <c r="Q50" s="387"/>
      <c r="R50" s="488">
        <f>(H50*$T$7)*(N50+P50)</f>
        <v>0</v>
      </c>
      <c r="S50" s="489"/>
      <c r="T50" s="488">
        <f>(L50*$T$7)*(N50+P50)</f>
        <v>0</v>
      </c>
      <c r="U50" s="27"/>
      <c r="X50" s="176"/>
    </row>
    <row r="51" spans="1:24" ht="19.5" customHeight="1">
      <c r="A51" s="18">
        <v>13</v>
      </c>
      <c r="B51" s="260"/>
      <c r="C51" s="260"/>
      <c r="D51" s="260"/>
      <c r="E51" s="284"/>
      <c r="F51" s="385"/>
      <c r="G51" s="284"/>
      <c r="H51" s="386"/>
      <c r="I51" s="495"/>
      <c r="J51" s="390"/>
      <c r="K51" s="387"/>
      <c r="L51" s="418">
        <f>H51-J51</f>
        <v>0</v>
      </c>
      <c r="M51" s="63"/>
      <c r="N51" s="401"/>
      <c r="O51" s="63"/>
      <c r="P51" s="388"/>
      <c r="Q51" s="387"/>
      <c r="R51" s="488">
        <f>(H51*$T$7)*(N51+P51)</f>
        <v>0</v>
      </c>
      <c r="S51" s="489"/>
      <c r="T51" s="488">
        <f>(L51*$T$7)*(N51+P51)</f>
        <v>0</v>
      </c>
      <c r="U51" s="27"/>
      <c r="X51" s="176"/>
    </row>
    <row r="52" spans="1:24" ht="19.5" customHeight="1">
      <c r="A52" s="18">
        <v>14</v>
      </c>
      <c r="B52" s="260"/>
      <c r="C52" s="260"/>
      <c r="D52" s="260"/>
      <c r="E52" s="284"/>
      <c r="F52" s="385"/>
      <c r="G52" s="284"/>
      <c r="H52" s="389"/>
      <c r="I52" s="495"/>
      <c r="J52" s="390"/>
      <c r="K52" s="387"/>
      <c r="L52" s="418">
        <f>H52-J52</f>
        <v>0</v>
      </c>
      <c r="M52" s="63"/>
      <c r="N52" s="388"/>
      <c r="O52" s="63"/>
      <c r="P52" s="390"/>
      <c r="Q52" s="387"/>
      <c r="R52" s="488">
        <f>(H52*$T$7)*(N52+P52)</f>
        <v>0</v>
      </c>
      <c r="S52" s="489"/>
      <c r="T52" s="488">
        <f>(L52*$T$7)*(N52+P52)</f>
        <v>0</v>
      </c>
      <c r="U52" s="27"/>
      <c r="X52" s="176"/>
    </row>
    <row r="53" spans="1:24" ht="19.5" customHeight="1">
      <c r="A53" s="18">
        <v>15</v>
      </c>
      <c r="B53" s="260"/>
      <c r="C53" s="260"/>
      <c r="D53" s="260"/>
      <c r="E53" s="284"/>
      <c r="F53" s="385"/>
      <c r="G53" s="284"/>
      <c r="H53" s="386"/>
      <c r="I53" s="495"/>
      <c r="J53" s="390"/>
      <c r="K53" s="387"/>
      <c r="L53" s="418">
        <f t="shared" si="3"/>
        <v>0</v>
      </c>
      <c r="M53" s="63"/>
      <c r="N53" s="388"/>
      <c r="O53" s="63"/>
      <c r="P53" s="388"/>
      <c r="Q53" s="387"/>
      <c r="R53" s="488">
        <f aca="true" t="shared" si="6" ref="R53:R58">(H53*$T$7)*(N53+P53)</f>
        <v>0</v>
      </c>
      <c r="S53" s="489"/>
      <c r="T53" s="488">
        <f aca="true" t="shared" si="7" ref="T53:T58">(L53*$T$7)*(N53+P53)</f>
        <v>0</v>
      </c>
      <c r="U53" s="27"/>
      <c r="X53" s="176"/>
    </row>
    <row r="54" spans="1:24" ht="19.5" customHeight="1">
      <c r="A54" s="18">
        <v>16</v>
      </c>
      <c r="B54" s="260"/>
      <c r="C54" s="260"/>
      <c r="D54" s="260"/>
      <c r="E54" s="284"/>
      <c r="F54" s="385"/>
      <c r="G54" s="284"/>
      <c r="H54" s="386"/>
      <c r="I54" s="495"/>
      <c r="J54" s="390"/>
      <c r="K54" s="387"/>
      <c r="L54" s="418">
        <f t="shared" si="3"/>
        <v>0</v>
      </c>
      <c r="M54" s="63"/>
      <c r="N54" s="388"/>
      <c r="O54" s="63"/>
      <c r="P54" s="388"/>
      <c r="Q54" s="387"/>
      <c r="R54" s="488">
        <f t="shared" si="6"/>
        <v>0</v>
      </c>
      <c r="S54" s="489"/>
      <c r="T54" s="488">
        <f t="shared" si="7"/>
        <v>0</v>
      </c>
      <c r="U54" s="27"/>
      <c r="X54" s="176"/>
    </row>
    <row r="55" spans="1:24" ht="19.5" customHeight="1">
      <c r="A55" s="18">
        <v>17</v>
      </c>
      <c r="B55" s="622"/>
      <c r="C55" s="260"/>
      <c r="D55" s="260"/>
      <c r="E55" s="284"/>
      <c r="F55" s="385"/>
      <c r="G55" s="284"/>
      <c r="H55" s="386"/>
      <c r="I55" s="495"/>
      <c r="J55" s="390"/>
      <c r="K55" s="387"/>
      <c r="L55" s="418">
        <f t="shared" si="3"/>
        <v>0</v>
      </c>
      <c r="M55" s="63"/>
      <c r="N55" s="388"/>
      <c r="O55" s="63"/>
      <c r="P55" s="388"/>
      <c r="Q55" s="387"/>
      <c r="R55" s="488">
        <f t="shared" si="6"/>
        <v>0</v>
      </c>
      <c r="S55" s="489"/>
      <c r="T55" s="488">
        <f t="shared" si="7"/>
        <v>0</v>
      </c>
      <c r="U55" s="27"/>
      <c r="X55" s="176"/>
    </row>
    <row r="56" spans="1:24" ht="19.5" customHeight="1">
      <c r="A56" s="18">
        <v>18</v>
      </c>
      <c r="B56" s="260"/>
      <c r="C56" s="260"/>
      <c r="D56" s="260"/>
      <c r="E56" s="284"/>
      <c r="F56" s="385"/>
      <c r="G56" s="284"/>
      <c r="H56" s="386"/>
      <c r="I56" s="495"/>
      <c r="J56" s="390"/>
      <c r="K56" s="387"/>
      <c r="L56" s="418">
        <f t="shared" si="3"/>
        <v>0</v>
      </c>
      <c r="M56" s="63"/>
      <c r="N56" s="401"/>
      <c r="O56" s="63"/>
      <c r="P56" s="388"/>
      <c r="Q56" s="387"/>
      <c r="R56" s="488">
        <f t="shared" si="6"/>
        <v>0</v>
      </c>
      <c r="S56" s="489"/>
      <c r="T56" s="488">
        <f t="shared" si="7"/>
        <v>0</v>
      </c>
      <c r="U56" s="27"/>
      <c r="X56" s="176"/>
    </row>
    <row r="57" spans="1:24" ht="19.5" customHeight="1">
      <c r="A57" s="18">
        <v>19</v>
      </c>
      <c r="B57" s="260"/>
      <c r="C57" s="260"/>
      <c r="D57" s="260"/>
      <c r="E57" s="284"/>
      <c r="F57" s="385"/>
      <c r="G57" s="284"/>
      <c r="H57" s="389"/>
      <c r="I57" s="495"/>
      <c r="J57" s="390"/>
      <c r="K57" s="387"/>
      <c r="L57" s="418">
        <f t="shared" si="3"/>
        <v>0</v>
      </c>
      <c r="M57" s="63"/>
      <c r="N57" s="388"/>
      <c r="O57" s="63"/>
      <c r="P57" s="390"/>
      <c r="Q57" s="387"/>
      <c r="R57" s="488">
        <f t="shared" si="6"/>
        <v>0</v>
      </c>
      <c r="S57" s="489"/>
      <c r="T57" s="488">
        <f t="shared" si="7"/>
        <v>0</v>
      </c>
      <c r="U57" s="27"/>
      <c r="X57" s="176"/>
    </row>
    <row r="58" spans="1:24" ht="19.5" customHeight="1" thickBot="1">
      <c r="A58" s="18">
        <v>20</v>
      </c>
      <c r="B58" s="260"/>
      <c r="C58" s="260"/>
      <c r="D58" s="260"/>
      <c r="E58" s="284"/>
      <c r="F58" s="385"/>
      <c r="G58" s="284"/>
      <c r="H58" s="389"/>
      <c r="I58" s="495"/>
      <c r="J58" s="390"/>
      <c r="K58" s="387"/>
      <c r="L58" s="418">
        <f t="shared" si="3"/>
        <v>0</v>
      </c>
      <c r="M58" s="63"/>
      <c r="N58" s="388"/>
      <c r="O58" s="63"/>
      <c r="P58" s="390"/>
      <c r="Q58" s="387"/>
      <c r="R58" s="488">
        <f t="shared" si="6"/>
        <v>0</v>
      </c>
      <c r="S58" s="489"/>
      <c r="T58" s="488">
        <f t="shared" si="7"/>
        <v>0</v>
      </c>
      <c r="U58" s="27"/>
      <c r="X58" s="176"/>
    </row>
    <row r="59" spans="1:24" ht="21.75" customHeight="1" thickBot="1">
      <c r="A59" s="112"/>
      <c r="B59" s="113"/>
      <c r="C59" s="113"/>
      <c r="D59" s="113" t="s">
        <v>311</v>
      </c>
      <c r="E59" s="114"/>
      <c r="F59" s="391"/>
      <c r="G59" s="392"/>
      <c r="H59" s="393"/>
      <c r="I59" s="394"/>
      <c r="J59" s="393"/>
      <c r="K59" s="394"/>
      <c r="L59" s="393"/>
      <c r="M59" s="392"/>
      <c r="N59" s="395"/>
      <c r="O59" s="392"/>
      <c r="P59" s="396"/>
      <c r="Q59" s="397"/>
      <c r="R59" s="496">
        <f>SUM(R39:R58)</f>
        <v>880.4145</v>
      </c>
      <c r="S59" s="497"/>
      <c r="T59" s="496">
        <f>SUM(T39:T58)</f>
        <v>880.4145</v>
      </c>
      <c r="U59" s="498"/>
      <c r="X59" s="176"/>
    </row>
    <row r="60" spans="1:24" ht="6.75" customHeight="1">
      <c r="A60" s="6"/>
      <c r="B60" s="7"/>
      <c r="C60" s="7"/>
      <c r="D60" s="7"/>
      <c r="E60" s="59"/>
      <c r="F60" s="33"/>
      <c r="G60" s="59"/>
      <c r="H60" s="384"/>
      <c r="I60" s="383"/>
      <c r="J60" s="384"/>
      <c r="K60" s="383"/>
      <c r="L60" s="384"/>
      <c r="M60" s="59"/>
      <c r="N60" s="381"/>
      <c r="O60" s="59"/>
      <c r="P60" s="398"/>
      <c r="Q60" s="399"/>
      <c r="R60" s="398"/>
      <c r="S60" s="399"/>
      <c r="T60" s="398"/>
      <c r="U60" s="12"/>
      <c r="X60" s="176"/>
    </row>
    <row r="61" spans="1:24" ht="12.75" customHeight="1">
      <c r="A61" s="6"/>
      <c r="B61" s="15" t="s">
        <v>321</v>
      </c>
      <c r="C61" s="7"/>
      <c r="D61" s="7"/>
      <c r="E61" s="59"/>
      <c r="F61" s="33"/>
      <c r="G61" s="59"/>
      <c r="H61" s="384"/>
      <c r="I61" s="383"/>
      <c r="J61" s="384"/>
      <c r="K61" s="383"/>
      <c r="L61" s="421"/>
      <c r="M61" s="59"/>
      <c r="N61" s="400"/>
      <c r="O61" s="59"/>
      <c r="P61" s="398"/>
      <c r="Q61" s="399"/>
      <c r="R61" s="398"/>
      <c r="S61" s="399"/>
      <c r="T61" s="398"/>
      <c r="U61" s="12"/>
      <c r="X61" s="176"/>
    </row>
    <row r="62" spans="1:24" ht="3.75" customHeight="1">
      <c r="A62" s="6"/>
      <c r="B62" s="15"/>
      <c r="C62" s="7"/>
      <c r="D62" s="7"/>
      <c r="E62" s="59"/>
      <c r="F62" s="33"/>
      <c r="G62" s="59"/>
      <c r="H62" s="384"/>
      <c r="I62" s="383"/>
      <c r="J62" s="384"/>
      <c r="K62" s="383"/>
      <c r="L62" s="421"/>
      <c r="M62" s="59"/>
      <c r="N62" s="400"/>
      <c r="O62" s="59"/>
      <c r="P62" s="398"/>
      <c r="Q62" s="399"/>
      <c r="R62" s="398"/>
      <c r="S62" s="399"/>
      <c r="T62" s="398"/>
      <c r="U62" s="12"/>
      <c r="X62" s="176"/>
    </row>
    <row r="63" spans="1:24" ht="21.75" customHeight="1">
      <c r="A63" s="18">
        <v>1</v>
      </c>
      <c r="B63" s="942" t="s">
        <v>643</v>
      </c>
      <c r="C63" s="260"/>
      <c r="D63" s="260"/>
      <c r="E63" s="63"/>
      <c r="F63" s="297" t="s">
        <v>322</v>
      </c>
      <c r="G63" s="63"/>
      <c r="H63" s="390">
        <v>136</v>
      </c>
      <c r="I63" s="387"/>
      <c r="J63" s="390">
        <f>+H63*0.9</f>
        <v>122.4</v>
      </c>
      <c r="K63" s="387"/>
      <c r="L63" s="418">
        <f aca="true" t="shared" si="8" ref="L63:L77">H63-J63</f>
        <v>13.599999999999994</v>
      </c>
      <c r="M63" s="63"/>
      <c r="N63" s="401">
        <v>4</v>
      </c>
      <c r="O63" s="63"/>
      <c r="P63" s="386"/>
      <c r="Q63" s="402"/>
      <c r="R63" s="488">
        <f aca="true" t="shared" si="9" ref="R63:R77">(H63*$T$7)*(N63+P63)</f>
        <v>544</v>
      </c>
      <c r="S63" s="489"/>
      <c r="T63" s="488">
        <v>0</v>
      </c>
      <c r="U63" s="27"/>
      <c r="X63" s="176"/>
    </row>
    <row r="64" spans="1:24" ht="21.75" customHeight="1">
      <c r="A64" s="18">
        <v>2</v>
      </c>
      <c r="B64" s="260"/>
      <c r="C64" s="260"/>
      <c r="D64" s="260"/>
      <c r="E64" s="63"/>
      <c r="F64" s="297" t="s">
        <v>322</v>
      </c>
      <c r="G64" s="63"/>
      <c r="H64" s="390"/>
      <c r="I64" s="387"/>
      <c r="J64" s="390"/>
      <c r="K64" s="387"/>
      <c r="L64" s="418">
        <f t="shared" si="8"/>
        <v>0</v>
      </c>
      <c r="M64" s="63"/>
      <c r="N64" s="401"/>
      <c r="O64" s="63"/>
      <c r="P64" s="403"/>
      <c r="Q64" s="402"/>
      <c r="R64" s="488">
        <f t="shared" si="9"/>
        <v>0</v>
      </c>
      <c r="S64" s="489"/>
      <c r="T64" s="488">
        <v>0</v>
      </c>
      <c r="U64" s="27"/>
      <c r="X64" s="176"/>
    </row>
    <row r="65" spans="1:24" ht="21.75" customHeight="1">
      <c r="A65" s="18">
        <v>3</v>
      </c>
      <c r="B65" s="260"/>
      <c r="C65" s="260"/>
      <c r="D65" s="260"/>
      <c r="E65" s="63"/>
      <c r="F65" s="297" t="s">
        <v>322</v>
      </c>
      <c r="G65" s="63"/>
      <c r="H65" s="390"/>
      <c r="I65" s="387"/>
      <c r="J65" s="390"/>
      <c r="K65" s="387"/>
      <c r="L65" s="418">
        <f t="shared" si="8"/>
        <v>0</v>
      </c>
      <c r="M65" s="63"/>
      <c r="N65" s="401"/>
      <c r="O65" s="63"/>
      <c r="P65" s="403"/>
      <c r="Q65" s="402"/>
      <c r="R65" s="488">
        <f t="shared" si="9"/>
        <v>0</v>
      </c>
      <c r="S65" s="489"/>
      <c r="T65" s="488">
        <v>0</v>
      </c>
      <c r="U65" s="27"/>
      <c r="X65" s="176"/>
    </row>
    <row r="66" spans="1:24" ht="21.75" customHeight="1">
      <c r="A66" s="18">
        <v>4</v>
      </c>
      <c r="B66" s="260"/>
      <c r="C66" s="260"/>
      <c r="D66" s="260"/>
      <c r="E66" s="63"/>
      <c r="F66" s="297" t="s">
        <v>322</v>
      </c>
      <c r="G66" s="63"/>
      <c r="H66" s="390"/>
      <c r="I66" s="387"/>
      <c r="J66" s="390"/>
      <c r="K66" s="387"/>
      <c r="L66" s="418">
        <f t="shared" si="8"/>
        <v>0</v>
      </c>
      <c r="M66" s="63"/>
      <c r="N66" s="401"/>
      <c r="O66" s="63"/>
      <c r="P66" s="403"/>
      <c r="Q66" s="402"/>
      <c r="R66" s="488">
        <f t="shared" si="9"/>
        <v>0</v>
      </c>
      <c r="S66" s="489"/>
      <c r="T66" s="488">
        <v>0</v>
      </c>
      <c r="U66" s="27"/>
      <c r="X66" s="176"/>
    </row>
    <row r="67" spans="1:24" ht="21.75" customHeight="1">
      <c r="A67" s="18">
        <v>5</v>
      </c>
      <c r="B67" s="260"/>
      <c r="C67" s="260"/>
      <c r="D67" s="260"/>
      <c r="E67" s="63"/>
      <c r="F67" s="297" t="s">
        <v>322</v>
      </c>
      <c r="G67" s="63"/>
      <c r="H67" s="390"/>
      <c r="I67" s="387"/>
      <c r="J67" s="390"/>
      <c r="K67" s="387"/>
      <c r="L67" s="418">
        <f t="shared" si="8"/>
        <v>0</v>
      </c>
      <c r="M67" s="63"/>
      <c r="N67" s="401"/>
      <c r="O67" s="63"/>
      <c r="P67" s="403"/>
      <c r="Q67" s="402"/>
      <c r="R67" s="488">
        <f t="shared" si="9"/>
        <v>0</v>
      </c>
      <c r="S67" s="489"/>
      <c r="T67" s="488">
        <v>0</v>
      </c>
      <c r="U67" s="27"/>
      <c r="X67" s="176"/>
    </row>
    <row r="68" spans="1:24" ht="21.75" customHeight="1">
      <c r="A68" s="18">
        <v>6</v>
      </c>
      <c r="B68" s="260"/>
      <c r="C68" s="260"/>
      <c r="D68" s="260"/>
      <c r="E68" s="63"/>
      <c r="F68" s="297" t="s">
        <v>322</v>
      </c>
      <c r="G68" s="63"/>
      <c r="H68" s="390"/>
      <c r="I68" s="387"/>
      <c r="J68" s="390"/>
      <c r="K68" s="387"/>
      <c r="L68" s="418">
        <f t="shared" si="8"/>
        <v>0</v>
      </c>
      <c r="M68" s="63"/>
      <c r="N68" s="388"/>
      <c r="O68" s="63"/>
      <c r="P68" s="403"/>
      <c r="Q68" s="402"/>
      <c r="R68" s="488">
        <f t="shared" si="9"/>
        <v>0</v>
      </c>
      <c r="S68" s="489"/>
      <c r="T68" s="488">
        <f aca="true" t="shared" si="10" ref="T68:T77">(L68*$T$7)*(N68+P68)</f>
        <v>0</v>
      </c>
      <c r="U68" s="27"/>
      <c r="X68" s="176"/>
    </row>
    <row r="69" spans="1:24" ht="21.75" customHeight="1">
      <c r="A69" s="18">
        <v>7</v>
      </c>
      <c r="B69" s="260"/>
      <c r="C69" s="260"/>
      <c r="D69" s="260"/>
      <c r="E69" s="63"/>
      <c r="F69" s="297" t="s">
        <v>322</v>
      </c>
      <c r="G69" s="63"/>
      <c r="H69" s="390"/>
      <c r="I69" s="387"/>
      <c r="J69" s="390"/>
      <c r="K69" s="387"/>
      <c r="L69" s="418">
        <f t="shared" si="8"/>
        <v>0</v>
      </c>
      <c r="M69" s="63"/>
      <c r="N69" s="388"/>
      <c r="O69" s="63"/>
      <c r="P69" s="403"/>
      <c r="Q69" s="402"/>
      <c r="R69" s="488">
        <f t="shared" si="9"/>
        <v>0</v>
      </c>
      <c r="S69" s="489"/>
      <c r="T69" s="488">
        <f t="shared" si="10"/>
        <v>0</v>
      </c>
      <c r="U69" s="27"/>
      <c r="X69" s="176"/>
    </row>
    <row r="70" spans="1:24" ht="21.75" customHeight="1">
      <c r="A70" s="18">
        <v>8</v>
      </c>
      <c r="B70" s="260"/>
      <c r="C70" s="260"/>
      <c r="D70" s="260"/>
      <c r="E70" s="63"/>
      <c r="F70" s="297" t="s">
        <v>322</v>
      </c>
      <c r="G70" s="63"/>
      <c r="H70" s="390"/>
      <c r="I70" s="387"/>
      <c r="J70" s="390"/>
      <c r="K70" s="387"/>
      <c r="L70" s="418">
        <f t="shared" si="8"/>
        <v>0</v>
      </c>
      <c r="M70" s="63"/>
      <c r="N70" s="388"/>
      <c r="O70" s="63"/>
      <c r="P70" s="403"/>
      <c r="Q70" s="402"/>
      <c r="R70" s="488">
        <f t="shared" si="9"/>
        <v>0</v>
      </c>
      <c r="S70" s="489"/>
      <c r="T70" s="488">
        <f t="shared" si="10"/>
        <v>0</v>
      </c>
      <c r="U70" s="27"/>
      <c r="X70" s="176"/>
    </row>
    <row r="71" spans="1:24" ht="21.75" customHeight="1">
      <c r="A71" s="18">
        <v>9</v>
      </c>
      <c r="B71" s="260"/>
      <c r="C71" s="260"/>
      <c r="D71" s="260"/>
      <c r="E71" s="63"/>
      <c r="F71" s="297" t="s">
        <v>322</v>
      </c>
      <c r="G71" s="63"/>
      <c r="H71" s="390"/>
      <c r="I71" s="387"/>
      <c r="J71" s="390"/>
      <c r="K71" s="387"/>
      <c r="L71" s="418">
        <f t="shared" si="8"/>
        <v>0</v>
      </c>
      <c r="M71" s="63"/>
      <c r="N71" s="388"/>
      <c r="O71" s="63"/>
      <c r="P71" s="403"/>
      <c r="Q71" s="402"/>
      <c r="R71" s="488">
        <f t="shared" si="9"/>
        <v>0</v>
      </c>
      <c r="S71" s="489"/>
      <c r="T71" s="488">
        <f t="shared" si="10"/>
        <v>0</v>
      </c>
      <c r="U71" s="27"/>
      <c r="X71" s="176"/>
    </row>
    <row r="72" spans="1:24" ht="21.75" customHeight="1">
      <c r="A72" s="18">
        <v>10</v>
      </c>
      <c r="B72" s="260"/>
      <c r="C72" s="260"/>
      <c r="D72" s="260"/>
      <c r="E72" s="63"/>
      <c r="F72" s="297" t="s">
        <v>322</v>
      </c>
      <c r="G72" s="63"/>
      <c r="H72" s="390"/>
      <c r="I72" s="387"/>
      <c r="J72" s="390"/>
      <c r="K72" s="387"/>
      <c r="L72" s="418">
        <f t="shared" si="8"/>
        <v>0</v>
      </c>
      <c r="M72" s="63"/>
      <c r="N72" s="388"/>
      <c r="O72" s="63"/>
      <c r="P72" s="403"/>
      <c r="Q72" s="402"/>
      <c r="R72" s="488">
        <f t="shared" si="9"/>
        <v>0</v>
      </c>
      <c r="S72" s="489"/>
      <c r="T72" s="488">
        <f t="shared" si="10"/>
        <v>0</v>
      </c>
      <c r="U72" s="27"/>
      <c r="X72" s="176"/>
    </row>
    <row r="73" spans="1:24" ht="21.75" customHeight="1">
      <c r="A73" s="18">
        <v>11</v>
      </c>
      <c r="B73" s="260"/>
      <c r="C73" s="260"/>
      <c r="D73" s="260"/>
      <c r="E73" s="63"/>
      <c r="F73" s="297" t="s">
        <v>322</v>
      </c>
      <c r="G73" s="63"/>
      <c r="H73" s="390"/>
      <c r="I73" s="387"/>
      <c r="J73" s="390"/>
      <c r="K73" s="387"/>
      <c r="L73" s="418">
        <f t="shared" si="8"/>
        <v>0</v>
      </c>
      <c r="M73" s="63"/>
      <c r="N73" s="388"/>
      <c r="O73" s="63"/>
      <c r="P73" s="403"/>
      <c r="Q73" s="402"/>
      <c r="R73" s="488">
        <f t="shared" si="9"/>
        <v>0</v>
      </c>
      <c r="S73" s="489"/>
      <c r="T73" s="488">
        <f t="shared" si="10"/>
        <v>0</v>
      </c>
      <c r="U73" s="27"/>
      <c r="X73" s="176"/>
    </row>
    <row r="74" spans="1:24" ht="21.75" customHeight="1">
      <c r="A74" s="18">
        <v>12</v>
      </c>
      <c r="B74" s="260"/>
      <c r="C74" s="260"/>
      <c r="D74" s="260"/>
      <c r="E74" s="63"/>
      <c r="F74" s="297" t="s">
        <v>322</v>
      </c>
      <c r="G74" s="63"/>
      <c r="H74" s="390"/>
      <c r="I74" s="387"/>
      <c r="J74" s="390"/>
      <c r="K74" s="387"/>
      <c r="L74" s="418">
        <f t="shared" si="8"/>
        <v>0</v>
      </c>
      <c r="M74" s="63"/>
      <c r="N74" s="388"/>
      <c r="O74" s="63"/>
      <c r="P74" s="403"/>
      <c r="Q74" s="402"/>
      <c r="R74" s="488">
        <f t="shared" si="9"/>
        <v>0</v>
      </c>
      <c r="S74" s="489"/>
      <c r="T74" s="488">
        <f t="shared" si="10"/>
        <v>0</v>
      </c>
      <c r="U74" s="27"/>
      <c r="X74" s="176"/>
    </row>
    <row r="75" spans="1:24" ht="21.75" customHeight="1">
      <c r="A75" s="18">
        <v>13</v>
      </c>
      <c r="B75" s="260"/>
      <c r="C75" s="260"/>
      <c r="D75" s="260"/>
      <c r="E75" s="63"/>
      <c r="F75" s="297" t="s">
        <v>322</v>
      </c>
      <c r="G75" s="63"/>
      <c r="H75" s="390"/>
      <c r="I75" s="387"/>
      <c r="J75" s="390"/>
      <c r="K75" s="387"/>
      <c r="L75" s="418">
        <f t="shared" si="8"/>
        <v>0</v>
      </c>
      <c r="M75" s="63"/>
      <c r="N75" s="388"/>
      <c r="O75" s="63"/>
      <c r="P75" s="403"/>
      <c r="Q75" s="402"/>
      <c r="R75" s="488">
        <f t="shared" si="9"/>
        <v>0</v>
      </c>
      <c r="S75" s="489"/>
      <c r="T75" s="488">
        <f t="shared" si="10"/>
        <v>0</v>
      </c>
      <c r="U75" s="27"/>
      <c r="X75" s="176"/>
    </row>
    <row r="76" spans="1:24" ht="21.75" customHeight="1">
      <c r="A76" s="18">
        <v>14</v>
      </c>
      <c r="B76" s="260"/>
      <c r="C76" s="260"/>
      <c r="D76" s="260"/>
      <c r="E76" s="63"/>
      <c r="F76" s="297" t="s">
        <v>322</v>
      </c>
      <c r="G76" s="63"/>
      <c r="H76" s="390"/>
      <c r="I76" s="387"/>
      <c r="J76" s="390"/>
      <c r="K76" s="387"/>
      <c r="L76" s="418">
        <f t="shared" si="8"/>
        <v>0</v>
      </c>
      <c r="M76" s="63"/>
      <c r="N76" s="388"/>
      <c r="O76" s="63"/>
      <c r="P76" s="403"/>
      <c r="Q76" s="402"/>
      <c r="R76" s="488">
        <f t="shared" si="9"/>
        <v>0</v>
      </c>
      <c r="S76" s="489"/>
      <c r="T76" s="488">
        <f t="shared" si="10"/>
        <v>0</v>
      </c>
      <c r="U76" s="27"/>
      <c r="X76" s="176"/>
    </row>
    <row r="77" spans="1:24" ht="19.5" customHeight="1" thickBot="1">
      <c r="A77" s="18">
        <v>15</v>
      </c>
      <c r="B77" s="260"/>
      <c r="C77" s="260"/>
      <c r="D77" s="260"/>
      <c r="E77" s="63"/>
      <c r="F77" s="297" t="s">
        <v>322</v>
      </c>
      <c r="G77" s="63"/>
      <c r="H77" s="390"/>
      <c r="I77" s="387"/>
      <c r="J77" s="390"/>
      <c r="K77" s="387"/>
      <c r="L77" s="418">
        <f t="shared" si="8"/>
        <v>0</v>
      </c>
      <c r="M77" s="63"/>
      <c r="N77" s="388"/>
      <c r="O77" s="63"/>
      <c r="P77" s="390"/>
      <c r="Q77" s="387"/>
      <c r="R77" s="488">
        <f t="shared" si="9"/>
        <v>0</v>
      </c>
      <c r="S77" s="489"/>
      <c r="T77" s="488">
        <f t="shared" si="10"/>
        <v>0</v>
      </c>
      <c r="U77" s="27"/>
      <c r="X77" s="176"/>
    </row>
    <row r="78" spans="1:24" ht="21.75" customHeight="1" thickBot="1">
      <c r="A78" s="112"/>
      <c r="B78" s="113"/>
      <c r="C78" s="113"/>
      <c r="D78" s="113" t="s">
        <v>311</v>
      </c>
      <c r="E78" s="114"/>
      <c r="F78" s="391"/>
      <c r="G78" s="392"/>
      <c r="H78" s="404">
        <f>SUM(H63:H77)</f>
        <v>136</v>
      </c>
      <c r="I78" s="405"/>
      <c r="J78" s="393"/>
      <c r="K78" s="394"/>
      <c r="L78" s="499"/>
      <c r="M78" s="392"/>
      <c r="N78" s="395"/>
      <c r="O78" s="392"/>
      <c r="P78" s="393"/>
      <c r="Q78" s="394"/>
      <c r="R78" s="500">
        <f>SUM(R63:R77)</f>
        <v>544</v>
      </c>
      <c r="S78" s="501"/>
      <c r="T78" s="502">
        <f>SUM(T63:T77)</f>
        <v>0</v>
      </c>
      <c r="U78" s="498"/>
      <c r="X78" s="176"/>
    </row>
    <row r="79" spans="1:24" ht="3.75" customHeight="1">
      <c r="A79" s="6"/>
      <c r="B79" s="7"/>
      <c r="C79" s="7"/>
      <c r="D79" s="7"/>
      <c r="E79" s="7"/>
      <c r="F79" s="33"/>
      <c r="G79" s="7"/>
      <c r="H79" s="384"/>
      <c r="I79" s="384"/>
      <c r="J79" s="384"/>
      <c r="K79" s="384"/>
      <c r="L79" s="406"/>
      <c r="M79" s="7"/>
      <c r="N79" s="381"/>
      <c r="O79" s="7"/>
      <c r="P79" s="384"/>
      <c r="Q79" s="407"/>
      <c r="R79" s="381"/>
      <c r="S79" s="503"/>
      <c r="T79" s="381"/>
      <c r="U79" s="12"/>
      <c r="X79" s="176"/>
    </row>
    <row r="80" spans="1:24" ht="18" customHeight="1">
      <c r="A80" s="17" t="s">
        <v>323</v>
      </c>
      <c r="B80" s="8"/>
      <c r="C80" s="7"/>
      <c r="D80" s="7"/>
      <c r="E80" s="7"/>
      <c r="F80" s="33"/>
      <c r="G80" s="7"/>
      <c r="H80" s="406"/>
      <c r="I80" s="384"/>
      <c r="J80" s="384"/>
      <c r="K80" s="384"/>
      <c r="L80" s="406"/>
      <c r="M80" s="7"/>
      <c r="N80" s="381"/>
      <c r="O80" s="7"/>
      <c r="P80" s="384"/>
      <c r="Q80" s="407"/>
      <c r="R80" s="504">
        <f>+R59+R78</f>
        <v>1424.4144999999999</v>
      </c>
      <c r="S80" s="503"/>
      <c r="T80" s="504">
        <f>+T59+T78</f>
        <v>880.4145</v>
      </c>
      <c r="U80" s="12"/>
      <c r="X80" s="176"/>
    </row>
    <row r="81" spans="1:24" ht="4.5" customHeight="1" thickBot="1">
      <c r="A81" s="375"/>
      <c r="B81" s="46"/>
      <c r="C81" s="46"/>
      <c r="D81" s="46"/>
      <c r="E81" s="46"/>
      <c r="F81" s="408"/>
      <c r="G81" s="46"/>
      <c r="H81" s="409"/>
      <c r="I81" s="410"/>
      <c r="J81" s="410"/>
      <c r="K81" s="410"/>
      <c r="L81" s="409"/>
      <c r="M81" s="46"/>
      <c r="N81" s="411"/>
      <c r="O81" s="46"/>
      <c r="P81" s="410"/>
      <c r="Q81" s="412"/>
      <c r="R81" s="411"/>
      <c r="S81" s="505"/>
      <c r="T81" s="411"/>
      <c r="U81" s="53"/>
      <c r="X81" s="176"/>
    </row>
    <row r="82" spans="1:24" ht="5.25" customHeight="1" thickTop="1">
      <c r="A82" s="6"/>
      <c r="B82" s="7"/>
      <c r="C82" s="7"/>
      <c r="D82" s="7"/>
      <c r="E82" s="7"/>
      <c r="F82" s="33"/>
      <c r="G82" s="7"/>
      <c r="H82" s="384"/>
      <c r="I82" s="384"/>
      <c r="J82" s="384"/>
      <c r="K82" s="384"/>
      <c r="L82" s="406"/>
      <c r="M82" s="7"/>
      <c r="N82" s="381"/>
      <c r="O82" s="7"/>
      <c r="P82" s="398"/>
      <c r="Q82" s="413"/>
      <c r="R82" s="506"/>
      <c r="S82" s="507"/>
      <c r="T82" s="506"/>
      <c r="U82" s="12"/>
      <c r="X82" s="176"/>
    </row>
    <row r="83" spans="1:24" ht="18" customHeight="1">
      <c r="A83" s="47" t="s">
        <v>324</v>
      </c>
      <c r="B83" s="52" t="s">
        <v>325</v>
      </c>
      <c r="C83" s="7"/>
      <c r="D83" s="7"/>
      <c r="E83" s="7"/>
      <c r="F83" s="33"/>
      <c r="G83" s="7"/>
      <c r="H83" s="384"/>
      <c r="I83" s="384"/>
      <c r="J83" s="384"/>
      <c r="K83" s="384"/>
      <c r="L83" s="406"/>
      <c r="M83" s="7"/>
      <c r="N83" s="381"/>
      <c r="O83" s="7"/>
      <c r="P83" s="384"/>
      <c r="Q83" s="407"/>
      <c r="R83" s="414">
        <f>R27-R80</f>
        <v>-10.814499999999953</v>
      </c>
      <c r="S83" s="503"/>
      <c r="T83" s="414">
        <f>T27-T80</f>
        <v>475.05949999999996</v>
      </c>
      <c r="U83" s="12"/>
      <c r="X83" s="176"/>
    </row>
    <row r="84" spans="1:24" ht="8.25" customHeight="1" thickBot="1">
      <c r="A84" s="508"/>
      <c r="B84" s="509"/>
      <c r="C84" s="113"/>
      <c r="D84" s="113"/>
      <c r="E84" s="113"/>
      <c r="F84" s="138"/>
      <c r="G84" s="113"/>
      <c r="H84" s="510"/>
      <c r="I84" s="510"/>
      <c r="J84" s="510"/>
      <c r="K84" s="510"/>
      <c r="L84" s="511"/>
      <c r="M84" s="113"/>
      <c r="N84" s="512"/>
      <c r="O84" s="113"/>
      <c r="P84" s="510"/>
      <c r="Q84" s="513"/>
      <c r="R84" s="514"/>
      <c r="S84" s="515"/>
      <c r="T84" s="514"/>
      <c r="U84" s="110"/>
      <c r="X84" s="176"/>
    </row>
    <row r="85" spans="1:24" ht="5.25" customHeight="1" thickBot="1">
      <c r="A85" s="47"/>
      <c r="B85" s="52"/>
      <c r="C85" s="7"/>
      <c r="D85" s="7"/>
      <c r="E85" s="7"/>
      <c r="F85" s="33"/>
      <c r="G85" s="7"/>
      <c r="H85" s="384"/>
      <c r="I85" s="384"/>
      <c r="J85" s="384"/>
      <c r="K85" s="384"/>
      <c r="L85" s="406"/>
      <c r="M85" s="7"/>
      <c r="N85" s="381"/>
      <c r="O85" s="7"/>
      <c r="P85" s="384"/>
      <c r="Q85" s="384"/>
      <c r="R85" s="414"/>
      <c r="S85" s="381"/>
      <c r="T85" s="414"/>
      <c r="U85" s="12"/>
      <c r="X85" s="176"/>
    </row>
    <row r="86" spans="1:24" ht="18" customHeight="1" thickBot="1">
      <c r="A86" s="47" t="s">
        <v>391</v>
      </c>
      <c r="B86" s="52"/>
      <c r="C86" s="7"/>
      <c r="D86" s="7"/>
      <c r="E86" s="7"/>
      <c r="F86" s="33"/>
      <c r="G86" s="7"/>
      <c r="H86" s="919">
        <f>(H78*T7)/275</f>
        <v>0.49454545454545457</v>
      </c>
      <c r="I86" s="516"/>
      <c r="J86" s="516" t="s">
        <v>392</v>
      </c>
      <c r="K86" s="384"/>
      <c r="L86" s="406"/>
      <c r="M86" s="7"/>
      <c r="N86" s="381"/>
      <c r="O86" s="7"/>
      <c r="P86" s="384"/>
      <c r="Q86" s="384"/>
      <c r="R86" s="414"/>
      <c r="S86" s="381"/>
      <c r="T86" s="414"/>
      <c r="U86" s="12"/>
      <c r="X86" s="176"/>
    </row>
    <row r="87" spans="1:24" ht="6.75" customHeight="1" thickBot="1">
      <c r="A87" s="45"/>
      <c r="B87" s="46"/>
      <c r="C87" s="46"/>
      <c r="D87" s="46"/>
      <c r="E87" s="46"/>
      <c r="F87" s="408"/>
      <c r="G87" s="46"/>
      <c r="H87" s="517"/>
      <c r="I87" s="410"/>
      <c r="J87" s="410"/>
      <c r="K87" s="410"/>
      <c r="L87" s="409"/>
      <c r="M87" s="46"/>
      <c r="N87" s="409"/>
      <c r="O87" s="46"/>
      <c r="P87" s="410"/>
      <c r="Q87" s="410"/>
      <c r="R87" s="410"/>
      <c r="S87" s="410"/>
      <c r="T87" s="410"/>
      <c r="U87" s="53"/>
      <c r="X87" s="176"/>
    </row>
    <row r="88" spans="1:24" ht="13.5" thickTop="1">
      <c r="A88" s="176"/>
      <c r="B88" s="176"/>
      <c r="C88" s="176"/>
      <c r="D88" s="176"/>
      <c r="E88" s="176"/>
      <c r="F88" s="176"/>
      <c r="G88" s="176"/>
      <c r="H88" s="176"/>
      <c r="I88" s="176"/>
      <c r="V88" s="176"/>
      <c r="W88" s="176"/>
      <c r="X88" s="176"/>
    </row>
    <row r="89" spans="1:24" ht="12.7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row>
    <row r="90" spans="1:24" ht="12.7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row>
  </sheetData>
  <sheetProtection password="CB61" sheet="1" objects="1" scenarios="1"/>
  <mergeCells count="2">
    <mergeCell ref="J1:L1"/>
    <mergeCell ref="D7:G7"/>
  </mergeCells>
  <printOptions horizontalCentered="1"/>
  <pageMargins left="0.7480314960629921" right="0.7480314960629921" top="0.3937007874015748" bottom="0.3937007874015748" header="0.11811023622047245" footer="0.11811023622047245"/>
  <pageSetup fitToHeight="1" fitToWidth="1" horizontalDpi="300" verticalDpi="300" orientation="portrait" scale="53" r:id="rId3"/>
  <colBreaks count="1" manualBreakCount="1">
    <brk id="8" max="65535" man="1"/>
  </col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A90"/>
  <sheetViews>
    <sheetView showGridLines="0" zoomScale="75" zoomScaleNormal="75" workbookViewId="0" topLeftCell="A2">
      <selection activeCell="L25" sqref="L25"/>
    </sheetView>
  </sheetViews>
  <sheetFormatPr defaultColWidth="11.421875" defaultRowHeight="12.75"/>
  <cols>
    <col min="1" max="1" width="3.140625" style="0" customWidth="1"/>
    <col min="2" max="2" width="12.421875" style="0" customWidth="1"/>
    <col min="3" max="3" width="0.9921875" style="0" customWidth="1"/>
    <col min="4" max="4" width="15.28125" style="0" customWidth="1"/>
    <col min="5" max="5" width="0.9921875" style="0" customWidth="1"/>
    <col min="6" max="6" width="12.7109375" style="0" customWidth="1"/>
    <col min="7" max="7" width="0.9921875" style="0" customWidth="1"/>
    <col min="8" max="8" width="17.7109375" style="0" customWidth="1"/>
    <col min="9" max="9" width="0.9921875" style="0" customWidth="1"/>
    <col min="10" max="10" width="17.7109375" style="0" customWidth="1"/>
    <col min="11" max="11" width="0.9921875" style="0" customWidth="1"/>
    <col min="12" max="12" width="17.7109375" style="0" customWidth="1"/>
    <col min="13" max="13" width="0.9921875" style="0" customWidth="1"/>
    <col min="14" max="14" width="14.00390625" style="0" customWidth="1"/>
    <col min="15" max="15" width="0.9921875" style="0" customWidth="1"/>
    <col min="16" max="16" width="12.57421875" style="0" customWidth="1"/>
    <col min="17" max="17" width="0.9921875" style="0" customWidth="1"/>
    <col min="18" max="18" width="16.7109375" style="0" customWidth="1"/>
    <col min="19" max="19" width="0.9921875" style="0" customWidth="1"/>
    <col min="20" max="20" width="16.7109375" style="0" customWidth="1"/>
    <col min="21" max="21" width="1.57421875" style="0" customWidth="1"/>
    <col min="22" max="22" width="14.00390625" style="0" customWidth="1"/>
    <col min="23" max="23" width="2.00390625" style="0" customWidth="1"/>
    <col min="24" max="16384" width="9.140625" style="0" customWidth="1"/>
  </cols>
  <sheetData>
    <row r="1" spans="1:24" ht="24.75">
      <c r="A1" s="482"/>
      <c r="B1" s="483"/>
      <c r="C1" s="483"/>
      <c r="D1" s="484"/>
      <c r="E1" s="176"/>
      <c r="F1" s="176"/>
      <c r="G1" s="485"/>
      <c r="H1" s="485"/>
      <c r="I1" s="485"/>
      <c r="J1" s="983" t="s">
        <v>471</v>
      </c>
      <c r="K1" s="984"/>
      <c r="L1" s="985"/>
      <c r="M1" s="176"/>
      <c r="N1" s="176"/>
      <c r="O1" s="176"/>
      <c r="P1" s="176"/>
      <c r="Q1" s="176"/>
      <c r="R1" s="176"/>
      <c r="T1" s="176"/>
      <c r="U1" s="176"/>
      <c r="X1" s="176"/>
    </row>
    <row r="2" spans="1:24" ht="9.75" customHeight="1">
      <c r="A2" s="173"/>
      <c r="B2" s="173"/>
      <c r="C2" s="173"/>
      <c r="D2" s="173"/>
      <c r="E2" s="173"/>
      <c r="F2" s="173"/>
      <c r="G2" s="173"/>
      <c r="H2" s="173"/>
      <c r="I2" s="173"/>
      <c r="J2" s="173"/>
      <c r="K2" s="173"/>
      <c r="L2" s="176"/>
      <c r="M2" s="173"/>
      <c r="N2" s="173"/>
      <c r="O2" s="173"/>
      <c r="P2" s="173"/>
      <c r="Q2" s="173"/>
      <c r="R2" s="173"/>
      <c r="S2" s="173"/>
      <c r="T2" s="173"/>
      <c r="U2" s="173"/>
      <c r="V2" s="173"/>
      <c r="W2" s="173"/>
      <c r="X2" s="176"/>
    </row>
    <row r="3" spans="1:24" ht="20.25">
      <c r="A3" s="177"/>
      <c r="B3" s="173"/>
      <c r="C3" s="176"/>
      <c r="D3" s="176"/>
      <c r="E3" s="173"/>
      <c r="F3" s="176"/>
      <c r="G3" s="173"/>
      <c r="H3" s="176"/>
      <c r="I3" s="178"/>
      <c r="J3" s="346" t="s">
        <v>394</v>
      </c>
      <c r="K3" s="178"/>
      <c r="L3" s="176"/>
      <c r="M3" s="176"/>
      <c r="N3" s="176"/>
      <c r="O3" s="176"/>
      <c r="P3" s="176"/>
      <c r="Q3" s="176"/>
      <c r="R3" s="176"/>
      <c r="S3" s="176"/>
      <c r="T3" s="176"/>
      <c r="U3" s="176"/>
      <c r="V3" s="176"/>
      <c r="W3" s="173"/>
      <c r="X3" s="176"/>
    </row>
    <row r="4" spans="1:24" ht="7.5" customHeight="1">
      <c r="A4" s="177"/>
      <c r="B4" s="173"/>
      <c r="C4" s="486"/>
      <c r="D4" s="176"/>
      <c r="E4" s="173"/>
      <c r="F4" s="176"/>
      <c r="G4" s="173"/>
      <c r="H4" s="176"/>
      <c r="I4" s="178"/>
      <c r="J4" s="178"/>
      <c r="K4" s="178"/>
      <c r="L4" s="176"/>
      <c r="M4" s="176"/>
      <c r="N4" s="176"/>
      <c r="O4" s="176"/>
      <c r="P4" s="176"/>
      <c r="Q4" s="176"/>
      <c r="R4" s="176"/>
      <c r="S4" s="176"/>
      <c r="T4" s="176"/>
      <c r="U4" s="176"/>
      <c r="V4" s="176"/>
      <c r="W4" s="173"/>
      <c r="X4" s="176"/>
    </row>
    <row r="5" spans="1:24" ht="6" customHeight="1">
      <c r="A5" s="177"/>
      <c r="B5" s="173"/>
      <c r="C5" s="179"/>
      <c r="D5" s="347"/>
      <c r="E5" s="173"/>
      <c r="F5" s="176"/>
      <c r="G5" s="176"/>
      <c r="H5" s="176"/>
      <c r="I5" s="178"/>
      <c r="J5" s="178"/>
      <c r="K5" s="178"/>
      <c r="L5" s="176"/>
      <c r="M5" s="176"/>
      <c r="N5" s="176"/>
      <c r="O5" s="176"/>
      <c r="P5" s="176"/>
      <c r="Q5" s="176"/>
      <c r="R5" s="176"/>
      <c r="S5" s="176"/>
      <c r="T5" s="176"/>
      <c r="U5" s="176"/>
      <c r="V5" s="176"/>
      <c r="W5" s="173"/>
      <c r="X5" s="176"/>
    </row>
    <row r="6" spans="1:24" ht="3.75" customHeight="1">
      <c r="A6" s="177"/>
      <c r="B6" s="173"/>
      <c r="C6" s="179"/>
      <c r="D6" s="347"/>
      <c r="E6" s="173"/>
      <c r="F6" s="176"/>
      <c r="G6" s="176"/>
      <c r="H6" s="176"/>
      <c r="I6" s="178"/>
      <c r="J6" s="178"/>
      <c r="K6" s="178"/>
      <c r="L6" s="176"/>
      <c r="M6" s="176"/>
      <c r="N6" s="176"/>
      <c r="O6" s="176"/>
      <c r="P6" s="176"/>
      <c r="Q6" s="176"/>
      <c r="R6" s="176"/>
      <c r="S6" s="176"/>
      <c r="T6" s="176"/>
      <c r="U6" s="176"/>
      <c r="V6" s="176"/>
      <c r="W6" s="173"/>
      <c r="X6" s="176"/>
    </row>
    <row r="7" spans="1:24" ht="16.5" customHeight="1">
      <c r="A7" s="177"/>
      <c r="B7" s="351" t="s">
        <v>458</v>
      </c>
      <c r="C7" s="176"/>
      <c r="D7" s="986" t="s">
        <v>555</v>
      </c>
      <c r="E7" s="987"/>
      <c r="F7" s="987"/>
      <c r="G7" s="987"/>
      <c r="H7" s="230" t="s">
        <v>288</v>
      </c>
      <c r="I7" s="173"/>
      <c r="J7" s="487" t="s">
        <v>644</v>
      </c>
      <c r="K7" s="176"/>
      <c r="L7" s="176"/>
      <c r="M7" s="176"/>
      <c r="N7" s="348" t="s">
        <v>289</v>
      </c>
      <c r="O7" s="176"/>
      <c r="P7" s="349">
        <v>12</v>
      </c>
      <c r="Q7" s="176"/>
      <c r="R7" s="264" t="s">
        <v>290</v>
      </c>
      <c r="S7" s="176"/>
      <c r="T7" s="349">
        <v>1</v>
      </c>
      <c r="U7" s="176"/>
      <c r="V7" s="176"/>
      <c r="W7" s="173"/>
      <c r="X7" s="176"/>
    </row>
    <row r="8" spans="1:24" ht="12" customHeight="1">
      <c r="A8" s="177"/>
      <c r="B8" s="179"/>
      <c r="C8" s="176"/>
      <c r="D8" s="173"/>
      <c r="E8" s="350" t="s">
        <v>291</v>
      </c>
      <c r="F8" s="173"/>
      <c r="G8" s="177"/>
      <c r="H8" s="351" t="s">
        <v>292</v>
      </c>
      <c r="I8" s="173"/>
      <c r="J8" s="352" t="s">
        <v>293</v>
      </c>
      <c r="K8" s="176"/>
      <c r="L8" s="176"/>
      <c r="M8" s="176"/>
      <c r="N8" s="353" t="s">
        <v>294</v>
      </c>
      <c r="O8" s="354"/>
      <c r="P8" s="354" t="s">
        <v>295</v>
      </c>
      <c r="Q8" s="176"/>
      <c r="R8" s="355" t="s">
        <v>296</v>
      </c>
      <c r="S8" s="176"/>
      <c r="T8" s="354" t="s">
        <v>297</v>
      </c>
      <c r="U8" s="176"/>
      <c r="V8" s="176"/>
      <c r="W8" s="173"/>
      <c r="X8" s="176"/>
    </row>
    <row r="9" spans="1:24" ht="9" customHeight="1" thickBot="1">
      <c r="A9" s="180"/>
      <c r="B9" s="180"/>
      <c r="C9" s="180"/>
      <c r="D9" s="180"/>
      <c r="E9" s="180"/>
      <c r="F9" s="180"/>
      <c r="G9" s="180"/>
      <c r="H9" s="180"/>
      <c r="I9" s="180"/>
      <c r="J9" s="180"/>
      <c r="K9" s="180"/>
      <c r="L9" s="356"/>
      <c r="M9" s="180"/>
      <c r="N9" s="180"/>
      <c r="O9" s="180"/>
      <c r="P9" s="180"/>
      <c r="Q9" s="180"/>
      <c r="R9" s="180"/>
      <c r="S9" s="180"/>
      <c r="T9" s="180"/>
      <c r="U9" s="180"/>
      <c r="X9" s="176"/>
    </row>
    <row r="10" spans="1:24" ht="4.5" customHeight="1" thickTop="1">
      <c r="A10" s="6"/>
      <c r="B10" s="7"/>
      <c r="C10" s="7"/>
      <c r="D10" s="7"/>
      <c r="E10" s="7"/>
      <c r="F10" s="7"/>
      <c r="G10" s="7"/>
      <c r="H10" s="7"/>
      <c r="I10" s="7"/>
      <c r="J10" s="7"/>
      <c r="K10" s="7"/>
      <c r="L10" s="7"/>
      <c r="M10" s="7"/>
      <c r="N10" s="7"/>
      <c r="O10" s="7"/>
      <c r="P10" s="7"/>
      <c r="Q10" s="7"/>
      <c r="R10" s="7"/>
      <c r="S10" s="7"/>
      <c r="T10" s="7"/>
      <c r="U10" s="12"/>
      <c r="X10" s="176"/>
    </row>
    <row r="11" spans="1:24" ht="14.25" customHeight="1">
      <c r="A11" s="131" t="s">
        <v>298</v>
      </c>
      <c r="B11" s="7"/>
      <c r="C11" s="7"/>
      <c r="D11" s="7"/>
      <c r="E11" s="7"/>
      <c r="F11" s="7"/>
      <c r="G11" s="7"/>
      <c r="H11" s="7"/>
      <c r="I11" s="7"/>
      <c r="J11" s="7"/>
      <c r="K11" s="7"/>
      <c r="L11" s="7"/>
      <c r="M11" s="7"/>
      <c r="N11" s="7"/>
      <c r="O11" s="7"/>
      <c r="P11" s="7"/>
      <c r="Q11" s="7"/>
      <c r="R11" s="7"/>
      <c r="S11" s="7"/>
      <c r="T11" s="7"/>
      <c r="U11" s="12"/>
      <c r="X11" s="176"/>
    </row>
    <row r="12" spans="1:24" ht="4.5" customHeight="1">
      <c r="A12" s="18"/>
      <c r="B12" s="19"/>
      <c r="C12" s="19"/>
      <c r="D12" s="19"/>
      <c r="E12" s="19"/>
      <c r="F12" s="19"/>
      <c r="G12" s="19"/>
      <c r="H12" s="19"/>
      <c r="I12" s="19"/>
      <c r="J12" s="19"/>
      <c r="K12" s="19"/>
      <c r="L12" s="19"/>
      <c r="M12" s="19"/>
      <c r="N12" s="19"/>
      <c r="O12" s="19"/>
      <c r="P12" s="19"/>
      <c r="Q12" s="19"/>
      <c r="R12" s="19"/>
      <c r="S12" s="19"/>
      <c r="T12" s="19"/>
      <c r="U12" s="27"/>
      <c r="X12" s="176"/>
    </row>
    <row r="13" spans="1:24" ht="12.75" customHeight="1">
      <c r="A13" s="76"/>
      <c r="B13" s="357"/>
      <c r="C13" s="7"/>
      <c r="D13" s="7"/>
      <c r="E13" s="59"/>
      <c r="F13" s="60" t="s">
        <v>110</v>
      </c>
      <c r="G13" s="59"/>
      <c r="H13" s="66" t="s">
        <v>299</v>
      </c>
      <c r="I13" s="19"/>
      <c r="J13" s="19"/>
      <c r="K13" s="19"/>
      <c r="L13" s="67"/>
      <c r="M13" s="63"/>
      <c r="N13" s="60" t="s">
        <v>300</v>
      </c>
      <c r="O13" s="59" t="s">
        <v>74</v>
      </c>
      <c r="P13" s="125" t="s">
        <v>301</v>
      </c>
      <c r="Q13" s="59"/>
      <c r="R13" s="66" t="s">
        <v>302</v>
      </c>
      <c r="S13" s="66"/>
      <c r="T13" s="358"/>
      <c r="U13" s="27"/>
      <c r="X13" s="176"/>
    </row>
    <row r="14" spans="1:27" ht="15.75" customHeight="1">
      <c r="A14" s="47"/>
      <c r="B14" s="124" t="s">
        <v>303</v>
      </c>
      <c r="C14" s="7"/>
      <c r="D14" s="7"/>
      <c r="E14" s="59"/>
      <c r="F14" s="60" t="s">
        <v>304</v>
      </c>
      <c r="G14" s="59"/>
      <c r="H14" s="16" t="s">
        <v>109</v>
      </c>
      <c r="I14" s="59"/>
      <c r="J14" s="40" t="s">
        <v>326</v>
      </c>
      <c r="K14" s="59"/>
      <c r="L14" s="60" t="s">
        <v>327</v>
      </c>
      <c r="M14" s="59"/>
      <c r="N14" s="44" t="s">
        <v>305</v>
      </c>
      <c r="O14" s="59"/>
      <c r="P14" s="7" t="s">
        <v>306</v>
      </c>
      <c r="Q14" s="59"/>
      <c r="R14" s="41" t="s">
        <v>307</v>
      </c>
      <c r="S14" s="61"/>
      <c r="T14" s="41" t="s">
        <v>331</v>
      </c>
      <c r="U14" s="12"/>
      <c r="X14" s="176"/>
      <c r="AA14" s="359"/>
    </row>
    <row r="15" spans="1:27" ht="12.75" customHeight="1">
      <c r="A15" s="76"/>
      <c r="B15" s="360"/>
      <c r="C15" s="7"/>
      <c r="D15" s="7"/>
      <c r="E15" s="59"/>
      <c r="F15" s="14" t="s">
        <v>308</v>
      </c>
      <c r="G15" s="59"/>
      <c r="H15" s="361" t="s">
        <v>309</v>
      </c>
      <c r="I15" s="59"/>
      <c r="J15" s="361" t="s">
        <v>309</v>
      </c>
      <c r="K15" s="59"/>
      <c r="L15" s="361" t="s">
        <v>309</v>
      </c>
      <c r="M15" s="59"/>
      <c r="N15" s="33" t="s">
        <v>388</v>
      </c>
      <c r="O15" s="59"/>
      <c r="P15" s="362"/>
      <c r="Q15" s="59"/>
      <c r="R15" s="362"/>
      <c r="S15" s="363"/>
      <c r="T15" s="362"/>
      <c r="U15" s="12"/>
      <c r="X15" s="176"/>
      <c r="AA15" s="359"/>
    </row>
    <row r="16" spans="1:27" ht="12.75" customHeight="1">
      <c r="A16" s="364"/>
      <c r="B16" s="365">
        <v>5</v>
      </c>
      <c r="C16" s="19"/>
      <c r="D16" s="19"/>
      <c r="E16" s="63"/>
      <c r="F16" s="71">
        <v>6</v>
      </c>
      <c r="G16" s="72">
        <v>1</v>
      </c>
      <c r="H16" s="71">
        <v>7</v>
      </c>
      <c r="I16" s="63"/>
      <c r="J16" s="71">
        <v>8</v>
      </c>
      <c r="K16" s="63"/>
      <c r="L16" s="415" t="s">
        <v>328</v>
      </c>
      <c r="M16" s="111"/>
      <c r="N16" s="71">
        <v>10</v>
      </c>
      <c r="O16" s="111"/>
      <c r="P16" s="71">
        <v>11</v>
      </c>
      <c r="Q16" s="68"/>
      <c r="R16" s="105" t="s">
        <v>310</v>
      </c>
      <c r="S16" s="72"/>
      <c r="T16" s="105" t="s">
        <v>332</v>
      </c>
      <c r="U16" s="27"/>
      <c r="X16" s="176"/>
      <c r="AA16" s="359"/>
    </row>
    <row r="17" spans="1:27" ht="19.5" customHeight="1">
      <c r="A17" s="366">
        <v>1</v>
      </c>
      <c r="B17" s="942" t="s">
        <v>645</v>
      </c>
      <c r="C17" s="260"/>
      <c r="D17" s="623"/>
      <c r="E17" s="284"/>
      <c r="F17" s="947" t="s">
        <v>1</v>
      </c>
      <c r="G17" s="284"/>
      <c r="H17" s="948">
        <v>3500</v>
      </c>
      <c r="I17" s="296"/>
      <c r="J17" s="951">
        <v>0</v>
      </c>
      <c r="K17" s="296"/>
      <c r="L17" s="416">
        <f aca="true" t="shared" si="0" ref="L17:L26">H17-J17</f>
        <v>3500</v>
      </c>
      <c r="M17" s="111"/>
      <c r="N17" s="950">
        <v>0.15</v>
      </c>
      <c r="O17" s="111"/>
      <c r="P17" s="368">
        <f>N17*0.1</f>
        <v>0.015</v>
      </c>
      <c r="Q17" s="68"/>
      <c r="R17" s="488">
        <f aca="true" t="shared" si="1" ref="R17:R26">(H17*$T$7)*(N17-P17)</f>
        <v>472.50000000000006</v>
      </c>
      <c r="S17" s="489"/>
      <c r="T17" s="488">
        <f aca="true" t="shared" si="2" ref="T17:T26">(L17*$T$7)*(N17-P17)</f>
        <v>472.50000000000006</v>
      </c>
      <c r="U17" s="27"/>
      <c r="X17" s="176"/>
      <c r="AA17" s="359"/>
    </row>
    <row r="18" spans="1:24" ht="19.5" customHeight="1">
      <c r="A18" s="366">
        <v>2</v>
      </c>
      <c r="B18" s="942" t="s">
        <v>635</v>
      </c>
      <c r="C18" s="260"/>
      <c r="D18" s="623"/>
      <c r="E18" s="284"/>
      <c r="F18" s="947" t="s">
        <v>1</v>
      </c>
      <c r="G18" s="284"/>
      <c r="H18" s="948">
        <v>1000</v>
      </c>
      <c r="I18" s="296"/>
      <c r="J18" s="951">
        <f>H18*0.03</f>
        <v>30</v>
      </c>
      <c r="K18" s="296"/>
      <c r="L18" s="416">
        <f t="shared" si="0"/>
        <v>970</v>
      </c>
      <c r="M18" s="111"/>
      <c r="N18" s="950">
        <v>0.08</v>
      </c>
      <c r="O18" s="111"/>
      <c r="P18" s="368">
        <f>N18*0.1</f>
        <v>0.008</v>
      </c>
      <c r="Q18" s="68"/>
      <c r="R18" s="488">
        <f t="shared" si="1"/>
        <v>72.00000000000001</v>
      </c>
      <c r="S18" s="489"/>
      <c r="T18" s="488">
        <f t="shared" si="2"/>
        <v>69.84</v>
      </c>
      <c r="U18" s="107"/>
      <c r="X18" s="176"/>
    </row>
    <row r="19" spans="1:24" ht="19.5" customHeight="1">
      <c r="A19" s="366">
        <v>3</v>
      </c>
      <c r="B19" s="942" t="s">
        <v>0</v>
      </c>
      <c r="C19" s="260"/>
      <c r="D19" s="623"/>
      <c r="E19" s="284"/>
      <c r="F19" s="947" t="s">
        <v>550</v>
      </c>
      <c r="G19" s="284"/>
      <c r="H19" s="948">
        <v>33</v>
      </c>
      <c r="I19" s="296"/>
      <c r="J19" s="951">
        <f>H19*0.03</f>
        <v>0.99</v>
      </c>
      <c r="K19" s="296"/>
      <c r="L19" s="416">
        <f t="shared" si="0"/>
        <v>32.01</v>
      </c>
      <c r="M19" s="111"/>
      <c r="N19" s="950">
        <v>8</v>
      </c>
      <c r="O19" s="111"/>
      <c r="P19" s="368">
        <v>0.4</v>
      </c>
      <c r="Q19" s="68"/>
      <c r="R19" s="488">
        <f t="shared" si="1"/>
        <v>250.79999999999998</v>
      </c>
      <c r="S19" s="489"/>
      <c r="T19" s="488">
        <f t="shared" si="2"/>
        <v>243.27599999999998</v>
      </c>
      <c r="U19" s="107"/>
      <c r="X19" s="176"/>
    </row>
    <row r="20" spans="1:24" ht="19.5" customHeight="1">
      <c r="A20" s="366">
        <v>4</v>
      </c>
      <c r="B20" s="942" t="s">
        <v>637</v>
      </c>
      <c r="C20" s="260"/>
      <c r="D20" s="623"/>
      <c r="E20" s="284"/>
      <c r="F20" s="947" t="s">
        <v>549</v>
      </c>
      <c r="G20" s="284"/>
      <c r="H20" s="948">
        <v>333</v>
      </c>
      <c r="I20" s="296"/>
      <c r="J20" s="951">
        <f>H20*0.04</f>
        <v>13.32</v>
      </c>
      <c r="K20" s="296"/>
      <c r="L20" s="416">
        <f t="shared" si="0"/>
        <v>319.68</v>
      </c>
      <c r="M20" s="111"/>
      <c r="N20" s="950">
        <v>1.5</v>
      </c>
      <c r="O20" s="111"/>
      <c r="P20" s="368">
        <v>0.1</v>
      </c>
      <c r="Q20" s="68"/>
      <c r="R20" s="488">
        <f t="shared" si="1"/>
        <v>466.2</v>
      </c>
      <c r="S20" s="489"/>
      <c r="T20" s="488">
        <f t="shared" si="2"/>
        <v>447.55199999999996</v>
      </c>
      <c r="U20" s="107"/>
      <c r="X20" s="176"/>
    </row>
    <row r="21" spans="1:24" ht="19.5" customHeight="1">
      <c r="A21" s="366">
        <v>5</v>
      </c>
      <c r="B21" s="942" t="s">
        <v>638</v>
      </c>
      <c r="C21" s="260"/>
      <c r="D21" s="623"/>
      <c r="E21" s="284"/>
      <c r="F21" s="947" t="s">
        <v>2</v>
      </c>
      <c r="G21" s="284"/>
      <c r="H21" s="948">
        <v>2778</v>
      </c>
      <c r="I21" s="296"/>
      <c r="J21" s="951">
        <f>H21*0.04</f>
        <v>111.12</v>
      </c>
      <c r="K21" s="296"/>
      <c r="L21" s="416">
        <f t="shared" si="0"/>
        <v>2666.88</v>
      </c>
      <c r="M21" s="111"/>
      <c r="N21" s="950">
        <v>0.3</v>
      </c>
      <c r="O21" s="111"/>
      <c r="P21" s="368">
        <f>N21*0.1</f>
        <v>0.03</v>
      </c>
      <c r="Q21" s="68"/>
      <c r="R21" s="488">
        <f t="shared" si="1"/>
        <v>750.0600000000001</v>
      </c>
      <c r="S21" s="489"/>
      <c r="T21" s="488">
        <f t="shared" si="2"/>
        <v>720.0576000000001</v>
      </c>
      <c r="U21" s="107"/>
      <c r="X21" s="176"/>
    </row>
    <row r="22" spans="1:24" ht="19.5" customHeight="1">
      <c r="A22" s="366">
        <v>6</v>
      </c>
      <c r="B22" s="260"/>
      <c r="C22" s="260"/>
      <c r="D22" s="623"/>
      <c r="E22" s="284"/>
      <c r="F22" s="132"/>
      <c r="G22" s="284"/>
      <c r="H22" s="424"/>
      <c r="I22" s="296"/>
      <c r="J22" s="522"/>
      <c r="K22" s="296"/>
      <c r="L22" s="416">
        <f t="shared" si="0"/>
        <v>0</v>
      </c>
      <c r="M22" s="111"/>
      <c r="N22" s="367"/>
      <c r="O22" s="111"/>
      <c r="P22" s="368"/>
      <c r="Q22" s="68"/>
      <c r="R22" s="488">
        <f t="shared" si="1"/>
        <v>0</v>
      </c>
      <c r="S22" s="489"/>
      <c r="T22" s="488">
        <f t="shared" si="2"/>
        <v>0</v>
      </c>
      <c r="U22" s="107"/>
      <c r="X22" s="176"/>
    </row>
    <row r="23" spans="1:24" ht="19.5" customHeight="1">
      <c r="A23" s="366">
        <v>7</v>
      </c>
      <c r="B23" s="260"/>
      <c r="C23" s="260"/>
      <c r="D23" s="623"/>
      <c r="E23" s="284"/>
      <c r="F23" s="132"/>
      <c r="G23" s="284"/>
      <c r="H23" s="424"/>
      <c r="I23" s="296"/>
      <c r="J23" s="522"/>
      <c r="K23" s="296"/>
      <c r="L23" s="416">
        <f t="shared" si="0"/>
        <v>0</v>
      </c>
      <c r="M23" s="111"/>
      <c r="N23" s="367"/>
      <c r="O23" s="111"/>
      <c r="P23" s="368"/>
      <c r="Q23" s="68"/>
      <c r="R23" s="488">
        <f t="shared" si="1"/>
        <v>0</v>
      </c>
      <c r="S23" s="489"/>
      <c r="T23" s="488">
        <f t="shared" si="2"/>
        <v>0</v>
      </c>
      <c r="U23" s="107"/>
      <c r="X23" s="176"/>
    </row>
    <row r="24" spans="1:24" ht="19.5" customHeight="1">
      <c r="A24" s="366">
        <v>8</v>
      </c>
      <c r="B24" s="260"/>
      <c r="C24" s="260"/>
      <c r="D24" s="623"/>
      <c r="E24" s="284"/>
      <c r="F24" s="132"/>
      <c r="G24" s="284"/>
      <c r="H24" s="424"/>
      <c r="I24" s="296"/>
      <c r="J24" s="522"/>
      <c r="K24" s="296"/>
      <c r="L24" s="416">
        <f t="shared" si="0"/>
        <v>0</v>
      </c>
      <c r="M24" s="111"/>
      <c r="N24" s="367"/>
      <c r="O24" s="111"/>
      <c r="P24" s="368"/>
      <c r="Q24" s="68"/>
      <c r="R24" s="488">
        <f t="shared" si="1"/>
        <v>0</v>
      </c>
      <c r="S24" s="489"/>
      <c r="T24" s="488">
        <f t="shared" si="2"/>
        <v>0</v>
      </c>
      <c r="U24" s="107"/>
      <c r="X24" s="176"/>
    </row>
    <row r="25" spans="1:24" ht="19.5" customHeight="1">
      <c r="A25" s="366">
        <v>9</v>
      </c>
      <c r="B25" s="260"/>
      <c r="C25" s="260"/>
      <c r="D25" s="623"/>
      <c r="E25" s="284"/>
      <c r="F25" s="132"/>
      <c r="G25" s="284"/>
      <c r="H25" s="424"/>
      <c r="I25" s="296"/>
      <c r="J25" s="522"/>
      <c r="K25" s="296"/>
      <c r="L25" s="416">
        <f t="shared" si="0"/>
        <v>0</v>
      </c>
      <c r="M25" s="111"/>
      <c r="N25" s="367"/>
      <c r="O25" s="111"/>
      <c r="P25" s="368"/>
      <c r="Q25" s="68"/>
      <c r="R25" s="488">
        <f t="shared" si="1"/>
        <v>0</v>
      </c>
      <c r="S25" s="489"/>
      <c r="T25" s="488">
        <f t="shared" si="2"/>
        <v>0</v>
      </c>
      <c r="U25" s="107"/>
      <c r="X25" s="176"/>
    </row>
    <row r="26" spans="1:24" ht="19.5" customHeight="1" thickBot="1">
      <c r="A26" s="366">
        <v>10</v>
      </c>
      <c r="B26" s="260"/>
      <c r="C26" s="260"/>
      <c r="D26" s="623"/>
      <c r="E26" s="284"/>
      <c r="F26" s="132"/>
      <c r="G26" s="284"/>
      <c r="H26" s="424"/>
      <c r="I26" s="296"/>
      <c r="J26" s="522"/>
      <c r="K26" s="296"/>
      <c r="L26" s="416">
        <f t="shared" si="0"/>
        <v>0</v>
      </c>
      <c r="M26" s="111"/>
      <c r="N26" s="367"/>
      <c r="O26" s="111"/>
      <c r="P26" s="368"/>
      <c r="Q26" s="68"/>
      <c r="R26" s="488">
        <f t="shared" si="1"/>
        <v>0</v>
      </c>
      <c r="S26" s="489"/>
      <c r="T26" s="488">
        <f t="shared" si="2"/>
        <v>0</v>
      </c>
      <c r="U26" s="107"/>
      <c r="X26" s="176"/>
    </row>
    <row r="27" spans="1:27" ht="16.5" customHeight="1">
      <c r="A27" s="369"/>
      <c r="B27" s="15"/>
      <c r="C27" s="7"/>
      <c r="D27" s="7" t="s">
        <v>311</v>
      </c>
      <c r="E27" s="59"/>
      <c r="F27" s="370"/>
      <c r="G27" s="370"/>
      <c r="H27" s="371"/>
      <c r="I27" s="370"/>
      <c r="J27" s="372"/>
      <c r="K27" s="370"/>
      <c r="L27" s="373"/>
      <c r="M27" s="370"/>
      <c r="N27" s="370"/>
      <c r="O27" s="370"/>
      <c r="P27" s="2"/>
      <c r="Q27" s="374"/>
      <c r="R27" s="490">
        <f>SUM(R17:R26)</f>
        <v>2011.56</v>
      </c>
      <c r="S27" s="491"/>
      <c r="T27" s="492">
        <f>SUM(T17:T26)</f>
        <v>1953.2256</v>
      </c>
      <c r="U27" s="419"/>
      <c r="X27" s="176"/>
      <c r="AA27" s="359"/>
    </row>
    <row r="28" spans="1:27" ht="2.25" customHeight="1" thickBot="1">
      <c r="A28" s="375"/>
      <c r="B28" s="46"/>
      <c r="C28" s="46"/>
      <c r="D28" s="46"/>
      <c r="E28" s="376"/>
      <c r="F28" s="239"/>
      <c r="G28" s="239"/>
      <c r="H28" s="239"/>
      <c r="I28" s="239"/>
      <c r="J28" s="239"/>
      <c r="K28" s="239"/>
      <c r="L28" s="239"/>
      <c r="M28" s="239"/>
      <c r="N28" s="239"/>
      <c r="O28" s="239"/>
      <c r="P28" s="239"/>
      <c r="Q28" s="377"/>
      <c r="R28" s="378"/>
      <c r="S28" s="376"/>
      <c r="T28" s="420"/>
      <c r="U28" s="493"/>
      <c r="X28" s="176"/>
      <c r="AA28" s="359"/>
    </row>
    <row r="29" spans="1:27" ht="6.75" customHeight="1" thickTop="1">
      <c r="A29" s="17"/>
      <c r="B29" s="7"/>
      <c r="C29" s="7"/>
      <c r="D29" s="7"/>
      <c r="E29" s="7"/>
      <c r="F29" s="7"/>
      <c r="G29" s="7"/>
      <c r="H29" s="7"/>
      <c r="I29" s="7"/>
      <c r="J29" s="7"/>
      <c r="K29" s="7"/>
      <c r="L29" s="7"/>
      <c r="M29" s="7"/>
      <c r="N29" s="7"/>
      <c r="O29" s="7"/>
      <c r="P29" s="7"/>
      <c r="Q29" s="7"/>
      <c r="R29" s="7"/>
      <c r="S29" s="7"/>
      <c r="T29" s="7"/>
      <c r="U29" s="12"/>
      <c r="X29" s="176"/>
      <c r="AA29" s="359"/>
    </row>
    <row r="30" spans="1:27" ht="15" customHeight="1">
      <c r="A30" s="76" t="s">
        <v>312</v>
      </c>
      <c r="B30" s="7"/>
      <c r="C30" s="7"/>
      <c r="D30" s="7"/>
      <c r="E30" s="7"/>
      <c r="F30" s="7"/>
      <c r="G30" s="7"/>
      <c r="H30" s="7"/>
      <c r="I30" s="7"/>
      <c r="J30" s="7"/>
      <c r="K30" s="7"/>
      <c r="L30" s="7"/>
      <c r="M30" s="7"/>
      <c r="N30" s="7"/>
      <c r="O30" s="7"/>
      <c r="P30" s="7"/>
      <c r="Q30" s="7"/>
      <c r="R30" s="7"/>
      <c r="S30" s="7"/>
      <c r="T30" s="7"/>
      <c r="U30" s="12"/>
      <c r="X30" s="176"/>
      <c r="AA30" s="359"/>
    </row>
    <row r="31" spans="1:27" ht="3" customHeight="1">
      <c r="A31" s="25"/>
      <c r="B31" s="19"/>
      <c r="C31" s="19"/>
      <c r="D31" s="19"/>
      <c r="E31" s="19"/>
      <c r="F31" s="19"/>
      <c r="G31" s="19"/>
      <c r="H31" s="19"/>
      <c r="I31" s="19"/>
      <c r="J31" s="19"/>
      <c r="K31" s="19"/>
      <c r="L31" s="19"/>
      <c r="M31" s="19"/>
      <c r="N31" s="19"/>
      <c r="O31" s="19"/>
      <c r="P31" s="19"/>
      <c r="Q31" s="19"/>
      <c r="R31" s="19"/>
      <c r="S31" s="19"/>
      <c r="T31" s="19"/>
      <c r="U31" s="27"/>
      <c r="X31" s="176"/>
      <c r="AA31" s="359"/>
    </row>
    <row r="32" spans="1:24" ht="12.75" customHeight="1">
      <c r="A32" s="76"/>
      <c r="B32" s="357"/>
      <c r="C32" s="7"/>
      <c r="D32" s="7"/>
      <c r="E32" s="59"/>
      <c r="F32" s="60" t="s">
        <v>110</v>
      </c>
      <c r="G32" s="59"/>
      <c r="H32" s="66" t="s">
        <v>389</v>
      </c>
      <c r="I32" s="19"/>
      <c r="J32" s="19"/>
      <c r="K32" s="19"/>
      <c r="L32" s="67"/>
      <c r="M32" s="63"/>
      <c r="N32" s="98" t="s">
        <v>313</v>
      </c>
      <c r="O32" s="133"/>
      <c r="P32" s="15" t="s">
        <v>301</v>
      </c>
      <c r="Q32" s="59"/>
      <c r="R32" s="67" t="s">
        <v>314</v>
      </c>
      <c r="S32" s="67"/>
      <c r="T32" s="19"/>
      <c r="U32" s="27"/>
      <c r="X32" s="176"/>
    </row>
    <row r="33" spans="1:24" ht="14.25" customHeight="1">
      <c r="A33" s="47"/>
      <c r="B33" s="124" t="s">
        <v>315</v>
      </c>
      <c r="C33" s="7"/>
      <c r="D33" s="7"/>
      <c r="E33" s="59"/>
      <c r="F33" s="60" t="s">
        <v>316</v>
      </c>
      <c r="G33" s="59"/>
      <c r="H33" s="16" t="s">
        <v>109</v>
      </c>
      <c r="I33" s="59"/>
      <c r="J33" s="417" t="s">
        <v>329</v>
      </c>
      <c r="K33" s="59"/>
      <c r="L33" s="60" t="s">
        <v>317</v>
      </c>
      <c r="M33" s="59"/>
      <c r="N33" s="44" t="s">
        <v>305</v>
      </c>
      <c r="O33" s="379"/>
      <c r="P33" s="7" t="s">
        <v>306</v>
      </c>
      <c r="Q33" s="59"/>
      <c r="R33" s="41" t="s">
        <v>307</v>
      </c>
      <c r="S33" s="61"/>
      <c r="T33" s="41" t="s">
        <v>331</v>
      </c>
      <c r="U33" s="12"/>
      <c r="X33" s="176"/>
    </row>
    <row r="34" spans="1:24" ht="14.25" customHeight="1">
      <c r="A34" s="76"/>
      <c r="B34" s="360"/>
      <c r="C34" s="7"/>
      <c r="D34" s="7"/>
      <c r="E34" s="59"/>
      <c r="F34" s="60" t="s">
        <v>317</v>
      </c>
      <c r="G34" s="59"/>
      <c r="H34" s="361" t="s">
        <v>318</v>
      </c>
      <c r="I34" s="59"/>
      <c r="J34" s="361" t="s">
        <v>318</v>
      </c>
      <c r="K34" s="59"/>
      <c r="L34" s="361" t="s">
        <v>318</v>
      </c>
      <c r="M34" s="59"/>
      <c r="N34" s="494" t="s">
        <v>390</v>
      </c>
      <c r="O34" s="363"/>
      <c r="P34" s="362"/>
      <c r="Q34" s="59"/>
      <c r="R34" s="362"/>
      <c r="S34" s="363"/>
      <c r="T34" s="362"/>
      <c r="U34" s="12"/>
      <c r="X34" s="176"/>
    </row>
    <row r="35" spans="1:24" ht="12" customHeight="1">
      <c r="A35" s="364"/>
      <c r="B35" s="365">
        <v>14</v>
      </c>
      <c r="C35" s="19"/>
      <c r="D35" s="19"/>
      <c r="E35" s="63"/>
      <c r="F35" s="71">
        <v>15</v>
      </c>
      <c r="G35" s="72"/>
      <c r="H35" s="71">
        <v>16</v>
      </c>
      <c r="I35" s="63"/>
      <c r="J35" s="71">
        <v>17</v>
      </c>
      <c r="K35" s="63"/>
      <c r="L35" s="415" t="s">
        <v>330</v>
      </c>
      <c r="M35" s="111"/>
      <c r="N35" s="105">
        <v>19</v>
      </c>
      <c r="O35" s="72"/>
      <c r="P35" s="105">
        <v>20</v>
      </c>
      <c r="Q35" s="380"/>
      <c r="R35" s="105" t="s">
        <v>319</v>
      </c>
      <c r="S35" s="72"/>
      <c r="T35" s="105" t="s">
        <v>333</v>
      </c>
      <c r="U35" s="27"/>
      <c r="X35" s="176"/>
    </row>
    <row r="36" spans="1:24" ht="4.5" customHeight="1">
      <c r="A36" s="6"/>
      <c r="B36" s="7"/>
      <c r="C36" s="7"/>
      <c r="D36" s="7"/>
      <c r="E36" s="59"/>
      <c r="F36" s="7"/>
      <c r="G36" s="59"/>
      <c r="H36" s="7"/>
      <c r="I36" s="59"/>
      <c r="J36" s="7"/>
      <c r="K36" s="59"/>
      <c r="L36" s="7"/>
      <c r="M36" s="59"/>
      <c r="N36" s="381"/>
      <c r="O36" s="59"/>
      <c r="P36" s="7"/>
      <c r="Q36" s="59"/>
      <c r="R36" s="7"/>
      <c r="S36" s="59"/>
      <c r="T36" s="7"/>
      <c r="U36" s="12"/>
      <c r="X36" s="176"/>
    </row>
    <row r="37" spans="1:24" ht="12.75">
      <c r="A37" s="6"/>
      <c r="B37" s="15" t="s">
        <v>320</v>
      </c>
      <c r="C37" s="7"/>
      <c r="D37" s="7"/>
      <c r="E37" s="59"/>
      <c r="F37" s="7"/>
      <c r="G37" s="59"/>
      <c r="H37" s="7"/>
      <c r="I37" s="59"/>
      <c r="J37" s="7"/>
      <c r="K37" s="59"/>
      <c r="L37" s="7"/>
      <c r="M37" s="59"/>
      <c r="N37" s="381"/>
      <c r="O37" s="59"/>
      <c r="P37" s="7"/>
      <c r="Q37" s="59"/>
      <c r="R37" s="7"/>
      <c r="S37" s="59"/>
      <c r="T37" s="7"/>
      <c r="U37" s="12"/>
      <c r="X37" s="176"/>
    </row>
    <row r="38" spans="1:24" ht="3.75" customHeight="1">
      <c r="A38" s="6"/>
      <c r="B38" s="7"/>
      <c r="C38" s="7"/>
      <c r="D38" s="7"/>
      <c r="E38" s="59"/>
      <c r="F38" s="33"/>
      <c r="G38" s="59"/>
      <c r="H38" s="382"/>
      <c r="I38" s="383"/>
      <c r="J38" s="384"/>
      <c r="K38" s="383"/>
      <c r="L38" s="406"/>
      <c r="M38" s="59"/>
      <c r="N38" s="381"/>
      <c r="O38" s="59"/>
      <c r="P38" s="384"/>
      <c r="Q38" s="383"/>
      <c r="R38" s="384"/>
      <c r="S38" s="383"/>
      <c r="T38" s="384"/>
      <c r="U38" s="12"/>
      <c r="X38" s="176"/>
    </row>
    <row r="39" spans="1:24" ht="19.5" customHeight="1">
      <c r="A39" s="18">
        <v>1</v>
      </c>
      <c r="B39" s="942" t="s">
        <v>3</v>
      </c>
      <c r="C39" s="260"/>
      <c r="D39" s="260"/>
      <c r="E39" s="284"/>
      <c r="F39" s="385" t="s">
        <v>642</v>
      </c>
      <c r="G39" s="284"/>
      <c r="H39" s="386">
        <v>1</v>
      </c>
      <c r="I39" s="495"/>
      <c r="J39" s="390"/>
      <c r="K39" s="387"/>
      <c r="L39" s="418">
        <f aca="true" t="shared" si="3" ref="L39:L58">H39-J39</f>
        <v>1</v>
      </c>
      <c r="M39" s="63"/>
      <c r="N39" s="401">
        <v>452</v>
      </c>
      <c r="O39" s="63"/>
      <c r="P39" s="388"/>
      <c r="Q39" s="387"/>
      <c r="R39" s="488">
        <f aca="true" t="shared" si="4" ref="R39:R44">(H39*$T$7)*(N39+P39)</f>
        <v>452</v>
      </c>
      <c r="S39" s="489"/>
      <c r="T39" s="488">
        <f aca="true" t="shared" si="5" ref="T39:T44">(L39*$T$7)*(N39+P39)</f>
        <v>452</v>
      </c>
      <c r="U39" s="27"/>
      <c r="X39" s="176"/>
    </row>
    <row r="40" spans="1:24" ht="19.5" customHeight="1">
      <c r="A40" s="18">
        <v>2</v>
      </c>
      <c r="B40" s="260"/>
      <c r="C40" s="260"/>
      <c r="D40" s="260"/>
      <c r="E40" s="284"/>
      <c r="F40" s="385"/>
      <c r="G40" s="284"/>
      <c r="H40" s="386"/>
      <c r="I40" s="495"/>
      <c r="J40" s="390"/>
      <c r="K40" s="387"/>
      <c r="L40" s="418">
        <f t="shared" si="3"/>
        <v>0</v>
      </c>
      <c r="M40" s="63"/>
      <c r="N40" s="388"/>
      <c r="O40" s="63"/>
      <c r="P40" s="388">
        <v>0</v>
      </c>
      <c r="Q40" s="387"/>
      <c r="R40" s="488">
        <f t="shared" si="4"/>
        <v>0</v>
      </c>
      <c r="S40" s="489"/>
      <c r="T40" s="488">
        <f t="shared" si="5"/>
        <v>0</v>
      </c>
      <c r="U40" s="27"/>
      <c r="X40" s="176"/>
    </row>
    <row r="41" spans="1:24" ht="19.5" customHeight="1">
      <c r="A41" s="18">
        <v>3</v>
      </c>
      <c r="B41" s="260"/>
      <c r="C41" s="260"/>
      <c r="D41" s="260"/>
      <c r="E41" s="284"/>
      <c r="F41" s="385"/>
      <c r="G41" s="284"/>
      <c r="H41" s="386"/>
      <c r="I41" s="495"/>
      <c r="J41" s="390"/>
      <c r="K41" s="387"/>
      <c r="L41" s="418">
        <f t="shared" si="3"/>
        <v>0</v>
      </c>
      <c r="M41" s="63"/>
      <c r="N41" s="388"/>
      <c r="O41" s="63"/>
      <c r="P41" s="388"/>
      <c r="Q41" s="387"/>
      <c r="R41" s="488">
        <f t="shared" si="4"/>
        <v>0</v>
      </c>
      <c r="S41" s="489"/>
      <c r="T41" s="488">
        <f t="shared" si="5"/>
        <v>0</v>
      </c>
      <c r="U41" s="27"/>
      <c r="X41" s="176"/>
    </row>
    <row r="42" spans="1:24" ht="19.5" customHeight="1">
      <c r="A42" s="18">
        <v>4</v>
      </c>
      <c r="B42" s="622"/>
      <c r="C42" s="260"/>
      <c r="D42" s="260"/>
      <c r="E42" s="284"/>
      <c r="F42" s="385"/>
      <c r="G42" s="284"/>
      <c r="H42" s="386"/>
      <c r="I42" s="495"/>
      <c r="J42" s="390"/>
      <c r="K42" s="387"/>
      <c r="L42" s="418">
        <f t="shared" si="3"/>
        <v>0</v>
      </c>
      <c r="M42" s="63"/>
      <c r="N42" s="388"/>
      <c r="O42" s="63"/>
      <c r="P42" s="388"/>
      <c r="Q42" s="387"/>
      <c r="R42" s="488">
        <f t="shared" si="4"/>
        <v>0</v>
      </c>
      <c r="S42" s="489"/>
      <c r="T42" s="488">
        <f t="shared" si="5"/>
        <v>0</v>
      </c>
      <c r="U42" s="27"/>
      <c r="X42" s="176"/>
    </row>
    <row r="43" spans="1:24" ht="19.5" customHeight="1">
      <c r="A43" s="18">
        <v>5</v>
      </c>
      <c r="B43" s="260"/>
      <c r="C43" s="260"/>
      <c r="D43" s="260"/>
      <c r="E43" s="284"/>
      <c r="F43" s="385"/>
      <c r="G43" s="284"/>
      <c r="H43" s="386"/>
      <c r="I43" s="495"/>
      <c r="J43" s="390"/>
      <c r="K43" s="387"/>
      <c r="L43" s="418">
        <f t="shared" si="3"/>
        <v>0</v>
      </c>
      <c r="M43" s="63"/>
      <c r="N43" s="401"/>
      <c r="O43" s="63"/>
      <c r="P43" s="388"/>
      <c r="Q43" s="387"/>
      <c r="R43" s="488">
        <f t="shared" si="4"/>
        <v>0</v>
      </c>
      <c r="S43" s="489"/>
      <c r="T43" s="488">
        <f t="shared" si="5"/>
        <v>0</v>
      </c>
      <c r="U43" s="27"/>
      <c r="X43" s="176"/>
    </row>
    <row r="44" spans="1:24" ht="19.5" customHeight="1">
      <c r="A44" s="18">
        <v>6</v>
      </c>
      <c r="B44" s="260"/>
      <c r="C44" s="260"/>
      <c r="D44" s="260"/>
      <c r="E44" s="284"/>
      <c r="F44" s="385"/>
      <c r="G44" s="284"/>
      <c r="H44" s="389"/>
      <c r="I44" s="495"/>
      <c r="J44" s="390"/>
      <c r="K44" s="387"/>
      <c r="L44" s="418">
        <f t="shared" si="3"/>
        <v>0</v>
      </c>
      <c r="M44" s="63"/>
      <c r="N44" s="388"/>
      <c r="O44" s="63"/>
      <c r="P44" s="390"/>
      <c r="Q44" s="387"/>
      <c r="R44" s="488">
        <f t="shared" si="4"/>
        <v>0</v>
      </c>
      <c r="S44" s="489"/>
      <c r="T44" s="488">
        <f t="shared" si="5"/>
        <v>0</v>
      </c>
      <c r="U44" s="27"/>
      <c r="X44" s="176"/>
    </row>
    <row r="45" spans="1:24" ht="19.5" customHeight="1">
      <c r="A45" s="18">
        <v>7</v>
      </c>
      <c r="B45" s="260"/>
      <c r="C45" s="260"/>
      <c r="D45" s="260"/>
      <c r="E45" s="284"/>
      <c r="F45" s="385"/>
      <c r="G45" s="284"/>
      <c r="H45" s="386"/>
      <c r="I45" s="495"/>
      <c r="J45" s="390"/>
      <c r="K45" s="387"/>
      <c r="L45" s="418">
        <f aca="true" t="shared" si="6" ref="L45:L52">H45-J45</f>
        <v>0</v>
      </c>
      <c r="M45" s="63"/>
      <c r="N45" s="388"/>
      <c r="O45" s="63"/>
      <c r="P45" s="388"/>
      <c r="Q45" s="387"/>
      <c r="R45" s="488">
        <f aca="true" t="shared" si="7" ref="R45:R52">(H45*$T$7)*(N45+P45)</f>
        <v>0</v>
      </c>
      <c r="S45" s="489"/>
      <c r="T45" s="488">
        <f aca="true" t="shared" si="8" ref="T45:T52">(L45*$T$7)*(N45+P45)</f>
        <v>0</v>
      </c>
      <c r="U45" s="27"/>
      <c r="X45" s="176"/>
    </row>
    <row r="46" spans="1:24" ht="19.5" customHeight="1">
      <c r="A46" s="18">
        <v>8</v>
      </c>
      <c r="B46" s="260"/>
      <c r="C46" s="260"/>
      <c r="D46" s="260"/>
      <c r="E46" s="284"/>
      <c r="F46" s="385"/>
      <c r="G46" s="284"/>
      <c r="H46" s="386"/>
      <c r="I46" s="495"/>
      <c r="J46" s="390"/>
      <c r="K46" s="387"/>
      <c r="L46" s="418">
        <f t="shared" si="6"/>
        <v>0</v>
      </c>
      <c r="M46" s="63"/>
      <c r="N46" s="388"/>
      <c r="O46" s="63"/>
      <c r="P46" s="388"/>
      <c r="Q46" s="387"/>
      <c r="R46" s="488">
        <f t="shared" si="7"/>
        <v>0</v>
      </c>
      <c r="S46" s="489"/>
      <c r="T46" s="488">
        <f t="shared" si="8"/>
        <v>0</v>
      </c>
      <c r="U46" s="27"/>
      <c r="X46" s="176"/>
    </row>
    <row r="47" spans="1:24" ht="19.5" customHeight="1">
      <c r="A47" s="18">
        <v>9</v>
      </c>
      <c r="B47" s="622"/>
      <c r="C47" s="260"/>
      <c r="D47" s="260"/>
      <c r="E47" s="284"/>
      <c r="F47" s="385"/>
      <c r="G47" s="284"/>
      <c r="H47" s="386"/>
      <c r="I47" s="495"/>
      <c r="J47" s="390"/>
      <c r="K47" s="387"/>
      <c r="L47" s="418">
        <f t="shared" si="6"/>
        <v>0</v>
      </c>
      <c r="M47" s="63"/>
      <c r="N47" s="388"/>
      <c r="O47" s="63"/>
      <c r="P47" s="388"/>
      <c r="Q47" s="387"/>
      <c r="R47" s="488">
        <f t="shared" si="7"/>
        <v>0</v>
      </c>
      <c r="S47" s="489"/>
      <c r="T47" s="488">
        <f t="shared" si="8"/>
        <v>0</v>
      </c>
      <c r="U47" s="27"/>
      <c r="X47" s="176"/>
    </row>
    <row r="48" spans="1:24" ht="19.5" customHeight="1">
      <c r="A48" s="18">
        <v>10</v>
      </c>
      <c r="B48" s="260"/>
      <c r="C48" s="260"/>
      <c r="D48" s="260"/>
      <c r="E48" s="284"/>
      <c r="F48" s="385"/>
      <c r="G48" s="284"/>
      <c r="H48" s="386"/>
      <c r="I48" s="495"/>
      <c r="J48" s="390"/>
      <c r="K48" s="387"/>
      <c r="L48" s="418">
        <f t="shared" si="6"/>
        <v>0</v>
      </c>
      <c r="M48" s="63"/>
      <c r="N48" s="401"/>
      <c r="O48" s="63"/>
      <c r="P48" s="388"/>
      <c r="Q48" s="387"/>
      <c r="R48" s="488">
        <f t="shared" si="7"/>
        <v>0</v>
      </c>
      <c r="S48" s="489"/>
      <c r="T48" s="488">
        <f t="shared" si="8"/>
        <v>0</v>
      </c>
      <c r="U48" s="27"/>
      <c r="X48" s="176"/>
    </row>
    <row r="49" spans="1:24" ht="19.5" customHeight="1">
      <c r="A49" s="18">
        <v>11</v>
      </c>
      <c r="B49" s="260"/>
      <c r="C49" s="260"/>
      <c r="D49" s="260"/>
      <c r="E49" s="284"/>
      <c r="F49" s="385"/>
      <c r="G49" s="284"/>
      <c r="H49" s="389"/>
      <c r="I49" s="495"/>
      <c r="J49" s="390"/>
      <c r="K49" s="387"/>
      <c r="L49" s="418">
        <f t="shared" si="6"/>
        <v>0</v>
      </c>
      <c r="M49" s="63"/>
      <c r="N49" s="388"/>
      <c r="O49" s="63"/>
      <c r="P49" s="390"/>
      <c r="Q49" s="387"/>
      <c r="R49" s="488">
        <f t="shared" si="7"/>
        <v>0</v>
      </c>
      <c r="S49" s="489"/>
      <c r="T49" s="488">
        <f t="shared" si="8"/>
        <v>0</v>
      </c>
      <c r="U49" s="27"/>
      <c r="X49" s="176"/>
    </row>
    <row r="50" spans="1:24" ht="19.5" customHeight="1">
      <c r="A50" s="18">
        <v>12</v>
      </c>
      <c r="B50" s="260"/>
      <c r="C50" s="260"/>
      <c r="D50" s="260"/>
      <c r="E50" s="284"/>
      <c r="F50" s="385"/>
      <c r="G50" s="284"/>
      <c r="H50" s="386"/>
      <c r="I50" s="495"/>
      <c r="J50" s="390"/>
      <c r="K50" s="387"/>
      <c r="L50" s="418">
        <f t="shared" si="6"/>
        <v>0</v>
      </c>
      <c r="M50" s="63"/>
      <c r="N50" s="388"/>
      <c r="O50" s="63"/>
      <c r="P50" s="388"/>
      <c r="Q50" s="387"/>
      <c r="R50" s="488">
        <f t="shared" si="7"/>
        <v>0</v>
      </c>
      <c r="S50" s="489"/>
      <c r="T50" s="488">
        <f t="shared" si="8"/>
        <v>0</v>
      </c>
      <c r="U50" s="27"/>
      <c r="X50" s="176"/>
    </row>
    <row r="51" spans="1:24" ht="19.5" customHeight="1">
      <c r="A51" s="18">
        <v>13</v>
      </c>
      <c r="B51" s="260"/>
      <c r="C51" s="260"/>
      <c r="D51" s="260"/>
      <c r="E51" s="284"/>
      <c r="F51" s="385"/>
      <c r="G51" s="284"/>
      <c r="H51" s="386"/>
      <c r="I51" s="495"/>
      <c r="J51" s="390"/>
      <c r="K51" s="387"/>
      <c r="L51" s="418">
        <f t="shared" si="6"/>
        <v>0</v>
      </c>
      <c r="M51" s="63"/>
      <c r="N51" s="388"/>
      <c r="O51" s="63"/>
      <c r="P51" s="388"/>
      <c r="Q51" s="387"/>
      <c r="R51" s="488">
        <f t="shared" si="7"/>
        <v>0</v>
      </c>
      <c r="S51" s="489"/>
      <c r="T51" s="488">
        <f t="shared" si="8"/>
        <v>0</v>
      </c>
      <c r="U51" s="27"/>
      <c r="X51" s="176"/>
    </row>
    <row r="52" spans="1:24" ht="19.5" customHeight="1">
      <c r="A52" s="18">
        <v>14</v>
      </c>
      <c r="B52" s="622"/>
      <c r="C52" s="260"/>
      <c r="D52" s="260"/>
      <c r="E52" s="284"/>
      <c r="F52" s="385"/>
      <c r="G52" s="284"/>
      <c r="H52" s="386"/>
      <c r="I52" s="495"/>
      <c r="J52" s="390"/>
      <c r="K52" s="387"/>
      <c r="L52" s="418">
        <f t="shared" si="6"/>
        <v>0</v>
      </c>
      <c r="M52" s="63"/>
      <c r="N52" s="388"/>
      <c r="O52" s="63"/>
      <c r="P52" s="388"/>
      <c r="Q52" s="387"/>
      <c r="R52" s="488">
        <f t="shared" si="7"/>
        <v>0</v>
      </c>
      <c r="S52" s="489"/>
      <c r="T52" s="488">
        <f t="shared" si="8"/>
        <v>0</v>
      </c>
      <c r="U52" s="27"/>
      <c r="X52" s="176"/>
    </row>
    <row r="53" spans="1:24" ht="19.5" customHeight="1">
      <c r="A53" s="18">
        <v>15</v>
      </c>
      <c r="B53" s="260"/>
      <c r="C53" s="260"/>
      <c r="D53" s="260"/>
      <c r="E53" s="284"/>
      <c r="F53" s="385"/>
      <c r="G53" s="284"/>
      <c r="H53" s="386"/>
      <c r="I53" s="495"/>
      <c r="J53" s="390"/>
      <c r="K53" s="387"/>
      <c r="L53" s="418">
        <f t="shared" si="3"/>
        <v>0</v>
      </c>
      <c r="M53" s="63"/>
      <c r="N53" s="388"/>
      <c r="O53" s="63"/>
      <c r="P53" s="388"/>
      <c r="Q53" s="387"/>
      <c r="R53" s="488">
        <f aca="true" t="shared" si="9" ref="R53:R58">(H53*$T$7)*(N53+P53)</f>
        <v>0</v>
      </c>
      <c r="S53" s="489"/>
      <c r="T53" s="488">
        <f aca="true" t="shared" si="10" ref="T53:T58">(L53*$T$7)*(N53+P53)</f>
        <v>0</v>
      </c>
      <c r="U53" s="27"/>
      <c r="X53" s="176"/>
    </row>
    <row r="54" spans="1:24" ht="19.5" customHeight="1">
      <c r="A54" s="18">
        <v>16</v>
      </c>
      <c r="B54" s="260"/>
      <c r="C54" s="260"/>
      <c r="D54" s="260"/>
      <c r="E54" s="284"/>
      <c r="F54" s="385"/>
      <c r="G54" s="284"/>
      <c r="H54" s="386"/>
      <c r="I54" s="495"/>
      <c r="J54" s="390"/>
      <c r="K54" s="387"/>
      <c r="L54" s="418">
        <f t="shared" si="3"/>
        <v>0</v>
      </c>
      <c r="M54" s="63"/>
      <c r="N54" s="388"/>
      <c r="O54" s="63"/>
      <c r="P54" s="388"/>
      <c r="Q54" s="387"/>
      <c r="R54" s="488">
        <f t="shared" si="9"/>
        <v>0</v>
      </c>
      <c r="S54" s="489"/>
      <c r="T54" s="488">
        <f t="shared" si="10"/>
        <v>0</v>
      </c>
      <c r="U54" s="27"/>
      <c r="X54" s="176"/>
    </row>
    <row r="55" spans="1:24" ht="19.5" customHeight="1">
      <c r="A55" s="18">
        <v>17</v>
      </c>
      <c r="B55" s="622"/>
      <c r="C55" s="260"/>
      <c r="D55" s="260"/>
      <c r="E55" s="284"/>
      <c r="F55" s="385"/>
      <c r="G55" s="284"/>
      <c r="H55" s="386"/>
      <c r="I55" s="495"/>
      <c r="J55" s="390"/>
      <c r="K55" s="387"/>
      <c r="L55" s="418">
        <f t="shared" si="3"/>
        <v>0</v>
      </c>
      <c r="M55" s="63"/>
      <c r="N55" s="388"/>
      <c r="O55" s="63"/>
      <c r="P55" s="388"/>
      <c r="Q55" s="387"/>
      <c r="R55" s="488">
        <f t="shared" si="9"/>
        <v>0</v>
      </c>
      <c r="S55" s="489"/>
      <c r="T55" s="488">
        <f t="shared" si="10"/>
        <v>0</v>
      </c>
      <c r="U55" s="27"/>
      <c r="X55" s="176"/>
    </row>
    <row r="56" spans="1:24" ht="19.5" customHeight="1">
      <c r="A56" s="18">
        <v>18</v>
      </c>
      <c r="B56" s="260"/>
      <c r="C56" s="260"/>
      <c r="D56" s="260"/>
      <c r="E56" s="284"/>
      <c r="F56" s="385"/>
      <c r="G56" s="284"/>
      <c r="H56" s="386"/>
      <c r="I56" s="495"/>
      <c r="J56" s="390"/>
      <c r="K56" s="387"/>
      <c r="L56" s="418">
        <f t="shared" si="3"/>
        <v>0</v>
      </c>
      <c r="M56" s="63"/>
      <c r="N56" s="401"/>
      <c r="O56" s="63"/>
      <c r="P56" s="388"/>
      <c r="Q56" s="387"/>
      <c r="R56" s="488">
        <f t="shared" si="9"/>
        <v>0</v>
      </c>
      <c r="S56" s="489"/>
      <c r="T56" s="488">
        <f t="shared" si="10"/>
        <v>0</v>
      </c>
      <c r="U56" s="27"/>
      <c r="X56" s="176"/>
    </row>
    <row r="57" spans="1:24" ht="19.5" customHeight="1">
      <c r="A57" s="18">
        <v>19</v>
      </c>
      <c r="B57" s="260"/>
      <c r="C57" s="260"/>
      <c r="D57" s="260"/>
      <c r="E57" s="284"/>
      <c r="F57" s="385"/>
      <c r="G57" s="284"/>
      <c r="H57" s="389"/>
      <c r="I57" s="495"/>
      <c r="J57" s="390"/>
      <c r="K57" s="387"/>
      <c r="L57" s="418">
        <f t="shared" si="3"/>
        <v>0</v>
      </c>
      <c r="M57" s="63"/>
      <c r="N57" s="388"/>
      <c r="O57" s="63"/>
      <c r="P57" s="390"/>
      <c r="Q57" s="387"/>
      <c r="R57" s="488">
        <f t="shared" si="9"/>
        <v>0</v>
      </c>
      <c r="S57" s="489"/>
      <c r="T57" s="488">
        <f t="shared" si="10"/>
        <v>0</v>
      </c>
      <c r="U57" s="27"/>
      <c r="X57" s="176"/>
    </row>
    <row r="58" spans="1:24" ht="19.5" customHeight="1" thickBot="1">
      <c r="A58" s="18">
        <v>20</v>
      </c>
      <c r="B58" s="260"/>
      <c r="C58" s="260"/>
      <c r="D58" s="260"/>
      <c r="E58" s="284"/>
      <c r="F58" s="385"/>
      <c r="G58" s="284"/>
      <c r="H58" s="389"/>
      <c r="I58" s="495"/>
      <c r="J58" s="390"/>
      <c r="K58" s="387"/>
      <c r="L58" s="418">
        <f t="shared" si="3"/>
        <v>0</v>
      </c>
      <c r="M58" s="63"/>
      <c r="N58" s="388"/>
      <c r="O58" s="63"/>
      <c r="P58" s="390"/>
      <c r="Q58" s="387"/>
      <c r="R58" s="488">
        <f t="shared" si="9"/>
        <v>0</v>
      </c>
      <c r="S58" s="489"/>
      <c r="T58" s="488">
        <f t="shared" si="10"/>
        <v>0</v>
      </c>
      <c r="U58" s="27"/>
      <c r="X58" s="176"/>
    </row>
    <row r="59" spans="1:24" ht="21.75" customHeight="1" thickBot="1">
      <c r="A59" s="112"/>
      <c r="B59" s="113"/>
      <c r="C59" s="113"/>
      <c r="D59" s="113" t="s">
        <v>311</v>
      </c>
      <c r="E59" s="114"/>
      <c r="F59" s="391"/>
      <c r="G59" s="392"/>
      <c r="H59" s="393"/>
      <c r="I59" s="394"/>
      <c r="J59" s="393"/>
      <c r="K59" s="394"/>
      <c r="L59" s="393"/>
      <c r="M59" s="392"/>
      <c r="N59" s="395"/>
      <c r="O59" s="392"/>
      <c r="P59" s="396"/>
      <c r="Q59" s="397"/>
      <c r="R59" s="496">
        <f>SUM(R39:R58)</f>
        <v>452</v>
      </c>
      <c r="S59" s="497"/>
      <c r="T59" s="496">
        <f>SUM(T39:T58)</f>
        <v>452</v>
      </c>
      <c r="U59" s="498"/>
      <c r="X59" s="176"/>
    </row>
    <row r="60" spans="1:24" ht="6.75" customHeight="1">
      <c r="A60" s="6"/>
      <c r="B60" s="7"/>
      <c r="C60" s="7"/>
      <c r="D60" s="7"/>
      <c r="E60" s="59"/>
      <c r="F60" s="33"/>
      <c r="G60" s="59"/>
      <c r="H60" s="384"/>
      <c r="I60" s="383"/>
      <c r="J60" s="384"/>
      <c r="K60" s="383"/>
      <c r="L60" s="384"/>
      <c r="M60" s="59"/>
      <c r="N60" s="381"/>
      <c r="O60" s="59"/>
      <c r="P60" s="398"/>
      <c r="Q60" s="399"/>
      <c r="R60" s="398"/>
      <c r="S60" s="399"/>
      <c r="T60" s="398"/>
      <c r="U60" s="12"/>
      <c r="X60" s="176"/>
    </row>
    <row r="61" spans="1:24" ht="12.75" customHeight="1">
      <c r="A61" s="6"/>
      <c r="B61" s="15" t="s">
        <v>321</v>
      </c>
      <c r="C61" s="7"/>
      <c r="D61" s="7"/>
      <c r="E61" s="59"/>
      <c r="F61" s="33"/>
      <c r="G61" s="59"/>
      <c r="H61" s="384"/>
      <c r="I61" s="383"/>
      <c r="J61" s="384"/>
      <c r="K61" s="383"/>
      <c r="L61" s="421"/>
      <c r="M61" s="59"/>
      <c r="N61" s="400"/>
      <c r="O61" s="59"/>
      <c r="P61" s="398"/>
      <c r="Q61" s="399"/>
      <c r="R61" s="398"/>
      <c r="S61" s="399"/>
      <c r="T61" s="398"/>
      <c r="U61" s="12"/>
      <c r="X61" s="176"/>
    </row>
    <row r="62" spans="1:24" ht="3.75" customHeight="1">
      <c r="A62" s="6"/>
      <c r="B62" s="15"/>
      <c r="C62" s="7"/>
      <c r="D62" s="7"/>
      <c r="E62" s="59"/>
      <c r="F62" s="33"/>
      <c r="G62" s="59"/>
      <c r="H62" s="384"/>
      <c r="I62" s="383"/>
      <c r="J62" s="384"/>
      <c r="K62" s="383"/>
      <c r="L62" s="421"/>
      <c r="M62" s="59"/>
      <c r="N62" s="400"/>
      <c r="O62" s="59"/>
      <c r="P62" s="398"/>
      <c r="Q62" s="399"/>
      <c r="R62" s="398"/>
      <c r="S62" s="399"/>
      <c r="T62" s="398"/>
      <c r="U62" s="12"/>
      <c r="X62" s="176"/>
    </row>
    <row r="63" spans="1:24" ht="19.5" customHeight="1">
      <c r="A63" s="18">
        <v>1</v>
      </c>
      <c r="B63" s="942" t="s">
        <v>4</v>
      </c>
      <c r="C63" s="260"/>
      <c r="D63" s="260"/>
      <c r="E63" s="63"/>
      <c r="F63" s="297" t="s">
        <v>322</v>
      </c>
      <c r="G63" s="63"/>
      <c r="H63" s="390">
        <v>155</v>
      </c>
      <c r="I63" s="387"/>
      <c r="J63" s="390">
        <f>H63*0.9</f>
        <v>139.5</v>
      </c>
      <c r="K63" s="387"/>
      <c r="L63" s="418">
        <f aca="true" t="shared" si="11" ref="L63:L77">H63-J63</f>
        <v>15.5</v>
      </c>
      <c r="M63" s="63"/>
      <c r="N63" s="401">
        <v>4</v>
      </c>
      <c r="O63" s="63"/>
      <c r="P63" s="386"/>
      <c r="Q63" s="402"/>
      <c r="R63" s="488">
        <f aca="true" t="shared" si="12" ref="R63:R77">(H63*$T$7)*(N63+P63)</f>
        <v>620</v>
      </c>
      <c r="S63" s="489"/>
      <c r="T63" s="488">
        <v>0</v>
      </c>
      <c r="U63" s="27"/>
      <c r="X63" s="176"/>
    </row>
    <row r="64" spans="1:24" ht="19.5" customHeight="1">
      <c r="A64" s="18">
        <v>2</v>
      </c>
      <c r="B64" s="260"/>
      <c r="C64" s="260"/>
      <c r="D64" s="260"/>
      <c r="E64" s="63"/>
      <c r="F64" s="297" t="s">
        <v>322</v>
      </c>
      <c r="G64" s="63"/>
      <c r="H64" s="390"/>
      <c r="I64" s="387"/>
      <c r="J64" s="390"/>
      <c r="K64" s="387"/>
      <c r="L64" s="418">
        <f t="shared" si="11"/>
        <v>0</v>
      </c>
      <c r="M64" s="63"/>
      <c r="N64" s="401"/>
      <c r="O64" s="63"/>
      <c r="P64" s="403"/>
      <c r="Q64" s="402"/>
      <c r="R64" s="488">
        <f t="shared" si="12"/>
        <v>0</v>
      </c>
      <c r="S64" s="489"/>
      <c r="T64" s="488">
        <v>0</v>
      </c>
      <c r="U64" s="27"/>
      <c r="X64" s="176"/>
    </row>
    <row r="65" spans="1:24" ht="19.5" customHeight="1">
      <c r="A65" s="18">
        <v>3</v>
      </c>
      <c r="B65" s="260"/>
      <c r="C65" s="260"/>
      <c r="D65" s="260"/>
      <c r="E65" s="63"/>
      <c r="F65" s="297" t="s">
        <v>322</v>
      </c>
      <c r="G65" s="63"/>
      <c r="H65" s="390"/>
      <c r="I65" s="387"/>
      <c r="J65" s="390"/>
      <c r="K65" s="387"/>
      <c r="L65" s="418">
        <f t="shared" si="11"/>
        <v>0</v>
      </c>
      <c r="M65" s="63"/>
      <c r="N65" s="401"/>
      <c r="O65" s="63"/>
      <c r="P65" s="403"/>
      <c r="Q65" s="402"/>
      <c r="R65" s="488">
        <f t="shared" si="12"/>
        <v>0</v>
      </c>
      <c r="S65" s="489"/>
      <c r="T65" s="488">
        <v>0</v>
      </c>
      <c r="U65" s="27"/>
      <c r="X65" s="176"/>
    </row>
    <row r="66" spans="1:24" ht="19.5" customHeight="1">
      <c r="A66" s="18">
        <v>4</v>
      </c>
      <c r="B66" s="260"/>
      <c r="C66" s="260"/>
      <c r="D66" s="260"/>
      <c r="E66" s="63"/>
      <c r="F66" s="297" t="s">
        <v>322</v>
      </c>
      <c r="G66" s="63"/>
      <c r="H66" s="390"/>
      <c r="I66" s="387"/>
      <c r="J66" s="390"/>
      <c r="K66" s="387"/>
      <c r="L66" s="418">
        <f t="shared" si="11"/>
        <v>0</v>
      </c>
      <c r="M66" s="63"/>
      <c r="N66" s="401"/>
      <c r="O66" s="63"/>
      <c r="P66" s="403"/>
      <c r="Q66" s="402"/>
      <c r="R66" s="488">
        <f t="shared" si="12"/>
        <v>0</v>
      </c>
      <c r="S66" s="489"/>
      <c r="T66" s="488">
        <v>0</v>
      </c>
      <c r="U66" s="27"/>
      <c r="X66" s="176"/>
    </row>
    <row r="67" spans="1:24" ht="19.5" customHeight="1">
      <c r="A67" s="18">
        <v>5</v>
      </c>
      <c r="B67" s="260"/>
      <c r="C67" s="260"/>
      <c r="D67" s="260"/>
      <c r="E67" s="63"/>
      <c r="F67" s="297" t="s">
        <v>322</v>
      </c>
      <c r="G67" s="63"/>
      <c r="H67" s="390"/>
      <c r="I67" s="387"/>
      <c r="J67" s="390"/>
      <c r="K67" s="387"/>
      <c r="L67" s="418">
        <f t="shared" si="11"/>
        <v>0</v>
      </c>
      <c r="M67" s="63"/>
      <c r="N67" s="401"/>
      <c r="O67" s="63"/>
      <c r="P67" s="403"/>
      <c r="Q67" s="402"/>
      <c r="R67" s="488">
        <f t="shared" si="12"/>
        <v>0</v>
      </c>
      <c r="S67" s="489"/>
      <c r="T67" s="488">
        <v>0</v>
      </c>
      <c r="U67" s="27"/>
      <c r="X67" s="176"/>
    </row>
    <row r="68" spans="1:24" ht="19.5" customHeight="1">
      <c r="A68" s="18">
        <v>6</v>
      </c>
      <c r="B68" s="260"/>
      <c r="C68" s="260"/>
      <c r="D68" s="260"/>
      <c r="E68" s="63"/>
      <c r="F68" s="297" t="s">
        <v>322</v>
      </c>
      <c r="G68" s="63"/>
      <c r="H68" s="390"/>
      <c r="I68" s="387"/>
      <c r="J68" s="390"/>
      <c r="K68" s="387"/>
      <c r="L68" s="418">
        <f t="shared" si="11"/>
        <v>0</v>
      </c>
      <c r="M68" s="63"/>
      <c r="N68" s="388"/>
      <c r="O68" s="63"/>
      <c r="P68" s="403"/>
      <c r="Q68" s="402"/>
      <c r="R68" s="488">
        <f t="shared" si="12"/>
        <v>0</v>
      </c>
      <c r="S68" s="489"/>
      <c r="T68" s="488">
        <f aca="true" t="shared" si="13" ref="T68:T77">(L68*$T$7)*(N68+P68)</f>
        <v>0</v>
      </c>
      <c r="U68" s="27"/>
      <c r="X68" s="176"/>
    </row>
    <row r="69" spans="1:24" ht="19.5" customHeight="1">
      <c r="A69" s="18">
        <v>7</v>
      </c>
      <c r="B69" s="260"/>
      <c r="C69" s="260"/>
      <c r="D69" s="260"/>
      <c r="E69" s="63"/>
      <c r="F69" s="297" t="s">
        <v>322</v>
      </c>
      <c r="G69" s="63"/>
      <c r="H69" s="390"/>
      <c r="I69" s="387"/>
      <c r="J69" s="390"/>
      <c r="K69" s="387"/>
      <c r="L69" s="418">
        <f t="shared" si="11"/>
        <v>0</v>
      </c>
      <c r="M69" s="63"/>
      <c r="N69" s="388"/>
      <c r="O69" s="63"/>
      <c r="P69" s="403"/>
      <c r="Q69" s="402"/>
      <c r="R69" s="488">
        <f t="shared" si="12"/>
        <v>0</v>
      </c>
      <c r="S69" s="489"/>
      <c r="T69" s="488">
        <f t="shared" si="13"/>
        <v>0</v>
      </c>
      <c r="U69" s="27"/>
      <c r="X69" s="176"/>
    </row>
    <row r="70" spans="1:24" ht="19.5" customHeight="1">
      <c r="A70" s="18">
        <v>8</v>
      </c>
      <c r="B70" s="260"/>
      <c r="C70" s="260"/>
      <c r="D70" s="260"/>
      <c r="E70" s="63"/>
      <c r="F70" s="297" t="s">
        <v>322</v>
      </c>
      <c r="G70" s="63"/>
      <c r="H70" s="390"/>
      <c r="I70" s="387"/>
      <c r="J70" s="390"/>
      <c r="K70" s="387"/>
      <c r="L70" s="418">
        <f t="shared" si="11"/>
        <v>0</v>
      </c>
      <c r="M70" s="63"/>
      <c r="N70" s="388"/>
      <c r="O70" s="63"/>
      <c r="P70" s="403"/>
      <c r="Q70" s="402"/>
      <c r="R70" s="488">
        <f t="shared" si="12"/>
        <v>0</v>
      </c>
      <c r="S70" s="489"/>
      <c r="T70" s="488">
        <f t="shared" si="13"/>
        <v>0</v>
      </c>
      <c r="U70" s="27"/>
      <c r="X70" s="176"/>
    </row>
    <row r="71" spans="1:24" ht="19.5" customHeight="1">
      <c r="A71" s="18">
        <v>9</v>
      </c>
      <c r="B71" s="260"/>
      <c r="C71" s="260"/>
      <c r="D71" s="260"/>
      <c r="E71" s="63"/>
      <c r="F71" s="297" t="s">
        <v>322</v>
      </c>
      <c r="G71" s="63"/>
      <c r="H71" s="390"/>
      <c r="I71" s="387"/>
      <c r="J71" s="390"/>
      <c r="K71" s="387"/>
      <c r="L71" s="418">
        <f t="shared" si="11"/>
        <v>0</v>
      </c>
      <c r="M71" s="63"/>
      <c r="N71" s="388"/>
      <c r="O71" s="63"/>
      <c r="P71" s="403"/>
      <c r="Q71" s="402"/>
      <c r="R71" s="488">
        <f t="shared" si="12"/>
        <v>0</v>
      </c>
      <c r="S71" s="489"/>
      <c r="T71" s="488">
        <f t="shared" si="13"/>
        <v>0</v>
      </c>
      <c r="U71" s="27"/>
      <c r="X71" s="176"/>
    </row>
    <row r="72" spans="1:24" ht="19.5" customHeight="1">
      <c r="A72" s="18">
        <v>10</v>
      </c>
      <c r="B72" s="260"/>
      <c r="C72" s="260"/>
      <c r="D72" s="260"/>
      <c r="E72" s="63"/>
      <c r="F72" s="297" t="s">
        <v>322</v>
      </c>
      <c r="G72" s="63"/>
      <c r="H72" s="390"/>
      <c r="I72" s="387"/>
      <c r="J72" s="390"/>
      <c r="K72" s="387"/>
      <c r="L72" s="418">
        <f t="shared" si="11"/>
        <v>0</v>
      </c>
      <c r="M72" s="63"/>
      <c r="N72" s="388"/>
      <c r="O72" s="63"/>
      <c r="P72" s="403"/>
      <c r="Q72" s="402"/>
      <c r="R72" s="488">
        <f t="shared" si="12"/>
        <v>0</v>
      </c>
      <c r="S72" s="489"/>
      <c r="T72" s="488">
        <f t="shared" si="13"/>
        <v>0</v>
      </c>
      <c r="U72" s="27"/>
      <c r="X72" s="176"/>
    </row>
    <row r="73" spans="1:24" ht="19.5" customHeight="1">
      <c r="A73" s="18">
        <v>11</v>
      </c>
      <c r="B73" s="260"/>
      <c r="C73" s="260"/>
      <c r="D73" s="260"/>
      <c r="E73" s="63"/>
      <c r="F73" s="297" t="s">
        <v>322</v>
      </c>
      <c r="G73" s="63"/>
      <c r="H73" s="390"/>
      <c r="I73" s="387"/>
      <c r="J73" s="390"/>
      <c r="K73" s="387"/>
      <c r="L73" s="418">
        <f t="shared" si="11"/>
        <v>0</v>
      </c>
      <c r="M73" s="63"/>
      <c r="N73" s="388"/>
      <c r="O73" s="63"/>
      <c r="P73" s="403"/>
      <c r="Q73" s="402"/>
      <c r="R73" s="488">
        <f t="shared" si="12"/>
        <v>0</v>
      </c>
      <c r="S73" s="489"/>
      <c r="T73" s="488">
        <f t="shared" si="13"/>
        <v>0</v>
      </c>
      <c r="U73" s="27"/>
      <c r="X73" s="176"/>
    </row>
    <row r="74" spans="1:24" ht="19.5" customHeight="1">
      <c r="A74" s="18">
        <v>12</v>
      </c>
      <c r="B74" s="260"/>
      <c r="C74" s="260"/>
      <c r="D74" s="260"/>
      <c r="E74" s="63"/>
      <c r="F74" s="297" t="s">
        <v>322</v>
      </c>
      <c r="G74" s="63"/>
      <c r="H74" s="390"/>
      <c r="I74" s="387"/>
      <c r="J74" s="390"/>
      <c r="K74" s="387"/>
      <c r="L74" s="418">
        <f t="shared" si="11"/>
        <v>0</v>
      </c>
      <c r="M74" s="63"/>
      <c r="N74" s="388"/>
      <c r="O74" s="63"/>
      <c r="P74" s="403"/>
      <c r="Q74" s="402"/>
      <c r="R74" s="488">
        <f t="shared" si="12"/>
        <v>0</v>
      </c>
      <c r="S74" s="489"/>
      <c r="T74" s="488">
        <f t="shared" si="13"/>
        <v>0</v>
      </c>
      <c r="U74" s="27"/>
      <c r="X74" s="176"/>
    </row>
    <row r="75" spans="1:24" ht="19.5" customHeight="1">
      <c r="A75" s="18">
        <v>13</v>
      </c>
      <c r="B75" s="260"/>
      <c r="C75" s="260"/>
      <c r="D75" s="260"/>
      <c r="E75" s="63"/>
      <c r="F75" s="297" t="s">
        <v>322</v>
      </c>
      <c r="G75" s="63"/>
      <c r="H75" s="390"/>
      <c r="I75" s="387"/>
      <c r="J75" s="390"/>
      <c r="K75" s="387"/>
      <c r="L75" s="418">
        <f t="shared" si="11"/>
        <v>0</v>
      </c>
      <c r="M75" s="63"/>
      <c r="N75" s="388"/>
      <c r="O75" s="63"/>
      <c r="P75" s="403"/>
      <c r="Q75" s="402"/>
      <c r="R75" s="488">
        <f t="shared" si="12"/>
        <v>0</v>
      </c>
      <c r="S75" s="489"/>
      <c r="T75" s="488">
        <f t="shared" si="13"/>
        <v>0</v>
      </c>
      <c r="U75" s="27"/>
      <c r="X75" s="176"/>
    </row>
    <row r="76" spans="1:24" ht="19.5" customHeight="1">
      <c r="A76" s="18">
        <v>14</v>
      </c>
      <c r="B76" s="260"/>
      <c r="C76" s="260"/>
      <c r="D76" s="260"/>
      <c r="E76" s="63"/>
      <c r="F76" s="297" t="s">
        <v>322</v>
      </c>
      <c r="G76" s="63"/>
      <c r="H76" s="390"/>
      <c r="I76" s="387"/>
      <c r="J76" s="390"/>
      <c r="K76" s="387"/>
      <c r="L76" s="418">
        <f t="shared" si="11"/>
        <v>0</v>
      </c>
      <c r="M76" s="63"/>
      <c r="N76" s="388"/>
      <c r="O76" s="63"/>
      <c r="P76" s="403"/>
      <c r="Q76" s="402"/>
      <c r="R76" s="488">
        <f t="shared" si="12"/>
        <v>0</v>
      </c>
      <c r="S76" s="489"/>
      <c r="T76" s="488">
        <f t="shared" si="13"/>
        <v>0</v>
      </c>
      <c r="U76" s="27"/>
      <c r="X76" s="176"/>
    </row>
    <row r="77" spans="1:24" ht="19.5" customHeight="1" thickBot="1">
      <c r="A77" s="18">
        <v>15</v>
      </c>
      <c r="B77" s="260"/>
      <c r="C77" s="260"/>
      <c r="D77" s="260"/>
      <c r="E77" s="63"/>
      <c r="F77" s="297" t="s">
        <v>322</v>
      </c>
      <c r="G77" s="63"/>
      <c r="H77" s="390"/>
      <c r="I77" s="387"/>
      <c r="J77" s="390"/>
      <c r="K77" s="387"/>
      <c r="L77" s="418">
        <f t="shared" si="11"/>
        <v>0</v>
      </c>
      <c r="M77" s="63"/>
      <c r="N77" s="388"/>
      <c r="O77" s="63"/>
      <c r="P77" s="390"/>
      <c r="Q77" s="387"/>
      <c r="R77" s="488">
        <f t="shared" si="12"/>
        <v>0</v>
      </c>
      <c r="S77" s="489"/>
      <c r="T77" s="488">
        <f t="shared" si="13"/>
        <v>0</v>
      </c>
      <c r="U77" s="27"/>
      <c r="X77" s="176"/>
    </row>
    <row r="78" spans="1:24" ht="21.75" customHeight="1" thickBot="1">
      <c r="A78" s="112"/>
      <c r="B78" s="113"/>
      <c r="C78" s="113"/>
      <c r="D78" s="113" t="s">
        <v>311</v>
      </c>
      <c r="E78" s="114"/>
      <c r="F78" s="391"/>
      <c r="G78" s="392"/>
      <c r="H78" s="404">
        <f>SUM(H63:H77)</f>
        <v>155</v>
      </c>
      <c r="I78" s="405"/>
      <c r="J78" s="393"/>
      <c r="K78" s="394"/>
      <c r="L78" s="499"/>
      <c r="M78" s="392"/>
      <c r="N78" s="395"/>
      <c r="O78" s="392"/>
      <c r="P78" s="393"/>
      <c r="Q78" s="394"/>
      <c r="R78" s="500">
        <f>SUM(R63:R77)</f>
        <v>620</v>
      </c>
      <c r="S78" s="501"/>
      <c r="T78" s="502">
        <f>SUM(T63:T77)</f>
        <v>0</v>
      </c>
      <c r="U78" s="498"/>
      <c r="X78" s="176"/>
    </row>
    <row r="79" spans="1:24" ht="3.75" customHeight="1">
      <c r="A79" s="6"/>
      <c r="B79" s="7"/>
      <c r="C79" s="7"/>
      <c r="D79" s="7"/>
      <c r="E79" s="7"/>
      <c r="F79" s="33"/>
      <c r="G79" s="7"/>
      <c r="H79" s="384"/>
      <c r="I79" s="384"/>
      <c r="J79" s="384"/>
      <c r="K79" s="384"/>
      <c r="L79" s="406"/>
      <c r="M79" s="7"/>
      <c r="N79" s="381"/>
      <c r="O79" s="7"/>
      <c r="P79" s="384"/>
      <c r="Q79" s="407"/>
      <c r="R79" s="381"/>
      <c r="S79" s="503"/>
      <c r="T79" s="381"/>
      <c r="U79" s="12"/>
      <c r="X79" s="176"/>
    </row>
    <row r="80" spans="1:24" ht="18" customHeight="1">
      <c r="A80" s="17" t="s">
        <v>323</v>
      </c>
      <c r="B80" s="8"/>
      <c r="C80" s="7"/>
      <c r="D80" s="7"/>
      <c r="E80" s="7"/>
      <c r="F80" s="33"/>
      <c r="G80" s="7"/>
      <c r="H80" s="406"/>
      <c r="I80" s="384"/>
      <c r="J80" s="384"/>
      <c r="K80" s="384"/>
      <c r="L80" s="406"/>
      <c r="M80" s="7"/>
      <c r="N80" s="381"/>
      <c r="O80" s="7"/>
      <c r="P80" s="384"/>
      <c r="Q80" s="407"/>
      <c r="R80" s="504">
        <f>+R59+R78</f>
        <v>1072</v>
      </c>
      <c r="S80" s="503"/>
      <c r="T80" s="504">
        <f>+T59+T78</f>
        <v>452</v>
      </c>
      <c r="U80" s="12"/>
      <c r="X80" s="176"/>
    </row>
    <row r="81" spans="1:24" ht="4.5" customHeight="1" thickBot="1">
      <c r="A81" s="375"/>
      <c r="B81" s="46"/>
      <c r="C81" s="46"/>
      <c r="D81" s="46"/>
      <c r="E81" s="46"/>
      <c r="F81" s="408"/>
      <c r="G81" s="46"/>
      <c r="H81" s="409"/>
      <c r="I81" s="410"/>
      <c r="J81" s="410"/>
      <c r="K81" s="410"/>
      <c r="L81" s="409"/>
      <c r="M81" s="46"/>
      <c r="N81" s="411"/>
      <c r="O81" s="46"/>
      <c r="P81" s="410"/>
      <c r="Q81" s="412"/>
      <c r="R81" s="411"/>
      <c r="S81" s="505"/>
      <c r="T81" s="411"/>
      <c r="U81" s="53"/>
      <c r="X81" s="176"/>
    </row>
    <row r="82" spans="1:24" ht="5.25" customHeight="1" thickTop="1">
      <c r="A82" s="6"/>
      <c r="B82" s="7"/>
      <c r="C82" s="7"/>
      <c r="D82" s="7"/>
      <c r="E82" s="7"/>
      <c r="F82" s="33"/>
      <c r="G82" s="7"/>
      <c r="H82" s="384"/>
      <c r="I82" s="384"/>
      <c r="J82" s="384"/>
      <c r="K82" s="384"/>
      <c r="L82" s="406"/>
      <c r="M82" s="7"/>
      <c r="N82" s="381"/>
      <c r="O82" s="7"/>
      <c r="P82" s="398"/>
      <c r="Q82" s="413"/>
      <c r="R82" s="506"/>
      <c r="S82" s="507"/>
      <c r="T82" s="506"/>
      <c r="U82" s="12"/>
      <c r="X82" s="176"/>
    </row>
    <row r="83" spans="1:24" ht="18" customHeight="1">
      <c r="A83" s="47" t="s">
        <v>324</v>
      </c>
      <c r="B83" s="52" t="s">
        <v>325</v>
      </c>
      <c r="C83" s="7"/>
      <c r="D83" s="7"/>
      <c r="E83" s="7"/>
      <c r="F83" s="33"/>
      <c r="G83" s="7"/>
      <c r="H83" s="384"/>
      <c r="I83" s="384"/>
      <c r="J83" s="384"/>
      <c r="K83" s="384"/>
      <c r="L83" s="406"/>
      <c r="M83" s="7"/>
      <c r="N83" s="381"/>
      <c r="O83" s="7"/>
      <c r="P83" s="384"/>
      <c r="Q83" s="407"/>
      <c r="R83" s="414">
        <f>R27-R80</f>
        <v>939.56</v>
      </c>
      <c r="S83" s="503"/>
      <c r="T83" s="414">
        <f>T27-T80</f>
        <v>1501.2256</v>
      </c>
      <c r="U83" s="12"/>
      <c r="X83" s="176"/>
    </row>
    <row r="84" spans="1:24" ht="8.25" customHeight="1" thickBot="1">
      <c r="A84" s="508"/>
      <c r="B84" s="509"/>
      <c r="C84" s="113"/>
      <c r="D84" s="113"/>
      <c r="E84" s="113"/>
      <c r="F84" s="138"/>
      <c r="G84" s="113"/>
      <c r="H84" s="510"/>
      <c r="I84" s="510"/>
      <c r="J84" s="510"/>
      <c r="K84" s="510"/>
      <c r="L84" s="511"/>
      <c r="M84" s="113"/>
      <c r="N84" s="512"/>
      <c r="O84" s="113"/>
      <c r="P84" s="510"/>
      <c r="Q84" s="513"/>
      <c r="R84" s="514"/>
      <c r="S84" s="515"/>
      <c r="T84" s="514"/>
      <c r="U84" s="110"/>
      <c r="X84" s="176"/>
    </row>
    <row r="85" spans="1:24" ht="5.25" customHeight="1" thickBot="1">
      <c r="A85" s="47"/>
      <c r="B85" s="52"/>
      <c r="C85" s="7"/>
      <c r="D85" s="7"/>
      <c r="E85" s="7"/>
      <c r="F85" s="33"/>
      <c r="G85" s="7"/>
      <c r="H85" s="384"/>
      <c r="I85" s="384"/>
      <c r="J85" s="384"/>
      <c r="K85" s="384"/>
      <c r="L85" s="406"/>
      <c r="M85" s="7"/>
      <c r="N85" s="381"/>
      <c r="O85" s="7"/>
      <c r="P85" s="384"/>
      <c r="Q85" s="384"/>
      <c r="R85" s="414"/>
      <c r="S85" s="381"/>
      <c r="T85" s="414"/>
      <c r="U85" s="12"/>
      <c r="X85" s="176"/>
    </row>
    <row r="86" spans="1:24" ht="18" customHeight="1" thickBot="1">
      <c r="A86" s="47" t="s">
        <v>391</v>
      </c>
      <c r="B86" s="52"/>
      <c r="C86" s="7"/>
      <c r="D86" s="7"/>
      <c r="E86" s="7"/>
      <c r="F86" s="33"/>
      <c r="G86" s="7"/>
      <c r="H86" s="919">
        <f>(H78*T7)/275</f>
        <v>0.5636363636363636</v>
      </c>
      <c r="I86" s="516"/>
      <c r="J86" s="516" t="s">
        <v>392</v>
      </c>
      <c r="K86" s="384"/>
      <c r="L86" s="406"/>
      <c r="M86" s="7"/>
      <c r="N86" s="381"/>
      <c r="O86" s="7"/>
      <c r="P86" s="384"/>
      <c r="Q86" s="384"/>
      <c r="R86" s="414"/>
      <c r="S86" s="381"/>
      <c r="T86" s="414"/>
      <c r="U86" s="12"/>
      <c r="X86" s="176"/>
    </row>
    <row r="87" spans="1:24" ht="6.75" customHeight="1" thickBot="1">
      <c r="A87" s="45"/>
      <c r="B87" s="46"/>
      <c r="C87" s="46"/>
      <c r="D87" s="46"/>
      <c r="E87" s="46"/>
      <c r="F87" s="408"/>
      <c r="G87" s="46"/>
      <c r="H87" s="517"/>
      <c r="I87" s="410"/>
      <c r="J87" s="410"/>
      <c r="K87" s="410"/>
      <c r="L87" s="409"/>
      <c r="M87" s="46"/>
      <c r="N87" s="409"/>
      <c r="O87" s="46"/>
      <c r="P87" s="410"/>
      <c r="Q87" s="410"/>
      <c r="R87" s="410"/>
      <c r="S87" s="410"/>
      <c r="T87" s="410"/>
      <c r="U87" s="53"/>
      <c r="X87" s="176"/>
    </row>
    <row r="88" spans="1:24" ht="13.5" thickTop="1">
      <c r="A88" s="176"/>
      <c r="B88" s="176"/>
      <c r="C88" s="176"/>
      <c r="D88" s="176"/>
      <c r="E88" s="176"/>
      <c r="F88" s="176"/>
      <c r="G88" s="176"/>
      <c r="H88" s="176"/>
      <c r="I88" s="176"/>
      <c r="V88" s="176"/>
      <c r="W88" s="176"/>
      <c r="X88" s="176"/>
    </row>
    <row r="89" spans="1:24" ht="12.7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row>
    <row r="90" spans="1:24" ht="12.7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row>
  </sheetData>
  <sheetProtection password="CB61" sheet="1" objects="1" scenarios="1"/>
  <mergeCells count="2">
    <mergeCell ref="J1:L1"/>
    <mergeCell ref="D7:G7"/>
  </mergeCells>
  <printOptions horizontalCentered="1"/>
  <pageMargins left="0.7480314960629921" right="0.7480314960629921" top="0.3937007874015748" bottom="0.3937007874015748" header="0.11811023622047245" footer="0.11811023622047245"/>
  <pageSetup fitToHeight="1" fitToWidth="1" horizontalDpi="300" verticalDpi="300" orientation="portrait" scale="53" r:id="rId3"/>
  <colBreaks count="1" manualBreakCount="1">
    <brk id="8" max="65535" man="1"/>
  </colBreaks>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A90"/>
  <sheetViews>
    <sheetView showGridLines="0" zoomScale="75" zoomScaleNormal="75" workbookViewId="0" topLeftCell="A1">
      <selection activeCell="N20" sqref="N20"/>
    </sheetView>
  </sheetViews>
  <sheetFormatPr defaultColWidth="11.421875" defaultRowHeight="12.75"/>
  <cols>
    <col min="1" max="1" width="3.140625" style="0" customWidth="1"/>
    <col min="2" max="2" width="12.421875" style="0" customWidth="1"/>
    <col min="3" max="3" width="0.9921875" style="0" customWidth="1"/>
    <col min="4" max="4" width="15.28125" style="0" customWidth="1"/>
    <col min="5" max="5" width="0.9921875" style="0" customWidth="1"/>
    <col min="6" max="6" width="12.7109375" style="0" customWidth="1"/>
    <col min="7" max="7" width="0.9921875" style="0" customWidth="1"/>
    <col min="8" max="8" width="17.7109375" style="0" customWidth="1"/>
    <col min="9" max="9" width="0.9921875" style="0" customWidth="1"/>
    <col min="10" max="10" width="17.7109375" style="0" customWidth="1"/>
    <col min="11" max="11" width="0.9921875" style="0" customWidth="1"/>
    <col min="12" max="12" width="17.7109375" style="0" customWidth="1"/>
    <col min="13" max="13" width="0.9921875" style="0" customWidth="1"/>
    <col min="14" max="14" width="14.00390625" style="0" customWidth="1"/>
    <col min="15" max="15" width="0.9921875" style="0" customWidth="1"/>
    <col min="16" max="16" width="12.57421875" style="0" customWidth="1"/>
    <col min="17" max="17" width="0.9921875" style="0" customWidth="1"/>
    <col min="18" max="18" width="16.7109375" style="0" customWidth="1"/>
    <col min="19" max="19" width="0.9921875" style="0" customWidth="1"/>
    <col min="20" max="20" width="16.7109375" style="0" customWidth="1"/>
    <col min="21" max="21" width="1.57421875" style="0" customWidth="1"/>
    <col min="22" max="22" width="14.00390625" style="0" customWidth="1"/>
    <col min="23" max="23" width="2.00390625" style="0" customWidth="1"/>
    <col min="24" max="16384" width="9.140625" style="0" customWidth="1"/>
  </cols>
  <sheetData>
    <row r="1" spans="1:24" ht="24.75">
      <c r="A1" s="482"/>
      <c r="B1" s="483"/>
      <c r="C1" s="483"/>
      <c r="D1" s="484"/>
      <c r="E1" s="176"/>
      <c r="F1" s="176"/>
      <c r="G1" s="485"/>
      <c r="H1" s="485"/>
      <c r="I1" s="485"/>
      <c r="J1" s="983" t="s">
        <v>471</v>
      </c>
      <c r="K1" s="984"/>
      <c r="L1" s="985"/>
      <c r="M1" s="176"/>
      <c r="N1" s="176"/>
      <c r="O1" s="176"/>
      <c r="P1" s="176"/>
      <c r="Q1" s="176"/>
      <c r="R1" s="176"/>
      <c r="T1" s="176"/>
      <c r="U1" s="176"/>
      <c r="X1" s="176"/>
    </row>
    <row r="2" spans="1:24" ht="9.75" customHeight="1">
      <c r="A2" s="173"/>
      <c r="B2" s="173"/>
      <c r="C2" s="173"/>
      <c r="D2" s="173"/>
      <c r="E2" s="173"/>
      <c r="F2" s="173"/>
      <c r="G2" s="173"/>
      <c r="H2" s="173"/>
      <c r="I2" s="173"/>
      <c r="J2" s="173"/>
      <c r="K2" s="173"/>
      <c r="L2" s="176"/>
      <c r="M2" s="173"/>
      <c r="N2" s="173"/>
      <c r="O2" s="173"/>
      <c r="P2" s="173"/>
      <c r="Q2" s="173"/>
      <c r="R2" s="173"/>
      <c r="S2" s="173"/>
      <c r="T2" s="173"/>
      <c r="U2" s="173"/>
      <c r="V2" s="173"/>
      <c r="W2" s="173"/>
      <c r="X2" s="176"/>
    </row>
    <row r="3" spans="1:24" ht="20.25">
      <c r="A3" s="177"/>
      <c r="B3" s="173"/>
      <c r="C3" s="176"/>
      <c r="D3" s="176"/>
      <c r="E3" s="173"/>
      <c r="F3" s="176"/>
      <c r="G3" s="173"/>
      <c r="H3" s="176"/>
      <c r="I3" s="178"/>
      <c r="J3" s="346" t="s">
        <v>395</v>
      </c>
      <c r="K3" s="178"/>
      <c r="L3" s="176"/>
      <c r="M3" s="176"/>
      <c r="N3" s="176"/>
      <c r="O3" s="176"/>
      <c r="P3" s="176"/>
      <c r="Q3" s="176"/>
      <c r="R3" s="176"/>
      <c r="S3" s="176"/>
      <c r="T3" s="176"/>
      <c r="U3" s="176"/>
      <c r="V3" s="176"/>
      <c r="W3" s="173"/>
      <c r="X3" s="176"/>
    </row>
    <row r="4" spans="1:24" ht="7.5" customHeight="1">
      <c r="A4" s="177"/>
      <c r="B4" s="173"/>
      <c r="C4" s="486"/>
      <c r="D4" s="176"/>
      <c r="E4" s="173"/>
      <c r="F4" s="176"/>
      <c r="G4" s="173"/>
      <c r="H4" s="176"/>
      <c r="I4" s="178"/>
      <c r="J4" s="178"/>
      <c r="K4" s="178"/>
      <c r="L4" s="176"/>
      <c r="M4" s="176"/>
      <c r="N4" s="176"/>
      <c r="O4" s="176"/>
      <c r="P4" s="176"/>
      <c r="Q4" s="176"/>
      <c r="R4" s="176"/>
      <c r="S4" s="176"/>
      <c r="T4" s="176"/>
      <c r="U4" s="176"/>
      <c r="V4" s="176"/>
      <c r="W4" s="173"/>
      <c r="X4" s="176"/>
    </row>
    <row r="5" spans="1:24" ht="6" customHeight="1">
      <c r="A5" s="177"/>
      <c r="B5" s="173"/>
      <c r="C5" s="179"/>
      <c r="D5" s="347"/>
      <c r="E5" s="173"/>
      <c r="F5" s="176"/>
      <c r="G5" s="176"/>
      <c r="H5" s="176"/>
      <c r="I5" s="178"/>
      <c r="J5" s="178"/>
      <c r="K5" s="178"/>
      <c r="L5" s="176"/>
      <c r="M5" s="176"/>
      <c r="N5" s="176"/>
      <c r="O5" s="176"/>
      <c r="P5" s="176"/>
      <c r="Q5" s="176"/>
      <c r="R5" s="176"/>
      <c r="S5" s="176"/>
      <c r="T5" s="176"/>
      <c r="U5" s="176"/>
      <c r="V5" s="176"/>
      <c r="W5" s="173"/>
      <c r="X5" s="176"/>
    </row>
    <row r="6" spans="1:24" ht="3.75" customHeight="1">
      <c r="A6" s="177"/>
      <c r="B6" s="173"/>
      <c r="C6" s="179"/>
      <c r="D6" s="347"/>
      <c r="E6" s="173"/>
      <c r="F6" s="176"/>
      <c r="G6" s="176"/>
      <c r="H6" s="176"/>
      <c r="I6" s="178"/>
      <c r="J6" s="178"/>
      <c r="K6" s="178"/>
      <c r="L6" s="176"/>
      <c r="M6" s="176"/>
      <c r="N6" s="176"/>
      <c r="O6" s="176"/>
      <c r="P6" s="176"/>
      <c r="Q6" s="176"/>
      <c r="R6" s="176"/>
      <c r="S6" s="176"/>
      <c r="T6" s="176"/>
      <c r="U6" s="176"/>
      <c r="V6" s="176"/>
      <c r="W6" s="173"/>
      <c r="X6" s="176"/>
    </row>
    <row r="7" spans="1:24" ht="16.5" customHeight="1">
      <c r="A7" s="177"/>
      <c r="B7" s="351" t="s">
        <v>458</v>
      </c>
      <c r="C7" s="176"/>
      <c r="D7" s="986" t="s">
        <v>551</v>
      </c>
      <c r="E7" s="987"/>
      <c r="F7" s="987"/>
      <c r="G7" s="987"/>
      <c r="H7" s="230" t="s">
        <v>288</v>
      </c>
      <c r="I7" s="173"/>
      <c r="J7" s="487" t="s">
        <v>644</v>
      </c>
      <c r="K7" s="176"/>
      <c r="L7" s="176"/>
      <c r="M7" s="176"/>
      <c r="N7" s="348" t="s">
        <v>289</v>
      </c>
      <c r="O7" s="176"/>
      <c r="P7" s="349">
        <v>12</v>
      </c>
      <c r="Q7" s="176"/>
      <c r="R7" s="264" t="s">
        <v>290</v>
      </c>
      <c r="S7" s="176"/>
      <c r="T7" s="349">
        <v>1</v>
      </c>
      <c r="U7" s="176"/>
      <c r="V7" s="176"/>
      <c r="W7" s="173"/>
      <c r="X7" s="176"/>
    </row>
    <row r="8" spans="1:24" ht="12" customHeight="1">
      <c r="A8" s="177"/>
      <c r="B8" s="179"/>
      <c r="C8" s="176"/>
      <c r="D8" s="173"/>
      <c r="E8" s="350" t="s">
        <v>291</v>
      </c>
      <c r="F8" s="173"/>
      <c r="G8" s="177"/>
      <c r="H8" s="351" t="s">
        <v>292</v>
      </c>
      <c r="I8" s="173"/>
      <c r="J8" s="352" t="s">
        <v>293</v>
      </c>
      <c r="K8" s="176"/>
      <c r="L8" s="176"/>
      <c r="M8" s="176"/>
      <c r="N8" s="353" t="s">
        <v>294</v>
      </c>
      <c r="O8" s="354"/>
      <c r="P8" s="354" t="s">
        <v>295</v>
      </c>
      <c r="Q8" s="176"/>
      <c r="R8" s="355" t="s">
        <v>296</v>
      </c>
      <c r="S8" s="176"/>
      <c r="T8" s="354" t="s">
        <v>297</v>
      </c>
      <c r="U8" s="176"/>
      <c r="V8" s="176"/>
      <c r="W8" s="173"/>
      <c r="X8" s="176"/>
    </row>
    <row r="9" spans="1:24" ht="9" customHeight="1" thickBot="1">
      <c r="A9" s="180"/>
      <c r="B9" s="180"/>
      <c r="C9" s="180"/>
      <c r="D9" s="180"/>
      <c r="E9" s="180"/>
      <c r="F9" s="180"/>
      <c r="G9" s="180"/>
      <c r="H9" s="180"/>
      <c r="I9" s="180"/>
      <c r="J9" s="180"/>
      <c r="K9" s="180"/>
      <c r="L9" s="356"/>
      <c r="M9" s="180"/>
      <c r="N9" s="180"/>
      <c r="O9" s="180"/>
      <c r="P9" s="180"/>
      <c r="Q9" s="180"/>
      <c r="R9" s="180"/>
      <c r="S9" s="180"/>
      <c r="T9" s="180"/>
      <c r="U9" s="180"/>
      <c r="X9" s="176"/>
    </row>
    <row r="10" spans="1:24" ht="4.5" customHeight="1" thickTop="1">
      <c r="A10" s="6"/>
      <c r="B10" s="7"/>
      <c r="C10" s="7"/>
      <c r="D10" s="7"/>
      <c r="E10" s="7"/>
      <c r="F10" s="7"/>
      <c r="G10" s="7"/>
      <c r="H10" s="7"/>
      <c r="I10" s="7"/>
      <c r="J10" s="7"/>
      <c r="K10" s="7"/>
      <c r="L10" s="7"/>
      <c r="M10" s="7"/>
      <c r="N10" s="7"/>
      <c r="O10" s="7"/>
      <c r="P10" s="7"/>
      <c r="Q10" s="7"/>
      <c r="R10" s="7"/>
      <c r="S10" s="7"/>
      <c r="T10" s="7"/>
      <c r="U10" s="12"/>
      <c r="X10" s="176"/>
    </row>
    <row r="11" spans="1:24" ht="14.25" customHeight="1">
      <c r="A11" s="131" t="s">
        <v>298</v>
      </c>
      <c r="B11" s="7"/>
      <c r="C11" s="7"/>
      <c r="D11" s="7"/>
      <c r="E11" s="7"/>
      <c r="F11" s="7"/>
      <c r="G11" s="7"/>
      <c r="H11" s="7"/>
      <c r="I11" s="7"/>
      <c r="J11" s="7"/>
      <c r="K11" s="7"/>
      <c r="L11" s="7"/>
      <c r="M11" s="7"/>
      <c r="N11" s="7"/>
      <c r="O11" s="7"/>
      <c r="P11" s="7"/>
      <c r="Q11" s="7"/>
      <c r="R11" s="7"/>
      <c r="S11" s="7"/>
      <c r="T11" s="7"/>
      <c r="U11" s="12"/>
      <c r="X11" s="176"/>
    </row>
    <row r="12" spans="1:24" ht="4.5" customHeight="1">
      <c r="A12" s="18"/>
      <c r="B12" s="19"/>
      <c r="C12" s="19"/>
      <c r="D12" s="19"/>
      <c r="E12" s="19"/>
      <c r="F12" s="19"/>
      <c r="G12" s="19"/>
      <c r="H12" s="19"/>
      <c r="I12" s="19"/>
      <c r="J12" s="19"/>
      <c r="K12" s="19"/>
      <c r="L12" s="19"/>
      <c r="M12" s="19"/>
      <c r="N12" s="19"/>
      <c r="O12" s="19"/>
      <c r="P12" s="19"/>
      <c r="Q12" s="19"/>
      <c r="R12" s="19"/>
      <c r="S12" s="19"/>
      <c r="T12" s="19"/>
      <c r="U12" s="27"/>
      <c r="X12" s="176"/>
    </row>
    <row r="13" spans="1:24" ht="12.75" customHeight="1">
      <c r="A13" s="76"/>
      <c r="B13" s="357"/>
      <c r="C13" s="7"/>
      <c r="D13" s="7"/>
      <c r="E13" s="59"/>
      <c r="F13" s="60" t="s">
        <v>110</v>
      </c>
      <c r="G13" s="59"/>
      <c r="H13" s="66" t="s">
        <v>299</v>
      </c>
      <c r="I13" s="19"/>
      <c r="J13" s="19"/>
      <c r="K13" s="19"/>
      <c r="L13" s="67"/>
      <c r="M13" s="63"/>
      <c r="N13" s="60" t="s">
        <v>300</v>
      </c>
      <c r="O13" s="59" t="s">
        <v>74</v>
      </c>
      <c r="P13" s="125" t="s">
        <v>301</v>
      </c>
      <c r="Q13" s="59"/>
      <c r="R13" s="66" t="s">
        <v>302</v>
      </c>
      <c r="S13" s="66"/>
      <c r="T13" s="358"/>
      <c r="U13" s="27"/>
      <c r="X13" s="176"/>
    </row>
    <row r="14" spans="1:27" ht="15.75" customHeight="1">
      <c r="A14" s="47"/>
      <c r="B14" s="124" t="s">
        <v>303</v>
      </c>
      <c r="C14" s="7"/>
      <c r="D14" s="7"/>
      <c r="E14" s="59"/>
      <c r="F14" s="60" t="s">
        <v>304</v>
      </c>
      <c r="G14" s="59"/>
      <c r="H14" s="16" t="s">
        <v>109</v>
      </c>
      <c r="I14" s="59"/>
      <c r="J14" s="40" t="s">
        <v>326</v>
      </c>
      <c r="K14" s="59"/>
      <c r="L14" s="60" t="s">
        <v>327</v>
      </c>
      <c r="M14" s="59"/>
      <c r="N14" s="44" t="s">
        <v>305</v>
      </c>
      <c r="O14" s="59"/>
      <c r="P14" s="7" t="s">
        <v>306</v>
      </c>
      <c r="Q14" s="59"/>
      <c r="R14" s="41" t="s">
        <v>307</v>
      </c>
      <c r="S14" s="61"/>
      <c r="T14" s="41" t="s">
        <v>331</v>
      </c>
      <c r="U14" s="12"/>
      <c r="X14" s="176"/>
      <c r="AA14" s="359"/>
    </row>
    <row r="15" spans="1:27" ht="12.75" customHeight="1">
      <c r="A15" s="76"/>
      <c r="B15" s="360"/>
      <c r="C15" s="7"/>
      <c r="D15" s="7"/>
      <c r="E15" s="59"/>
      <c r="F15" s="14" t="s">
        <v>308</v>
      </c>
      <c r="G15" s="59"/>
      <c r="H15" s="361" t="s">
        <v>309</v>
      </c>
      <c r="I15" s="59"/>
      <c r="J15" s="361" t="s">
        <v>309</v>
      </c>
      <c r="K15" s="59"/>
      <c r="L15" s="361" t="s">
        <v>309</v>
      </c>
      <c r="M15" s="59"/>
      <c r="N15" s="33" t="s">
        <v>388</v>
      </c>
      <c r="O15" s="59"/>
      <c r="P15" s="362"/>
      <c r="Q15" s="59"/>
      <c r="R15" s="362"/>
      <c r="S15" s="363"/>
      <c r="T15" s="362"/>
      <c r="U15" s="12"/>
      <c r="X15" s="176"/>
      <c r="AA15" s="359"/>
    </row>
    <row r="16" spans="1:27" ht="12.75" customHeight="1">
      <c r="A16" s="364"/>
      <c r="B16" s="365">
        <v>5</v>
      </c>
      <c r="C16" s="19"/>
      <c r="D16" s="19"/>
      <c r="E16" s="63"/>
      <c r="F16" s="71">
        <v>6</v>
      </c>
      <c r="G16" s="72">
        <v>1</v>
      </c>
      <c r="H16" s="71">
        <v>7</v>
      </c>
      <c r="I16" s="63"/>
      <c r="J16" s="71">
        <v>8</v>
      </c>
      <c r="K16" s="63"/>
      <c r="L16" s="415" t="s">
        <v>328</v>
      </c>
      <c r="M16" s="111"/>
      <c r="N16" s="71">
        <v>10</v>
      </c>
      <c r="O16" s="111"/>
      <c r="P16" s="71">
        <v>11</v>
      </c>
      <c r="Q16" s="68"/>
      <c r="R16" s="105" t="s">
        <v>310</v>
      </c>
      <c r="S16" s="72"/>
      <c r="T16" s="105" t="s">
        <v>332</v>
      </c>
      <c r="U16" s="27"/>
      <c r="X16" s="176"/>
      <c r="AA16" s="359"/>
    </row>
    <row r="17" spans="1:27" ht="19.5" customHeight="1">
      <c r="A17" s="366">
        <v>1</v>
      </c>
      <c r="B17" s="942" t="s">
        <v>645</v>
      </c>
      <c r="C17" s="260"/>
      <c r="D17" s="623"/>
      <c r="E17" s="284"/>
      <c r="F17" s="947" t="s">
        <v>1</v>
      </c>
      <c r="G17" s="284"/>
      <c r="H17" s="952">
        <v>3333</v>
      </c>
      <c r="I17" s="296"/>
      <c r="J17" s="951">
        <f>H17*0.03</f>
        <v>99.99</v>
      </c>
      <c r="K17" s="296"/>
      <c r="L17" s="416">
        <f aca="true" t="shared" si="0" ref="L17:L26">H17-J17</f>
        <v>3233.01</v>
      </c>
      <c r="M17" s="111"/>
      <c r="N17" s="950">
        <v>0.15</v>
      </c>
      <c r="O17" s="111"/>
      <c r="P17" s="368">
        <f>N17*0.1</f>
        <v>0.015</v>
      </c>
      <c r="Q17" s="68"/>
      <c r="R17" s="488">
        <f aca="true" t="shared" si="1" ref="R17:R26">(H17*$T$7)*(N17-P17)</f>
        <v>449.95500000000004</v>
      </c>
      <c r="S17" s="489"/>
      <c r="T17" s="488">
        <f aca="true" t="shared" si="2" ref="T17:T26">(L17*$T$7)*(N17-P17)</f>
        <v>436.45635000000004</v>
      </c>
      <c r="U17" s="27"/>
      <c r="X17" s="176"/>
      <c r="AA17" s="359"/>
    </row>
    <row r="18" spans="1:24" ht="19.5" customHeight="1">
      <c r="A18" s="366">
        <v>2</v>
      </c>
      <c r="B18" s="942" t="s">
        <v>552</v>
      </c>
      <c r="C18" s="260"/>
      <c r="D18" s="623"/>
      <c r="E18" s="284"/>
      <c r="F18" s="947" t="s">
        <v>553</v>
      </c>
      <c r="G18" s="284"/>
      <c r="H18" s="952">
        <v>8</v>
      </c>
      <c r="I18" s="296"/>
      <c r="J18" s="951">
        <v>0</v>
      </c>
      <c r="K18" s="296"/>
      <c r="L18" s="416">
        <f t="shared" si="0"/>
        <v>8</v>
      </c>
      <c r="M18" s="111"/>
      <c r="N18" s="950">
        <v>55</v>
      </c>
      <c r="O18" s="111"/>
      <c r="P18" s="368">
        <v>0.5</v>
      </c>
      <c r="Q18" s="68"/>
      <c r="R18" s="488">
        <f t="shared" si="1"/>
        <v>436</v>
      </c>
      <c r="S18" s="489"/>
      <c r="T18" s="488">
        <f t="shared" si="2"/>
        <v>436</v>
      </c>
      <c r="U18" s="107"/>
      <c r="X18" s="176"/>
    </row>
    <row r="19" spans="1:24" ht="19.5" customHeight="1">
      <c r="A19" s="366">
        <v>3</v>
      </c>
      <c r="B19" s="942" t="s">
        <v>5</v>
      </c>
      <c r="C19" s="260"/>
      <c r="D19" s="623"/>
      <c r="E19" s="284"/>
      <c r="F19" s="947" t="s">
        <v>548</v>
      </c>
      <c r="G19" s="284"/>
      <c r="H19" s="952">
        <v>167</v>
      </c>
      <c r="I19" s="296"/>
      <c r="J19" s="951">
        <v>9</v>
      </c>
      <c r="K19" s="296"/>
      <c r="L19" s="416">
        <f t="shared" si="0"/>
        <v>158</v>
      </c>
      <c r="M19" s="111"/>
      <c r="N19" s="950">
        <v>1.5</v>
      </c>
      <c r="O19" s="111"/>
      <c r="P19" s="368">
        <v>0.1</v>
      </c>
      <c r="Q19" s="68"/>
      <c r="R19" s="488">
        <f t="shared" si="1"/>
        <v>233.79999999999998</v>
      </c>
      <c r="S19" s="489"/>
      <c r="T19" s="488">
        <f t="shared" si="2"/>
        <v>221.2</v>
      </c>
      <c r="U19" s="107"/>
      <c r="X19" s="176"/>
    </row>
    <row r="20" spans="1:24" ht="19.5" customHeight="1">
      <c r="A20" s="366">
        <v>4</v>
      </c>
      <c r="B20" s="260"/>
      <c r="C20" s="260"/>
      <c r="D20" s="623"/>
      <c r="E20" s="284"/>
      <c r="F20" s="132"/>
      <c r="G20" s="284"/>
      <c r="H20" s="424"/>
      <c r="I20" s="296"/>
      <c r="J20" s="522"/>
      <c r="K20" s="296"/>
      <c r="L20" s="416">
        <f t="shared" si="0"/>
        <v>0</v>
      </c>
      <c r="M20" s="111"/>
      <c r="N20" s="367"/>
      <c r="O20" s="111"/>
      <c r="P20" s="368"/>
      <c r="Q20" s="68"/>
      <c r="R20" s="488">
        <f t="shared" si="1"/>
        <v>0</v>
      </c>
      <c r="S20" s="489"/>
      <c r="T20" s="488">
        <f t="shared" si="2"/>
        <v>0</v>
      </c>
      <c r="U20" s="107"/>
      <c r="X20" s="176"/>
    </row>
    <row r="21" spans="1:24" ht="19.5" customHeight="1">
      <c r="A21" s="366">
        <v>5</v>
      </c>
      <c r="B21" s="260"/>
      <c r="C21" s="260"/>
      <c r="D21" s="623"/>
      <c r="E21" s="284"/>
      <c r="F21" s="132"/>
      <c r="G21" s="284"/>
      <c r="H21" s="424"/>
      <c r="I21" s="296"/>
      <c r="J21" s="522"/>
      <c r="K21" s="296"/>
      <c r="L21" s="416">
        <f t="shared" si="0"/>
        <v>0</v>
      </c>
      <c r="M21" s="111"/>
      <c r="N21" s="367"/>
      <c r="O21" s="111"/>
      <c r="P21" s="368"/>
      <c r="Q21" s="68"/>
      <c r="R21" s="488">
        <f t="shared" si="1"/>
        <v>0</v>
      </c>
      <c r="S21" s="489"/>
      <c r="T21" s="488">
        <f t="shared" si="2"/>
        <v>0</v>
      </c>
      <c r="U21" s="107"/>
      <c r="X21" s="176"/>
    </row>
    <row r="22" spans="1:24" ht="19.5" customHeight="1">
      <c r="A22" s="366">
        <v>6</v>
      </c>
      <c r="B22" s="260"/>
      <c r="C22" s="260"/>
      <c r="D22" s="623"/>
      <c r="E22" s="284"/>
      <c r="F22" s="132"/>
      <c r="G22" s="284"/>
      <c r="H22" s="424"/>
      <c r="I22" s="296"/>
      <c r="J22" s="522"/>
      <c r="K22" s="296"/>
      <c r="L22" s="416">
        <f t="shared" si="0"/>
        <v>0</v>
      </c>
      <c r="M22" s="111"/>
      <c r="N22" s="367"/>
      <c r="O22" s="111"/>
      <c r="P22" s="368"/>
      <c r="Q22" s="68"/>
      <c r="R22" s="488">
        <f t="shared" si="1"/>
        <v>0</v>
      </c>
      <c r="S22" s="489"/>
      <c r="T22" s="488">
        <f t="shared" si="2"/>
        <v>0</v>
      </c>
      <c r="U22" s="107"/>
      <c r="X22" s="176"/>
    </row>
    <row r="23" spans="1:24" ht="19.5" customHeight="1">
      <c r="A23" s="366">
        <v>7</v>
      </c>
      <c r="B23" s="260"/>
      <c r="C23" s="260"/>
      <c r="D23" s="623"/>
      <c r="E23" s="284"/>
      <c r="F23" s="132"/>
      <c r="G23" s="284"/>
      <c r="H23" s="424"/>
      <c r="I23" s="296"/>
      <c r="J23" s="522"/>
      <c r="K23" s="296"/>
      <c r="L23" s="416">
        <f t="shared" si="0"/>
        <v>0</v>
      </c>
      <c r="M23" s="111"/>
      <c r="N23" s="367"/>
      <c r="O23" s="111"/>
      <c r="P23" s="368"/>
      <c r="Q23" s="68"/>
      <c r="R23" s="488">
        <f t="shared" si="1"/>
        <v>0</v>
      </c>
      <c r="S23" s="489"/>
      <c r="T23" s="488">
        <f t="shared" si="2"/>
        <v>0</v>
      </c>
      <c r="U23" s="107"/>
      <c r="X23" s="176"/>
    </row>
    <row r="24" spans="1:24" ht="19.5" customHeight="1">
      <c r="A24" s="366">
        <v>8</v>
      </c>
      <c r="B24" s="260"/>
      <c r="C24" s="260"/>
      <c r="D24" s="623"/>
      <c r="E24" s="284"/>
      <c r="F24" s="132"/>
      <c r="G24" s="284"/>
      <c r="H24" s="424"/>
      <c r="I24" s="296"/>
      <c r="J24" s="522"/>
      <c r="K24" s="296"/>
      <c r="L24" s="416">
        <f t="shared" si="0"/>
        <v>0</v>
      </c>
      <c r="M24" s="111"/>
      <c r="N24" s="367"/>
      <c r="O24" s="111"/>
      <c r="P24" s="368"/>
      <c r="Q24" s="68"/>
      <c r="R24" s="488">
        <f t="shared" si="1"/>
        <v>0</v>
      </c>
      <c r="S24" s="489"/>
      <c r="T24" s="488">
        <f t="shared" si="2"/>
        <v>0</v>
      </c>
      <c r="U24" s="107"/>
      <c r="X24" s="176"/>
    </row>
    <row r="25" spans="1:24" ht="19.5" customHeight="1">
      <c r="A25" s="366">
        <v>9</v>
      </c>
      <c r="B25" s="260"/>
      <c r="C25" s="260"/>
      <c r="D25" s="623"/>
      <c r="E25" s="284"/>
      <c r="F25" s="132"/>
      <c r="G25" s="284"/>
      <c r="H25" s="424"/>
      <c r="I25" s="296"/>
      <c r="J25" s="522"/>
      <c r="K25" s="296"/>
      <c r="L25" s="416">
        <f t="shared" si="0"/>
        <v>0</v>
      </c>
      <c r="M25" s="111"/>
      <c r="N25" s="367"/>
      <c r="O25" s="111"/>
      <c r="P25" s="368"/>
      <c r="Q25" s="68"/>
      <c r="R25" s="488">
        <f t="shared" si="1"/>
        <v>0</v>
      </c>
      <c r="S25" s="489"/>
      <c r="T25" s="488">
        <f t="shared" si="2"/>
        <v>0</v>
      </c>
      <c r="U25" s="107"/>
      <c r="X25" s="176"/>
    </row>
    <row r="26" spans="1:24" ht="19.5" customHeight="1" thickBot="1">
      <c r="A26" s="366">
        <v>10</v>
      </c>
      <c r="B26" s="260"/>
      <c r="C26" s="260"/>
      <c r="D26" s="623"/>
      <c r="E26" s="284"/>
      <c r="F26" s="132"/>
      <c r="G26" s="284"/>
      <c r="H26" s="424"/>
      <c r="I26" s="296"/>
      <c r="J26" s="522"/>
      <c r="K26" s="296"/>
      <c r="L26" s="416">
        <f t="shared" si="0"/>
        <v>0</v>
      </c>
      <c r="M26" s="111"/>
      <c r="N26" s="367"/>
      <c r="O26" s="111"/>
      <c r="P26" s="368"/>
      <c r="Q26" s="68"/>
      <c r="R26" s="488">
        <f t="shared" si="1"/>
        <v>0</v>
      </c>
      <c r="S26" s="489"/>
      <c r="T26" s="488">
        <f t="shared" si="2"/>
        <v>0</v>
      </c>
      <c r="U26" s="107"/>
      <c r="X26" s="176"/>
    </row>
    <row r="27" spans="1:27" ht="16.5" customHeight="1">
      <c r="A27" s="369"/>
      <c r="B27" s="15"/>
      <c r="C27" s="7"/>
      <c r="D27" s="7" t="s">
        <v>311</v>
      </c>
      <c r="E27" s="59"/>
      <c r="F27" s="370"/>
      <c r="G27" s="370"/>
      <c r="H27" s="371"/>
      <c r="I27" s="370"/>
      <c r="J27" s="372"/>
      <c r="K27" s="370"/>
      <c r="L27" s="373"/>
      <c r="M27" s="370"/>
      <c r="N27" s="370"/>
      <c r="O27" s="370"/>
      <c r="P27" s="2"/>
      <c r="Q27" s="374"/>
      <c r="R27" s="490">
        <f>SUM(R17:R26)</f>
        <v>1119.755</v>
      </c>
      <c r="S27" s="491"/>
      <c r="T27" s="492">
        <f>SUM(T17:T26)</f>
        <v>1093.65635</v>
      </c>
      <c r="U27" s="419"/>
      <c r="X27" s="176"/>
      <c r="AA27" s="359"/>
    </row>
    <row r="28" spans="1:27" ht="2.25" customHeight="1" thickBot="1">
      <c r="A28" s="375"/>
      <c r="B28" s="46"/>
      <c r="C28" s="46"/>
      <c r="D28" s="46"/>
      <c r="E28" s="376"/>
      <c r="F28" s="239"/>
      <c r="G28" s="239"/>
      <c r="H28" s="239"/>
      <c r="I28" s="239"/>
      <c r="J28" s="239"/>
      <c r="K28" s="239"/>
      <c r="L28" s="239"/>
      <c r="M28" s="239"/>
      <c r="N28" s="239"/>
      <c r="O28" s="239"/>
      <c r="P28" s="239"/>
      <c r="Q28" s="377"/>
      <c r="R28" s="378"/>
      <c r="S28" s="376"/>
      <c r="T28" s="420"/>
      <c r="U28" s="493"/>
      <c r="X28" s="176"/>
      <c r="AA28" s="359"/>
    </row>
    <row r="29" spans="1:27" ht="6.75" customHeight="1" thickTop="1">
      <c r="A29" s="17"/>
      <c r="B29" s="7"/>
      <c r="C29" s="7"/>
      <c r="D29" s="7"/>
      <c r="E29" s="7"/>
      <c r="F29" s="7"/>
      <c r="G29" s="7"/>
      <c r="H29" s="7"/>
      <c r="I29" s="7"/>
      <c r="J29" s="7"/>
      <c r="K29" s="7"/>
      <c r="L29" s="7"/>
      <c r="M29" s="7"/>
      <c r="N29" s="7"/>
      <c r="O29" s="7"/>
      <c r="P29" s="7"/>
      <c r="Q29" s="7"/>
      <c r="R29" s="7"/>
      <c r="S29" s="7"/>
      <c r="T29" s="7"/>
      <c r="U29" s="12"/>
      <c r="X29" s="176"/>
      <c r="AA29" s="359"/>
    </row>
    <row r="30" spans="1:27" ht="15" customHeight="1">
      <c r="A30" s="76" t="s">
        <v>312</v>
      </c>
      <c r="B30" s="7"/>
      <c r="C30" s="7"/>
      <c r="D30" s="7"/>
      <c r="E30" s="7"/>
      <c r="F30" s="7"/>
      <c r="G30" s="7"/>
      <c r="H30" s="7"/>
      <c r="I30" s="7"/>
      <c r="J30" s="7"/>
      <c r="K30" s="7"/>
      <c r="L30" s="7"/>
      <c r="M30" s="7"/>
      <c r="N30" s="7"/>
      <c r="O30" s="7"/>
      <c r="P30" s="7"/>
      <c r="Q30" s="7"/>
      <c r="R30" s="7"/>
      <c r="S30" s="7"/>
      <c r="T30" s="7"/>
      <c r="U30" s="12"/>
      <c r="X30" s="176"/>
      <c r="AA30" s="359"/>
    </row>
    <row r="31" spans="1:27" ht="3" customHeight="1">
      <c r="A31" s="25"/>
      <c r="B31" s="19"/>
      <c r="C31" s="19"/>
      <c r="D31" s="19"/>
      <c r="E31" s="19"/>
      <c r="F31" s="19"/>
      <c r="G31" s="19"/>
      <c r="H31" s="19"/>
      <c r="I31" s="19"/>
      <c r="J31" s="19"/>
      <c r="K31" s="19"/>
      <c r="L31" s="19"/>
      <c r="M31" s="19"/>
      <c r="N31" s="19"/>
      <c r="O31" s="19"/>
      <c r="P31" s="19"/>
      <c r="Q31" s="19"/>
      <c r="R31" s="19"/>
      <c r="S31" s="19"/>
      <c r="T31" s="19"/>
      <c r="U31" s="27"/>
      <c r="X31" s="176"/>
      <c r="AA31" s="359"/>
    </row>
    <row r="32" spans="1:24" ht="12.75" customHeight="1">
      <c r="A32" s="76"/>
      <c r="B32" s="357"/>
      <c r="C32" s="7"/>
      <c r="D32" s="7"/>
      <c r="E32" s="59"/>
      <c r="F32" s="60" t="s">
        <v>110</v>
      </c>
      <c r="G32" s="59"/>
      <c r="H32" s="66" t="s">
        <v>389</v>
      </c>
      <c r="I32" s="19"/>
      <c r="J32" s="19"/>
      <c r="K32" s="19"/>
      <c r="L32" s="67"/>
      <c r="M32" s="63"/>
      <c r="N32" s="98" t="s">
        <v>313</v>
      </c>
      <c r="O32" s="133"/>
      <c r="P32" s="15" t="s">
        <v>301</v>
      </c>
      <c r="Q32" s="59"/>
      <c r="R32" s="67" t="s">
        <v>314</v>
      </c>
      <c r="S32" s="67"/>
      <c r="T32" s="19"/>
      <c r="U32" s="27"/>
      <c r="X32" s="176"/>
    </row>
    <row r="33" spans="1:24" ht="14.25" customHeight="1">
      <c r="A33" s="47"/>
      <c r="B33" s="124" t="s">
        <v>315</v>
      </c>
      <c r="C33" s="7"/>
      <c r="D33" s="7"/>
      <c r="E33" s="59"/>
      <c r="F33" s="60" t="s">
        <v>316</v>
      </c>
      <c r="G33" s="59"/>
      <c r="H33" s="16" t="s">
        <v>109</v>
      </c>
      <c r="I33" s="59"/>
      <c r="J33" s="417" t="s">
        <v>329</v>
      </c>
      <c r="K33" s="59"/>
      <c r="L33" s="60" t="s">
        <v>317</v>
      </c>
      <c r="M33" s="59"/>
      <c r="N33" s="44" t="s">
        <v>305</v>
      </c>
      <c r="O33" s="379"/>
      <c r="P33" s="7" t="s">
        <v>306</v>
      </c>
      <c r="Q33" s="59"/>
      <c r="R33" s="41" t="s">
        <v>307</v>
      </c>
      <c r="S33" s="61"/>
      <c r="T33" s="41" t="s">
        <v>331</v>
      </c>
      <c r="U33" s="12"/>
      <c r="X33" s="176"/>
    </row>
    <row r="34" spans="1:24" ht="14.25" customHeight="1">
      <c r="A34" s="76"/>
      <c r="B34" s="360"/>
      <c r="C34" s="7"/>
      <c r="D34" s="7"/>
      <c r="E34" s="59"/>
      <c r="F34" s="60" t="s">
        <v>317</v>
      </c>
      <c r="G34" s="59"/>
      <c r="H34" s="361" t="s">
        <v>318</v>
      </c>
      <c r="I34" s="59"/>
      <c r="J34" s="361" t="s">
        <v>318</v>
      </c>
      <c r="K34" s="59"/>
      <c r="L34" s="361" t="s">
        <v>318</v>
      </c>
      <c r="M34" s="59"/>
      <c r="N34" s="494" t="s">
        <v>390</v>
      </c>
      <c r="O34" s="363"/>
      <c r="P34" s="362"/>
      <c r="Q34" s="59"/>
      <c r="R34" s="362"/>
      <c r="S34" s="363"/>
      <c r="T34" s="362"/>
      <c r="U34" s="12"/>
      <c r="X34" s="176"/>
    </row>
    <row r="35" spans="1:24" ht="12" customHeight="1">
      <c r="A35" s="364"/>
      <c r="B35" s="365">
        <v>14</v>
      </c>
      <c r="C35" s="19"/>
      <c r="D35" s="19"/>
      <c r="E35" s="63"/>
      <c r="F35" s="71">
        <v>15</v>
      </c>
      <c r="G35" s="72"/>
      <c r="H35" s="71">
        <v>16</v>
      </c>
      <c r="I35" s="63"/>
      <c r="J35" s="71">
        <v>17</v>
      </c>
      <c r="K35" s="63"/>
      <c r="L35" s="415" t="s">
        <v>330</v>
      </c>
      <c r="M35" s="111"/>
      <c r="N35" s="105">
        <v>19</v>
      </c>
      <c r="O35" s="72"/>
      <c r="P35" s="105">
        <v>20</v>
      </c>
      <c r="Q35" s="380"/>
      <c r="R35" s="105" t="s">
        <v>319</v>
      </c>
      <c r="S35" s="72"/>
      <c r="T35" s="105" t="s">
        <v>333</v>
      </c>
      <c r="U35" s="27"/>
      <c r="X35" s="176"/>
    </row>
    <row r="36" spans="1:24" ht="4.5" customHeight="1">
      <c r="A36" s="6"/>
      <c r="B36" s="7"/>
      <c r="C36" s="7"/>
      <c r="D36" s="7"/>
      <c r="E36" s="59"/>
      <c r="F36" s="7"/>
      <c r="G36" s="59"/>
      <c r="H36" s="7"/>
      <c r="I36" s="59"/>
      <c r="J36" s="7"/>
      <c r="K36" s="59"/>
      <c r="L36" s="7"/>
      <c r="M36" s="59"/>
      <c r="N36" s="381"/>
      <c r="O36" s="59"/>
      <c r="P36" s="7"/>
      <c r="Q36" s="59"/>
      <c r="R36" s="7"/>
      <c r="S36" s="59"/>
      <c r="T36" s="7"/>
      <c r="U36" s="12"/>
      <c r="X36" s="176"/>
    </row>
    <row r="37" spans="1:24" ht="12.75">
      <c r="A37" s="6"/>
      <c r="B37" s="15" t="s">
        <v>320</v>
      </c>
      <c r="C37" s="7"/>
      <c r="D37" s="7"/>
      <c r="E37" s="59"/>
      <c r="F37" s="7"/>
      <c r="G37" s="59"/>
      <c r="H37" s="7"/>
      <c r="I37" s="59"/>
      <c r="J37" s="7"/>
      <c r="K37" s="59"/>
      <c r="L37" s="7"/>
      <c r="M37" s="59"/>
      <c r="N37" s="381"/>
      <c r="O37" s="59"/>
      <c r="P37" s="7"/>
      <c r="Q37" s="59"/>
      <c r="R37" s="7"/>
      <c r="S37" s="59"/>
      <c r="T37" s="7"/>
      <c r="U37" s="12"/>
      <c r="X37" s="176"/>
    </row>
    <row r="38" spans="1:24" ht="3.75" customHeight="1">
      <c r="A38" s="6"/>
      <c r="B38" s="7"/>
      <c r="C38" s="7"/>
      <c r="D38" s="7"/>
      <c r="E38" s="59"/>
      <c r="F38" s="33"/>
      <c r="G38" s="59"/>
      <c r="H38" s="382"/>
      <c r="I38" s="383"/>
      <c r="J38" s="384"/>
      <c r="K38" s="383"/>
      <c r="L38" s="406"/>
      <c r="M38" s="59"/>
      <c r="N38" s="381"/>
      <c r="O38" s="59"/>
      <c r="P38" s="384"/>
      <c r="Q38" s="383"/>
      <c r="R38" s="384"/>
      <c r="S38" s="383"/>
      <c r="T38" s="384"/>
      <c r="U38" s="12"/>
      <c r="X38" s="176"/>
    </row>
    <row r="39" spans="1:24" ht="19.5" customHeight="1">
      <c r="A39" s="18">
        <v>1</v>
      </c>
      <c r="B39" s="942" t="s">
        <v>6</v>
      </c>
      <c r="C39" s="260"/>
      <c r="D39" s="260"/>
      <c r="E39" s="284"/>
      <c r="F39" s="385" t="s">
        <v>630</v>
      </c>
      <c r="G39" s="284"/>
      <c r="H39" s="386">
        <v>1</v>
      </c>
      <c r="I39" s="495"/>
      <c r="J39" s="390"/>
      <c r="K39" s="387"/>
      <c r="L39" s="418">
        <f aca="true" t="shared" si="3" ref="L39:L58">H39-J39</f>
        <v>1</v>
      </c>
      <c r="M39" s="63"/>
      <c r="N39" s="388">
        <v>206</v>
      </c>
      <c r="O39" s="63"/>
      <c r="P39" s="388"/>
      <c r="Q39" s="387"/>
      <c r="R39" s="488">
        <f>(H39*$T$7)*(N39+P39)</f>
        <v>206</v>
      </c>
      <c r="S39" s="489"/>
      <c r="T39" s="488">
        <f>(L39*$T$7)*(N39+P39)</f>
        <v>206</v>
      </c>
      <c r="U39" s="27"/>
      <c r="X39" s="176"/>
    </row>
    <row r="40" spans="1:24" ht="19.5" customHeight="1">
      <c r="A40" s="18">
        <v>2</v>
      </c>
      <c r="B40" s="260"/>
      <c r="C40" s="260"/>
      <c r="D40" s="260"/>
      <c r="E40" s="284"/>
      <c r="F40" s="385"/>
      <c r="G40" s="284"/>
      <c r="H40" s="386"/>
      <c r="I40" s="495"/>
      <c r="J40" s="390"/>
      <c r="K40" s="387"/>
      <c r="L40" s="418">
        <f t="shared" si="3"/>
        <v>0</v>
      </c>
      <c r="M40" s="63"/>
      <c r="N40" s="388"/>
      <c r="O40" s="63"/>
      <c r="P40" s="388"/>
      <c r="Q40" s="387"/>
      <c r="R40" s="488">
        <f aca="true" t="shared" si="4" ref="R40:R46">(H40*$T$7)*(N40+P40)</f>
        <v>0</v>
      </c>
      <c r="S40" s="489"/>
      <c r="T40" s="488">
        <f aca="true" t="shared" si="5" ref="T40:T46">(L40*$T$7)*(N40+P40)</f>
        <v>0</v>
      </c>
      <c r="U40" s="27"/>
      <c r="X40" s="176"/>
    </row>
    <row r="41" spans="1:24" ht="19.5" customHeight="1">
      <c r="A41" s="18">
        <v>3</v>
      </c>
      <c r="B41" s="260"/>
      <c r="C41" s="260"/>
      <c r="D41" s="260"/>
      <c r="E41" s="284"/>
      <c r="F41" s="385"/>
      <c r="G41" s="284"/>
      <c r="H41" s="386"/>
      <c r="I41" s="495"/>
      <c r="J41" s="390"/>
      <c r="K41" s="387"/>
      <c r="L41" s="418">
        <f t="shared" si="3"/>
        <v>0</v>
      </c>
      <c r="M41" s="63"/>
      <c r="N41" s="388"/>
      <c r="O41" s="63"/>
      <c r="P41" s="388"/>
      <c r="Q41" s="387"/>
      <c r="R41" s="488">
        <f t="shared" si="4"/>
        <v>0</v>
      </c>
      <c r="S41" s="489"/>
      <c r="T41" s="488">
        <f t="shared" si="5"/>
        <v>0</v>
      </c>
      <c r="U41" s="27"/>
      <c r="X41" s="176"/>
    </row>
    <row r="42" spans="1:24" ht="19.5" customHeight="1">
      <c r="A42" s="18">
        <v>4</v>
      </c>
      <c r="B42" s="622"/>
      <c r="C42" s="260"/>
      <c r="D42" s="260"/>
      <c r="E42" s="284"/>
      <c r="F42" s="385"/>
      <c r="G42" s="284"/>
      <c r="H42" s="386"/>
      <c r="I42" s="495"/>
      <c r="J42" s="390"/>
      <c r="K42" s="387"/>
      <c r="L42" s="418">
        <f t="shared" si="3"/>
        <v>0</v>
      </c>
      <c r="M42" s="63"/>
      <c r="N42" s="388"/>
      <c r="O42" s="63"/>
      <c r="P42" s="388"/>
      <c r="Q42" s="387"/>
      <c r="R42" s="488">
        <f t="shared" si="4"/>
        <v>0</v>
      </c>
      <c r="S42" s="489"/>
      <c r="T42" s="488">
        <f t="shared" si="5"/>
        <v>0</v>
      </c>
      <c r="U42" s="27"/>
      <c r="X42" s="176"/>
    </row>
    <row r="43" spans="1:24" ht="19.5" customHeight="1">
      <c r="A43" s="18">
        <v>5</v>
      </c>
      <c r="B43" s="260"/>
      <c r="C43" s="260"/>
      <c r="D43" s="260"/>
      <c r="E43" s="284"/>
      <c r="F43" s="385"/>
      <c r="G43" s="284"/>
      <c r="H43" s="386"/>
      <c r="I43" s="495"/>
      <c r="J43" s="390"/>
      <c r="K43" s="387"/>
      <c r="L43" s="418">
        <f>H43-J43</f>
        <v>0</v>
      </c>
      <c r="M43" s="63"/>
      <c r="N43" s="401"/>
      <c r="O43" s="63"/>
      <c r="P43" s="388"/>
      <c r="Q43" s="387"/>
      <c r="R43" s="488">
        <f>(H43*$T$7)*(N43+P43)</f>
        <v>0</v>
      </c>
      <c r="S43" s="489"/>
      <c r="T43" s="488">
        <f>(L43*$T$7)*(N43+P43)</f>
        <v>0</v>
      </c>
      <c r="U43" s="27"/>
      <c r="X43" s="176"/>
    </row>
    <row r="44" spans="1:24" ht="19.5" customHeight="1">
      <c r="A44" s="18">
        <v>6</v>
      </c>
      <c r="B44" s="260"/>
      <c r="C44" s="260"/>
      <c r="D44" s="260"/>
      <c r="E44" s="284"/>
      <c r="F44" s="385"/>
      <c r="G44" s="284"/>
      <c r="H44" s="389"/>
      <c r="I44" s="495"/>
      <c r="J44" s="390"/>
      <c r="K44" s="387"/>
      <c r="L44" s="418">
        <f>H44-J44</f>
        <v>0</v>
      </c>
      <c r="M44" s="63"/>
      <c r="N44" s="388"/>
      <c r="O44" s="63"/>
      <c r="P44" s="390"/>
      <c r="Q44" s="387"/>
      <c r="R44" s="488">
        <f>(H44*$T$7)*(N44+P44)</f>
        <v>0</v>
      </c>
      <c r="S44" s="489"/>
      <c r="T44" s="488">
        <f>(L44*$T$7)*(N44+P44)</f>
        <v>0</v>
      </c>
      <c r="U44" s="27"/>
      <c r="X44" s="176"/>
    </row>
    <row r="45" spans="1:24" ht="19.5" customHeight="1">
      <c r="A45" s="18">
        <v>7</v>
      </c>
      <c r="B45" s="260"/>
      <c r="C45" s="260"/>
      <c r="D45" s="260"/>
      <c r="E45" s="284"/>
      <c r="F45" s="385"/>
      <c r="G45" s="284"/>
      <c r="H45" s="386"/>
      <c r="I45" s="495"/>
      <c r="J45" s="390"/>
      <c r="K45" s="387"/>
      <c r="L45" s="418">
        <f t="shared" si="3"/>
        <v>0</v>
      </c>
      <c r="M45" s="63"/>
      <c r="N45" s="401"/>
      <c r="O45" s="63"/>
      <c r="P45" s="388"/>
      <c r="Q45" s="387"/>
      <c r="R45" s="488">
        <f t="shared" si="4"/>
        <v>0</v>
      </c>
      <c r="S45" s="489"/>
      <c r="T45" s="488">
        <f t="shared" si="5"/>
        <v>0</v>
      </c>
      <c r="U45" s="27"/>
      <c r="X45" s="176"/>
    </row>
    <row r="46" spans="1:24" ht="19.5" customHeight="1">
      <c r="A46" s="18">
        <v>8</v>
      </c>
      <c r="B46" s="260"/>
      <c r="C46" s="260"/>
      <c r="D46" s="260"/>
      <c r="E46" s="284"/>
      <c r="F46" s="385"/>
      <c r="G46" s="284"/>
      <c r="H46" s="389"/>
      <c r="I46" s="495"/>
      <c r="J46" s="390"/>
      <c r="K46" s="387"/>
      <c r="L46" s="418">
        <f t="shared" si="3"/>
        <v>0</v>
      </c>
      <c r="M46" s="63"/>
      <c r="N46" s="388"/>
      <c r="O46" s="63"/>
      <c r="P46" s="390"/>
      <c r="Q46" s="387"/>
      <c r="R46" s="488">
        <f t="shared" si="4"/>
        <v>0</v>
      </c>
      <c r="S46" s="489"/>
      <c r="T46" s="488">
        <f t="shared" si="5"/>
        <v>0</v>
      </c>
      <c r="U46" s="27"/>
      <c r="X46" s="176"/>
    </row>
    <row r="47" spans="1:24" ht="19.5" customHeight="1">
      <c r="A47" s="18">
        <v>9</v>
      </c>
      <c r="B47" s="260"/>
      <c r="C47" s="260"/>
      <c r="D47" s="260"/>
      <c r="E47" s="284"/>
      <c r="F47" s="385"/>
      <c r="G47" s="284"/>
      <c r="H47" s="386"/>
      <c r="I47" s="495"/>
      <c r="J47" s="390"/>
      <c r="K47" s="387"/>
      <c r="L47" s="418">
        <f>H47-J47</f>
        <v>0</v>
      </c>
      <c r="M47" s="63"/>
      <c r="N47" s="388"/>
      <c r="O47" s="63"/>
      <c r="P47" s="388"/>
      <c r="Q47" s="387"/>
      <c r="R47" s="488">
        <f>(H47*$T$7)*(N47+P47)</f>
        <v>0</v>
      </c>
      <c r="S47" s="489"/>
      <c r="T47" s="488">
        <f>(L47*$T$7)*(N47+P47)</f>
        <v>0</v>
      </c>
      <c r="U47" s="27"/>
      <c r="X47" s="176"/>
    </row>
    <row r="48" spans="1:24" ht="19.5" customHeight="1">
      <c r="A48" s="18">
        <v>10</v>
      </c>
      <c r="B48" s="260"/>
      <c r="C48" s="260"/>
      <c r="D48" s="260"/>
      <c r="E48" s="284"/>
      <c r="F48" s="385"/>
      <c r="G48" s="284"/>
      <c r="H48" s="386"/>
      <c r="I48" s="495"/>
      <c r="J48" s="390"/>
      <c r="K48" s="387"/>
      <c r="L48" s="418">
        <f>H48-J48</f>
        <v>0</v>
      </c>
      <c r="M48" s="63"/>
      <c r="N48" s="388"/>
      <c r="O48" s="63"/>
      <c r="P48" s="388"/>
      <c r="Q48" s="387"/>
      <c r="R48" s="488">
        <f>(H48*$T$7)*(N48+P48)</f>
        <v>0</v>
      </c>
      <c r="S48" s="489"/>
      <c r="T48" s="488">
        <f>(L48*$T$7)*(N48+P48)</f>
        <v>0</v>
      </c>
      <c r="U48" s="27"/>
      <c r="X48" s="176"/>
    </row>
    <row r="49" spans="1:24" ht="19.5" customHeight="1">
      <c r="A49" s="18">
        <v>11</v>
      </c>
      <c r="B49" s="622"/>
      <c r="C49" s="260"/>
      <c r="D49" s="260"/>
      <c r="E49" s="284"/>
      <c r="F49" s="385"/>
      <c r="G49" s="284"/>
      <c r="H49" s="386"/>
      <c r="I49" s="495"/>
      <c r="J49" s="390"/>
      <c r="K49" s="387"/>
      <c r="L49" s="418">
        <f>H49-J49</f>
        <v>0</v>
      </c>
      <c r="M49" s="63"/>
      <c r="N49" s="388"/>
      <c r="O49" s="63"/>
      <c r="P49" s="388"/>
      <c r="Q49" s="387"/>
      <c r="R49" s="488">
        <f>(H49*$T$7)*(N49+P49)</f>
        <v>0</v>
      </c>
      <c r="S49" s="489"/>
      <c r="T49" s="488">
        <f>(L49*$T$7)*(N49+P49)</f>
        <v>0</v>
      </c>
      <c r="U49" s="27"/>
      <c r="X49" s="176"/>
    </row>
    <row r="50" spans="1:24" ht="19.5" customHeight="1">
      <c r="A50" s="18">
        <v>12</v>
      </c>
      <c r="B50" s="260"/>
      <c r="C50" s="260"/>
      <c r="D50" s="260"/>
      <c r="E50" s="284"/>
      <c r="F50" s="385"/>
      <c r="G50" s="284"/>
      <c r="H50" s="386"/>
      <c r="I50" s="495"/>
      <c r="J50" s="390"/>
      <c r="K50" s="387"/>
      <c r="L50" s="418">
        <f>H50-J50</f>
        <v>0</v>
      </c>
      <c r="M50" s="63"/>
      <c r="N50" s="401"/>
      <c r="O50" s="63"/>
      <c r="P50" s="388"/>
      <c r="Q50" s="387"/>
      <c r="R50" s="488">
        <f>(H50*$T$7)*(N50+P50)</f>
        <v>0</v>
      </c>
      <c r="S50" s="489"/>
      <c r="T50" s="488">
        <f>(L50*$T$7)*(N50+P50)</f>
        <v>0</v>
      </c>
      <c r="U50" s="27"/>
      <c r="X50" s="176"/>
    </row>
    <row r="51" spans="1:24" ht="19.5" customHeight="1">
      <c r="A51" s="18">
        <v>13</v>
      </c>
      <c r="B51" s="260"/>
      <c r="C51" s="260"/>
      <c r="D51" s="260"/>
      <c r="E51" s="284"/>
      <c r="F51" s="385"/>
      <c r="G51" s="284"/>
      <c r="H51" s="389"/>
      <c r="I51" s="495"/>
      <c r="J51" s="390"/>
      <c r="K51" s="387"/>
      <c r="L51" s="418">
        <f>H51-J51</f>
        <v>0</v>
      </c>
      <c r="M51" s="63"/>
      <c r="N51" s="388"/>
      <c r="O51" s="63"/>
      <c r="P51" s="390"/>
      <c r="Q51" s="387"/>
      <c r="R51" s="488">
        <f>(H51*$T$7)*(N51+P51)</f>
        <v>0</v>
      </c>
      <c r="S51" s="489"/>
      <c r="T51" s="488">
        <f>(L51*$T$7)*(N51+P51)</f>
        <v>0</v>
      </c>
      <c r="U51" s="27"/>
      <c r="X51" s="176"/>
    </row>
    <row r="52" spans="1:24" ht="19.5" customHeight="1">
      <c r="A52" s="18">
        <v>14</v>
      </c>
      <c r="B52" s="260"/>
      <c r="C52" s="260"/>
      <c r="D52" s="260"/>
      <c r="E52" s="284"/>
      <c r="F52" s="385"/>
      <c r="G52" s="284"/>
      <c r="H52" s="386"/>
      <c r="I52" s="495"/>
      <c r="J52" s="390"/>
      <c r="K52" s="387"/>
      <c r="L52" s="418">
        <f t="shared" si="3"/>
        <v>0</v>
      </c>
      <c r="M52" s="63"/>
      <c r="N52" s="388"/>
      <c r="O52" s="63"/>
      <c r="P52" s="388"/>
      <c r="Q52" s="387"/>
      <c r="R52" s="488">
        <f aca="true" t="shared" si="6" ref="R52:R58">(H52*$T$7)*(N52+P52)</f>
        <v>0</v>
      </c>
      <c r="S52" s="489"/>
      <c r="T52" s="488">
        <f aca="true" t="shared" si="7" ref="T52:T58">(L52*$T$7)*(N52+P52)</f>
        <v>0</v>
      </c>
      <c r="U52" s="27"/>
      <c r="X52" s="176"/>
    </row>
    <row r="53" spans="1:24" ht="19.5" customHeight="1">
      <c r="A53" s="18">
        <v>15</v>
      </c>
      <c r="B53" s="260"/>
      <c r="C53" s="260"/>
      <c r="D53" s="260"/>
      <c r="E53" s="284"/>
      <c r="F53" s="385"/>
      <c r="G53" s="284"/>
      <c r="H53" s="386"/>
      <c r="I53" s="495"/>
      <c r="J53" s="390"/>
      <c r="K53" s="387"/>
      <c r="L53" s="418">
        <f t="shared" si="3"/>
        <v>0</v>
      </c>
      <c r="M53" s="63"/>
      <c r="N53" s="388"/>
      <c r="O53" s="63"/>
      <c r="P53" s="388"/>
      <c r="Q53" s="387"/>
      <c r="R53" s="488">
        <f t="shared" si="6"/>
        <v>0</v>
      </c>
      <c r="S53" s="489"/>
      <c r="T53" s="488">
        <f t="shared" si="7"/>
        <v>0</v>
      </c>
      <c r="U53" s="27"/>
      <c r="X53" s="176"/>
    </row>
    <row r="54" spans="1:24" ht="19.5" customHeight="1">
      <c r="A54" s="18">
        <v>16</v>
      </c>
      <c r="B54" s="622"/>
      <c r="C54" s="260"/>
      <c r="D54" s="260"/>
      <c r="E54" s="284"/>
      <c r="F54" s="385"/>
      <c r="G54" s="284"/>
      <c r="H54" s="386"/>
      <c r="I54" s="495"/>
      <c r="J54" s="390"/>
      <c r="K54" s="387"/>
      <c r="L54" s="418">
        <f t="shared" si="3"/>
        <v>0</v>
      </c>
      <c r="M54" s="63"/>
      <c r="N54" s="388"/>
      <c r="O54" s="63"/>
      <c r="P54" s="388"/>
      <c r="Q54" s="387"/>
      <c r="R54" s="488">
        <f t="shared" si="6"/>
        <v>0</v>
      </c>
      <c r="S54" s="489"/>
      <c r="T54" s="488">
        <f t="shared" si="7"/>
        <v>0</v>
      </c>
      <c r="U54" s="27"/>
      <c r="X54" s="176"/>
    </row>
    <row r="55" spans="1:24" ht="19.5" customHeight="1">
      <c r="A55" s="18">
        <v>17</v>
      </c>
      <c r="B55" s="260"/>
      <c r="C55" s="260"/>
      <c r="D55" s="260"/>
      <c r="E55" s="284"/>
      <c r="F55" s="385"/>
      <c r="G55" s="284"/>
      <c r="H55" s="386"/>
      <c r="I55" s="495"/>
      <c r="J55" s="390"/>
      <c r="K55" s="387"/>
      <c r="L55" s="418">
        <f>H55-J55</f>
        <v>0</v>
      </c>
      <c r="M55" s="63"/>
      <c r="N55" s="401"/>
      <c r="O55" s="63"/>
      <c r="P55" s="388"/>
      <c r="Q55" s="387"/>
      <c r="R55" s="488">
        <f>(H55*$T$7)*(N55+P55)</f>
        <v>0</v>
      </c>
      <c r="S55" s="489"/>
      <c r="T55" s="488">
        <f>(L55*$T$7)*(N55+P55)</f>
        <v>0</v>
      </c>
      <c r="U55" s="27"/>
      <c r="X55" s="176"/>
    </row>
    <row r="56" spans="1:24" ht="19.5" customHeight="1">
      <c r="A56" s="18">
        <v>18</v>
      </c>
      <c r="B56" s="260"/>
      <c r="C56" s="260"/>
      <c r="D56" s="260"/>
      <c r="E56" s="284"/>
      <c r="F56" s="385"/>
      <c r="G56" s="284"/>
      <c r="H56" s="386"/>
      <c r="I56" s="495"/>
      <c r="J56" s="390"/>
      <c r="K56" s="387"/>
      <c r="L56" s="418">
        <f t="shared" si="3"/>
        <v>0</v>
      </c>
      <c r="M56" s="63"/>
      <c r="N56" s="401"/>
      <c r="O56" s="63"/>
      <c r="P56" s="388"/>
      <c r="Q56" s="387"/>
      <c r="R56" s="488">
        <f t="shared" si="6"/>
        <v>0</v>
      </c>
      <c r="S56" s="489"/>
      <c r="T56" s="488">
        <f t="shared" si="7"/>
        <v>0</v>
      </c>
      <c r="U56" s="27"/>
      <c r="X56" s="176"/>
    </row>
    <row r="57" spans="1:24" ht="19.5" customHeight="1">
      <c r="A57" s="18">
        <v>19</v>
      </c>
      <c r="B57" s="260"/>
      <c r="C57" s="260"/>
      <c r="D57" s="260"/>
      <c r="E57" s="284"/>
      <c r="F57" s="385"/>
      <c r="G57" s="284"/>
      <c r="H57" s="389"/>
      <c r="I57" s="495"/>
      <c r="J57" s="390"/>
      <c r="K57" s="387"/>
      <c r="L57" s="418">
        <f t="shared" si="3"/>
        <v>0</v>
      </c>
      <c r="M57" s="63"/>
      <c r="N57" s="388"/>
      <c r="O57" s="63"/>
      <c r="P57" s="390"/>
      <c r="Q57" s="387"/>
      <c r="R57" s="488">
        <f t="shared" si="6"/>
        <v>0</v>
      </c>
      <c r="S57" s="489"/>
      <c r="T57" s="488">
        <f t="shared" si="7"/>
        <v>0</v>
      </c>
      <c r="U57" s="27"/>
      <c r="X57" s="176"/>
    </row>
    <row r="58" spans="1:24" ht="19.5" customHeight="1" thickBot="1">
      <c r="A58" s="18">
        <v>20</v>
      </c>
      <c r="B58" s="260"/>
      <c r="C58" s="260"/>
      <c r="D58" s="260"/>
      <c r="E58" s="284"/>
      <c r="F58" s="385"/>
      <c r="G58" s="284"/>
      <c r="H58" s="389"/>
      <c r="I58" s="495"/>
      <c r="J58" s="390"/>
      <c r="K58" s="387"/>
      <c r="L58" s="418">
        <f t="shared" si="3"/>
        <v>0</v>
      </c>
      <c r="M58" s="63"/>
      <c r="N58" s="388"/>
      <c r="O58" s="63"/>
      <c r="P58" s="390"/>
      <c r="Q58" s="387"/>
      <c r="R58" s="488">
        <f t="shared" si="6"/>
        <v>0</v>
      </c>
      <c r="S58" s="489"/>
      <c r="T58" s="488">
        <f t="shared" si="7"/>
        <v>0</v>
      </c>
      <c r="U58" s="27"/>
      <c r="X58" s="176"/>
    </row>
    <row r="59" spans="1:24" ht="21.75" customHeight="1" thickBot="1">
      <c r="A59" s="112"/>
      <c r="B59" s="113"/>
      <c r="C59" s="113"/>
      <c r="D59" s="113" t="s">
        <v>311</v>
      </c>
      <c r="E59" s="114"/>
      <c r="F59" s="391"/>
      <c r="G59" s="392"/>
      <c r="H59" s="393"/>
      <c r="I59" s="394"/>
      <c r="J59" s="393"/>
      <c r="K59" s="394"/>
      <c r="L59" s="393"/>
      <c r="M59" s="392"/>
      <c r="N59" s="395"/>
      <c r="O59" s="392"/>
      <c r="P59" s="396"/>
      <c r="Q59" s="397"/>
      <c r="R59" s="496">
        <f>SUM(R39:R58)</f>
        <v>206</v>
      </c>
      <c r="S59" s="497"/>
      <c r="T59" s="496">
        <f>SUM(T39:T58)</f>
        <v>206</v>
      </c>
      <c r="U59" s="498"/>
      <c r="X59" s="176"/>
    </row>
    <row r="60" spans="1:24" ht="6.75" customHeight="1">
      <c r="A60" s="6"/>
      <c r="B60" s="7"/>
      <c r="C60" s="7"/>
      <c r="D60" s="7"/>
      <c r="E60" s="59"/>
      <c r="F60" s="33"/>
      <c r="G60" s="59"/>
      <c r="H60" s="384"/>
      <c r="I60" s="383"/>
      <c r="J60" s="384"/>
      <c r="K60" s="383"/>
      <c r="L60" s="384"/>
      <c r="M60" s="59"/>
      <c r="N60" s="381"/>
      <c r="O60" s="59"/>
      <c r="P60" s="398"/>
      <c r="Q60" s="399"/>
      <c r="R60" s="398"/>
      <c r="S60" s="399"/>
      <c r="T60" s="398"/>
      <c r="U60" s="12"/>
      <c r="X60" s="176"/>
    </row>
    <row r="61" spans="1:24" ht="9.75" customHeight="1">
      <c r="A61" s="6"/>
      <c r="B61" s="15" t="s">
        <v>321</v>
      </c>
      <c r="C61" s="7"/>
      <c r="D61" s="7"/>
      <c r="E61" s="59"/>
      <c r="F61" s="33"/>
      <c r="G61" s="59"/>
      <c r="H61" s="384"/>
      <c r="I61" s="383"/>
      <c r="J61" s="384"/>
      <c r="K61" s="383"/>
      <c r="L61" s="421"/>
      <c r="M61" s="59"/>
      <c r="N61" s="400"/>
      <c r="O61" s="59"/>
      <c r="P61" s="398"/>
      <c r="Q61" s="399"/>
      <c r="R61" s="398"/>
      <c r="S61" s="399"/>
      <c r="T61" s="398"/>
      <c r="U61" s="12"/>
      <c r="X61" s="176"/>
    </row>
    <row r="62" spans="1:24" ht="3.75" customHeight="1">
      <c r="A62" s="6"/>
      <c r="B62" s="15"/>
      <c r="C62" s="7"/>
      <c r="D62" s="7"/>
      <c r="E62" s="59"/>
      <c r="F62" s="33"/>
      <c r="G62" s="59"/>
      <c r="H62" s="384"/>
      <c r="I62" s="383"/>
      <c r="J62" s="384"/>
      <c r="K62" s="383"/>
      <c r="L62" s="421"/>
      <c r="M62" s="59"/>
      <c r="N62" s="400"/>
      <c r="O62" s="59"/>
      <c r="P62" s="398"/>
      <c r="Q62" s="399"/>
      <c r="R62" s="398"/>
      <c r="S62" s="399"/>
      <c r="T62" s="398"/>
      <c r="U62" s="12"/>
      <c r="X62" s="176"/>
    </row>
    <row r="63" spans="1:24" ht="19.5" customHeight="1">
      <c r="A63" s="18">
        <v>1</v>
      </c>
      <c r="B63" s="942" t="s">
        <v>7</v>
      </c>
      <c r="C63" s="260"/>
      <c r="D63" s="260"/>
      <c r="E63" s="63"/>
      <c r="F63" s="297" t="s">
        <v>322</v>
      </c>
      <c r="G63" s="63"/>
      <c r="H63" s="390">
        <v>77</v>
      </c>
      <c r="I63" s="387"/>
      <c r="J63" s="390">
        <f>H63*0.9</f>
        <v>69.3</v>
      </c>
      <c r="K63" s="387"/>
      <c r="L63" s="418">
        <f aca="true" t="shared" si="8" ref="L63:L77">H63-J63</f>
        <v>7.700000000000003</v>
      </c>
      <c r="M63" s="63"/>
      <c r="N63" s="401">
        <v>4</v>
      </c>
      <c r="O63" s="63"/>
      <c r="P63" s="386"/>
      <c r="Q63" s="402"/>
      <c r="R63" s="488">
        <f aca="true" t="shared" si="9" ref="R63:R77">(H63*$T$7)*(N63+P63)</f>
        <v>308</v>
      </c>
      <c r="S63" s="489"/>
      <c r="T63" s="488">
        <v>0</v>
      </c>
      <c r="U63" s="27"/>
      <c r="X63" s="176"/>
    </row>
    <row r="64" spans="1:24" ht="19.5" customHeight="1">
      <c r="A64" s="18">
        <v>2</v>
      </c>
      <c r="B64" s="260"/>
      <c r="C64" s="260"/>
      <c r="D64" s="260"/>
      <c r="E64" s="63"/>
      <c r="F64" s="297" t="s">
        <v>322</v>
      </c>
      <c r="G64" s="63"/>
      <c r="H64" s="390"/>
      <c r="I64" s="387"/>
      <c r="J64" s="390"/>
      <c r="K64" s="387"/>
      <c r="L64" s="418">
        <f t="shared" si="8"/>
        <v>0</v>
      </c>
      <c r="M64" s="63"/>
      <c r="N64" s="401"/>
      <c r="O64" s="63"/>
      <c r="P64" s="403"/>
      <c r="Q64" s="402"/>
      <c r="R64" s="488">
        <f t="shared" si="9"/>
        <v>0</v>
      </c>
      <c r="S64" s="489"/>
      <c r="T64" s="488">
        <v>0</v>
      </c>
      <c r="U64" s="27"/>
      <c r="X64" s="176"/>
    </row>
    <row r="65" spans="1:24" ht="19.5" customHeight="1">
      <c r="A65" s="18">
        <v>3</v>
      </c>
      <c r="B65" s="260"/>
      <c r="C65" s="260"/>
      <c r="D65" s="260"/>
      <c r="E65" s="63"/>
      <c r="F65" s="297" t="s">
        <v>322</v>
      </c>
      <c r="G65" s="63"/>
      <c r="H65" s="390"/>
      <c r="I65" s="387"/>
      <c r="J65" s="390"/>
      <c r="K65" s="387"/>
      <c r="L65" s="418">
        <f t="shared" si="8"/>
        <v>0</v>
      </c>
      <c r="M65" s="63"/>
      <c r="N65" s="401"/>
      <c r="O65" s="63"/>
      <c r="P65" s="403"/>
      <c r="Q65" s="402"/>
      <c r="R65" s="488">
        <f t="shared" si="9"/>
        <v>0</v>
      </c>
      <c r="S65" s="489"/>
      <c r="T65" s="488">
        <v>0</v>
      </c>
      <c r="U65" s="27"/>
      <c r="X65" s="176"/>
    </row>
    <row r="66" spans="1:24" ht="19.5" customHeight="1">
      <c r="A66" s="18">
        <v>4</v>
      </c>
      <c r="B66" s="260"/>
      <c r="C66" s="260"/>
      <c r="D66" s="260"/>
      <c r="E66" s="63"/>
      <c r="F66" s="297" t="s">
        <v>322</v>
      </c>
      <c r="G66" s="63"/>
      <c r="H66" s="390"/>
      <c r="I66" s="387"/>
      <c r="J66" s="390"/>
      <c r="K66" s="387"/>
      <c r="L66" s="418">
        <f t="shared" si="8"/>
        <v>0</v>
      </c>
      <c r="M66" s="63"/>
      <c r="N66" s="401"/>
      <c r="O66" s="63"/>
      <c r="P66" s="403"/>
      <c r="Q66" s="402"/>
      <c r="R66" s="488">
        <f t="shared" si="9"/>
        <v>0</v>
      </c>
      <c r="S66" s="489"/>
      <c r="T66" s="488">
        <v>0</v>
      </c>
      <c r="U66" s="27"/>
      <c r="X66" s="176"/>
    </row>
    <row r="67" spans="1:24" ht="19.5" customHeight="1">
      <c r="A67" s="18">
        <v>5</v>
      </c>
      <c r="B67" s="260"/>
      <c r="C67" s="260"/>
      <c r="D67" s="260"/>
      <c r="E67" s="63"/>
      <c r="F67" s="297" t="s">
        <v>322</v>
      </c>
      <c r="G67" s="63"/>
      <c r="H67" s="390"/>
      <c r="I67" s="387"/>
      <c r="J67" s="390"/>
      <c r="K67" s="387"/>
      <c r="L67" s="418">
        <f t="shared" si="8"/>
        <v>0</v>
      </c>
      <c r="M67" s="63"/>
      <c r="N67" s="401"/>
      <c r="O67" s="63"/>
      <c r="P67" s="403"/>
      <c r="Q67" s="402"/>
      <c r="R67" s="488">
        <f t="shared" si="9"/>
        <v>0</v>
      </c>
      <c r="S67" s="489"/>
      <c r="T67" s="488">
        <v>0</v>
      </c>
      <c r="U67" s="27"/>
      <c r="X67" s="176"/>
    </row>
    <row r="68" spans="1:24" ht="19.5" customHeight="1">
      <c r="A68" s="18">
        <v>6</v>
      </c>
      <c r="B68" s="260"/>
      <c r="C68" s="260"/>
      <c r="D68" s="260"/>
      <c r="E68" s="63"/>
      <c r="F68" s="297" t="s">
        <v>322</v>
      </c>
      <c r="G68" s="63"/>
      <c r="H68" s="390"/>
      <c r="I68" s="387"/>
      <c r="J68" s="390"/>
      <c r="K68" s="387"/>
      <c r="L68" s="418">
        <f t="shared" si="8"/>
        <v>0</v>
      </c>
      <c r="M68" s="63"/>
      <c r="N68" s="388"/>
      <c r="O68" s="63"/>
      <c r="P68" s="403"/>
      <c r="Q68" s="402"/>
      <c r="R68" s="488">
        <f t="shared" si="9"/>
        <v>0</v>
      </c>
      <c r="S68" s="489"/>
      <c r="T68" s="488">
        <f aca="true" t="shared" si="10" ref="T68:T77">(L68*$T$7)*(N68+P68)</f>
        <v>0</v>
      </c>
      <c r="U68" s="27"/>
      <c r="X68" s="176"/>
    </row>
    <row r="69" spans="1:24" ht="19.5" customHeight="1">
      <c r="A69" s="18">
        <v>7</v>
      </c>
      <c r="B69" s="260"/>
      <c r="C69" s="260"/>
      <c r="D69" s="260"/>
      <c r="E69" s="63"/>
      <c r="F69" s="297" t="s">
        <v>322</v>
      </c>
      <c r="G69" s="63"/>
      <c r="H69" s="390"/>
      <c r="I69" s="387"/>
      <c r="J69" s="390"/>
      <c r="K69" s="387"/>
      <c r="L69" s="418">
        <f t="shared" si="8"/>
        <v>0</v>
      </c>
      <c r="M69" s="63"/>
      <c r="N69" s="388"/>
      <c r="O69" s="63"/>
      <c r="P69" s="403"/>
      <c r="Q69" s="402"/>
      <c r="R69" s="488">
        <f t="shared" si="9"/>
        <v>0</v>
      </c>
      <c r="S69" s="489"/>
      <c r="T69" s="488">
        <f t="shared" si="10"/>
        <v>0</v>
      </c>
      <c r="U69" s="27"/>
      <c r="X69" s="176"/>
    </row>
    <row r="70" spans="1:24" ht="19.5" customHeight="1">
      <c r="A70" s="18">
        <v>8</v>
      </c>
      <c r="B70" s="260"/>
      <c r="C70" s="260"/>
      <c r="D70" s="260"/>
      <c r="E70" s="63"/>
      <c r="F70" s="297" t="s">
        <v>322</v>
      </c>
      <c r="G70" s="63"/>
      <c r="H70" s="390"/>
      <c r="I70" s="387"/>
      <c r="J70" s="390"/>
      <c r="K70" s="387"/>
      <c r="L70" s="418">
        <f t="shared" si="8"/>
        <v>0</v>
      </c>
      <c r="M70" s="63"/>
      <c r="N70" s="388"/>
      <c r="O70" s="63"/>
      <c r="P70" s="403"/>
      <c r="Q70" s="402"/>
      <c r="R70" s="488">
        <f t="shared" si="9"/>
        <v>0</v>
      </c>
      <c r="S70" s="489"/>
      <c r="T70" s="488">
        <f t="shared" si="10"/>
        <v>0</v>
      </c>
      <c r="U70" s="27"/>
      <c r="X70" s="176"/>
    </row>
    <row r="71" spans="1:24" ht="19.5" customHeight="1">
      <c r="A71" s="18">
        <v>9</v>
      </c>
      <c r="B71" s="260"/>
      <c r="C71" s="260"/>
      <c r="D71" s="260"/>
      <c r="E71" s="63"/>
      <c r="F71" s="297" t="s">
        <v>322</v>
      </c>
      <c r="G71" s="63"/>
      <c r="H71" s="390"/>
      <c r="I71" s="387"/>
      <c r="J71" s="390"/>
      <c r="K71" s="387"/>
      <c r="L71" s="418">
        <f t="shared" si="8"/>
        <v>0</v>
      </c>
      <c r="M71" s="63"/>
      <c r="N71" s="388"/>
      <c r="O71" s="63"/>
      <c r="P71" s="403"/>
      <c r="Q71" s="402"/>
      <c r="R71" s="488">
        <f t="shared" si="9"/>
        <v>0</v>
      </c>
      <c r="S71" s="489"/>
      <c r="T71" s="488">
        <f t="shared" si="10"/>
        <v>0</v>
      </c>
      <c r="U71" s="27"/>
      <c r="X71" s="176"/>
    </row>
    <row r="72" spans="1:24" ht="19.5" customHeight="1">
      <c r="A72" s="18">
        <v>10</v>
      </c>
      <c r="B72" s="260"/>
      <c r="C72" s="260"/>
      <c r="D72" s="260"/>
      <c r="E72" s="63"/>
      <c r="F72" s="297" t="s">
        <v>322</v>
      </c>
      <c r="G72" s="63"/>
      <c r="H72" s="390"/>
      <c r="I72" s="387"/>
      <c r="J72" s="390"/>
      <c r="K72" s="387"/>
      <c r="L72" s="418">
        <f t="shared" si="8"/>
        <v>0</v>
      </c>
      <c r="M72" s="63"/>
      <c r="N72" s="388"/>
      <c r="O72" s="63"/>
      <c r="P72" s="403"/>
      <c r="Q72" s="402"/>
      <c r="R72" s="488">
        <f t="shared" si="9"/>
        <v>0</v>
      </c>
      <c r="S72" s="489"/>
      <c r="T72" s="488">
        <f t="shared" si="10"/>
        <v>0</v>
      </c>
      <c r="U72" s="27"/>
      <c r="X72" s="176"/>
    </row>
    <row r="73" spans="1:24" ht="19.5" customHeight="1">
      <c r="A73" s="18">
        <v>11</v>
      </c>
      <c r="B73" s="260"/>
      <c r="C73" s="260"/>
      <c r="D73" s="260"/>
      <c r="E73" s="63"/>
      <c r="F73" s="297" t="s">
        <v>322</v>
      </c>
      <c r="G73" s="63"/>
      <c r="H73" s="390"/>
      <c r="I73" s="387"/>
      <c r="J73" s="390"/>
      <c r="K73" s="387"/>
      <c r="L73" s="418">
        <f t="shared" si="8"/>
        <v>0</v>
      </c>
      <c r="M73" s="63"/>
      <c r="N73" s="388"/>
      <c r="O73" s="63"/>
      <c r="P73" s="403"/>
      <c r="Q73" s="402"/>
      <c r="R73" s="488">
        <f t="shared" si="9"/>
        <v>0</v>
      </c>
      <c r="S73" s="489"/>
      <c r="T73" s="488">
        <f t="shared" si="10"/>
        <v>0</v>
      </c>
      <c r="U73" s="27"/>
      <c r="X73" s="176"/>
    </row>
    <row r="74" spans="1:24" ht="19.5" customHeight="1">
      <c r="A74" s="18">
        <v>12</v>
      </c>
      <c r="B74" s="260"/>
      <c r="C74" s="260"/>
      <c r="D74" s="260"/>
      <c r="E74" s="63"/>
      <c r="F74" s="297" t="s">
        <v>322</v>
      </c>
      <c r="G74" s="63"/>
      <c r="H74" s="390"/>
      <c r="I74" s="387"/>
      <c r="J74" s="390"/>
      <c r="K74" s="387"/>
      <c r="L74" s="418">
        <f t="shared" si="8"/>
        <v>0</v>
      </c>
      <c r="M74" s="63"/>
      <c r="N74" s="388"/>
      <c r="O74" s="63"/>
      <c r="P74" s="403"/>
      <c r="Q74" s="402"/>
      <c r="R74" s="488">
        <f t="shared" si="9"/>
        <v>0</v>
      </c>
      <c r="S74" s="489"/>
      <c r="T74" s="488">
        <f t="shared" si="10"/>
        <v>0</v>
      </c>
      <c r="U74" s="27"/>
      <c r="X74" s="176"/>
    </row>
    <row r="75" spans="1:24" ht="19.5" customHeight="1">
      <c r="A75" s="18">
        <v>13</v>
      </c>
      <c r="B75" s="260"/>
      <c r="C75" s="260"/>
      <c r="D75" s="260"/>
      <c r="E75" s="63"/>
      <c r="F75" s="297" t="s">
        <v>322</v>
      </c>
      <c r="G75" s="63"/>
      <c r="H75" s="390"/>
      <c r="I75" s="387"/>
      <c r="J75" s="390"/>
      <c r="K75" s="387"/>
      <c r="L75" s="418">
        <f t="shared" si="8"/>
        <v>0</v>
      </c>
      <c r="M75" s="63"/>
      <c r="N75" s="388"/>
      <c r="O75" s="63"/>
      <c r="P75" s="403"/>
      <c r="Q75" s="402"/>
      <c r="R75" s="488">
        <f t="shared" si="9"/>
        <v>0</v>
      </c>
      <c r="S75" s="489"/>
      <c r="T75" s="488">
        <f t="shared" si="10"/>
        <v>0</v>
      </c>
      <c r="U75" s="27"/>
      <c r="X75" s="176"/>
    </row>
    <row r="76" spans="1:24" ht="19.5" customHeight="1">
      <c r="A76" s="18">
        <v>14</v>
      </c>
      <c r="B76" s="260"/>
      <c r="C76" s="260"/>
      <c r="D76" s="260"/>
      <c r="E76" s="63"/>
      <c r="F76" s="297" t="s">
        <v>322</v>
      </c>
      <c r="G76" s="63"/>
      <c r="H76" s="390"/>
      <c r="I76" s="387"/>
      <c r="J76" s="390"/>
      <c r="K76" s="387"/>
      <c r="L76" s="418">
        <f t="shared" si="8"/>
        <v>0</v>
      </c>
      <c r="M76" s="63"/>
      <c r="N76" s="388"/>
      <c r="O76" s="63"/>
      <c r="P76" s="403"/>
      <c r="Q76" s="402"/>
      <c r="R76" s="488">
        <f t="shared" si="9"/>
        <v>0</v>
      </c>
      <c r="S76" s="489"/>
      <c r="T76" s="488">
        <f t="shared" si="10"/>
        <v>0</v>
      </c>
      <c r="U76" s="27"/>
      <c r="X76" s="176"/>
    </row>
    <row r="77" spans="1:24" ht="19.5" customHeight="1" thickBot="1">
      <c r="A77" s="18">
        <v>15</v>
      </c>
      <c r="B77" s="260"/>
      <c r="C77" s="260"/>
      <c r="D77" s="260"/>
      <c r="E77" s="63"/>
      <c r="F77" s="297" t="s">
        <v>322</v>
      </c>
      <c r="G77" s="63"/>
      <c r="H77" s="390"/>
      <c r="I77" s="387"/>
      <c r="J77" s="390"/>
      <c r="K77" s="387"/>
      <c r="L77" s="418">
        <f t="shared" si="8"/>
        <v>0</v>
      </c>
      <c r="M77" s="63"/>
      <c r="N77" s="388"/>
      <c r="O77" s="63"/>
      <c r="P77" s="390"/>
      <c r="Q77" s="387"/>
      <c r="R77" s="488">
        <f t="shared" si="9"/>
        <v>0</v>
      </c>
      <c r="S77" s="489"/>
      <c r="T77" s="488">
        <f t="shared" si="10"/>
        <v>0</v>
      </c>
      <c r="U77" s="27"/>
      <c r="X77" s="176"/>
    </row>
    <row r="78" spans="1:24" ht="21.75" customHeight="1" thickBot="1">
      <c r="A78" s="112"/>
      <c r="B78" s="113"/>
      <c r="C78" s="113"/>
      <c r="D78" s="113" t="s">
        <v>311</v>
      </c>
      <c r="E78" s="114"/>
      <c r="F78" s="391"/>
      <c r="G78" s="392"/>
      <c r="H78" s="404">
        <f>SUM(H63:H77)</f>
        <v>77</v>
      </c>
      <c r="I78" s="405"/>
      <c r="J78" s="393"/>
      <c r="K78" s="394"/>
      <c r="L78" s="499"/>
      <c r="M78" s="392"/>
      <c r="N78" s="395"/>
      <c r="O78" s="392"/>
      <c r="P78" s="393"/>
      <c r="Q78" s="394"/>
      <c r="R78" s="500">
        <f>SUM(R63:R77)</f>
        <v>308</v>
      </c>
      <c r="S78" s="501"/>
      <c r="T78" s="502">
        <f>SUM(T63:T77)</f>
        <v>0</v>
      </c>
      <c r="U78" s="498"/>
      <c r="X78" s="176"/>
    </row>
    <row r="79" spans="1:24" ht="3.75" customHeight="1">
      <c r="A79" s="6"/>
      <c r="B79" s="7"/>
      <c r="C79" s="7"/>
      <c r="D79" s="7"/>
      <c r="E79" s="7"/>
      <c r="F79" s="33"/>
      <c r="G79" s="7"/>
      <c r="H79" s="384"/>
      <c r="I79" s="384"/>
      <c r="J79" s="384"/>
      <c r="K79" s="384"/>
      <c r="L79" s="406"/>
      <c r="M79" s="7"/>
      <c r="N79" s="381"/>
      <c r="O79" s="7"/>
      <c r="P79" s="384"/>
      <c r="Q79" s="407"/>
      <c r="R79" s="381"/>
      <c r="S79" s="503"/>
      <c r="T79" s="381"/>
      <c r="U79" s="12"/>
      <c r="X79" s="176"/>
    </row>
    <row r="80" spans="1:24" ht="18" customHeight="1">
      <c r="A80" s="17" t="s">
        <v>323</v>
      </c>
      <c r="B80" s="8"/>
      <c r="C80" s="7"/>
      <c r="D80" s="7"/>
      <c r="E80" s="7"/>
      <c r="F80" s="33"/>
      <c r="G80" s="7"/>
      <c r="H80" s="406"/>
      <c r="I80" s="384"/>
      <c r="J80" s="384"/>
      <c r="K80" s="384"/>
      <c r="L80" s="406"/>
      <c r="M80" s="7"/>
      <c r="N80" s="381"/>
      <c r="O80" s="7"/>
      <c r="P80" s="384"/>
      <c r="Q80" s="407"/>
      <c r="R80" s="504">
        <f>+R59+R78</f>
        <v>514</v>
      </c>
      <c r="S80" s="503"/>
      <c r="T80" s="504">
        <f>+T59+T78</f>
        <v>206</v>
      </c>
      <c r="U80" s="12"/>
      <c r="X80" s="176"/>
    </row>
    <row r="81" spans="1:24" ht="4.5" customHeight="1" thickBot="1">
      <c r="A81" s="375"/>
      <c r="B81" s="46"/>
      <c r="C81" s="46"/>
      <c r="D81" s="46"/>
      <c r="E81" s="46"/>
      <c r="F81" s="408"/>
      <c r="G81" s="46"/>
      <c r="H81" s="409"/>
      <c r="I81" s="410"/>
      <c r="J81" s="410"/>
      <c r="K81" s="410"/>
      <c r="L81" s="409"/>
      <c r="M81" s="46"/>
      <c r="N81" s="411"/>
      <c r="O81" s="46"/>
      <c r="P81" s="410"/>
      <c r="Q81" s="412"/>
      <c r="R81" s="411"/>
      <c r="S81" s="505"/>
      <c r="T81" s="411"/>
      <c r="U81" s="53"/>
      <c r="X81" s="176"/>
    </row>
    <row r="82" spans="1:24" ht="5.25" customHeight="1" thickTop="1">
      <c r="A82" s="6"/>
      <c r="B82" s="7"/>
      <c r="C82" s="7"/>
      <c r="D82" s="7"/>
      <c r="E82" s="7"/>
      <c r="F82" s="33"/>
      <c r="G82" s="7"/>
      <c r="H82" s="384"/>
      <c r="I82" s="384"/>
      <c r="J82" s="384"/>
      <c r="K82" s="384"/>
      <c r="L82" s="406"/>
      <c r="M82" s="7"/>
      <c r="N82" s="381"/>
      <c r="O82" s="7"/>
      <c r="P82" s="398"/>
      <c r="Q82" s="413"/>
      <c r="R82" s="506"/>
      <c r="S82" s="507"/>
      <c r="T82" s="506"/>
      <c r="U82" s="12"/>
      <c r="X82" s="176"/>
    </row>
    <row r="83" spans="1:24" ht="18" customHeight="1">
      <c r="A83" s="47" t="s">
        <v>324</v>
      </c>
      <c r="B83" s="52" t="s">
        <v>325</v>
      </c>
      <c r="C83" s="7"/>
      <c r="D83" s="7"/>
      <c r="E83" s="7"/>
      <c r="F83" s="33"/>
      <c r="G83" s="7"/>
      <c r="H83" s="384"/>
      <c r="I83" s="384"/>
      <c r="J83" s="384"/>
      <c r="K83" s="384"/>
      <c r="L83" s="406"/>
      <c r="M83" s="7"/>
      <c r="N83" s="381"/>
      <c r="O83" s="7"/>
      <c r="P83" s="384"/>
      <c r="Q83" s="407"/>
      <c r="R83" s="414">
        <f>R27-R80</f>
        <v>605.7550000000001</v>
      </c>
      <c r="S83" s="503"/>
      <c r="T83" s="414">
        <f>T27-T80</f>
        <v>887.65635</v>
      </c>
      <c r="U83" s="12"/>
      <c r="X83" s="176"/>
    </row>
    <row r="84" spans="1:24" ht="8.25" customHeight="1" thickBot="1">
      <c r="A84" s="508"/>
      <c r="B84" s="509"/>
      <c r="C84" s="113"/>
      <c r="D84" s="113"/>
      <c r="E84" s="113"/>
      <c r="F84" s="138"/>
      <c r="G84" s="113"/>
      <c r="H84" s="510"/>
      <c r="I84" s="510"/>
      <c r="J84" s="510"/>
      <c r="K84" s="510"/>
      <c r="L84" s="511"/>
      <c r="M84" s="113"/>
      <c r="N84" s="512"/>
      <c r="O84" s="113"/>
      <c r="P84" s="510"/>
      <c r="Q84" s="513"/>
      <c r="R84" s="514"/>
      <c r="S84" s="515"/>
      <c r="T84" s="514"/>
      <c r="U84" s="110"/>
      <c r="X84" s="176"/>
    </row>
    <row r="85" spans="1:24" ht="5.25" customHeight="1" thickBot="1">
      <c r="A85" s="47"/>
      <c r="B85" s="52"/>
      <c r="C85" s="7"/>
      <c r="D85" s="7"/>
      <c r="E85" s="7"/>
      <c r="F85" s="33"/>
      <c r="G85" s="7"/>
      <c r="H85" s="384"/>
      <c r="I85" s="384"/>
      <c r="J85" s="384"/>
      <c r="K85" s="384"/>
      <c r="L85" s="406"/>
      <c r="M85" s="7"/>
      <c r="N85" s="381"/>
      <c r="O85" s="7"/>
      <c r="P85" s="384"/>
      <c r="Q85" s="384"/>
      <c r="R85" s="414"/>
      <c r="S85" s="381"/>
      <c r="T85" s="414"/>
      <c r="U85" s="12"/>
      <c r="X85" s="176"/>
    </row>
    <row r="86" spans="1:24" ht="18" customHeight="1" thickBot="1">
      <c r="A86" s="47" t="s">
        <v>391</v>
      </c>
      <c r="B86" s="52"/>
      <c r="C86" s="7"/>
      <c r="D86" s="7"/>
      <c r="E86" s="7"/>
      <c r="F86" s="33"/>
      <c r="G86" s="7"/>
      <c r="H86" s="919">
        <f>(H78*T7)/275</f>
        <v>0.28</v>
      </c>
      <c r="I86" s="516"/>
      <c r="J86" s="516" t="s">
        <v>392</v>
      </c>
      <c r="K86" s="384"/>
      <c r="L86" s="406"/>
      <c r="M86" s="7"/>
      <c r="N86" s="381"/>
      <c r="O86" s="7"/>
      <c r="P86" s="384"/>
      <c r="Q86" s="384"/>
      <c r="R86" s="414"/>
      <c r="S86" s="381"/>
      <c r="T86" s="414"/>
      <c r="U86" s="12"/>
      <c r="X86" s="176"/>
    </row>
    <row r="87" spans="1:24" ht="6.75" customHeight="1" thickBot="1">
      <c r="A87" s="45"/>
      <c r="B87" s="46"/>
      <c r="C87" s="46"/>
      <c r="D87" s="46"/>
      <c r="E87" s="46"/>
      <c r="F87" s="408"/>
      <c r="G87" s="46"/>
      <c r="H87" s="517"/>
      <c r="I87" s="410"/>
      <c r="J87" s="410"/>
      <c r="K87" s="410"/>
      <c r="L87" s="409"/>
      <c r="M87" s="46"/>
      <c r="N87" s="409"/>
      <c r="O87" s="46"/>
      <c r="P87" s="410"/>
      <c r="Q87" s="410"/>
      <c r="R87" s="410"/>
      <c r="S87" s="410"/>
      <c r="T87" s="410"/>
      <c r="U87" s="53"/>
      <c r="X87" s="176"/>
    </row>
    <row r="88" spans="1:24" ht="13.5" thickTop="1">
      <c r="A88" s="176"/>
      <c r="B88" s="176"/>
      <c r="C88" s="176"/>
      <c r="D88" s="176"/>
      <c r="E88" s="176"/>
      <c r="F88" s="176"/>
      <c r="G88" s="176"/>
      <c r="H88" s="176"/>
      <c r="I88" s="176"/>
      <c r="V88" s="176"/>
      <c r="W88" s="176"/>
      <c r="X88" s="176"/>
    </row>
    <row r="89" spans="1:24" ht="12.7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row>
    <row r="90" spans="1:24" ht="12.7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row>
  </sheetData>
  <sheetProtection password="CB61" sheet="1" objects="1" scenarios="1"/>
  <mergeCells count="2">
    <mergeCell ref="J1:L1"/>
    <mergeCell ref="D7:G7"/>
  </mergeCells>
  <printOptions horizontalCentered="1"/>
  <pageMargins left="0.7480314960629921" right="0.7480314960629921" top="0.3937007874015748" bottom="0.3937007874015748" header="0.11811023622047245" footer="0.11811023622047245"/>
  <pageSetup fitToHeight="1" fitToWidth="1" horizontalDpi="300" verticalDpi="300" orientation="portrait" scale="53" r:id="rId3"/>
  <colBreaks count="1" manualBreakCount="1">
    <brk id="8" max="65535" man="1"/>
  </colBreaks>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A90"/>
  <sheetViews>
    <sheetView showGridLines="0" zoomScale="75" zoomScaleNormal="75" workbookViewId="0" topLeftCell="A1">
      <selection activeCell="H19" sqref="H19"/>
    </sheetView>
  </sheetViews>
  <sheetFormatPr defaultColWidth="11.421875" defaultRowHeight="12.75"/>
  <cols>
    <col min="1" max="1" width="3.140625" style="0" customWidth="1"/>
    <col min="2" max="2" width="12.421875" style="0" customWidth="1"/>
    <col min="3" max="3" width="0.9921875" style="0" customWidth="1"/>
    <col min="4" max="4" width="15.28125" style="0" customWidth="1"/>
    <col min="5" max="5" width="0.9921875" style="0" customWidth="1"/>
    <col min="6" max="6" width="12.7109375" style="0" customWidth="1"/>
    <col min="7" max="7" width="0.9921875" style="0" customWidth="1"/>
    <col min="8" max="8" width="17.7109375" style="0" customWidth="1"/>
    <col min="9" max="9" width="0.9921875" style="0" customWidth="1"/>
    <col min="10" max="10" width="17.7109375" style="0" customWidth="1"/>
    <col min="11" max="11" width="0.9921875" style="0" customWidth="1"/>
    <col min="12" max="12" width="17.7109375" style="0" customWidth="1"/>
    <col min="13" max="13" width="0.9921875" style="0" customWidth="1"/>
    <col min="14" max="14" width="14.00390625" style="0" customWidth="1"/>
    <col min="15" max="15" width="0.9921875" style="0" customWidth="1"/>
    <col min="16" max="16" width="12.57421875" style="0" customWidth="1"/>
    <col min="17" max="17" width="0.9921875" style="0" customWidth="1"/>
    <col min="18" max="18" width="16.7109375" style="0" customWidth="1"/>
    <col min="19" max="19" width="0.9921875" style="0" customWidth="1"/>
    <col min="20" max="20" width="16.7109375" style="0" customWidth="1"/>
    <col min="21" max="21" width="1.57421875" style="0" customWidth="1"/>
    <col min="22" max="22" width="14.00390625" style="0" customWidth="1"/>
    <col min="23" max="23" width="2.00390625" style="0" customWidth="1"/>
    <col min="24" max="16384" width="9.140625" style="0" customWidth="1"/>
  </cols>
  <sheetData>
    <row r="1" spans="1:24" ht="24.75">
      <c r="A1" s="482"/>
      <c r="B1" s="483"/>
      <c r="C1" s="483"/>
      <c r="D1" s="484"/>
      <c r="E1" s="176"/>
      <c r="F1" s="176"/>
      <c r="G1" s="485"/>
      <c r="H1" s="485"/>
      <c r="I1" s="485"/>
      <c r="J1" s="983" t="s">
        <v>471</v>
      </c>
      <c r="K1" s="984"/>
      <c r="L1" s="985"/>
      <c r="M1" s="176"/>
      <c r="N1" s="176"/>
      <c r="O1" s="176"/>
      <c r="P1" s="176"/>
      <c r="Q1" s="176"/>
      <c r="R1" s="176"/>
      <c r="T1" s="176"/>
      <c r="U1" s="176"/>
      <c r="X1" s="176"/>
    </row>
    <row r="2" spans="1:24" ht="9.75" customHeight="1">
      <c r="A2" s="173"/>
      <c r="B2" s="173"/>
      <c r="C2" s="173"/>
      <c r="D2" s="173"/>
      <c r="E2" s="173"/>
      <c r="F2" s="173"/>
      <c r="G2" s="173"/>
      <c r="H2" s="173"/>
      <c r="I2" s="173"/>
      <c r="J2" s="173"/>
      <c r="K2" s="173"/>
      <c r="L2" s="176"/>
      <c r="M2" s="173"/>
      <c r="N2" s="173"/>
      <c r="O2" s="173"/>
      <c r="P2" s="173"/>
      <c r="Q2" s="173"/>
      <c r="R2" s="173"/>
      <c r="S2" s="173"/>
      <c r="T2" s="173"/>
      <c r="U2" s="173"/>
      <c r="V2" s="173"/>
      <c r="W2" s="173"/>
      <c r="X2" s="176"/>
    </row>
    <row r="3" spans="1:24" ht="20.25">
      <c r="A3" s="177"/>
      <c r="B3" s="173"/>
      <c r="C3" s="176"/>
      <c r="D3" s="176"/>
      <c r="E3" s="173"/>
      <c r="F3" s="176"/>
      <c r="G3" s="173"/>
      <c r="H3" s="176"/>
      <c r="I3" s="178"/>
      <c r="J3" s="346" t="s">
        <v>396</v>
      </c>
      <c r="K3" s="178"/>
      <c r="L3" s="176"/>
      <c r="M3" s="176"/>
      <c r="N3" s="176"/>
      <c r="O3" s="176"/>
      <c r="P3" s="176"/>
      <c r="Q3" s="176"/>
      <c r="R3" s="176"/>
      <c r="S3" s="176"/>
      <c r="T3" s="176"/>
      <c r="U3" s="176"/>
      <c r="V3" s="176"/>
      <c r="W3" s="173"/>
      <c r="X3" s="176"/>
    </row>
    <row r="4" spans="1:24" ht="7.5" customHeight="1">
      <c r="A4" s="177"/>
      <c r="B4" s="173"/>
      <c r="C4" s="486"/>
      <c r="D4" s="176"/>
      <c r="E4" s="173"/>
      <c r="F4" s="176"/>
      <c r="G4" s="173"/>
      <c r="H4" s="176"/>
      <c r="I4" s="178"/>
      <c r="J4" s="178"/>
      <c r="K4" s="178"/>
      <c r="L4" s="176"/>
      <c r="M4" s="176"/>
      <c r="N4" s="176"/>
      <c r="O4" s="176"/>
      <c r="P4" s="176"/>
      <c r="Q4" s="176"/>
      <c r="R4" s="176"/>
      <c r="S4" s="176"/>
      <c r="T4" s="176"/>
      <c r="U4" s="176"/>
      <c r="V4" s="176"/>
      <c r="W4" s="173"/>
      <c r="X4" s="176"/>
    </row>
    <row r="5" spans="1:24" ht="6" customHeight="1">
      <c r="A5" s="177"/>
      <c r="B5" s="173"/>
      <c r="C5" s="179"/>
      <c r="D5" s="347"/>
      <c r="E5" s="173"/>
      <c r="F5" s="176"/>
      <c r="G5" s="176"/>
      <c r="H5" s="176"/>
      <c r="I5" s="178"/>
      <c r="J5" s="178"/>
      <c r="K5" s="178"/>
      <c r="L5" s="176"/>
      <c r="M5" s="176"/>
      <c r="N5" s="176"/>
      <c r="O5" s="176"/>
      <c r="P5" s="176"/>
      <c r="Q5" s="176"/>
      <c r="R5" s="176"/>
      <c r="S5" s="176"/>
      <c r="T5" s="176"/>
      <c r="U5" s="176"/>
      <c r="V5" s="176"/>
      <c r="W5" s="173"/>
      <c r="X5" s="176"/>
    </row>
    <row r="6" spans="1:24" ht="3.75" customHeight="1">
      <c r="A6" s="177"/>
      <c r="B6" s="173"/>
      <c r="C6" s="179"/>
      <c r="D6" s="347"/>
      <c r="E6" s="173"/>
      <c r="F6" s="176"/>
      <c r="G6" s="176"/>
      <c r="H6" s="176"/>
      <c r="I6" s="178"/>
      <c r="J6" s="178"/>
      <c r="K6" s="178"/>
      <c r="L6" s="176"/>
      <c r="M6" s="176"/>
      <c r="N6" s="176"/>
      <c r="O6" s="176"/>
      <c r="P6" s="176"/>
      <c r="Q6" s="176"/>
      <c r="R6" s="176"/>
      <c r="S6" s="176"/>
      <c r="T6" s="176"/>
      <c r="U6" s="176"/>
      <c r="V6" s="176"/>
      <c r="W6" s="173"/>
      <c r="X6" s="176"/>
    </row>
    <row r="7" spans="1:24" ht="16.5" customHeight="1">
      <c r="A7" s="177"/>
      <c r="B7" s="351" t="s">
        <v>458</v>
      </c>
      <c r="C7" s="176"/>
      <c r="D7" s="986" t="s">
        <v>606</v>
      </c>
      <c r="E7" s="987"/>
      <c r="F7" s="987"/>
      <c r="G7" s="987"/>
      <c r="H7" s="230" t="s">
        <v>288</v>
      </c>
      <c r="I7" s="173"/>
      <c r="J7" s="487" t="s">
        <v>8</v>
      </c>
      <c r="K7" s="176"/>
      <c r="L7" s="176"/>
      <c r="M7" s="176"/>
      <c r="N7" s="348" t="s">
        <v>289</v>
      </c>
      <c r="O7" s="176"/>
      <c r="P7" s="349">
        <v>12</v>
      </c>
      <c r="Q7" s="176"/>
      <c r="R7" s="264" t="s">
        <v>290</v>
      </c>
      <c r="S7" s="176"/>
      <c r="T7" s="349">
        <v>1</v>
      </c>
      <c r="U7" s="176"/>
      <c r="V7" s="176"/>
      <c r="W7" s="173"/>
      <c r="X7" s="176"/>
    </row>
    <row r="8" spans="1:24" ht="12" customHeight="1">
      <c r="A8" s="177"/>
      <c r="B8" s="179"/>
      <c r="C8" s="176"/>
      <c r="D8" s="173"/>
      <c r="E8" s="350" t="s">
        <v>291</v>
      </c>
      <c r="F8" s="173"/>
      <c r="G8" s="177"/>
      <c r="H8" s="351" t="s">
        <v>292</v>
      </c>
      <c r="I8" s="173"/>
      <c r="J8" s="352"/>
      <c r="K8" s="176"/>
      <c r="L8" s="176"/>
      <c r="M8" s="176"/>
      <c r="N8" s="353" t="s">
        <v>294</v>
      </c>
      <c r="O8" s="354"/>
      <c r="P8" s="354" t="s">
        <v>295</v>
      </c>
      <c r="Q8" s="176"/>
      <c r="R8" s="355" t="s">
        <v>296</v>
      </c>
      <c r="S8" s="176"/>
      <c r="T8" s="354" t="s">
        <v>297</v>
      </c>
      <c r="U8" s="176"/>
      <c r="V8" s="176"/>
      <c r="W8" s="173"/>
      <c r="X8" s="176"/>
    </row>
    <row r="9" spans="1:24" ht="9" customHeight="1" thickBot="1">
      <c r="A9" s="180"/>
      <c r="B9" s="180"/>
      <c r="C9" s="180"/>
      <c r="D9" s="180"/>
      <c r="E9" s="180"/>
      <c r="F9" s="180"/>
      <c r="G9" s="180"/>
      <c r="H9" s="180"/>
      <c r="I9" s="180"/>
      <c r="J9" s="180"/>
      <c r="K9" s="180"/>
      <c r="L9" s="356"/>
      <c r="M9" s="180"/>
      <c r="N9" s="180"/>
      <c r="O9" s="180"/>
      <c r="P9" s="180"/>
      <c r="Q9" s="180"/>
      <c r="R9" s="180"/>
      <c r="S9" s="180"/>
      <c r="T9" s="180"/>
      <c r="U9" s="180"/>
      <c r="X9" s="176"/>
    </row>
    <row r="10" spans="1:24" ht="4.5" customHeight="1" thickTop="1">
      <c r="A10" s="6"/>
      <c r="B10" s="7"/>
      <c r="C10" s="7"/>
      <c r="D10" s="7"/>
      <c r="E10" s="7"/>
      <c r="F10" s="7"/>
      <c r="G10" s="7"/>
      <c r="H10" s="7"/>
      <c r="I10" s="7"/>
      <c r="J10" s="7"/>
      <c r="K10" s="7"/>
      <c r="L10" s="7"/>
      <c r="M10" s="7"/>
      <c r="N10" s="7"/>
      <c r="O10" s="7"/>
      <c r="P10" s="7"/>
      <c r="Q10" s="7"/>
      <c r="R10" s="7"/>
      <c r="S10" s="7"/>
      <c r="T10" s="7"/>
      <c r="U10" s="12"/>
      <c r="X10" s="176"/>
    </row>
    <row r="11" spans="1:24" ht="14.25" customHeight="1">
      <c r="A11" s="131" t="s">
        <v>298</v>
      </c>
      <c r="B11" s="7"/>
      <c r="C11" s="7"/>
      <c r="D11" s="7"/>
      <c r="E11" s="7"/>
      <c r="F11" s="7"/>
      <c r="G11" s="7"/>
      <c r="H11" s="7"/>
      <c r="I11" s="7"/>
      <c r="J11" s="7"/>
      <c r="K11" s="7"/>
      <c r="L11" s="7"/>
      <c r="M11" s="7"/>
      <c r="N11" s="7"/>
      <c r="O11" s="7"/>
      <c r="P11" s="7"/>
      <c r="Q11" s="7"/>
      <c r="R11" s="7"/>
      <c r="S11" s="7"/>
      <c r="T11" s="7"/>
      <c r="U11" s="12"/>
      <c r="X11" s="176"/>
    </row>
    <row r="12" spans="1:24" ht="4.5" customHeight="1">
      <c r="A12" s="18"/>
      <c r="B12" s="19"/>
      <c r="C12" s="19"/>
      <c r="D12" s="19"/>
      <c r="E12" s="19"/>
      <c r="F12" s="19"/>
      <c r="G12" s="19"/>
      <c r="H12" s="19"/>
      <c r="I12" s="19"/>
      <c r="J12" s="19"/>
      <c r="K12" s="19"/>
      <c r="L12" s="19"/>
      <c r="M12" s="19"/>
      <c r="N12" s="19"/>
      <c r="O12" s="19"/>
      <c r="P12" s="19"/>
      <c r="Q12" s="19"/>
      <c r="R12" s="19"/>
      <c r="S12" s="19"/>
      <c r="T12" s="19"/>
      <c r="U12" s="27"/>
      <c r="X12" s="176"/>
    </row>
    <row r="13" spans="1:24" ht="12.75" customHeight="1">
      <c r="A13" s="76"/>
      <c r="B13" s="357"/>
      <c r="C13" s="7"/>
      <c r="D13" s="7"/>
      <c r="E13" s="59"/>
      <c r="F13" s="60" t="s">
        <v>110</v>
      </c>
      <c r="G13" s="59"/>
      <c r="H13" s="66" t="s">
        <v>299</v>
      </c>
      <c r="I13" s="19"/>
      <c r="J13" s="19"/>
      <c r="K13" s="19"/>
      <c r="L13" s="67"/>
      <c r="M13" s="63"/>
      <c r="N13" s="60" t="s">
        <v>300</v>
      </c>
      <c r="O13" s="59" t="s">
        <v>74</v>
      </c>
      <c r="P13" s="125" t="s">
        <v>301</v>
      </c>
      <c r="Q13" s="59"/>
      <c r="R13" s="66" t="s">
        <v>302</v>
      </c>
      <c r="S13" s="66"/>
      <c r="T13" s="358"/>
      <c r="U13" s="27"/>
      <c r="X13" s="176"/>
    </row>
    <row r="14" spans="1:27" ht="15.75" customHeight="1">
      <c r="A14" s="47"/>
      <c r="B14" s="124" t="s">
        <v>303</v>
      </c>
      <c r="C14" s="7"/>
      <c r="D14" s="7"/>
      <c r="E14" s="59"/>
      <c r="F14" s="60" t="s">
        <v>304</v>
      </c>
      <c r="G14" s="59"/>
      <c r="H14" s="16" t="s">
        <v>109</v>
      </c>
      <c r="I14" s="59"/>
      <c r="J14" s="40" t="s">
        <v>326</v>
      </c>
      <c r="K14" s="59"/>
      <c r="L14" s="60" t="s">
        <v>327</v>
      </c>
      <c r="M14" s="59"/>
      <c r="N14" s="44" t="s">
        <v>305</v>
      </c>
      <c r="O14" s="59"/>
      <c r="P14" s="7" t="s">
        <v>306</v>
      </c>
      <c r="Q14" s="59"/>
      <c r="R14" s="41" t="s">
        <v>307</v>
      </c>
      <c r="S14" s="61"/>
      <c r="T14" s="41" t="s">
        <v>331</v>
      </c>
      <c r="U14" s="12"/>
      <c r="X14" s="176"/>
      <c r="AA14" s="359"/>
    </row>
    <row r="15" spans="1:27" ht="12.75" customHeight="1">
      <c r="A15" s="76"/>
      <c r="B15" s="360"/>
      <c r="C15" s="7"/>
      <c r="D15" s="7"/>
      <c r="E15" s="59"/>
      <c r="F15" s="14" t="s">
        <v>308</v>
      </c>
      <c r="G15" s="59"/>
      <c r="H15" s="361" t="s">
        <v>309</v>
      </c>
      <c r="I15" s="59"/>
      <c r="J15" s="361" t="s">
        <v>309</v>
      </c>
      <c r="K15" s="59"/>
      <c r="L15" s="361" t="s">
        <v>309</v>
      </c>
      <c r="M15" s="59"/>
      <c r="N15" s="33" t="s">
        <v>388</v>
      </c>
      <c r="O15" s="59"/>
      <c r="P15" s="362"/>
      <c r="Q15" s="59"/>
      <c r="R15" s="362"/>
      <c r="S15" s="363"/>
      <c r="T15" s="362"/>
      <c r="U15" s="12"/>
      <c r="X15" s="176"/>
      <c r="AA15" s="359"/>
    </row>
    <row r="16" spans="1:27" ht="12.75" customHeight="1">
      <c r="A16" s="364"/>
      <c r="B16" s="365">
        <v>5</v>
      </c>
      <c r="C16" s="19"/>
      <c r="D16" s="19"/>
      <c r="E16" s="63"/>
      <c r="F16" s="71">
        <v>6</v>
      </c>
      <c r="G16" s="72">
        <v>1</v>
      </c>
      <c r="H16" s="71">
        <v>7</v>
      </c>
      <c r="I16" s="63"/>
      <c r="J16" s="71">
        <v>8</v>
      </c>
      <c r="K16" s="63"/>
      <c r="L16" s="415" t="s">
        <v>328</v>
      </c>
      <c r="M16" s="111"/>
      <c r="N16" s="71">
        <v>10</v>
      </c>
      <c r="O16" s="111"/>
      <c r="P16" s="71">
        <v>11</v>
      </c>
      <c r="Q16" s="68"/>
      <c r="R16" s="105" t="s">
        <v>310</v>
      </c>
      <c r="S16" s="72"/>
      <c r="T16" s="105" t="s">
        <v>332</v>
      </c>
      <c r="U16" s="27"/>
      <c r="X16" s="176"/>
      <c r="AA16" s="359"/>
    </row>
    <row r="17" spans="1:27" ht="19.5" customHeight="1">
      <c r="A17" s="366">
        <v>1</v>
      </c>
      <c r="B17" s="942" t="s">
        <v>9</v>
      </c>
      <c r="C17" s="942"/>
      <c r="D17" s="623"/>
      <c r="E17" s="284"/>
      <c r="F17" s="947" t="s">
        <v>553</v>
      </c>
      <c r="G17" s="284"/>
      <c r="H17" s="948">
        <v>21</v>
      </c>
      <c r="I17" s="296">
        <v>15</v>
      </c>
      <c r="J17" s="951">
        <v>0</v>
      </c>
      <c r="K17" s="296"/>
      <c r="L17" s="416">
        <f aca="true" t="shared" si="0" ref="L17:L26">H17-J17</f>
        <v>21</v>
      </c>
      <c r="M17" s="111"/>
      <c r="N17" s="950">
        <v>55</v>
      </c>
      <c r="O17" s="111"/>
      <c r="P17" s="368">
        <v>0.5</v>
      </c>
      <c r="Q17" s="68"/>
      <c r="R17" s="488">
        <f aca="true" t="shared" si="1" ref="R17:R26">(H17*$T$7)*(N17-P17)</f>
        <v>1144.5</v>
      </c>
      <c r="S17" s="489"/>
      <c r="T17" s="488">
        <f aca="true" t="shared" si="2" ref="T17:T26">(L17*$T$7)*(N17-P17)</f>
        <v>1144.5</v>
      </c>
      <c r="U17" s="27"/>
      <c r="X17" s="176"/>
      <c r="AA17" s="359"/>
    </row>
    <row r="18" spans="1:24" ht="19.5" customHeight="1">
      <c r="A18" s="366">
        <v>2</v>
      </c>
      <c r="B18" s="942" t="s">
        <v>637</v>
      </c>
      <c r="C18" s="942"/>
      <c r="D18" s="623"/>
      <c r="E18" s="284"/>
      <c r="F18" s="947" t="s">
        <v>549</v>
      </c>
      <c r="G18" s="284"/>
      <c r="H18" s="948">
        <v>80</v>
      </c>
      <c r="I18" s="296"/>
      <c r="J18" s="951">
        <v>10</v>
      </c>
      <c r="K18" s="296"/>
      <c r="L18" s="416">
        <f t="shared" si="0"/>
        <v>70</v>
      </c>
      <c r="M18" s="111"/>
      <c r="N18" s="950">
        <v>1.5</v>
      </c>
      <c r="O18" s="111"/>
      <c r="P18" s="368">
        <f>N18*0.01</f>
        <v>0.015</v>
      </c>
      <c r="Q18" s="68"/>
      <c r="R18" s="488">
        <f t="shared" si="1"/>
        <v>118.80000000000001</v>
      </c>
      <c r="S18" s="489"/>
      <c r="T18" s="488">
        <f t="shared" si="2"/>
        <v>103.95</v>
      </c>
      <c r="U18" s="107"/>
      <c r="X18" s="176"/>
    </row>
    <row r="19" spans="1:24" ht="19.5" customHeight="1">
      <c r="A19" s="366">
        <v>3</v>
      </c>
      <c r="B19" s="260"/>
      <c r="C19" s="260"/>
      <c r="D19" s="623"/>
      <c r="E19" s="284"/>
      <c r="F19" s="132"/>
      <c r="G19" s="284"/>
      <c r="H19" s="424"/>
      <c r="I19" s="296"/>
      <c r="J19" s="522">
        <f>+H19*0.2</f>
        <v>0</v>
      </c>
      <c r="K19" s="296"/>
      <c r="L19" s="416">
        <f t="shared" si="0"/>
        <v>0</v>
      </c>
      <c r="M19" s="111"/>
      <c r="N19" s="367"/>
      <c r="O19" s="111"/>
      <c r="P19" s="368"/>
      <c r="Q19" s="68"/>
      <c r="R19" s="488">
        <f t="shared" si="1"/>
        <v>0</v>
      </c>
      <c r="S19" s="489"/>
      <c r="T19" s="488">
        <f t="shared" si="2"/>
        <v>0</v>
      </c>
      <c r="U19" s="107"/>
      <c r="X19" s="176"/>
    </row>
    <row r="20" spans="1:24" ht="19.5" customHeight="1">
      <c r="A20" s="366">
        <v>4</v>
      </c>
      <c r="B20" s="260"/>
      <c r="C20" s="260"/>
      <c r="D20" s="623"/>
      <c r="E20" s="284"/>
      <c r="F20" s="132"/>
      <c r="G20" s="284"/>
      <c r="H20" s="424"/>
      <c r="I20" s="296"/>
      <c r="J20" s="522"/>
      <c r="K20" s="296"/>
      <c r="L20" s="416">
        <f t="shared" si="0"/>
        <v>0</v>
      </c>
      <c r="M20" s="111"/>
      <c r="N20" s="367"/>
      <c r="O20" s="111"/>
      <c r="P20" s="368"/>
      <c r="Q20" s="68"/>
      <c r="R20" s="488">
        <f t="shared" si="1"/>
        <v>0</v>
      </c>
      <c r="S20" s="489"/>
      <c r="T20" s="488">
        <f t="shared" si="2"/>
        <v>0</v>
      </c>
      <c r="U20" s="107"/>
      <c r="X20" s="176"/>
    </row>
    <row r="21" spans="1:24" ht="19.5" customHeight="1">
      <c r="A21" s="366">
        <v>5</v>
      </c>
      <c r="B21" s="260"/>
      <c r="C21" s="260"/>
      <c r="D21" s="623"/>
      <c r="E21" s="284"/>
      <c r="F21" s="132"/>
      <c r="G21" s="284"/>
      <c r="H21" s="424"/>
      <c r="I21" s="296"/>
      <c r="J21" s="522"/>
      <c r="K21" s="296"/>
      <c r="L21" s="416">
        <f t="shared" si="0"/>
        <v>0</v>
      </c>
      <c r="M21" s="111"/>
      <c r="N21" s="367"/>
      <c r="O21" s="111"/>
      <c r="P21" s="368"/>
      <c r="Q21" s="68"/>
      <c r="R21" s="488">
        <f t="shared" si="1"/>
        <v>0</v>
      </c>
      <c r="S21" s="489"/>
      <c r="T21" s="488">
        <f t="shared" si="2"/>
        <v>0</v>
      </c>
      <c r="U21" s="107"/>
      <c r="X21" s="176"/>
    </row>
    <row r="22" spans="1:24" ht="19.5" customHeight="1">
      <c r="A22" s="366">
        <v>6</v>
      </c>
      <c r="B22" s="260"/>
      <c r="C22" s="260"/>
      <c r="D22" s="623"/>
      <c r="E22" s="284"/>
      <c r="F22" s="132"/>
      <c r="G22" s="284"/>
      <c r="H22" s="424"/>
      <c r="I22" s="296"/>
      <c r="J22" s="522"/>
      <c r="K22" s="296"/>
      <c r="L22" s="416">
        <f t="shared" si="0"/>
        <v>0</v>
      </c>
      <c r="M22" s="111"/>
      <c r="N22" s="367"/>
      <c r="O22" s="111"/>
      <c r="P22" s="368"/>
      <c r="Q22" s="68"/>
      <c r="R22" s="488">
        <f t="shared" si="1"/>
        <v>0</v>
      </c>
      <c r="S22" s="489"/>
      <c r="T22" s="488">
        <f t="shared" si="2"/>
        <v>0</v>
      </c>
      <c r="U22" s="107"/>
      <c r="X22" s="176"/>
    </row>
    <row r="23" spans="1:24" ht="19.5" customHeight="1">
      <c r="A23" s="366">
        <v>7</v>
      </c>
      <c r="B23" s="260"/>
      <c r="C23" s="260"/>
      <c r="D23" s="623"/>
      <c r="E23" s="284"/>
      <c r="F23" s="132"/>
      <c r="G23" s="284"/>
      <c r="H23" s="424"/>
      <c r="I23" s="296"/>
      <c r="J23" s="522"/>
      <c r="K23" s="296"/>
      <c r="L23" s="416">
        <f t="shared" si="0"/>
        <v>0</v>
      </c>
      <c r="M23" s="111"/>
      <c r="N23" s="367"/>
      <c r="O23" s="111"/>
      <c r="P23" s="368"/>
      <c r="Q23" s="68"/>
      <c r="R23" s="488">
        <f t="shared" si="1"/>
        <v>0</v>
      </c>
      <c r="S23" s="489"/>
      <c r="T23" s="488">
        <f t="shared" si="2"/>
        <v>0</v>
      </c>
      <c r="U23" s="107"/>
      <c r="X23" s="176"/>
    </row>
    <row r="24" spans="1:24" ht="19.5" customHeight="1">
      <c r="A24" s="366">
        <v>8</v>
      </c>
      <c r="B24" s="260"/>
      <c r="C24" s="260"/>
      <c r="D24" s="623"/>
      <c r="E24" s="284"/>
      <c r="F24" s="132"/>
      <c r="G24" s="284"/>
      <c r="H24" s="424"/>
      <c r="I24" s="296"/>
      <c r="J24" s="522"/>
      <c r="K24" s="296"/>
      <c r="L24" s="416">
        <f t="shared" si="0"/>
        <v>0</v>
      </c>
      <c r="M24" s="111"/>
      <c r="N24" s="367"/>
      <c r="O24" s="111"/>
      <c r="P24" s="368"/>
      <c r="Q24" s="68"/>
      <c r="R24" s="488">
        <f t="shared" si="1"/>
        <v>0</v>
      </c>
      <c r="S24" s="489"/>
      <c r="T24" s="488">
        <f t="shared" si="2"/>
        <v>0</v>
      </c>
      <c r="U24" s="107"/>
      <c r="X24" s="176"/>
    </row>
    <row r="25" spans="1:24" ht="19.5" customHeight="1">
      <c r="A25" s="366">
        <v>9</v>
      </c>
      <c r="B25" s="260"/>
      <c r="C25" s="260"/>
      <c r="D25" s="623"/>
      <c r="E25" s="284"/>
      <c r="F25" s="132"/>
      <c r="G25" s="284"/>
      <c r="H25" s="424"/>
      <c r="I25" s="296"/>
      <c r="J25" s="522"/>
      <c r="K25" s="296"/>
      <c r="L25" s="416">
        <f t="shared" si="0"/>
        <v>0</v>
      </c>
      <c r="M25" s="111"/>
      <c r="N25" s="367"/>
      <c r="O25" s="111"/>
      <c r="P25" s="368"/>
      <c r="Q25" s="68"/>
      <c r="R25" s="488">
        <f t="shared" si="1"/>
        <v>0</v>
      </c>
      <c r="S25" s="489"/>
      <c r="T25" s="488">
        <f t="shared" si="2"/>
        <v>0</v>
      </c>
      <c r="U25" s="107"/>
      <c r="X25" s="176"/>
    </row>
    <row r="26" spans="1:24" ht="19.5" customHeight="1" thickBot="1">
      <c r="A26" s="366">
        <v>10</v>
      </c>
      <c r="B26" s="260"/>
      <c r="C26" s="260"/>
      <c r="D26" s="623"/>
      <c r="E26" s="284"/>
      <c r="F26" s="132"/>
      <c r="G26" s="284"/>
      <c r="H26" s="424"/>
      <c r="I26" s="296"/>
      <c r="J26" s="522"/>
      <c r="K26" s="296"/>
      <c r="L26" s="416">
        <f t="shared" si="0"/>
        <v>0</v>
      </c>
      <c r="M26" s="111"/>
      <c r="N26" s="367"/>
      <c r="O26" s="111"/>
      <c r="P26" s="368"/>
      <c r="Q26" s="68"/>
      <c r="R26" s="488">
        <f t="shared" si="1"/>
        <v>0</v>
      </c>
      <c r="S26" s="489"/>
      <c r="T26" s="488">
        <f t="shared" si="2"/>
        <v>0</v>
      </c>
      <c r="U26" s="107"/>
      <c r="X26" s="176"/>
    </row>
    <row r="27" spans="1:27" ht="16.5" customHeight="1">
      <c r="A27" s="369"/>
      <c r="B27" s="15"/>
      <c r="C27" s="7"/>
      <c r="D27" s="7" t="s">
        <v>311</v>
      </c>
      <c r="E27" s="59"/>
      <c r="F27" s="370"/>
      <c r="G27" s="370"/>
      <c r="H27" s="371"/>
      <c r="I27" s="370"/>
      <c r="J27" s="372"/>
      <c r="K27" s="370"/>
      <c r="L27" s="373"/>
      <c r="M27" s="370"/>
      <c r="N27" s="370"/>
      <c r="O27" s="370"/>
      <c r="P27" s="2"/>
      <c r="Q27" s="374"/>
      <c r="R27" s="490">
        <f>SUM(R17:R26)</f>
        <v>1263.3</v>
      </c>
      <c r="S27" s="491"/>
      <c r="T27" s="492">
        <f>SUM(T17:T26)</f>
        <v>1248.45</v>
      </c>
      <c r="U27" s="419"/>
      <c r="X27" s="176"/>
      <c r="AA27" s="359"/>
    </row>
    <row r="28" spans="1:27" ht="2.25" customHeight="1" thickBot="1">
      <c r="A28" s="375"/>
      <c r="B28" s="46"/>
      <c r="C28" s="46"/>
      <c r="D28" s="46"/>
      <c r="E28" s="376"/>
      <c r="F28" s="239"/>
      <c r="G28" s="239"/>
      <c r="H28" s="239"/>
      <c r="I28" s="239"/>
      <c r="J28" s="239"/>
      <c r="K28" s="239"/>
      <c r="L28" s="239"/>
      <c r="M28" s="239"/>
      <c r="N28" s="239"/>
      <c r="O28" s="239"/>
      <c r="P28" s="239"/>
      <c r="Q28" s="377"/>
      <c r="R28" s="378"/>
      <c r="S28" s="376"/>
      <c r="T28" s="420"/>
      <c r="U28" s="493"/>
      <c r="X28" s="176"/>
      <c r="AA28" s="359"/>
    </row>
    <row r="29" spans="1:27" ht="6.75" customHeight="1" thickTop="1">
      <c r="A29" s="17"/>
      <c r="B29" s="7"/>
      <c r="C29" s="7"/>
      <c r="D29" s="7"/>
      <c r="E29" s="7"/>
      <c r="F29" s="7"/>
      <c r="G29" s="7"/>
      <c r="H29" s="7"/>
      <c r="I29" s="7"/>
      <c r="J29" s="7"/>
      <c r="K29" s="7"/>
      <c r="L29" s="7"/>
      <c r="M29" s="7"/>
      <c r="N29" s="7"/>
      <c r="O29" s="7"/>
      <c r="P29" s="7"/>
      <c r="Q29" s="7"/>
      <c r="R29" s="7"/>
      <c r="S29" s="7"/>
      <c r="T29" s="7"/>
      <c r="U29" s="12"/>
      <c r="X29" s="176"/>
      <c r="AA29" s="359"/>
    </row>
    <row r="30" spans="1:27" ht="15" customHeight="1">
      <c r="A30" s="76" t="s">
        <v>312</v>
      </c>
      <c r="B30" s="7"/>
      <c r="C30" s="7"/>
      <c r="D30" s="7"/>
      <c r="E30" s="7"/>
      <c r="F30" s="7"/>
      <c r="G30" s="7"/>
      <c r="H30" s="7"/>
      <c r="I30" s="7"/>
      <c r="J30" s="7"/>
      <c r="K30" s="7"/>
      <c r="L30" s="7"/>
      <c r="M30" s="7"/>
      <c r="N30" s="7"/>
      <c r="O30" s="7"/>
      <c r="P30" s="7"/>
      <c r="Q30" s="7"/>
      <c r="R30" s="7"/>
      <c r="S30" s="7"/>
      <c r="T30" s="7"/>
      <c r="U30" s="12"/>
      <c r="X30" s="176"/>
      <c r="AA30" s="359"/>
    </row>
    <row r="31" spans="1:27" ht="3" customHeight="1">
      <c r="A31" s="25"/>
      <c r="B31" s="19"/>
      <c r="C31" s="19"/>
      <c r="D31" s="19"/>
      <c r="E31" s="19"/>
      <c r="F31" s="19"/>
      <c r="G31" s="19"/>
      <c r="H31" s="19"/>
      <c r="I31" s="19"/>
      <c r="J31" s="19"/>
      <c r="K31" s="19"/>
      <c r="L31" s="19"/>
      <c r="M31" s="19"/>
      <c r="N31" s="19"/>
      <c r="O31" s="19"/>
      <c r="P31" s="19"/>
      <c r="Q31" s="19"/>
      <c r="R31" s="19"/>
      <c r="S31" s="19"/>
      <c r="T31" s="19"/>
      <c r="U31" s="27"/>
      <c r="X31" s="176"/>
      <c r="AA31" s="359"/>
    </row>
    <row r="32" spans="1:24" ht="12.75" customHeight="1">
      <c r="A32" s="76"/>
      <c r="B32" s="357"/>
      <c r="C32" s="7"/>
      <c r="D32" s="7"/>
      <c r="E32" s="59"/>
      <c r="F32" s="60" t="s">
        <v>110</v>
      </c>
      <c r="G32" s="59"/>
      <c r="H32" s="66" t="s">
        <v>389</v>
      </c>
      <c r="I32" s="19"/>
      <c r="J32" s="19"/>
      <c r="K32" s="19"/>
      <c r="L32" s="67"/>
      <c r="M32" s="63"/>
      <c r="N32" s="98" t="s">
        <v>313</v>
      </c>
      <c r="O32" s="133"/>
      <c r="P32" s="15" t="s">
        <v>301</v>
      </c>
      <c r="Q32" s="59"/>
      <c r="R32" s="67" t="s">
        <v>314</v>
      </c>
      <c r="S32" s="67"/>
      <c r="T32" s="19"/>
      <c r="U32" s="27"/>
      <c r="X32" s="176"/>
    </row>
    <row r="33" spans="1:24" ht="14.25" customHeight="1">
      <c r="A33" s="47"/>
      <c r="B33" s="124" t="s">
        <v>315</v>
      </c>
      <c r="C33" s="7"/>
      <c r="D33" s="7"/>
      <c r="E33" s="59"/>
      <c r="F33" s="60" t="s">
        <v>316</v>
      </c>
      <c r="G33" s="59"/>
      <c r="H33" s="16" t="s">
        <v>109</v>
      </c>
      <c r="I33" s="59"/>
      <c r="J33" s="417" t="s">
        <v>329</v>
      </c>
      <c r="K33" s="59"/>
      <c r="L33" s="60" t="s">
        <v>317</v>
      </c>
      <c r="M33" s="59"/>
      <c r="N33" s="44" t="s">
        <v>305</v>
      </c>
      <c r="O33" s="379"/>
      <c r="P33" s="7" t="s">
        <v>306</v>
      </c>
      <c r="Q33" s="59"/>
      <c r="R33" s="41" t="s">
        <v>307</v>
      </c>
      <c r="S33" s="61"/>
      <c r="T33" s="41" t="s">
        <v>331</v>
      </c>
      <c r="U33" s="12"/>
      <c r="X33" s="176"/>
    </row>
    <row r="34" spans="1:24" ht="14.25" customHeight="1">
      <c r="A34" s="76"/>
      <c r="B34" s="360"/>
      <c r="C34" s="7"/>
      <c r="D34" s="7"/>
      <c r="E34" s="59"/>
      <c r="F34" s="60" t="s">
        <v>317</v>
      </c>
      <c r="G34" s="59"/>
      <c r="H34" s="361" t="s">
        <v>318</v>
      </c>
      <c r="I34" s="59"/>
      <c r="J34" s="361" t="s">
        <v>318</v>
      </c>
      <c r="K34" s="59"/>
      <c r="L34" s="361" t="s">
        <v>318</v>
      </c>
      <c r="M34" s="59"/>
      <c r="N34" s="494" t="s">
        <v>390</v>
      </c>
      <c r="O34" s="363"/>
      <c r="P34" s="362"/>
      <c r="Q34" s="59"/>
      <c r="R34" s="362"/>
      <c r="S34" s="363"/>
      <c r="T34" s="362"/>
      <c r="U34" s="12"/>
      <c r="X34" s="176"/>
    </row>
    <row r="35" spans="1:24" ht="12" customHeight="1">
      <c r="A35" s="364"/>
      <c r="B35" s="365">
        <v>14</v>
      </c>
      <c r="C35" s="19"/>
      <c r="D35" s="19"/>
      <c r="E35" s="63"/>
      <c r="F35" s="71">
        <v>15</v>
      </c>
      <c r="G35" s="72"/>
      <c r="H35" s="71">
        <v>16</v>
      </c>
      <c r="I35" s="63"/>
      <c r="J35" s="71">
        <v>17</v>
      </c>
      <c r="K35" s="63"/>
      <c r="L35" s="415" t="s">
        <v>330</v>
      </c>
      <c r="M35" s="111"/>
      <c r="N35" s="105">
        <v>19</v>
      </c>
      <c r="O35" s="72"/>
      <c r="P35" s="105">
        <v>20</v>
      </c>
      <c r="Q35" s="380"/>
      <c r="R35" s="105" t="s">
        <v>319</v>
      </c>
      <c r="S35" s="72"/>
      <c r="T35" s="105" t="s">
        <v>333</v>
      </c>
      <c r="U35" s="27"/>
      <c r="X35" s="176"/>
    </row>
    <row r="36" spans="1:24" ht="4.5" customHeight="1">
      <c r="A36" s="6"/>
      <c r="B36" s="7"/>
      <c r="C36" s="7"/>
      <c r="D36" s="7"/>
      <c r="E36" s="59"/>
      <c r="F36" s="7"/>
      <c r="G36" s="59"/>
      <c r="H36" s="7"/>
      <c r="I36" s="59"/>
      <c r="J36" s="7"/>
      <c r="K36" s="59"/>
      <c r="L36" s="7"/>
      <c r="M36" s="59"/>
      <c r="N36" s="381"/>
      <c r="O36" s="59"/>
      <c r="P36" s="7"/>
      <c r="Q36" s="59"/>
      <c r="R36" s="7"/>
      <c r="S36" s="59"/>
      <c r="T36" s="7"/>
      <c r="U36" s="12"/>
      <c r="X36" s="176"/>
    </row>
    <row r="37" spans="1:24" ht="12.75">
      <c r="A37" s="6"/>
      <c r="B37" s="15" t="s">
        <v>320</v>
      </c>
      <c r="C37" s="7"/>
      <c r="D37" s="7"/>
      <c r="E37" s="59"/>
      <c r="F37" s="7"/>
      <c r="G37" s="59"/>
      <c r="H37" s="7"/>
      <c r="I37" s="59"/>
      <c r="J37" s="7"/>
      <c r="K37" s="59"/>
      <c r="L37" s="7"/>
      <c r="M37" s="59"/>
      <c r="N37" s="381"/>
      <c r="O37" s="59"/>
      <c r="P37" s="7"/>
      <c r="Q37" s="59"/>
      <c r="R37" s="7"/>
      <c r="S37" s="59"/>
      <c r="T37" s="7"/>
      <c r="U37" s="12"/>
      <c r="X37" s="176"/>
    </row>
    <row r="38" spans="1:24" ht="3.75" customHeight="1">
      <c r="A38" s="6"/>
      <c r="B38" s="7"/>
      <c r="C38" s="7"/>
      <c r="D38" s="7"/>
      <c r="E38" s="59"/>
      <c r="F38" s="33"/>
      <c r="G38" s="59"/>
      <c r="H38" s="382"/>
      <c r="I38" s="383"/>
      <c r="J38" s="384"/>
      <c r="K38" s="383"/>
      <c r="L38" s="406"/>
      <c r="M38" s="59"/>
      <c r="N38" s="381"/>
      <c r="O38" s="59"/>
      <c r="P38" s="384"/>
      <c r="Q38" s="383"/>
      <c r="R38" s="384"/>
      <c r="S38" s="383"/>
      <c r="T38" s="384"/>
      <c r="U38" s="12"/>
      <c r="X38" s="176"/>
    </row>
    <row r="39" spans="1:24" ht="19.5" customHeight="1">
      <c r="A39" s="18">
        <v>1</v>
      </c>
      <c r="B39" s="942" t="s">
        <v>10</v>
      </c>
      <c r="C39" s="260"/>
      <c r="D39" s="260"/>
      <c r="E39" s="284"/>
      <c r="F39" s="953" t="s">
        <v>630</v>
      </c>
      <c r="G39" s="284"/>
      <c r="H39" s="386">
        <v>1</v>
      </c>
      <c r="I39" s="495"/>
      <c r="J39" s="390"/>
      <c r="K39" s="387"/>
      <c r="L39" s="418">
        <f aca="true" t="shared" si="3" ref="L39:L58">H39-J39</f>
        <v>1</v>
      </c>
      <c r="M39" s="63"/>
      <c r="N39" s="388">
        <v>178</v>
      </c>
      <c r="O39" s="63"/>
      <c r="P39" s="388"/>
      <c r="Q39" s="387"/>
      <c r="R39" s="488">
        <f>(H39*$T$7)*(N39+P39)</f>
        <v>178</v>
      </c>
      <c r="S39" s="489"/>
      <c r="T39" s="488">
        <f>(L39*$T$7)*(N39+P39)</f>
        <v>178</v>
      </c>
      <c r="U39" s="27"/>
      <c r="X39" s="176"/>
    </row>
    <row r="40" spans="1:24" ht="19.5" customHeight="1">
      <c r="A40" s="18">
        <v>2</v>
      </c>
      <c r="B40" s="260"/>
      <c r="C40" s="260"/>
      <c r="D40" s="260"/>
      <c r="E40" s="284"/>
      <c r="F40" s="385"/>
      <c r="G40" s="284"/>
      <c r="H40" s="386"/>
      <c r="I40" s="495"/>
      <c r="J40" s="390"/>
      <c r="K40" s="387"/>
      <c r="L40" s="418">
        <f aca="true" t="shared" si="4" ref="L40:L46">H40-J40</f>
        <v>0</v>
      </c>
      <c r="M40" s="63"/>
      <c r="N40" s="388"/>
      <c r="O40" s="63"/>
      <c r="P40" s="388"/>
      <c r="Q40" s="387"/>
      <c r="R40" s="488">
        <f aca="true" t="shared" si="5" ref="R40:R46">(H40*$T$7)*(N40+P40)</f>
        <v>0</v>
      </c>
      <c r="S40" s="489"/>
      <c r="T40" s="488">
        <f aca="true" t="shared" si="6" ref="T40:T46">(L40*$T$7)*(N40+P40)</f>
        <v>0</v>
      </c>
      <c r="U40" s="27"/>
      <c r="X40" s="176"/>
    </row>
    <row r="41" spans="1:24" ht="19.5" customHeight="1">
      <c r="A41" s="18">
        <v>3</v>
      </c>
      <c r="B41" s="260"/>
      <c r="C41" s="260"/>
      <c r="D41" s="260"/>
      <c r="E41" s="284"/>
      <c r="F41" s="385"/>
      <c r="G41" s="284"/>
      <c r="H41" s="386"/>
      <c r="I41" s="495"/>
      <c r="J41" s="390"/>
      <c r="K41" s="387"/>
      <c r="L41" s="418">
        <f>H41-J41</f>
        <v>0</v>
      </c>
      <c r="M41" s="63"/>
      <c r="N41" s="388"/>
      <c r="O41" s="63"/>
      <c r="P41" s="388"/>
      <c r="Q41" s="387"/>
      <c r="R41" s="488">
        <f>(H41*$T$7)*(N41+P41)</f>
        <v>0</v>
      </c>
      <c r="S41" s="489"/>
      <c r="T41" s="488">
        <f>(L41*$T$7)*(N41+P41)</f>
        <v>0</v>
      </c>
      <c r="U41" s="27"/>
      <c r="X41" s="176"/>
    </row>
    <row r="42" spans="1:24" ht="19.5" customHeight="1">
      <c r="A42" s="18">
        <v>4</v>
      </c>
      <c r="B42" s="622"/>
      <c r="C42" s="260"/>
      <c r="D42" s="260"/>
      <c r="E42" s="284"/>
      <c r="F42" s="385"/>
      <c r="G42" s="284"/>
      <c r="H42" s="386"/>
      <c r="I42" s="495"/>
      <c r="J42" s="390"/>
      <c r="K42" s="387"/>
      <c r="L42" s="418">
        <f>H42-J42</f>
        <v>0</v>
      </c>
      <c r="M42" s="63"/>
      <c r="N42" s="388"/>
      <c r="O42" s="63"/>
      <c r="P42" s="388"/>
      <c r="Q42" s="387"/>
      <c r="R42" s="488">
        <f>(H42*$T$7)*(N42+P42)</f>
        <v>0</v>
      </c>
      <c r="S42" s="489"/>
      <c r="T42" s="488">
        <f>(L42*$T$7)*(N42+P42)</f>
        <v>0</v>
      </c>
      <c r="U42" s="27"/>
      <c r="X42" s="176"/>
    </row>
    <row r="43" spans="1:24" ht="19.5" customHeight="1">
      <c r="A43" s="18">
        <v>5</v>
      </c>
      <c r="B43" s="260"/>
      <c r="C43" s="260"/>
      <c r="D43" s="260"/>
      <c r="E43" s="284"/>
      <c r="F43" s="385"/>
      <c r="G43" s="284"/>
      <c r="H43" s="386"/>
      <c r="I43" s="495"/>
      <c r="J43" s="390"/>
      <c r="K43" s="387"/>
      <c r="L43" s="418">
        <f>H43-J43</f>
        <v>0</v>
      </c>
      <c r="M43" s="63"/>
      <c r="N43" s="388"/>
      <c r="O43" s="63"/>
      <c r="P43" s="388"/>
      <c r="Q43" s="387"/>
      <c r="R43" s="488">
        <f>(H43*$T$7)*(N43+P43)</f>
        <v>0</v>
      </c>
      <c r="S43" s="489"/>
      <c r="T43" s="488">
        <f>(L43*$T$7)*(N43+P43)</f>
        <v>0</v>
      </c>
      <c r="U43" s="27"/>
      <c r="X43" s="176"/>
    </row>
    <row r="44" spans="1:24" ht="19.5" customHeight="1">
      <c r="A44" s="18">
        <v>6</v>
      </c>
      <c r="B44" s="260"/>
      <c r="C44" s="260"/>
      <c r="D44" s="260"/>
      <c r="E44" s="284"/>
      <c r="F44" s="385"/>
      <c r="G44" s="284"/>
      <c r="H44" s="386"/>
      <c r="I44" s="495"/>
      <c r="J44" s="390"/>
      <c r="K44" s="387"/>
      <c r="L44" s="418">
        <f>H44-J44</f>
        <v>0</v>
      </c>
      <c r="M44" s="63"/>
      <c r="N44" s="388"/>
      <c r="O44" s="63"/>
      <c r="P44" s="388"/>
      <c r="Q44" s="387"/>
      <c r="R44" s="488">
        <f>(H44*$T$7)*(N44+P44)</f>
        <v>0</v>
      </c>
      <c r="S44" s="489"/>
      <c r="T44" s="488">
        <f>(L44*$T$7)*(N44+P44)</f>
        <v>0</v>
      </c>
      <c r="U44" s="27"/>
      <c r="X44" s="176"/>
    </row>
    <row r="45" spans="1:24" ht="19.5" customHeight="1">
      <c r="A45" s="18">
        <v>7</v>
      </c>
      <c r="B45" s="260"/>
      <c r="C45" s="260"/>
      <c r="D45" s="260"/>
      <c r="E45" s="284"/>
      <c r="F45" s="385"/>
      <c r="G45" s="284"/>
      <c r="H45" s="386"/>
      <c r="I45" s="495"/>
      <c r="J45" s="390"/>
      <c r="K45" s="387"/>
      <c r="L45" s="418">
        <f t="shared" si="4"/>
        <v>0</v>
      </c>
      <c r="M45" s="63"/>
      <c r="N45" s="388"/>
      <c r="O45" s="63"/>
      <c r="P45" s="388"/>
      <c r="Q45" s="387"/>
      <c r="R45" s="488">
        <f t="shared" si="5"/>
        <v>0</v>
      </c>
      <c r="S45" s="489"/>
      <c r="T45" s="488">
        <f t="shared" si="6"/>
        <v>0</v>
      </c>
      <c r="U45" s="27"/>
      <c r="X45" s="176"/>
    </row>
    <row r="46" spans="1:24" ht="19.5" customHeight="1">
      <c r="A46" s="18">
        <v>8</v>
      </c>
      <c r="B46" s="622"/>
      <c r="C46" s="260"/>
      <c r="D46" s="260"/>
      <c r="E46" s="284"/>
      <c r="F46" s="385"/>
      <c r="G46" s="284"/>
      <c r="H46" s="386"/>
      <c r="I46" s="495"/>
      <c r="J46" s="390"/>
      <c r="K46" s="387"/>
      <c r="L46" s="418">
        <f t="shared" si="4"/>
        <v>0</v>
      </c>
      <c r="M46" s="63"/>
      <c r="N46" s="388"/>
      <c r="O46" s="63"/>
      <c r="P46" s="388"/>
      <c r="Q46" s="387"/>
      <c r="R46" s="488">
        <f t="shared" si="5"/>
        <v>0</v>
      </c>
      <c r="S46" s="489"/>
      <c r="T46" s="488">
        <f t="shared" si="6"/>
        <v>0</v>
      </c>
      <c r="U46" s="27"/>
      <c r="X46" s="176"/>
    </row>
    <row r="47" spans="1:24" ht="19.5" customHeight="1">
      <c r="A47" s="18">
        <v>9</v>
      </c>
      <c r="B47" s="260"/>
      <c r="C47" s="260"/>
      <c r="D47" s="260"/>
      <c r="E47" s="284"/>
      <c r="F47" s="385"/>
      <c r="G47" s="284"/>
      <c r="H47" s="386"/>
      <c r="I47" s="495"/>
      <c r="J47" s="390"/>
      <c r="K47" s="387"/>
      <c r="L47" s="418">
        <f t="shared" si="3"/>
        <v>0</v>
      </c>
      <c r="M47" s="63"/>
      <c r="N47" s="388"/>
      <c r="O47" s="63"/>
      <c r="P47" s="388"/>
      <c r="Q47" s="387"/>
      <c r="R47" s="488">
        <f aca="true" t="shared" si="7" ref="R47:R52">(H47*$T$7)*(N47+P47)</f>
        <v>0</v>
      </c>
      <c r="S47" s="489"/>
      <c r="T47" s="488">
        <f aca="true" t="shared" si="8" ref="T47:T52">(L47*$T$7)*(N47+P47)</f>
        <v>0</v>
      </c>
      <c r="U47" s="27"/>
      <c r="X47" s="176"/>
    </row>
    <row r="48" spans="1:24" ht="19.5" customHeight="1">
      <c r="A48" s="18">
        <v>10</v>
      </c>
      <c r="B48" s="260"/>
      <c r="C48" s="260"/>
      <c r="D48" s="260"/>
      <c r="E48" s="284"/>
      <c r="F48" s="385"/>
      <c r="G48" s="284"/>
      <c r="H48" s="386"/>
      <c r="I48" s="495"/>
      <c r="J48" s="390"/>
      <c r="K48" s="387"/>
      <c r="L48" s="418">
        <f t="shared" si="3"/>
        <v>0</v>
      </c>
      <c r="M48" s="63"/>
      <c r="N48" s="388"/>
      <c r="O48" s="63"/>
      <c r="P48" s="388"/>
      <c r="Q48" s="387"/>
      <c r="R48" s="488">
        <f t="shared" si="7"/>
        <v>0</v>
      </c>
      <c r="S48" s="489"/>
      <c r="T48" s="488">
        <f t="shared" si="8"/>
        <v>0</v>
      </c>
      <c r="U48" s="27"/>
      <c r="X48" s="176"/>
    </row>
    <row r="49" spans="1:24" ht="19.5" customHeight="1">
      <c r="A49" s="18">
        <v>11</v>
      </c>
      <c r="B49" s="622"/>
      <c r="C49" s="260"/>
      <c r="D49" s="260"/>
      <c r="E49" s="284"/>
      <c r="F49" s="385"/>
      <c r="G49" s="284"/>
      <c r="H49" s="386"/>
      <c r="I49" s="495"/>
      <c r="J49" s="390"/>
      <c r="K49" s="387"/>
      <c r="L49" s="418">
        <f t="shared" si="3"/>
        <v>0</v>
      </c>
      <c r="M49" s="63"/>
      <c r="N49" s="388"/>
      <c r="O49" s="63"/>
      <c r="P49" s="388"/>
      <c r="Q49" s="387"/>
      <c r="R49" s="488">
        <f t="shared" si="7"/>
        <v>0</v>
      </c>
      <c r="S49" s="489"/>
      <c r="T49" s="488">
        <f t="shared" si="8"/>
        <v>0</v>
      </c>
      <c r="U49" s="27"/>
      <c r="X49" s="176"/>
    </row>
    <row r="50" spans="1:24" ht="19.5" customHeight="1">
      <c r="A50" s="18">
        <v>12</v>
      </c>
      <c r="B50" s="260"/>
      <c r="C50" s="260"/>
      <c r="D50" s="260"/>
      <c r="E50" s="284"/>
      <c r="F50" s="385"/>
      <c r="G50" s="284"/>
      <c r="H50" s="386"/>
      <c r="I50" s="495"/>
      <c r="J50" s="390"/>
      <c r="K50" s="387"/>
      <c r="L50" s="418">
        <f>H50-J50</f>
        <v>0</v>
      </c>
      <c r="M50" s="63"/>
      <c r="N50" s="388"/>
      <c r="O50" s="63"/>
      <c r="P50" s="388"/>
      <c r="Q50" s="387"/>
      <c r="R50" s="488">
        <f t="shared" si="7"/>
        <v>0</v>
      </c>
      <c r="S50" s="489"/>
      <c r="T50" s="488">
        <f t="shared" si="8"/>
        <v>0</v>
      </c>
      <c r="U50" s="27"/>
      <c r="X50" s="176"/>
    </row>
    <row r="51" spans="1:24" ht="19.5" customHeight="1">
      <c r="A51" s="18">
        <v>13</v>
      </c>
      <c r="B51" s="260"/>
      <c r="C51" s="260"/>
      <c r="D51" s="260"/>
      <c r="E51" s="284"/>
      <c r="F51" s="385"/>
      <c r="G51" s="284"/>
      <c r="H51" s="386"/>
      <c r="I51" s="495"/>
      <c r="J51" s="390"/>
      <c r="K51" s="387"/>
      <c r="L51" s="418">
        <f>H51-J51</f>
        <v>0</v>
      </c>
      <c r="M51" s="63"/>
      <c r="N51" s="388"/>
      <c r="O51" s="63"/>
      <c r="P51" s="388"/>
      <c r="Q51" s="387"/>
      <c r="R51" s="488">
        <f t="shared" si="7"/>
        <v>0</v>
      </c>
      <c r="S51" s="489"/>
      <c r="T51" s="488">
        <f t="shared" si="8"/>
        <v>0</v>
      </c>
      <c r="U51" s="27"/>
      <c r="X51" s="176"/>
    </row>
    <row r="52" spans="1:24" ht="19.5" customHeight="1">
      <c r="A52" s="18">
        <v>14</v>
      </c>
      <c r="B52" s="622"/>
      <c r="C52" s="260"/>
      <c r="D52" s="260"/>
      <c r="E52" s="284"/>
      <c r="F52" s="385"/>
      <c r="G52" s="284"/>
      <c r="H52" s="386"/>
      <c r="I52" s="495"/>
      <c r="J52" s="390"/>
      <c r="K52" s="387"/>
      <c r="L52" s="418">
        <f>H52-J52</f>
        <v>0</v>
      </c>
      <c r="M52" s="63"/>
      <c r="N52" s="388"/>
      <c r="O52" s="63"/>
      <c r="P52" s="388"/>
      <c r="Q52" s="387"/>
      <c r="R52" s="488">
        <f t="shared" si="7"/>
        <v>0</v>
      </c>
      <c r="S52" s="489"/>
      <c r="T52" s="488">
        <f t="shared" si="8"/>
        <v>0</v>
      </c>
      <c r="U52" s="27"/>
      <c r="X52" s="176"/>
    </row>
    <row r="53" spans="1:24" ht="19.5" customHeight="1">
      <c r="A53" s="18">
        <v>15</v>
      </c>
      <c r="B53" s="260"/>
      <c r="C53" s="260"/>
      <c r="D53" s="260"/>
      <c r="E53" s="284"/>
      <c r="F53" s="385"/>
      <c r="G53" s="284"/>
      <c r="H53" s="386"/>
      <c r="I53" s="495"/>
      <c r="J53" s="390"/>
      <c r="K53" s="387"/>
      <c r="L53" s="418">
        <f t="shared" si="3"/>
        <v>0</v>
      </c>
      <c r="M53" s="63"/>
      <c r="N53" s="388"/>
      <c r="O53" s="63"/>
      <c r="P53" s="388"/>
      <c r="Q53" s="387"/>
      <c r="R53" s="488">
        <f aca="true" t="shared" si="9" ref="R53:R58">(H53*$T$7)*(N53+P53)</f>
        <v>0</v>
      </c>
      <c r="S53" s="489"/>
      <c r="T53" s="488">
        <f aca="true" t="shared" si="10" ref="T53:T58">(L53*$T$7)*(N53+P53)</f>
        <v>0</v>
      </c>
      <c r="U53" s="27"/>
      <c r="X53" s="176"/>
    </row>
    <row r="54" spans="1:24" ht="19.5" customHeight="1">
      <c r="A54" s="18">
        <v>16</v>
      </c>
      <c r="B54" s="260"/>
      <c r="C54" s="260"/>
      <c r="D54" s="260"/>
      <c r="E54" s="284"/>
      <c r="F54" s="385"/>
      <c r="G54" s="284"/>
      <c r="H54" s="386"/>
      <c r="I54" s="495"/>
      <c r="J54" s="390"/>
      <c r="K54" s="387"/>
      <c r="L54" s="418">
        <f t="shared" si="3"/>
        <v>0</v>
      </c>
      <c r="M54" s="63"/>
      <c r="N54" s="388"/>
      <c r="O54" s="63"/>
      <c r="P54" s="388"/>
      <c r="Q54" s="387"/>
      <c r="R54" s="488">
        <f t="shared" si="9"/>
        <v>0</v>
      </c>
      <c r="S54" s="489"/>
      <c r="T54" s="488">
        <f t="shared" si="10"/>
        <v>0</v>
      </c>
      <c r="U54" s="27"/>
      <c r="X54" s="176"/>
    </row>
    <row r="55" spans="1:24" ht="19.5" customHeight="1">
      <c r="A55" s="18">
        <v>17</v>
      </c>
      <c r="B55" s="622"/>
      <c r="C55" s="260"/>
      <c r="D55" s="260"/>
      <c r="E55" s="284"/>
      <c r="F55" s="385"/>
      <c r="G55" s="284"/>
      <c r="H55" s="386"/>
      <c r="I55" s="495"/>
      <c r="J55" s="390"/>
      <c r="K55" s="387"/>
      <c r="L55" s="418">
        <f t="shared" si="3"/>
        <v>0</v>
      </c>
      <c r="M55" s="63"/>
      <c r="N55" s="388"/>
      <c r="O55" s="63"/>
      <c r="P55" s="388"/>
      <c r="Q55" s="387"/>
      <c r="R55" s="488">
        <f t="shared" si="9"/>
        <v>0</v>
      </c>
      <c r="S55" s="489"/>
      <c r="T55" s="488">
        <f t="shared" si="10"/>
        <v>0</v>
      </c>
      <c r="U55" s="27"/>
      <c r="X55" s="176"/>
    </row>
    <row r="56" spans="1:24" ht="19.5" customHeight="1">
      <c r="A56" s="18">
        <v>18</v>
      </c>
      <c r="B56" s="260"/>
      <c r="C56" s="260"/>
      <c r="D56" s="260"/>
      <c r="E56" s="284"/>
      <c r="F56" s="385"/>
      <c r="G56" s="284"/>
      <c r="H56" s="386"/>
      <c r="I56" s="495"/>
      <c r="J56" s="390"/>
      <c r="K56" s="387"/>
      <c r="L56" s="418">
        <f t="shared" si="3"/>
        <v>0</v>
      </c>
      <c r="M56" s="63"/>
      <c r="N56" s="401"/>
      <c r="O56" s="63"/>
      <c r="P56" s="388"/>
      <c r="Q56" s="387"/>
      <c r="R56" s="488">
        <f t="shared" si="9"/>
        <v>0</v>
      </c>
      <c r="S56" s="489"/>
      <c r="T56" s="488">
        <f t="shared" si="10"/>
        <v>0</v>
      </c>
      <c r="U56" s="27"/>
      <c r="X56" s="176"/>
    </row>
    <row r="57" spans="1:24" ht="19.5" customHeight="1">
      <c r="A57" s="18">
        <v>19</v>
      </c>
      <c r="B57" s="260"/>
      <c r="C57" s="260"/>
      <c r="D57" s="260"/>
      <c r="E57" s="284"/>
      <c r="F57" s="385"/>
      <c r="G57" s="284"/>
      <c r="H57" s="389"/>
      <c r="I57" s="495"/>
      <c r="J57" s="390"/>
      <c r="K57" s="387"/>
      <c r="L57" s="418">
        <f t="shared" si="3"/>
        <v>0</v>
      </c>
      <c r="M57" s="63"/>
      <c r="N57" s="388"/>
      <c r="O57" s="63"/>
      <c r="P57" s="390"/>
      <c r="Q57" s="387"/>
      <c r="R57" s="488">
        <f t="shared" si="9"/>
        <v>0</v>
      </c>
      <c r="S57" s="489"/>
      <c r="T57" s="488">
        <f t="shared" si="10"/>
        <v>0</v>
      </c>
      <c r="U57" s="27"/>
      <c r="X57" s="176"/>
    </row>
    <row r="58" spans="1:24" ht="19.5" customHeight="1" thickBot="1">
      <c r="A58" s="18">
        <v>20</v>
      </c>
      <c r="B58" s="260"/>
      <c r="C58" s="260"/>
      <c r="D58" s="260"/>
      <c r="E58" s="284"/>
      <c r="F58" s="385"/>
      <c r="G58" s="284"/>
      <c r="H58" s="389"/>
      <c r="I58" s="495"/>
      <c r="J58" s="390"/>
      <c r="K58" s="387"/>
      <c r="L58" s="418">
        <f t="shared" si="3"/>
        <v>0</v>
      </c>
      <c r="M58" s="63"/>
      <c r="N58" s="388"/>
      <c r="O58" s="63"/>
      <c r="P58" s="390"/>
      <c r="Q58" s="387"/>
      <c r="R58" s="488">
        <f t="shared" si="9"/>
        <v>0</v>
      </c>
      <c r="S58" s="489"/>
      <c r="T58" s="488">
        <f t="shared" si="10"/>
        <v>0</v>
      </c>
      <c r="U58" s="27"/>
      <c r="X58" s="176"/>
    </row>
    <row r="59" spans="1:24" ht="21.75" customHeight="1" thickBot="1">
      <c r="A59" s="112"/>
      <c r="B59" s="113"/>
      <c r="C59" s="113"/>
      <c r="D59" s="113" t="s">
        <v>311</v>
      </c>
      <c r="E59" s="114"/>
      <c r="F59" s="391"/>
      <c r="G59" s="392"/>
      <c r="H59" s="393"/>
      <c r="I59" s="394"/>
      <c r="J59" s="393"/>
      <c r="K59" s="394"/>
      <c r="L59" s="393"/>
      <c r="M59" s="392"/>
      <c r="N59" s="395"/>
      <c r="O59" s="392"/>
      <c r="P59" s="396"/>
      <c r="Q59" s="397"/>
      <c r="R59" s="496">
        <f>SUM(R39:R58)</f>
        <v>178</v>
      </c>
      <c r="S59" s="497"/>
      <c r="T59" s="496">
        <f>SUM(T39:T58)</f>
        <v>178</v>
      </c>
      <c r="U59" s="498"/>
      <c r="X59" s="176"/>
    </row>
    <row r="60" spans="1:24" ht="6.75" customHeight="1">
      <c r="A60" s="6"/>
      <c r="B60" s="7"/>
      <c r="C60" s="7"/>
      <c r="D60" s="7"/>
      <c r="E60" s="59"/>
      <c r="F60" s="33"/>
      <c r="G60" s="59"/>
      <c r="H60" s="384"/>
      <c r="I60" s="383"/>
      <c r="J60" s="384"/>
      <c r="K60" s="383"/>
      <c r="L60" s="384"/>
      <c r="M60" s="59"/>
      <c r="N60" s="381"/>
      <c r="O60" s="59"/>
      <c r="P60" s="398"/>
      <c r="Q60" s="399"/>
      <c r="R60" s="398"/>
      <c r="S60" s="399"/>
      <c r="T60" s="398"/>
      <c r="U60" s="12"/>
      <c r="X60" s="176"/>
    </row>
    <row r="61" spans="1:24" ht="12.75" customHeight="1">
      <c r="A61" s="6"/>
      <c r="B61" s="15" t="s">
        <v>321</v>
      </c>
      <c r="C61" s="7"/>
      <c r="D61" s="7"/>
      <c r="E61" s="59"/>
      <c r="F61" s="33"/>
      <c r="G61" s="59"/>
      <c r="H61" s="384"/>
      <c r="I61" s="383"/>
      <c r="J61" s="384"/>
      <c r="K61" s="383"/>
      <c r="L61" s="421"/>
      <c r="M61" s="59"/>
      <c r="N61" s="400"/>
      <c r="O61" s="59"/>
      <c r="P61" s="398"/>
      <c r="Q61" s="399"/>
      <c r="R61" s="398"/>
      <c r="S61" s="399"/>
      <c r="T61" s="398"/>
      <c r="U61" s="12"/>
      <c r="X61" s="176"/>
    </row>
    <row r="62" spans="1:24" ht="3.75" customHeight="1">
      <c r="A62" s="6"/>
      <c r="B62" s="15"/>
      <c r="C62" s="7"/>
      <c r="D62" s="7"/>
      <c r="E62" s="59"/>
      <c r="F62" s="33"/>
      <c r="G62" s="59"/>
      <c r="H62" s="384"/>
      <c r="I62" s="383"/>
      <c r="J62" s="384"/>
      <c r="K62" s="383"/>
      <c r="L62" s="421"/>
      <c r="M62" s="59"/>
      <c r="N62" s="400"/>
      <c r="O62" s="59"/>
      <c r="P62" s="398"/>
      <c r="Q62" s="399"/>
      <c r="R62" s="398"/>
      <c r="S62" s="399"/>
      <c r="T62" s="398"/>
      <c r="U62" s="12"/>
      <c r="X62" s="176"/>
    </row>
    <row r="63" spans="1:24" ht="19.5" customHeight="1">
      <c r="A63" s="18">
        <v>1</v>
      </c>
      <c r="B63" s="942" t="s">
        <v>11</v>
      </c>
      <c r="C63" s="260"/>
      <c r="D63" s="260"/>
      <c r="E63" s="63"/>
      <c r="F63" s="297" t="s">
        <v>322</v>
      </c>
      <c r="G63" s="63"/>
      <c r="H63" s="390">
        <v>256</v>
      </c>
      <c r="I63" s="387"/>
      <c r="J63" s="390">
        <f>H63*0.9</f>
        <v>230.4</v>
      </c>
      <c r="K63" s="387"/>
      <c r="L63" s="418">
        <f aca="true" t="shared" si="11" ref="L63:L77">H63-J63</f>
        <v>25.599999999999994</v>
      </c>
      <c r="M63" s="63"/>
      <c r="N63" s="401">
        <v>4</v>
      </c>
      <c r="O63" s="63"/>
      <c r="P63" s="386"/>
      <c r="Q63" s="402"/>
      <c r="R63" s="488">
        <f aca="true" t="shared" si="12" ref="R63:R77">(H63*$T$7)*(N63+P63)</f>
        <v>1024</v>
      </c>
      <c r="S63" s="489"/>
      <c r="T63" s="488">
        <v>0</v>
      </c>
      <c r="U63" s="27"/>
      <c r="X63" s="176"/>
    </row>
    <row r="64" spans="1:24" ht="19.5" customHeight="1">
      <c r="A64" s="18">
        <v>2</v>
      </c>
      <c r="B64" s="260"/>
      <c r="C64" s="260"/>
      <c r="D64" s="260"/>
      <c r="E64" s="63"/>
      <c r="F64" s="297" t="s">
        <v>322</v>
      </c>
      <c r="G64" s="63"/>
      <c r="H64" s="390"/>
      <c r="I64" s="387"/>
      <c r="J64" s="390"/>
      <c r="K64" s="387"/>
      <c r="L64" s="418">
        <f t="shared" si="11"/>
        <v>0</v>
      </c>
      <c r="M64" s="63"/>
      <c r="N64" s="401"/>
      <c r="O64" s="63"/>
      <c r="P64" s="403"/>
      <c r="Q64" s="402"/>
      <c r="R64" s="488">
        <f t="shared" si="12"/>
        <v>0</v>
      </c>
      <c r="S64" s="489"/>
      <c r="T64" s="488">
        <v>0</v>
      </c>
      <c r="U64" s="27"/>
      <c r="X64" s="176"/>
    </row>
    <row r="65" spans="1:24" ht="19.5" customHeight="1">
      <c r="A65" s="18">
        <v>3</v>
      </c>
      <c r="B65" s="260"/>
      <c r="C65" s="260"/>
      <c r="D65" s="260"/>
      <c r="E65" s="63"/>
      <c r="F65" s="297" t="s">
        <v>322</v>
      </c>
      <c r="G65" s="63"/>
      <c r="H65" s="390"/>
      <c r="I65" s="387"/>
      <c r="J65" s="390"/>
      <c r="K65" s="387"/>
      <c r="L65" s="418">
        <f t="shared" si="11"/>
        <v>0</v>
      </c>
      <c r="M65" s="63"/>
      <c r="N65" s="401"/>
      <c r="O65" s="63"/>
      <c r="P65" s="403"/>
      <c r="Q65" s="402"/>
      <c r="R65" s="488">
        <f t="shared" si="12"/>
        <v>0</v>
      </c>
      <c r="S65" s="489"/>
      <c r="T65" s="488">
        <v>0</v>
      </c>
      <c r="U65" s="27"/>
      <c r="X65" s="176"/>
    </row>
    <row r="66" spans="1:24" ht="19.5" customHeight="1">
      <c r="A66" s="18">
        <v>4</v>
      </c>
      <c r="B66" s="260"/>
      <c r="C66" s="260"/>
      <c r="D66" s="260"/>
      <c r="E66" s="63"/>
      <c r="F66" s="297" t="s">
        <v>322</v>
      </c>
      <c r="G66" s="63"/>
      <c r="H66" s="390"/>
      <c r="I66" s="387"/>
      <c r="J66" s="390"/>
      <c r="K66" s="387"/>
      <c r="L66" s="418">
        <f t="shared" si="11"/>
        <v>0</v>
      </c>
      <c r="M66" s="63"/>
      <c r="N66" s="401"/>
      <c r="O66" s="63"/>
      <c r="P66" s="403"/>
      <c r="Q66" s="402"/>
      <c r="R66" s="488">
        <f t="shared" si="12"/>
        <v>0</v>
      </c>
      <c r="S66" s="489"/>
      <c r="T66" s="488">
        <v>0</v>
      </c>
      <c r="U66" s="27"/>
      <c r="X66" s="176"/>
    </row>
    <row r="67" spans="1:24" ht="19.5" customHeight="1">
      <c r="A67" s="18">
        <v>5</v>
      </c>
      <c r="B67" s="260"/>
      <c r="C67" s="260"/>
      <c r="D67" s="260"/>
      <c r="E67" s="63"/>
      <c r="F67" s="297" t="s">
        <v>322</v>
      </c>
      <c r="G67" s="63"/>
      <c r="H67" s="390"/>
      <c r="I67" s="387"/>
      <c r="J67" s="390"/>
      <c r="K67" s="387"/>
      <c r="L67" s="418">
        <f t="shared" si="11"/>
        <v>0</v>
      </c>
      <c r="M67" s="63"/>
      <c r="N67" s="388"/>
      <c r="O67" s="63"/>
      <c r="P67" s="403"/>
      <c r="Q67" s="402"/>
      <c r="R67" s="488">
        <f t="shared" si="12"/>
        <v>0</v>
      </c>
      <c r="S67" s="489"/>
      <c r="T67" s="488">
        <f aca="true" t="shared" si="13" ref="T67:T77">(L67*$T$7)*(N67+P67)</f>
        <v>0</v>
      </c>
      <c r="U67" s="27"/>
      <c r="X67" s="176"/>
    </row>
    <row r="68" spans="1:24" ht="19.5" customHeight="1">
      <c r="A68" s="18">
        <v>6</v>
      </c>
      <c r="B68" s="260"/>
      <c r="C68" s="260"/>
      <c r="D68" s="260"/>
      <c r="E68" s="63"/>
      <c r="F68" s="297" t="s">
        <v>322</v>
      </c>
      <c r="G68" s="63"/>
      <c r="H68" s="390"/>
      <c r="I68" s="387"/>
      <c r="J68" s="390"/>
      <c r="K68" s="387"/>
      <c r="L68" s="418">
        <f t="shared" si="11"/>
        <v>0</v>
      </c>
      <c r="M68" s="63"/>
      <c r="N68" s="388"/>
      <c r="O68" s="63"/>
      <c r="P68" s="403"/>
      <c r="Q68" s="402"/>
      <c r="R68" s="488">
        <f t="shared" si="12"/>
        <v>0</v>
      </c>
      <c r="S68" s="489"/>
      <c r="T68" s="488">
        <f t="shared" si="13"/>
        <v>0</v>
      </c>
      <c r="U68" s="27"/>
      <c r="X68" s="176"/>
    </row>
    <row r="69" spans="1:24" ht="19.5" customHeight="1">
      <c r="A69" s="18">
        <v>7</v>
      </c>
      <c r="B69" s="260"/>
      <c r="C69" s="260"/>
      <c r="D69" s="260"/>
      <c r="E69" s="63"/>
      <c r="F69" s="297" t="s">
        <v>322</v>
      </c>
      <c r="G69" s="63"/>
      <c r="H69" s="390"/>
      <c r="I69" s="387"/>
      <c r="J69" s="390"/>
      <c r="K69" s="387"/>
      <c r="L69" s="418">
        <f t="shared" si="11"/>
        <v>0</v>
      </c>
      <c r="M69" s="63"/>
      <c r="N69" s="388"/>
      <c r="O69" s="63"/>
      <c r="P69" s="403"/>
      <c r="Q69" s="402"/>
      <c r="R69" s="488">
        <f t="shared" si="12"/>
        <v>0</v>
      </c>
      <c r="S69" s="489"/>
      <c r="T69" s="488">
        <f t="shared" si="13"/>
        <v>0</v>
      </c>
      <c r="U69" s="27"/>
      <c r="X69" s="176"/>
    </row>
    <row r="70" spans="1:24" ht="19.5" customHeight="1">
      <c r="A70" s="18">
        <v>8</v>
      </c>
      <c r="B70" s="260"/>
      <c r="C70" s="260"/>
      <c r="D70" s="260"/>
      <c r="E70" s="63"/>
      <c r="F70" s="297" t="s">
        <v>322</v>
      </c>
      <c r="G70" s="63"/>
      <c r="H70" s="390"/>
      <c r="I70" s="387"/>
      <c r="J70" s="390"/>
      <c r="K70" s="387"/>
      <c r="L70" s="418">
        <f t="shared" si="11"/>
        <v>0</v>
      </c>
      <c r="M70" s="63"/>
      <c r="N70" s="388"/>
      <c r="O70" s="63"/>
      <c r="P70" s="403"/>
      <c r="Q70" s="402"/>
      <c r="R70" s="488">
        <f t="shared" si="12"/>
        <v>0</v>
      </c>
      <c r="S70" s="489"/>
      <c r="T70" s="488">
        <f t="shared" si="13"/>
        <v>0</v>
      </c>
      <c r="U70" s="27"/>
      <c r="X70" s="176"/>
    </row>
    <row r="71" spans="1:24" ht="19.5" customHeight="1">
      <c r="A71" s="18">
        <v>9</v>
      </c>
      <c r="B71" s="260"/>
      <c r="C71" s="260"/>
      <c r="D71" s="260"/>
      <c r="E71" s="63"/>
      <c r="F71" s="297" t="s">
        <v>322</v>
      </c>
      <c r="G71" s="63"/>
      <c r="H71" s="390"/>
      <c r="I71" s="387"/>
      <c r="J71" s="390"/>
      <c r="K71" s="387"/>
      <c r="L71" s="418">
        <f t="shared" si="11"/>
        <v>0</v>
      </c>
      <c r="M71" s="63"/>
      <c r="N71" s="388"/>
      <c r="O71" s="63"/>
      <c r="P71" s="403"/>
      <c r="Q71" s="402"/>
      <c r="R71" s="488">
        <f t="shared" si="12"/>
        <v>0</v>
      </c>
      <c r="S71" s="489"/>
      <c r="T71" s="488">
        <f t="shared" si="13"/>
        <v>0</v>
      </c>
      <c r="U71" s="27"/>
      <c r="X71" s="176"/>
    </row>
    <row r="72" spans="1:24" ht="19.5" customHeight="1">
      <c r="A72" s="18">
        <v>10</v>
      </c>
      <c r="B72" s="260"/>
      <c r="C72" s="260"/>
      <c r="D72" s="260"/>
      <c r="E72" s="63"/>
      <c r="F72" s="297" t="s">
        <v>322</v>
      </c>
      <c r="G72" s="63"/>
      <c r="H72" s="390"/>
      <c r="I72" s="387"/>
      <c r="J72" s="390"/>
      <c r="K72" s="387"/>
      <c r="L72" s="418">
        <f t="shared" si="11"/>
        <v>0</v>
      </c>
      <c r="M72" s="63"/>
      <c r="N72" s="388"/>
      <c r="O72" s="63"/>
      <c r="P72" s="403"/>
      <c r="Q72" s="402"/>
      <c r="R72" s="488">
        <f t="shared" si="12"/>
        <v>0</v>
      </c>
      <c r="S72" s="489"/>
      <c r="T72" s="488">
        <f t="shared" si="13"/>
        <v>0</v>
      </c>
      <c r="U72" s="27"/>
      <c r="X72" s="176"/>
    </row>
    <row r="73" spans="1:24" ht="19.5" customHeight="1">
      <c r="A73" s="18">
        <v>11</v>
      </c>
      <c r="B73" s="260"/>
      <c r="C73" s="260"/>
      <c r="D73" s="260"/>
      <c r="E73" s="63"/>
      <c r="F73" s="297" t="s">
        <v>322</v>
      </c>
      <c r="G73" s="63"/>
      <c r="H73" s="390"/>
      <c r="I73" s="387"/>
      <c r="J73" s="390"/>
      <c r="K73" s="387"/>
      <c r="L73" s="418">
        <f t="shared" si="11"/>
        <v>0</v>
      </c>
      <c r="M73" s="63"/>
      <c r="N73" s="388"/>
      <c r="O73" s="63"/>
      <c r="P73" s="403"/>
      <c r="Q73" s="402"/>
      <c r="R73" s="488">
        <f t="shared" si="12"/>
        <v>0</v>
      </c>
      <c r="S73" s="489"/>
      <c r="T73" s="488">
        <f t="shared" si="13"/>
        <v>0</v>
      </c>
      <c r="U73" s="27"/>
      <c r="X73" s="176"/>
    </row>
    <row r="74" spans="1:24" ht="19.5" customHeight="1">
      <c r="A74" s="18">
        <v>12</v>
      </c>
      <c r="B74" s="260"/>
      <c r="C74" s="260"/>
      <c r="D74" s="260"/>
      <c r="E74" s="63"/>
      <c r="F74" s="297" t="s">
        <v>322</v>
      </c>
      <c r="G74" s="63"/>
      <c r="H74" s="390"/>
      <c r="I74" s="387"/>
      <c r="J74" s="390"/>
      <c r="K74" s="387"/>
      <c r="L74" s="418">
        <f t="shared" si="11"/>
        <v>0</v>
      </c>
      <c r="M74" s="63"/>
      <c r="N74" s="388"/>
      <c r="O74" s="63"/>
      <c r="P74" s="403"/>
      <c r="Q74" s="402"/>
      <c r="R74" s="488">
        <f t="shared" si="12"/>
        <v>0</v>
      </c>
      <c r="S74" s="489"/>
      <c r="T74" s="488">
        <f t="shared" si="13"/>
        <v>0</v>
      </c>
      <c r="U74" s="27"/>
      <c r="X74" s="176"/>
    </row>
    <row r="75" spans="1:24" ht="19.5" customHeight="1">
      <c r="A75" s="18">
        <v>13</v>
      </c>
      <c r="B75" s="260"/>
      <c r="C75" s="260"/>
      <c r="D75" s="260"/>
      <c r="E75" s="63"/>
      <c r="F75" s="297" t="s">
        <v>322</v>
      </c>
      <c r="G75" s="63"/>
      <c r="H75" s="390"/>
      <c r="I75" s="387"/>
      <c r="J75" s="390"/>
      <c r="K75" s="387"/>
      <c r="L75" s="418">
        <f t="shared" si="11"/>
        <v>0</v>
      </c>
      <c r="M75" s="63"/>
      <c r="N75" s="388"/>
      <c r="O75" s="63"/>
      <c r="P75" s="403"/>
      <c r="Q75" s="402"/>
      <c r="R75" s="488">
        <f t="shared" si="12"/>
        <v>0</v>
      </c>
      <c r="S75" s="489"/>
      <c r="T75" s="488">
        <f t="shared" si="13"/>
        <v>0</v>
      </c>
      <c r="U75" s="27"/>
      <c r="X75" s="176"/>
    </row>
    <row r="76" spans="1:24" ht="19.5" customHeight="1">
      <c r="A76" s="18">
        <v>14</v>
      </c>
      <c r="B76" s="260"/>
      <c r="C76" s="260"/>
      <c r="D76" s="260"/>
      <c r="E76" s="63"/>
      <c r="F76" s="297" t="s">
        <v>322</v>
      </c>
      <c r="G76" s="63"/>
      <c r="H76" s="390"/>
      <c r="I76" s="387"/>
      <c r="J76" s="390"/>
      <c r="K76" s="387"/>
      <c r="L76" s="418">
        <f t="shared" si="11"/>
        <v>0</v>
      </c>
      <c r="M76" s="63"/>
      <c r="N76" s="388"/>
      <c r="O76" s="63"/>
      <c r="P76" s="403"/>
      <c r="Q76" s="402"/>
      <c r="R76" s="488">
        <f t="shared" si="12"/>
        <v>0</v>
      </c>
      <c r="S76" s="489"/>
      <c r="T76" s="488">
        <f t="shared" si="13"/>
        <v>0</v>
      </c>
      <c r="U76" s="27"/>
      <c r="X76" s="176"/>
    </row>
    <row r="77" spans="1:24" ht="19.5" customHeight="1" thickBot="1">
      <c r="A77" s="18">
        <v>15</v>
      </c>
      <c r="B77" s="260"/>
      <c r="C77" s="260"/>
      <c r="D77" s="260"/>
      <c r="E77" s="63"/>
      <c r="F77" s="297" t="s">
        <v>322</v>
      </c>
      <c r="G77" s="63"/>
      <c r="H77" s="390"/>
      <c r="I77" s="387"/>
      <c r="J77" s="390"/>
      <c r="K77" s="387"/>
      <c r="L77" s="418">
        <f t="shared" si="11"/>
        <v>0</v>
      </c>
      <c r="M77" s="63"/>
      <c r="N77" s="388"/>
      <c r="O77" s="63"/>
      <c r="P77" s="390"/>
      <c r="Q77" s="387"/>
      <c r="R77" s="488">
        <f t="shared" si="12"/>
        <v>0</v>
      </c>
      <c r="S77" s="489"/>
      <c r="T77" s="488">
        <f t="shared" si="13"/>
        <v>0</v>
      </c>
      <c r="U77" s="27"/>
      <c r="X77" s="176"/>
    </row>
    <row r="78" spans="1:24" ht="21.75" customHeight="1" thickBot="1">
      <c r="A78" s="112"/>
      <c r="B78" s="113"/>
      <c r="C78" s="113"/>
      <c r="D78" s="113" t="s">
        <v>311</v>
      </c>
      <c r="E78" s="114"/>
      <c r="F78" s="391"/>
      <c r="G78" s="392"/>
      <c r="H78" s="404">
        <f>SUM(H63:H77)</f>
        <v>256</v>
      </c>
      <c r="I78" s="405"/>
      <c r="J78" s="393"/>
      <c r="K78" s="394"/>
      <c r="L78" s="499"/>
      <c r="M78" s="392"/>
      <c r="N78" s="395"/>
      <c r="O78" s="392"/>
      <c r="P78" s="393"/>
      <c r="Q78" s="394"/>
      <c r="R78" s="500">
        <f>SUM(R63:R77)</f>
        <v>1024</v>
      </c>
      <c r="S78" s="501"/>
      <c r="T78" s="502">
        <f>SUM(T63:T77)</f>
        <v>0</v>
      </c>
      <c r="U78" s="498"/>
      <c r="X78" s="176"/>
    </row>
    <row r="79" spans="1:24" ht="3.75" customHeight="1">
      <c r="A79" s="6"/>
      <c r="B79" s="7"/>
      <c r="C79" s="7"/>
      <c r="D79" s="7"/>
      <c r="E79" s="7"/>
      <c r="F79" s="33"/>
      <c r="G79" s="7"/>
      <c r="H79" s="384"/>
      <c r="I79" s="384"/>
      <c r="J79" s="384"/>
      <c r="K79" s="384"/>
      <c r="L79" s="406"/>
      <c r="M79" s="7"/>
      <c r="N79" s="381"/>
      <c r="O79" s="7"/>
      <c r="P79" s="384"/>
      <c r="Q79" s="407"/>
      <c r="R79" s="381"/>
      <c r="S79" s="503"/>
      <c r="T79" s="381"/>
      <c r="U79" s="12"/>
      <c r="X79" s="176"/>
    </row>
    <row r="80" spans="1:24" ht="18" customHeight="1">
      <c r="A80" s="17" t="s">
        <v>323</v>
      </c>
      <c r="B80" s="8"/>
      <c r="C80" s="7"/>
      <c r="D80" s="7"/>
      <c r="E80" s="7"/>
      <c r="F80" s="33"/>
      <c r="G80" s="7"/>
      <c r="H80" s="406"/>
      <c r="I80" s="384"/>
      <c r="J80" s="384"/>
      <c r="K80" s="384"/>
      <c r="L80" s="406"/>
      <c r="M80" s="7"/>
      <c r="N80" s="381"/>
      <c r="O80" s="7"/>
      <c r="P80" s="384"/>
      <c r="Q80" s="407"/>
      <c r="R80" s="504">
        <f>+R59+R78</f>
        <v>1202</v>
      </c>
      <c r="S80" s="503"/>
      <c r="T80" s="504">
        <f>+T59+T78</f>
        <v>178</v>
      </c>
      <c r="U80" s="12"/>
      <c r="X80" s="176"/>
    </row>
    <row r="81" spans="1:24" ht="4.5" customHeight="1" thickBot="1">
      <c r="A81" s="375"/>
      <c r="B81" s="46"/>
      <c r="C81" s="46"/>
      <c r="D81" s="46"/>
      <c r="E81" s="46"/>
      <c r="F81" s="408"/>
      <c r="G81" s="46"/>
      <c r="H81" s="409"/>
      <c r="I81" s="410"/>
      <c r="J81" s="410"/>
      <c r="K81" s="410"/>
      <c r="L81" s="409"/>
      <c r="M81" s="46"/>
      <c r="N81" s="411"/>
      <c r="O81" s="46"/>
      <c r="P81" s="410"/>
      <c r="Q81" s="412"/>
      <c r="R81" s="411"/>
      <c r="S81" s="505"/>
      <c r="T81" s="411"/>
      <c r="U81" s="53"/>
      <c r="X81" s="176"/>
    </row>
    <row r="82" spans="1:24" ht="5.25" customHeight="1" thickTop="1">
      <c r="A82" s="6"/>
      <c r="B82" s="7"/>
      <c r="C82" s="7"/>
      <c r="D82" s="7"/>
      <c r="E82" s="7"/>
      <c r="F82" s="33"/>
      <c r="G82" s="7"/>
      <c r="H82" s="384"/>
      <c r="I82" s="384"/>
      <c r="J82" s="384"/>
      <c r="K82" s="384"/>
      <c r="L82" s="406"/>
      <c r="M82" s="7"/>
      <c r="N82" s="381"/>
      <c r="O82" s="7"/>
      <c r="P82" s="398"/>
      <c r="Q82" s="413"/>
      <c r="R82" s="506"/>
      <c r="S82" s="507"/>
      <c r="T82" s="506"/>
      <c r="U82" s="12"/>
      <c r="X82" s="176"/>
    </row>
    <row r="83" spans="1:24" ht="18" customHeight="1">
      <c r="A83" s="47" t="s">
        <v>324</v>
      </c>
      <c r="B83" s="52" t="s">
        <v>325</v>
      </c>
      <c r="C83" s="7"/>
      <c r="D83" s="7"/>
      <c r="E83" s="7"/>
      <c r="F83" s="33"/>
      <c r="G83" s="7"/>
      <c r="H83" s="384"/>
      <c r="I83" s="384"/>
      <c r="J83" s="384"/>
      <c r="K83" s="384"/>
      <c r="L83" s="406"/>
      <c r="M83" s="7"/>
      <c r="N83" s="381"/>
      <c r="O83" s="7"/>
      <c r="P83" s="384"/>
      <c r="Q83" s="407"/>
      <c r="R83" s="414">
        <f>R27-R80</f>
        <v>61.299999999999955</v>
      </c>
      <c r="S83" s="503"/>
      <c r="T83" s="414">
        <f>T27-T80</f>
        <v>1070.45</v>
      </c>
      <c r="U83" s="12"/>
      <c r="X83" s="176"/>
    </row>
    <row r="84" spans="1:24" ht="8.25" customHeight="1" thickBot="1">
      <c r="A84" s="508"/>
      <c r="B84" s="509"/>
      <c r="C84" s="113"/>
      <c r="D84" s="113"/>
      <c r="E84" s="113"/>
      <c r="F84" s="138"/>
      <c r="G84" s="113"/>
      <c r="H84" s="510"/>
      <c r="I84" s="510"/>
      <c r="J84" s="510"/>
      <c r="K84" s="510"/>
      <c r="L84" s="511"/>
      <c r="M84" s="113"/>
      <c r="N84" s="512"/>
      <c r="O84" s="113"/>
      <c r="P84" s="510"/>
      <c r="Q84" s="513"/>
      <c r="R84" s="514"/>
      <c r="S84" s="515"/>
      <c r="T84" s="514"/>
      <c r="U84" s="110"/>
      <c r="X84" s="176"/>
    </row>
    <row r="85" spans="1:24" ht="5.25" customHeight="1" thickBot="1">
      <c r="A85" s="47"/>
      <c r="B85" s="52"/>
      <c r="C85" s="7"/>
      <c r="D85" s="7"/>
      <c r="E85" s="7"/>
      <c r="F85" s="33"/>
      <c r="G85" s="7"/>
      <c r="H85" s="384"/>
      <c r="I85" s="384"/>
      <c r="J85" s="384"/>
      <c r="K85" s="384"/>
      <c r="L85" s="406"/>
      <c r="M85" s="7"/>
      <c r="N85" s="381"/>
      <c r="O85" s="7"/>
      <c r="P85" s="384"/>
      <c r="Q85" s="384"/>
      <c r="R85" s="414"/>
      <c r="S85" s="381"/>
      <c r="T85" s="414"/>
      <c r="U85" s="12"/>
      <c r="X85" s="176"/>
    </row>
    <row r="86" spans="1:24" ht="18" customHeight="1" thickBot="1">
      <c r="A86" s="47" t="s">
        <v>391</v>
      </c>
      <c r="B86" s="52"/>
      <c r="C86" s="7"/>
      <c r="D86" s="7"/>
      <c r="E86" s="7"/>
      <c r="F86" s="33"/>
      <c r="G86" s="7"/>
      <c r="H86" s="919">
        <f>(H78*T7)/275</f>
        <v>0.9309090909090909</v>
      </c>
      <c r="I86" s="516"/>
      <c r="J86" s="516" t="s">
        <v>392</v>
      </c>
      <c r="K86" s="384"/>
      <c r="L86" s="406"/>
      <c r="M86" s="7"/>
      <c r="N86" s="381"/>
      <c r="O86" s="7"/>
      <c r="P86" s="384"/>
      <c r="Q86" s="384"/>
      <c r="R86" s="414"/>
      <c r="S86" s="381"/>
      <c r="T86" s="414"/>
      <c r="U86" s="12"/>
      <c r="X86" s="176"/>
    </row>
    <row r="87" spans="1:24" ht="6.75" customHeight="1" thickBot="1">
      <c r="A87" s="45"/>
      <c r="B87" s="46"/>
      <c r="C87" s="46"/>
      <c r="D87" s="46"/>
      <c r="E87" s="46"/>
      <c r="F87" s="408"/>
      <c r="G87" s="46"/>
      <c r="H87" s="517"/>
      <c r="I87" s="410"/>
      <c r="J87" s="410"/>
      <c r="K87" s="410"/>
      <c r="L87" s="409"/>
      <c r="M87" s="46"/>
      <c r="N87" s="409"/>
      <c r="O87" s="46"/>
      <c r="P87" s="410"/>
      <c r="Q87" s="410"/>
      <c r="R87" s="410"/>
      <c r="S87" s="410"/>
      <c r="T87" s="410"/>
      <c r="U87" s="53"/>
      <c r="X87" s="176"/>
    </row>
    <row r="88" spans="1:24" ht="13.5" thickTop="1">
      <c r="A88" s="176"/>
      <c r="B88" s="176"/>
      <c r="C88" s="176"/>
      <c r="D88" s="176"/>
      <c r="E88" s="176"/>
      <c r="F88" s="176"/>
      <c r="G88" s="176"/>
      <c r="H88" s="176"/>
      <c r="I88" s="176"/>
      <c r="V88" s="176"/>
      <c r="W88" s="176"/>
      <c r="X88" s="176"/>
    </row>
    <row r="89" spans="1:24" ht="12.7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row>
    <row r="90" spans="1:24" ht="12.7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row>
  </sheetData>
  <sheetProtection password="CB61" sheet="1" objects="1" scenarios="1"/>
  <mergeCells count="2">
    <mergeCell ref="J1:L1"/>
    <mergeCell ref="D7:G7"/>
  </mergeCells>
  <printOptions horizontalCentered="1"/>
  <pageMargins left="0.7480314960629921" right="0.7480314960629921" top="0.3937007874015748" bottom="0.3937007874015748" header="0.11811023622047245" footer="0.11811023622047245"/>
  <pageSetup fitToHeight="1" fitToWidth="1" horizontalDpi="300" verticalDpi="300" orientation="portrait" scale="53" r:id="rId3"/>
  <colBreaks count="1" manualBreakCount="1">
    <brk id="8"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showGridLines="0" zoomScale="75" zoomScaleNormal="75" workbookViewId="0" topLeftCell="A21">
      <selection activeCell="A1" sqref="A1"/>
    </sheetView>
  </sheetViews>
  <sheetFormatPr defaultColWidth="11.421875" defaultRowHeight="12.75"/>
  <cols>
    <col min="1" max="1" width="2.28125" style="205" customWidth="1"/>
    <col min="2" max="2" width="7.00390625" style="205" customWidth="1"/>
    <col min="3" max="5" width="9.140625" style="205" customWidth="1"/>
    <col min="6" max="6" width="11.7109375" style="205" customWidth="1"/>
    <col min="7" max="7" width="9.140625" style="205" customWidth="1"/>
    <col min="8" max="8" width="10.421875" style="205" customWidth="1"/>
    <col min="9" max="9" width="10.28125" style="205" customWidth="1"/>
    <col min="10" max="10" width="11.8515625" style="205" customWidth="1"/>
    <col min="11" max="11" width="6.28125" style="205" customWidth="1"/>
    <col min="12" max="12" width="13.28125" style="205" customWidth="1"/>
    <col min="13" max="16384" width="9.140625" style="205" customWidth="1"/>
  </cols>
  <sheetData>
    <row r="1" spans="1:12" ht="9.75" customHeight="1" thickBot="1" thickTop="1">
      <c r="A1" s="202"/>
      <c r="B1" s="203"/>
      <c r="C1" s="203"/>
      <c r="D1" s="203"/>
      <c r="E1" s="203"/>
      <c r="F1" s="203"/>
      <c r="G1" s="203"/>
      <c r="H1" s="203"/>
      <c r="I1" s="203"/>
      <c r="J1" s="203"/>
      <c r="K1" s="203"/>
      <c r="L1" s="204"/>
    </row>
    <row r="2" spans="1:12" ht="24" thickBot="1">
      <c r="A2" s="206"/>
      <c r="C2"/>
      <c r="D2"/>
      <c r="E2" s="224"/>
      <c r="F2" s="447"/>
      <c r="G2" s="448" t="s">
        <v>471</v>
      </c>
      <c r="H2" s="449"/>
      <c r="I2" s="207"/>
      <c r="J2" s="207"/>
      <c r="K2" s="207"/>
      <c r="L2" s="208"/>
    </row>
    <row r="3" spans="1:12" ht="18.75">
      <c r="A3" s="206"/>
      <c r="C3"/>
      <c r="D3"/>
      <c r="E3" s="224"/>
      <c r="F3" s="445"/>
      <c r="G3" s="446"/>
      <c r="H3" s="445"/>
      <c r="I3" s="207"/>
      <c r="J3" s="207"/>
      <c r="K3" s="207"/>
      <c r="L3" s="208"/>
    </row>
    <row r="4" spans="1:12" ht="18">
      <c r="A4" s="222"/>
      <c r="B4"/>
      <c r="C4" s="207"/>
      <c r="D4" s="207"/>
      <c r="E4" s="207"/>
      <c r="F4"/>
      <c r="G4" s="223" t="s">
        <v>475</v>
      </c>
      <c r="H4" s="207"/>
      <c r="I4" s="207"/>
      <c r="J4" s="207"/>
      <c r="K4" s="207"/>
      <c r="L4" s="208"/>
    </row>
    <row r="5" spans="1:12" ht="4.5" customHeight="1">
      <c r="A5" s="209"/>
      <c r="B5" s="207"/>
      <c r="C5" s="207"/>
      <c r="D5" s="207"/>
      <c r="E5" s="207"/>
      <c r="F5" s="207"/>
      <c r="G5" s="207"/>
      <c r="H5" s="207"/>
      <c r="I5" s="207"/>
      <c r="J5" s="207"/>
      <c r="K5" s="207"/>
      <c r="L5" s="208"/>
    </row>
    <row r="6" spans="1:12" ht="15.75">
      <c r="A6" s="209"/>
      <c r="B6" s="207"/>
      <c r="C6" s="207"/>
      <c r="D6"/>
      <c r="E6"/>
      <c r="F6" s="210" t="s">
        <v>539</v>
      </c>
      <c r="G6" s="207"/>
      <c r="H6" s="207"/>
      <c r="I6" s="207"/>
      <c r="J6" s="207"/>
      <c r="K6" s="207"/>
      <c r="L6" s="208"/>
    </row>
    <row r="7" spans="1:12" ht="15.75">
      <c r="A7" s="209"/>
      <c r="B7" s="207"/>
      <c r="C7" s="207"/>
      <c r="D7"/>
      <c r="E7" s="210"/>
      <c r="F7" s="207"/>
      <c r="G7" s="207"/>
      <c r="H7" s="207"/>
      <c r="I7" s="207"/>
      <c r="J7" s="207"/>
      <c r="K7" s="207"/>
      <c r="L7" s="208"/>
    </row>
    <row r="8" spans="1:12" ht="18">
      <c r="A8" s="209"/>
      <c r="B8" s="207"/>
      <c r="C8" s="207"/>
      <c r="D8"/>
      <c r="E8" s="210"/>
      <c r="F8"/>
      <c r="G8" s="223" t="s">
        <v>54</v>
      </c>
      <c r="H8" s="207"/>
      <c r="I8" s="207"/>
      <c r="J8" s="207"/>
      <c r="K8" s="207"/>
      <c r="L8" s="208"/>
    </row>
    <row r="9" spans="1:12" ht="12.75">
      <c r="A9" s="209"/>
      <c r="B9" s="207"/>
      <c r="C9" s="207"/>
      <c r="D9" s="207"/>
      <c r="E9" s="207"/>
      <c r="F9" s="207"/>
      <c r="G9" s="207"/>
      <c r="H9" s="207"/>
      <c r="I9" s="207"/>
      <c r="J9" s="207"/>
      <c r="K9" s="207"/>
      <c r="L9" s="208"/>
    </row>
    <row r="10" spans="1:12" ht="16.5" customHeight="1">
      <c r="A10" s="209"/>
      <c r="B10" s="212" t="s">
        <v>55</v>
      </c>
      <c r="C10" s="213" t="s">
        <v>384</v>
      </c>
      <c r="D10" s="207"/>
      <c r="E10" s="207"/>
      <c r="F10" s="207"/>
      <c r="G10" s="207"/>
      <c r="H10" s="207"/>
      <c r="I10" s="207"/>
      <c r="J10" s="207"/>
      <c r="K10" s="207"/>
      <c r="L10" s="208"/>
    </row>
    <row r="11" spans="1:12" ht="16.5" customHeight="1">
      <c r="A11" s="209"/>
      <c r="B11" s="212"/>
      <c r="C11" s="213" t="s">
        <v>56</v>
      </c>
      <c r="D11" s="207"/>
      <c r="E11" s="207"/>
      <c r="F11" s="207"/>
      <c r="G11" s="207"/>
      <c r="H11" s="207"/>
      <c r="I11" s="207"/>
      <c r="J11" s="207"/>
      <c r="K11" s="207"/>
      <c r="L11" s="208"/>
    </row>
    <row r="12" spans="1:12" ht="16.5" customHeight="1">
      <c r="A12" s="209"/>
      <c r="B12" s="212"/>
      <c r="C12" s="213" t="s">
        <v>57</v>
      </c>
      <c r="D12" s="207"/>
      <c r="E12" s="207"/>
      <c r="F12" s="207"/>
      <c r="G12" s="207"/>
      <c r="H12" s="207"/>
      <c r="I12" s="207"/>
      <c r="J12" s="207"/>
      <c r="K12" s="207"/>
      <c r="L12" s="208"/>
    </row>
    <row r="13" spans="1:12" ht="16.5" customHeight="1">
      <c r="A13" s="209"/>
      <c r="B13" s="212"/>
      <c r="C13" s="213" t="s">
        <v>476</v>
      </c>
      <c r="D13" s="207"/>
      <c r="E13" s="207"/>
      <c r="F13" s="207"/>
      <c r="G13" s="207"/>
      <c r="H13" s="207"/>
      <c r="I13" s="207"/>
      <c r="J13" s="207"/>
      <c r="K13" s="207"/>
      <c r="L13" s="208"/>
    </row>
    <row r="14" spans="1:12" ht="16.5" customHeight="1">
      <c r="A14" s="209"/>
      <c r="B14" s="212"/>
      <c r="C14" s="213" t="s">
        <v>477</v>
      </c>
      <c r="D14" s="207"/>
      <c r="E14" s="207"/>
      <c r="F14" s="207"/>
      <c r="G14" s="207"/>
      <c r="H14" s="207"/>
      <c r="I14" s="207"/>
      <c r="J14" s="207"/>
      <c r="K14" s="207"/>
      <c r="L14" s="208"/>
    </row>
    <row r="15" spans="1:12" ht="16.5" customHeight="1">
      <c r="A15" s="209"/>
      <c r="B15" s="212"/>
      <c r="C15" s="217" t="s">
        <v>58</v>
      </c>
      <c r="D15" s="207"/>
      <c r="E15" s="207"/>
      <c r="F15" s="207"/>
      <c r="G15" s="207"/>
      <c r="H15" s="207"/>
      <c r="I15" s="207"/>
      <c r="J15" s="207"/>
      <c r="K15" s="207"/>
      <c r="L15" s="208"/>
    </row>
    <row r="16" spans="1:12" ht="16.5" customHeight="1">
      <c r="A16" s="209"/>
      <c r="B16" s="212"/>
      <c r="C16" s="217" t="s">
        <v>478</v>
      </c>
      <c r="D16" s="207"/>
      <c r="E16" s="207"/>
      <c r="F16" s="207"/>
      <c r="G16" s="207"/>
      <c r="H16" s="207"/>
      <c r="I16" s="207"/>
      <c r="J16" s="207"/>
      <c r="K16" s="207"/>
      <c r="L16" s="208"/>
    </row>
    <row r="17" spans="1:12" ht="7.5" customHeight="1">
      <c r="A17" s="209"/>
      <c r="B17" s="212"/>
      <c r="C17" s="213"/>
      <c r="D17" s="207"/>
      <c r="E17" s="207"/>
      <c r="F17" s="207"/>
      <c r="G17" s="207"/>
      <c r="H17" s="207"/>
      <c r="I17" s="207"/>
      <c r="J17" s="207"/>
      <c r="K17" s="207"/>
      <c r="L17" s="208"/>
    </row>
    <row r="18" spans="1:12" ht="16.5" customHeight="1">
      <c r="A18" s="209"/>
      <c r="B18" s="212" t="s">
        <v>55</v>
      </c>
      <c r="C18" s="213" t="s">
        <v>59</v>
      </c>
      <c r="D18" s="207"/>
      <c r="E18" s="207"/>
      <c r="F18" s="207"/>
      <c r="G18" s="207"/>
      <c r="H18" s="207"/>
      <c r="I18" s="207"/>
      <c r="J18" s="207"/>
      <c r="K18" s="207"/>
      <c r="L18" s="208"/>
    </row>
    <row r="19" spans="1:12" ht="16.5" customHeight="1">
      <c r="A19" s="209"/>
      <c r="B19" s="207"/>
      <c r="C19" s="210" t="s">
        <v>540</v>
      </c>
      <c r="D19" s="207"/>
      <c r="E19" s="207"/>
      <c r="F19" s="207"/>
      <c r="G19" s="207"/>
      <c r="H19" s="207"/>
      <c r="I19" s="207"/>
      <c r="J19" s="207"/>
      <c r="K19" s="207"/>
      <c r="L19" s="208"/>
    </row>
    <row r="20" spans="1:12" ht="16.5" customHeight="1">
      <c r="A20" s="209"/>
      <c r="B20" s="207"/>
      <c r="C20" s="213" t="s">
        <v>60</v>
      </c>
      <c r="D20" s="207"/>
      <c r="E20" s="207"/>
      <c r="F20" s="207"/>
      <c r="G20" s="207"/>
      <c r="H20" s="207"/>
      <c r="I20" s="207"/>
      <c r="J20" s="207"/>
      <c r="K20" s="207"/>
      <c r="L20" s="208"/>
    </row>
    <row r="21" spans="1:12" ht="16.5" customHeight="1">
      <c r="A21" s="209"/>
      <c r="B21" s="207"/>
      <c r="C21" s="218" t="s">
        <v>479</v>
      </c>
      <c r="D21" s="207"/>
      <c r="E21" s="207"/>
      <c r="F21" s="207"/>
      <c r="G21" s="207"/>
      <c r="H21" s="207"/>
      <c r="I21" s="207"/>
      <c r="J21" s="207"/>
      <c r="K21" s="207"/>
      <c r="L21" s="208"/>
    </row>
    <row r="22" spans="1:12" ht="16.5" customHeight="1">
      <c r="A22" s="209"/>
      <c r="B22" s="207"/>
      <c r="C22" s="218" t="s">
        <v>480</v>
      </c>
      <c r="D22" s="207"/>
      <c r="E22" s="207"/>
      <c r="F22" s="207"/>
      <c r="G22" s="207"/>
      <c r="H22" s="207"/>
      <c r="I22" s="207"/>
      <c r="J22" s="207"/>
      <c r="K22" s="207"/>
      <c r="L22" s="208"/>
    </row>
    <row r="23" spans="1:12" ht="16.5" customHeight="1">
      <c r="A23" s="209"/>
      <c r="B23" s="207"/>
      <c r="C23" s="218" t="s">
        <v>481</v>
      </c>
      <c r="D23" s="207"/>
      <c r="E23" s="207"/>
      <c r="F23" s="207"/>
      <c r="G23" s="207"/>
      <c r="H23" s="207"/>
      <c r="I23" s="207"/>
      <c r="J23" s="207"/>
      <c r="K23" s="207"/>
      <c r="L23" s="208"/>
    </row>
    <row r="24" spans="1:12" ht="16.5" customHeight="1">
      <c r="A24" s="209"/>
      <c r="B24" s="207"/>
      <c r="C24" s="218" t="s">
        <v>61</v>
      </c>
      <c r="D24" s="207"/>
      <c r="E24" s="207"/>
      <c r="F24" s="207"/>
      <c r="G24" s="207"/>
      <c r="H24" s="207"/>
      <c r="I24" s="207"/>
      <c r="J24" s="207"/>
      <c r="K24" s="207"/>
      <c r="L24" s="208"/>
    </row>
    <row r="25" spans="1:12" ht="16.5" customHeight="1">
      <c r="A25" s="209"/>
      <c r="B25" s="207"/>
      <c r="C25" s="218" t="s">
        <v>482</v>
      </c>
      <c r="D25" s="207"/>
      <c r="E25" s="207"/>
      <c r="F25" s="207"/>
      <c r="G25" s="207"/>
      <c r="H25" s="207"/>
      <c r="I25" s="207"/>
      <c r="J25" s="207"/>
      <c r="K25" s="207"/>
      <c r="L25" s="208"/>
    </row>
    <row r="26" spans="1:12" ht="16.5" customHeight="1">
      <c r="A26" s="209"/>
      <c r="B26" s="207"/>
      <c r="C26" s="218" t="s">
        <v>483</v>
      </c>
      <c r="D26" s="207"/>
      <c r="E26" s="207"/>
      <c r="F26" s="207"/>
      <c r="G26" s="207"/>
      <c r="H26" s="207"/>
      <c r="I26" s="207"/>
      <c r="J26" s="207"/>
      <c r="K26" s="207"/>
      <c r="L26" s="208"/>
    </row>
    <row r="27" spans="1:12" ht="16.5" customHeight="1">
      <c r="A27" s="209"/>
      <c r="B27" s="207"/>
      <c r="C27" s="218" t="s">
        <v>62</v>
      </c>
      <c r="D27" s="207"/>
      <c r="E27" s="207"/>
      <c r="F27" s="207"/>
      <c r="G27" s="207"/>
      <c r="H27" s="207"/>
      <c r="I27" s="207"/>
      <c r="J27" s="207"/>
      <c r="K27" s="207"/>
      <c r="L27" s="208"/>
    </row>
    <row r="28" spans="1:12" ht="16.5" customHeight="1">
      <c r="A28" s="209"/>
      <c r="B28" s="207"/>
      <c r="C28" s="219" t="s">
        <v>63</v>
      </c>
      <c r="D28" s="207"/>
      <c r="E28" s="207"/>
      <c r="F28" s="207"/>
      <c r="G28" s="207"/>
      <c r="H28" s="207"/>
      <c r="I28" s="207"/>
      <c r="J28" s="207"/>
      <c r="K28" s="207"/>
      <c r="L28" s="208"/>
    </row>
    <row r="29" spans="1:12" ht="16.5" customHeight="1">
      <c r="A29" s="209"/>
      <c r="B29" s="207"/>
      <c r="C29" s="221" t="s">
        <v>64</v>
      </c>
      <c r="D29" s="207"/>
      <c r="E29" s="207"/>
      <c r="F29" s="207"/>
      <c r="G29" s="207"/>
      <c r="H29" s="207"/>
      <c r="I29" s="207"/>
      <c r="J29" s="207"/>
      <c r="K29" s="207"/>
      <c r="L29" s="208"/>
    </row>
    <row r="30" spans="1:12" ht="7.5" customHeight="1">
      <c r="A30" s="209"/>
      <c r="B30" s="212"/>
      <c r="C30" s="213"/>
      <c r="D30" s="207"/>
      <c r="E30" s="207"/>
      <c r="F30" s="207"/>
      <c r="G30" s="207"/>
      <c r="H30" s="207"/>
      <c r="I30" s="207"/>
      <c r="J30" s="207"/>
      <c r="K30" s="207"/>
      <c r="L30" s="208"/>
    </row>
    <row r="31" spans="1:12" ht="16.5" customHeight="1">
      <c r="A31" s="209"/>
      <c r="B31" s="212" t="s">
        <v>55</v>
      </c>
      <c r="C31" s="213" t="s">
        <v>484</v>
      </c>
      <c r="D31" s="207"/>
      <c r="E31" s="207"/>
      <c r="F31" s="207"/>
      <c r="G31" s="207"/>
      <c r="H31" s="207"/>
      <c r="I31" s="207"/>
      <c r="J31" s="207"/>
      <c r="K31" s="207"/>
      <c r="L31" s="208"/>
    </row>
    <row r="32" spans="1:12" ht="16.5" customHeight="1">
      <c r="A32" s="209"/>
      <c r="B32" s="212"/>
      <c r="C32" s="213" t="s">
        <v>485</v>
      </c>
      <c r="D32" s="207"/>
      <c r="E32" s="207"/>
      <c r="F32" s="207"/>
      <c r="G32" s="207"/>
      <c r="H32" s="207"/>
      <c r="I32" s="207"/>
      <c r="J32" s="207"/>
      <c r="K32" s="207"/>
      <c r="L32" s="208"/>
    </row>
    <row r="33" spans="1:12" ht="16.5" customHeight="1">
      <c r="A33" s="209"/>
      <c r="B33" s="212"/>
      <c r="C33" s="217" t="s">
        <v>65</v>
      </c>
      <c r="D33" s="207"/>
      <c r="E33" s="207"/>
      <c r="F33" s="207"/>
      <c r="G33" s="207"/>
      <c r="H33" s="207"/>
      <c r="I33" s="207"/>
      <c r="J33" s="207"/>
      <c r="K33" s="207"/>
      <c r="L33" s="208"/>
    </row>
    <row r="34" spans="1:12" ht="7.5" customHeight="1">
      <c r="A34" s="209"/>
      <c r="B34" s="212"/>
      <c r="C34" s="211"/>
      <c r="D34" s="207"/>
      <c r="E34" s="207"/>
      <c r="F34" s="207"/>
      <c r="G34" s="207"/>
      <c r="H34" s="207"/>
      <c r="I34" s="207"/>
      <c r="J34" s="207"/>
      <c r="K34" s="207"/>
      <c r="L34" s="208"/>
    </row>
    <row r="35" spans="1:12" ht="16.5" customHeight="1">
      <c r="A35" s="209"/>
      <c r="B35" s="212" t="s">
        <v>55</v>
      </c>
      <c r="C35" s="213" t="s">
        <v>486</v>
      </c>
      <c r="D35" s="207"/>
      <c r="E35" s="207"/>
      <c r="F35" s="207"/>
      <c r="G35" s="207"/>
      <c r="H35" s="207"/>
      <c r="I35" s="207"/>
      <c r="J35" s="207"/>
      <c r="K35" s="207"/>
      <c r="L35" s="208"/>
    </row>
    <row r="36" spans="1:12" ht="16.5" customHeight="1">
      <c r="A36" s="209"/>
      <c r="B36" s="207"/>
      <c r="C36" s="217" t="s">
        <v>487</v>
      </c>
      <c r="D36" s="207"/>
      <c r="E36" s="207"/>
      <c r="F36" s="207"/>
      <c r="G36" s="207"/>
      <c r="H36" s="207"/>
      <c r="I36" s="207"/>
      <c r="J36" s="207"/>
      <c r="K36" s="207"/>
      <c r="L36" s="208"/>
    </row>
    <row r="37" spans="1:12" ht="16.5" customHeight="1">
      <c r="A37" s="209"/>
      <c r="B37" s="207"/>
      <c r="C37" s="217" t="s">
        <v>488</v>
      </c>
      <c r="D37" s="207"/>
      <c r="E37" s="207"/>
      <c r="F37" s="207"/>
      <c r="G37" s="207"/>
      <c r="H37" s="207"/>
      <c r="I37" s="207"/>
      <c r="J37" s="207"/>
      <c r="K37" s="207"/>
      <c r="L37" s="208"/>
    </row>
    <row r="38" spans="1:12" ht="12.75" customHeight="1">
      <c r="A38" s="209"/>
      <c r="B38" s="207"/>
      <c r="C38" s="217" t="s">
        <v>489</v>
      </c>
      <c r="D38"/>
      <c r="E38" s="207"/>
      <c r="F38" s="207"/>
      <c r="G38" s="207"/>
      <c r="H38" s="207"/>
      <c r="I38" s="207"/>
      <c r="J38" s="207"/>
      <c r="K38" s="207"/>
      <c r="L38" s="208"/>
    </row>
    <row r="39" spans="1:12" ht="12.75" customHeight="1">
      <c r="A39" s="209"/>
      <c r="B39" s="207"/>
      <c r="C39" s="217" t="s">
        <v>490</v>
      </c>
      <c r="D39" s="207"/>
      <c r="E39" s="207"/>
      <c r="F39" s="207"/>
      <c r="G39" s="207"/>
      <c r="H39" s="207"/>
      <c r="I39" s="207"/>
      <c r="J39" s="207"/>
      <c r="K39" s="207"/>
      <c r="L39" s="208"/>
    </row>
    <row r="40" spans="1:12" ht="12.75" customHeight="1">
      <c r="A40" s="209"/>
      <c r="B40" s="207"/>
      <c r="C40" s="218"/>
      <c r="D40" s="207"/>
      <c r="E40" s="207"/>
      <c r="F40" s="207"/>
      <c r="G40" s="207"/>
      <c r="H40" s="207"/>
      <c r="I40" s="207"/>
      <c r="J40" s="207"/>
      <c r="K40" s="207"/>
      <c r="L40" s="208"/>
    </row>
    <row r="41" spans="1:12" ht="12.75" customHeight="1">
      <c r="A41" s="209"/>
      <c r="B41" s="212" t="s">
        <v>55</v>
      </c>
      <c r="C41" s="217" t="s">
        <v>491</v>
      </c>
      <c r="D41" s="207"/>
      <c r="E41" s="207"/>
      <c r="F41" s="207"/>
      <c r="G41" s="207"/>
      <c r="H41" s="207"/>
      <c r="I41" s="207"/>
      <c r="J41" s="207"/>
      <c r="K41" s="207"/>
      <c r="L41" s="208"/>
    </row>
    <row r="42" spans="1:12" ht="12.75" customHeight="1">
      <c r="A42" s="209"/>
      <c r="B42" s="207"/>
      <c r="C42" s="915" t="s">
        <v>492</v>
      </c>
      <c r="D42" s="207"/>
      <c r="E42" s="207"/>
      <c r="F42" s="207"/>
      <c r="G42" s="207"/>
      <c r="H42" s="207"/>
      <c r="I42" s="207"/>
      <c r="J42" s="207"/>
      <c r="K42" s="207"/>
      <c r="L42" s="208"/>
    </row>
    <row r="43" spans="1:12" ht="12.75" customHeight="1">
      <c r="A43" s="209"/>
      <c r="B43" s="207"/>
      <c r="C43" s="915" t="s">
        <v>493</v>
      </c>
      <c r="D43" s="207"/>
      <c r="E43" s="207"/>
      <c r="F43" s="207"/>
      <c r="G43" s="207"/>
      <c r="H43" s="207"/>
      <c r="I43" s="207"/>
      <c r="J43" s="207"/>
      <c r="K43" s="207"/>
      <c r="L43" s="208"/>
    </row>
    <row r="44" spans="1:12" ht="12.75" customHeight="1">
      <c r="A44" s="209"/>
      <c r="B44" s="207"/>
      <c r="C44" s="915" t="s">
        <v>494</v>
      </c>
      <c r="D44" s="207"/>
      <c r="E44" s="207"/>
      <c r="F44" s="207"/>
      <c r="G44" s="207"/>
      <c r="H44" s="207"/>
      <c r="I44" s="207"/>
      <c r="J44" s="207"/>
      <c r="K44" s="207"/>
      <c r="L44" s="208"/>
    </row>
    <row r="45" spans="1:12" ht="12.75" customHeight="1">
      <c r="A45" s="209"/>
      <c r="B45" s="207"/>
      <c r="C45" s="915" t="s">
        <v>495</v>
      </c>
      <c r="D45" s="207"/>
      <c r="E45" s="207"/>
      <c r="F45" s="207"/>
      <c r="G45" s="207"/>
      <c r="H45" s="207"/>
      <c r="I45" s="207"/>
      <c r="J45" s="207"/>
      <c r="K45" s="207"/>
      <c r="L45" s="208"/>
    </row>
    <row r="46" spans="1:12" ht="13.5" customHeight="1">
      <c r="A46" s="209"/>
      <c r="B46" s="212"/>
      <c r="C46" s="213" t="s">
        <v>496</v>
      </c>
      <c r="D46" s="207"/>
      <c r="E46" s="207"/>
      <c r="F46" s="207"/>
      <c r="G46" s="207"/>
      <c r="H46" s="207"/>
      <c r="I46" s="207"/>
      <c r="J46" s="207"/>
      <c r="K46" s="207"/>
      <c r="L46" s="208"/>
    </row>
    <row r="47" spans="1:12" ht="12.75" customHeight="1">
      <c r="A47" s="209"/>
      <c r="B47" s="212"/>
      <c r="C47" s="213" t="s">
        <v>497</v>
      </c>
      <c r="D47" s="207"/>
      <c r="E47" s="207"/>
      <c r="F47" s="207"/>
      <c r="G47" s="207"/>
      <c r="H47" s="207"/>
      <c r="I47" s="207"/>
      <c r="J47" s="207"/>
      <c r="K47" s="207"/>
      <c r="L47" s="208"/>
    </row>
    <row r="48" spans="1:12" ht="16.5" customHeight="1">
      <c r="A48" s="209"/>
      <c r="B48" s="212"/>
      <c r="C48" s="213"/>
      <c r="D48" s="207"/>
      <c r="E48" s="207"/>
      <c r="F48" s="207"/>
      <c r="G48" s="207"/>
      <c r="H48" s="207"/>
      <c r="I48" s="207"/>
      <c r="J48" s="207"/>
      <c r="L48" s="208"/>
    </row>
    <row r="49" spans="1:12" ht="16.5" customHeight="1">
      <c r="A49" s="209"/>
      <c r="B49" s="212" t="s">
        <v>55</v>
      </c>
      <c r="C49" s="213" t="s">
        <v>498</v>
      </c>
      <c r="D49" s="207"/>
      <c r="E49" s="207"/>
      <c r="F49" s="207"/>
      <c r="G49" s="207"/>
      <c r="H49" s="207"/>
      <c r="I49" s="207"/>
      <c r="J49" s="207"/>
      <c r="K49" s="207"/>
      <c r="L49" s="208"/>
    </row>
    <row r="50" spans="1:12" ht="16.5" customHeight="1">
      <c r="A50" s="209"/>
      <c r="B50" s="212"/>
      <c r="C50" s="213" t="s">
        <v>499</v>
      </c>
      <c r="D50" s="207"/>
      <c r="E50" s="207"/>
      <c r="F50" s="207"/>
      <c r="G50" s="207"/>
      <c r="H50" s="207"/>
      <c r="I50" s="207"/>
      <c r="J50" s="207"/>
      <c r="K50" s="207"/>
      <c r="L50" s="208"/>
    </row>
    <row r="51" spans="1:12" ht="12.75" customHeight="1">
      <c r="A51" s="209"/>
      <c r="B51" s="207"/>
      <c r="C51" s="213" t="s">
        <v>500</v>
      </c>
      <c r="D51" s="207"/>
      <c r="E51" s="207"/>
      <c r="F51" s="207"/>
      <c r="G51" s="207"/>
      <c r="H51" s="207"/>
      <c r="I51" s="207"/>
      <c r="J51" s="207"/>
      <c r="K51" s="207"/>
      <c r="L51" s="208"/>
    </row>
    <row r="52" spans="1:12" ht="12.75" customHeight="1">
      <c r="A52" s="209"/>
      <c r="B52" s="207"/>
      <c r="C52" s="217" t="s">
        <v>501</v>
      </c>
      <c r="D52" s="207"/>
      <c r="E52" s="207"/>
      <c r="F52" s="207"/>
      <c r="G52" s="207"/>
      <c r="H52" s="207"/>
      <c r="I52" s="207"/>
      <c r="J52" s="207"/>
      <c r="K52" s="207"/>
      <c r="L52" s="208"/>
    </row>
    <row r="53" spans="1:12" ht="12.75" customHeight="1">
      <c r="A53" s="209"/>
      <c r="B53" s="207"/>
      <c r="C53" s="217" t="s">
        <v>502</v>
      </c>
      <c r="D53" s="207"/>
      <c r="E53" s="207"/>
      <c r="F53" s="207"/>
      <c r="G53" s="207"/>
      <c r="H53" s="207"/>
      <c r="I53" s="207"/>
      <c r="J53" s="207"/>
      <c r="K53" s="207"/>
      <c r="L53" s="208"/>
    </row>
    <row r="54" spans="1:12" ht="12.75" customHeight="1">
      <c r="A54" s="209"/>
      <c r="B54" s="207"/>
      <c r="C54" s="218"/>
      <c r="D54" s="207"/>
      <c r="E54" s="207"/>
      <c r="F54" s="207"/>
      <c r="G54" s="207"/>
      <c r="H54" s="207"/>
      <c r="I54" s="207"/>
      <c r="J54" s="207"/>
      <c r="K54" s="207"/>
      <c r="L54" s="208"/>
    </row>
    <row r="55" spans="1:12" ht="12.75" customHeight="1">
      <c r="A55" s="209"/>
      <c r="B55" s="207"/>
      <c r="C55" s="218"/>
      <c r="D55" s="207"/>
      <c r="E55" s="207"/>
      <c r="F55" s="207"/>
      <c r="G55" s="207"/>
      <c r="H55" s="207"/>
      <c r="I55" s="207"/>
      <c r="J55" s="207"/>
      <c r="K55" s="207"/>
      <c r="L55" s="208"/>
    </row>
    <row r="56" spans="1:12" ht="7.5" customHeight="1" thickBot="1">
      <c r="A56" s="214"/>
      <c r="B56" s="215"/>
      <c r="C56" s="215"/>
      <c r="D56" s="215"/>
      <c r="E56" s="215"/>
      <c r="F56" s="215"/>
      <c r="G56" s="215"/>
      <c r="H56" s="215"/>
      <c r="I56" s="215"/>
      <c r="J56" s="215"/>
      <c r="K56" s="215"/>
      <c r="L56" s="216"/>
    </row>
    <row r="57" ht="13.5" thickTop="1"/>
  </sheetData>
  <sheetProtection sheet="1" objects="1" scenarios="1"/>
  <printOptions horizontalCentered="1"/>
  <pageMargins left="0.3937007874015748" right="0.3937007874015748" top="0.3937007874015748" bottom="0.3937007874015748" header="0.11811023622047245" footer="0.11811023622047245"/>
  <pageSetup fitToHeight="1" fitToWidth="1" horizontalDpi="600" verticalDpi="600" orientation="portrait" scale="90"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AA89"/>
  <sheetViews>
    <sheetView showGridLines="0" zoomScale="75" zoomScaleNormal="75" workbookViewId="0" topLeftCell="A1">
      <selection activeCell="J21" sqref="J21"/>
    </sheetView>
  </sheetViews>
  <sheetFormatPr defaultColWidth="11.421875" defaultRowHeight="12.75"/>
  <cols>
    <col min="1" max="1" width="3.140625" style="0" customWidth="1"/>
    <col min="2" max="2" width="12.421875" style="0" customWidth="1"/>
    <col min="3" max="3" width="0.9921875" style="0" customWidth="1"/>
    <col min="4" max="4" width="15.28125" style="0" customWidth="1"/>
    <col min="5" max="5" width="0.9921875" style="0" customWidth="1"/>
    <col min="6" max="6" width="12.7109375" style="0" customWidth="1"/>
    <col min="7" max="7" width="0.9921875" style="0" customWidth="1"/>
    <col min="8" max="8" width="17.7109375" style="0" customWidth="1"/>
    <col min="9" max="9" width="0.9921875" style="0" customWidth="1"/>
    <col min="10" max="10" width="17.7109375" style="0" customWidth="1"/>
    <col min="11" max="11" width="0.9921875" style="0" customWidth="1"/>
    <col min="12" max="12" width="17.7109375" style="0" customWidth="1"/>
    <col min="13" max="13" width="0.9921875" style="0" customWidth="1"/>
    <col min="14" max="14" width="14.00390625" style="0" customWidth="1"/>
    <col min="15" max="15" width="0.9921875" style="0" customWidth="1"/>
    <col min="16" max="16" width="12.57421875" style="0" customWidth="1"/>
    <col min="17" max="17" width="0.9921875" style="0" customWidth="1"/>
    <col min="18" max="18" width="16.7109375" style="0" customWidth="1"/>
    <col min="19" max="19" width="0.9921875" style="0" customWidth="1"/>
    <col min="20" max="20" width="16.7109375" style="0" customWidth="1"/>
    <col min="21" max="21" width="1.57421875" style="0" customWidth="1"/>
    <col min="22" max="22" width="14.00390625" style="0" customWidth="1"/>
    <col min="23" max="23" width="2.00390625" style="0" customWidth="1"/>
    <col min="24" max="16384" width="9.140625" style="0" customWidth="1"/>
  </cols>
  <sheetData>
    <row r="1" spans="1:24" ht="24.75">
      <c r="A1" s="482"/>
      <c r="B1" s="483"/>
      <c r="C1" s="483"/>
      <c r="D1" s="484"/>
      <c r="E1" s="176"/>
      <c r="F1" s="176"/>
      <c r="G1" s="485"/>
      <c r="H1" s="485"/>
      <c r="I1" s="485"/>
      <c r="J1" s="983" t="s">
        <v>471</v>
      </c>
      <c r="K1" s="984"/>
      <c r="L1" s="985"/>
      <c r="M1" s="176"/>
      <c r="N1" s="176"/>
      <c r="O1" s="176"/>
      <c r="P1" s="176"/>
      <c r="Q1" s="176"/>
      <c r="R1" s="176"/>
      <c r="T1" s="176"/>
      <c r="U1" s="176"/>
      <c r="X1" s="176"/>
    </row>
    <row r="2" spans="1:24" ht="9.75" customHeight="1">
      <c r="A2" s="173"/>
      <c r="B2" s="173"/>
      <c r="C2" s="173"/>
      <c r="D2" s="173"/>
      <c r="E2" s="173"/>
      <c r="F2" s="173"/>
      <c r="G2" s="173"/>
      <c r="H2" s="173"/>
      <c r="I2" s="173"/>
      <c r="J2" s="173"/>
      <c r="K2" s="173"/>
      <c r="L2" s="176"/>
      <c r="M2" s="173"/>
      <c r="N2" s="173"/>
      <c r="O2" s="173"/>
      <c r="P2" s="173"/>
      <c r="Q2" s="173"/>
      <c r="R2" s="173"/>
      <c r="S2" s="173"/>
      <c r="T2" s="173"/>
      <c r="U2" s="173"/>
      <c r="V2" s="173"/>
      <c r="W2" s="173"/>
      <c r="X2" s="176"/>
    </row>
    <row r="3" spans="1:24" ht="20.25">
      <c r="A3" s="177"/>
      <c r="B3" s="173"/>
      <c r="C3" s="176"/>
      <c r="D3" s="176"/>
      <c r="E3" s="173"/>
      <c r="F3" s="176"/>
      <c r="G3" s="173"/>
      <c r="H3" s="176"/>
      <c r="I3" s="178"/>
      <c r="J3" s="346" t="s">
        <v>397</v>
      </c>
      <c r="K3" s="178"/>
      <c r="L3" s="176"/>
      <c r="M3" s="176"/>
      <c r="N3" s="176"/>
      <c r="O3" s="176"/>
      <c r="P3" s="176"/>
      <c r="Q3" s="176"/>
      <c r="R3" s="176"/>
      <c r="S3" s="176"/>
      <c r="T3" s="176"/>
      <c r="U3" s="176"/>
      <c r="V3" s="176"/>
      <c r="W3" s="173"/>
      <c r="X3" s="176"/>
    </row>
    <row r="4" spans="1:24" ht="7.5" customHeight="1">
      <c r="A4" s="177"/>
      <c r="B4" s="173"/>
      <c r="C4" s="486"/>
      <c r="D4" s="176"/>
      <c r="E4" s="173"/>
      <c r="F4" s="176"/>
      <c r="G4" s="173"/>
      <c r="H4" s="176"/>
      <c r="I4" s="178"/>
      <c r="J4" s="178"/>
      <c r="K4" s="178"/>
      <c r="L4" s="176"/>
      <c r="M4" s="176"/>
      <c r="N4" s="176"/>
      <c r="O4" s="176"/>
      <c r="P4" s="176"/>
      <c r="Q4" s="176"/>
      <c r="R4" s="176"/>
      <c r="S4" s="176"/>
      <c r="T4" s="176"/>
      <c r="U4" s="176"/>
      <c r="V4" s="176"/>
      <c r="W4" s="173"/>
      <c r="X4" s="176"/>
    </row>
    <row r="5" spans="1:24" ht="6" customHeight="1">
      <c r="A5" s="177"/>
      <c r="B5" s="173"/>
      <c r="C5" s="179"/>
      <c r="D5" s="347"/>
      <c r="E5" s="173"/>
      <c r="F5" s="176"/>
      <c r="G5" s="176"/>
      <c r="H5" s="176"/>
      <c r="I5" s="178"/>
      <c r="J5" s="178"/>
      <c r="K5" s="178"/>
      <c r="L5" s="176"/>
      <c r="M5" s="176"/>
      <c r="N5" s="176"/>
      <c r="O5" s="176"/>
      <c r="P5" s="176"/>
      <c r="Q5" s="176"/>
      <c r="R5" s="176"/>
      <c r="S5" s="176"/>
      <c r="T5" s="176"/>
      <c r="U5" s="176"/>
      <c r="V5" s="176"/>
      <c r="W5" s="173"/>
      <c r="X5" s="176"/>
    </row>
    <row r="6" spans="1:24" ht="3.75" customHeight="1">
      <c r="A6" s="177"/>
      <c r="B6" s="173"/>
      <c r="C6" s="179"/>
      <c r="D6" s="347"/>
      <c r="E6" s="173"/>
      <c r="F6" s="176"/>
      <c r="G6" s="176"/>
      <c r="H6" s="176"/>
      <c r="I6" s="178"/>
      <c r="J6" s="178"/>
      <c r="K6" s="178"/>
      <c r="L6" s="176"/>
      <c r="M6" s="176"/>
      <c r="N6" s="176"/>
      <c r="O6" s="176"/>
      <c r="P6" s="176"/>
      <c r="Q6" s="176"/>
      <c r="R6" s="176"/>
      <c r="S6" s="176"/>
      <c r="T6" s="176"/>
      <c r="U6" s="176"/>
      <c r="V6" s="176"/>
      <c r="W6" s="173"/>
      <c r="X6" s="176"/>
    </row>
    <row r="7" spans="1:24" ht="16.5" customHeight="1">
      <c r="A7" s="177"/>
      <c r="B7" s="351" t="s">
        <v>458</v>
      </c>
      <c r="C7" s="176"/>
      <c r="D7" s="986" t="s">
        <v>12</v>
      </c>
      <c r="E7" s="987"/>
      <c r="F7" s="987"/>
      <c r="G7" s="987"/>
      <c r="H7" s="230" t="s">
        <v>288</v>
      </c>
      <c r="I7" s="173"/>
      <c r="J7" s="487" t="s">
        <v>632</v>
      </c>
      <c r="K7" s="176"/>
      <c r="L7" s="176"/>
      <c r="M7" s="176"/>
      <c r="N7" s="348" t="s">
        <v>289</v>
      </c>
      <c r="O7" s="176"/>
      <c r="P7" s="349">
        <v>12</v>
      </c>
      <c r="Q7" s="176"/>
      <c r="R7" s="264" t="s">
        <v>290</v>
      </c>
      <c r="S7" s="176"/>
      <c r="T7" s="349">
        <v>1</v>
      </c>
      <c r="U7" s="176"/>
      <c r="V7" s="176"/>
      <c r="W7" s="173"/>
      <c r="X7" s="176"/>
    </row>
    <row r="8" spans="1:24" ht="12" customHeight="1">
      <c r="A8" s="177"/>
      <c r="B8" s="179"/>
      <c r="C8" s="176"/>
      <c r="D8" s="173"/>
      <c r="E8" s="350" t="s">
        <v>291</v>
      </c>
      <c r="F8" s="173"/>
      <c r="G8" s="177"/>
      <c r="H8" s="351" t="s">
        <v>292</v>
      </c>
      <c r="I8" s="173"/>
      <c r="J8" s="352" t="s">
        <v>293</v>
      </c>
      <c r="K8" s="176"/>
      <c r="L8" s="176"/>
      <c r="M8" s="176"/>
      <c r="N8" s="353" t="s">
        <v>294</v>
      </c>
      <c r="O8" s="354"/>
      <c r="P8" s="354" t="s">
        <v>295</v>
      </c>
      <c r="Q8" s="176"/>
      <c r="R8" s="355" t="s">
        <v>296</v>
      </c>
      <c r="S8" s="176"/>
      <c r="T8" s="354" t="s">
        <v>297</v>
      </c>
      <c r="U8" s="176"/>
      <c r="V8" s="176"/>
      <c r="W8" s="173"/>
      <c r="X8" s="176"/>
    </row>
    <row r="9" spans="1:24" ht="9" customHeight="1" thickBot="1">
      <c r="A9" s="180"/>
      <c r="B9" s="180"/>
      <c r="C9" s="180"/>
      <c r="D9" s="180"/>
      <c r="E9" s="180"/>
      <c r="F9" s="180"/>
      <c r="G9" s="180"/>
      <c r="H9" s="180"/>
      <c r="I9" s="180"/>
      <c r="J9" s="180"/>
      <c r="K9" s="180"/>
      <c r="L9" s="356"/>
      <c r="M9" s="180"/>
      <c r="N9" s="180"/>
      <c r="O9" s="180"/>
      <c r="P9" s="180"/>
      <c r="Q9" s="180"/>
      <c r="R9" s="180"/>
      <c r="S9" s="180"/>
      <c r="T9" s="180"/>
      <c r="U9" s="180"/>
      <c r="X9" s="176"/>
    </row>
    <row r="10" spans="1:24" ht="4.5" customHeight="1" thickTop="1">
      <c r="A10" s="6"/>
      <c r="B10" s="7"/>
      <c r="C10" s="7"/>
      <c r="D10" s="7"/>
      <c r="E10" s="7"/>
      <c r="F10" s="7"/>
      <c r="G10" s="7"/>
      <c r="H10" s="7"/>
      <c r="I10" s="7"/>
      <c r="J10" s="7"/>
      <c r="K10" s="7"/>
      <c r="L10" s="7"/>
      <c r="M10" s="7"/>
      <c r="N10" s="7"/>
      <c r="O10" s="7"/>
      <c r="P10" s="7"/>
      <c r="Q10" s="7"/>
      <c r="R10" s="7"/>
      <c r="S10" s="7"/>
      <c r="T10" s="7"/>
      <c r="U10" s="12"/>
      <c r="X10" s="176"/>
    </row>
    <row r="11" spans="1:24" ht="14.25" customHeight="1">
      <c r="A11" s="131" t="s">
        <v>298</v>
      </c>
      <c r="B11" s="7"/>
      <c r="C11" s="7"/>
      <c r="D11" s="7"/>
      <c r="E11" s="7"/>
      <c r="F11" s="7"/>
      <c r="G11" s="7"/>
      <c r="H11" s="7"/>
      <c r="I11" s="7"/>
      <c r="J11" s="7"/>
      <c r="K11" s="7"/>
      <c r="L11" s="7"/>
      <c r="M11" s="7"/>
      <c r="N11" s="7"/>
      <c r="O11" s="7"/>
      <c r="P11" s="7"/>
      <c r="Q11" s="7"/>
      <c r="R11" s="7"/>
      <c r="S11" s="7"/>
      <c r="T11" s="7"/>
      <c r="U11" s="12"/>
      <c r="X11" s="176"/>
    </row>
    <row r="12" spans="1:24" ht="4.5" customHeight="1">
      <c r="A12" s="18"/>
      <c r="B12" s="19"/>
      <c r="C12" s="19"/>
      <c r="D12" s="19"/>
      <c r="E12" s="19"/>
      <c r="F12" s="19"/>
      <c r="G12" s="19"/>
      <c r="H12" s="19"/>
      <c r="I12" s="19"/>
      <c r="J12" s="19"/>
      <c r="K12" s="19"/>
      <c r="L12" s="19"/>
      <c r="M12" s="19"/>
      <c r="N12" s="19"/>
      <c r="O12" s="19"/>
      <c r="P12" s="19"/>
      <c r="Q12" s="19"/>
      <c r="R12" s="19"/>
      <c r="S12" s="19"/>
      <c r="T12" s="19"/>
      <c r="U12" s="27"/>
      <c r="X12" s="176"/>
    </row>
    <row r="13" spans="1:24" ht="12.75" customHeight="1">
      <c r="A13" s="76"/>
      <c r="B13" s="357"/>
      <c r="C13" s="7"/>
      <c r="D13" s="7"/>
      <c r="E13" s="59"/>
      <c r="F13" s="60" t="s">
        <v>110</v>
      </c>
      <c r="G13" s="59"/>
      <c r="H13" s="66" t="s">
        <v>299</v>
      </c>
      <c r="I13" s="19"/>
      <c r="J13" s="19"/>
      <c r="K13" s="19"/>
      <c r="L13" s="67"/>
      <c r="M13" s="63"/>
      <c r="N13" s="60" t="s">
        <v>300</v>
      </c>
      <c r="O13" s="59" t="s">
        <v>74</v>
      </c>
      <c r="P13" s="125" t="s">
        <v>301</v>
      </c>
      <c r="Q13" s="59"/>
      <c r="R13" s="66" t="s">
        <v>302</v>
      </c>
      <c r="S13" s="66"/>
      <c r="T13" s="358"/>
      <c r="U13" s="27"/>
      <c r="X13" s="176"/>
    </row>
    <row r="14" spans="1:27" ht="15.75" customHeight="1">
      <c r="A14" s="47"/>
      <c r="B14" s="124" t="s">
        <v>303</v>
      </c>
      <c r="C14" s="7"/>
      <c r="D14" s="7"/>
      <c r="E14" s="59"/>
      <c r="F14" s="60" t="s">
        <v>304</v>
      </c>
      <c r="G14" s="59"/>
      <c r="H14" s="16" t="s">
        <v>109</v>
      </c>
      <c r="I14" s="59"/>
      <c r="J14" s="40" t="s">
        <v>326</v>
      </c>
      <c r="K14" s="59"/>
      <c r="L14" s="60" t="s">
        <v>327</v>
      </c>
      <c r="M14" s="59"/>
      <c r="N14" s="44" t="s">
        <v>305</v>
      </c>
      <c r="O14" s="59"/>
      <c r="P14" s="7" t="s">
        <v>306</v>
      </c>
      <c r="Q14" s="59"/>
      <c r="R14" s="41" t="s">
        <v>307</v>
      </c>
      <c r="S14" s="61"/>
      <c r="T14" s="41" t="s">
        <v>331</v>
      </c>
      <c r="U14" s="12"/>
      <c r="X14" s="176"/>
      <c r="AA14" s="359"/>
    </row>
    <row r="15" spans="1:27" ht="12.75" customHeight="1">
      <c r="A15" s="76"/>
      <c r="B15" s="360"/>
      <c r="C15" s="7"/>
      <c r="D15" s="7"/>
      <c r="E15" s="59"/>
      <c r="F15" s="14" t="s">
        <v>308</v>
      </c>
      <c r="G15" s="59"/>
      <c r="H15" s="361" t="s">
        <v>309</v>
      </c>
      <c r="I15" s="59"/>
      <c r="J15" s="361" t="s">
        <v>309</v>
      </c>
      <c r="K15" s="59"/>
      <c r="L15" s="361" t="s">
        <v>309</v>
      </c>
      <c r="M15" s="59"/>
      <c r="N15" s="33" t="s">
        <v>388</v>
      </c>
      <c r="O15" s="59"/>
      <c r="P15" s="362"/>
      <c r="Q15" s="59"/>
      <c r="R15" s="362"/>
      <c r="S15" s="363"/>
      <c r="T15" s="362"/>
      <c r="U15" s="12"/>
      <c r="X15" s="176"/>
      <c r="AA15" s="359"/>
    </row>
    <row r="16" spans="1:27" ht="12.75" customHeight="1">
      <c r="A16" s="364"/>
      <c r="B16" s="365">
        <v>5</v>
      </c>
      <c r="C16" s="19"/>
      <c r="D16" s="19"/>
      <c r="E16" s="63"/>
      <c r="F16" s="71">
        <v>6</v>
      </c>
      <c r="G16" s="72">
        <v>1</v>
      </c>
      <c r="H16" s="71">
        <v>7</v>
      </c>
      <c r="I16" s="63"/>
      <c r="J16" s="71">
        <v>8</v>
      </c>
      <c r="K16" s="63"/>
      <c r="L16" s="415" t="s">
        <v>328</v>
      </c>
      <c r="M16" s="111"/>
      <c r="N16" s="71">
        <v>10</v>
      </c>
      <c r="O16" s="111"/>
      <c r="P16" s="71">
        <v>11</v>
      </c>
      <c r="Q16" s="68"/>
      <c r="R16" s="105" t="s">
        <v>310</v>
      </c>
      <c r="S16" s="72"/>
      <c r="T16" s="105" t="s">
        <v>332</v>
      </c>
      <c r="U16" s="27"/>
      <c r="X16" s="176"/>
      <c r="AA16" s="359"/>
    </row>
    <row r="17" spans="1:27" ht="19.5" customHeight="1">
      <c r="A17" s="366">
        <v>1</v>
      </c>
      <c r="B17" s="942" t="s">
        <v>552</v>
      </c>
      <c r="C17" s="260"/>
      <c r="D17" s="623"/>
      <c r="E17" s="284"/>
      <c r="F17" s="947" t="s">
        <v>553</v>
      </c>
      <c r="G17" s="284"/>
      <c r="H17" s="424">
        <v>25</v>
      </c>
      <c r="I17" s="296"/>
      <c r="J17" s="522"/>
      <c r="K17" s="296"/>
      <c r="L17" s="416">
        <f aca="true" t="shared" si="0" ref="L17:L26">H17-J17</f>
        <v>25</v>
      </c>
      <c r="M17" s="111"/>
      <c r="N17" s="367">
        <v>55</v>
      </c>
      <c r="O17" s="111"/>
      <c r="P17" s="368">
        <v>0.5</v>
      </c>
      <c r="Q17" s="68"/>
      <c r="R17" s="488">
        <f aca="true" t="shared" si="1" ref="R17:R26">(H17*$T$7)*(N17-P17)</f>
        <v>1362.5</v>
      </c>
      <c r="S17" s="489"/>
      <c r="T17" s="488">
        <f aca="true" t="shared" si="2" ref="T17:T26">(L17*$T$7)*(N17-P17)</f>
        <v>1362.5</v>
      </c>
      <c r="U17" s="27"/>
      <c r="X17" s="176"/>
      <c r="AA17" s="359"/>
    </row>
    <row r="18" spans="1:24" ht="19.5" customHeight="1">
      <c r="A18" s="366">
        <v>2</v>
      </c>
      <c r="B18" s="260"/>
      <c r="C18" s="260"/>
      <c r="D18" s="623"/>
      <c r="E18" s="284"/>
      <c r="F18" s="132"/>
      <c r="G18" s="284"/>
      <c r="H18" s="424"/>
      <c r="I18" s="296"/>
      <c r="J18" s="522"/>
      <c r="K18" s="296"/>
      <c r="L18" s="416">
        <f t="shared" si="0"/>
        <v>0</v>
      </c>
      <c r="M18" s="111"/>
      <c r="N18" s="367"/>
      <c r="O18" s="111"/>
      <c r="P18" s="368"/>
      <c r="Q18" s="68"/>
      <c r="R18" s="488">
        <f t="shared" si="1"/>
        <v>0</v>
      </c>
      <c r="S18" s="489"/>
      <c r="T18" s="488">
        <f t="shared" si="2"/>
        <v>0</v>
      </c>
      <c r="U18" s="107"/>
      <c r="X18" s="176"/>
    </row>
    <row r="19" spans="1:24" ht="19.5" customHeight="1">
      <c r="A19" s="366">
        <v>3</v>
      </c>
      <c r="B19" s="260"/>
      <c r="C19" s="260"/>
      <c r="D19" s="623"/>
      <c r="E19" s="284"/>
      <c r="F19" s="132"/>
      <c r="G19" s="284"/>
      <c r="H19" s="424"/>
      <c r="I19" s="296"/>
      <c r="J19" s="522"/>
      <c r="K19" s="296"/>
      <c r="L19" s="416">
        <f t="shared" si="0"/>
        <v>0</v>
      </c>
      <c r="M19" s="111"/>
      <c r="N19" s="367"/>
      <c r="O19" s="111"/>
      <c r="P19" s="368"/>
      <c r="Q19" s="68"/>
      <c r="R19" s="488">
        <f t="shared" si="1"/>
        <v>0</v>
      </c>
      <c r="S19" s="489"/>
      <c r="T19" s="488">
        <f t="shared" si="2"/>
        <v>0</v>
      </c>
      <c r="U19" s="107"/>
      <c r="X19" s="176"/>
    </row>
    <row r="20" spans="1:24" ht="19.5" customHeight="1">
      <c r="A20" s="366">
        <v>4</v>
      </c>
      <c r="B20" s="260"/>
      <c r="C20" s="260"/>
      <c r="D20" s="623"/>
      <c r="E20" s="284"/>
      <c r="F20" s="132"/>
      <c r="G20" s="284"/>
      <c r="H20" s="424"/>
      <c r="I20" s="296"/>
      <c r="J20" s="522"/>
      <c r="K20" s="296"/>
      <c r="L20" s="416">
        <f t="shared" si="0"/>
        <v>0</v>
      </c>
      <c r="M20" s="111"/>
      <c r="N20" s="367"/>
      <c r="O20" s="111"/>
      <c r="P20" s="368"/>
      <c r="Q20" s="68"/>
      <c r="R20" s="488">
        <f t="shared" si="1"/>
        <v>0</v>
      </c>
      <c r="S20" s="489"/>
      <c r="T20" s="488">
        <f t="shared" si="2"/>
        <v>0</v>
      </c>
      <c r="U20" s="107"/>
      <c r="X20" s="176"/>
    </row>
    <row r="21" spans="1:24" ht="19.5" customHeight="1">
      <c r="A21" s="366">
        <v>5</v>
      </c>
      <c r="B21" s="260"/>
      <c r="C21" s="260"/>
      <c r="D21" s="623"/>
      <c r="E21" s="284"/>
      <c r="F21" s="132"/>
      <c r="G21" s="284"/>
      <c r="H21" s="424"/>
      <c r="I21" s="296"/>
      <c r="J21" s="522"/>
      <c r="K21" s="296"/>
      <c r="L21" s="416">
        <f t="shared" si="0"/>
        <v>0</v>
      </c>
      <c r="M21" s="111"/>
      <c r="N21" s="367"/>
      <c r="O21" s="111"/>
      <c r="P21" s="368"/>
      <c r="Q21" s="68"/>
      <c r="R21" s="488">
        <f t="shared" si="1"/>
        <v>0</v>
      </c>
      <c r="S21" s="489"/>
      <c r="T21" s="488">
        <f t="shared" si="2"/>
        <v>0</v>
      </c>
      <c r="U21" s="107"/>
      <c r="X21" s="176"/>
    </row>
    <row r="22" spans="1:24" ht="19.5" customHeight="1">
      <c r="A22" s="366">
        <v>6</v>
      </c>
      <c r="B22" s="260"/>
      <c r="C22" s="260"/>
      <c r="D22" s="623"/>
      <c r="E22" s="284"/>
      <c r="F22" s="132"/>
      <c r="G22" s="284"/>
      <c r="H22" s="424"/>
      <c r="I22" s="296"/>
      <c r="J22" s="522"/>
      <c r="K22" s="296"/>
      <c r="L22" s="416">
        <f t="shared" si="0"/>
        <v>0</v>
      </c>
      <c r="M22" s="111"/>
      <c r="N22" s="367"/>
      <c r="O22" s="111"/>
      <c r="P22" s="368"/>
      <c r="Q22" s="68"/>
      <c r="R22" s="488">
        <f t="shared" si="1"/>
        <v>0</v>
      </c>
      <c r="S22" s="489"/>
      <c r="T22" s="488">
        <f t="shared" si="2"/>
        <v>0</v>
      </c>
      <c r="U22" s="107"/>
      <c r="X22" s="176"/>
    </row>
    <row r="23" spans="1:24" ht="19.5" customHeight="1">
      <c r="A23" s="366">
        <v>7</v>
      </c>
      <c r="B23" s="260"/>
      <c r="C23" s="260"/>
      <c r="D23" s="623"/>
      <c r="E23" s="284"/>
      <c r="F23" s="132"/>
      <c r="G23" s="284"/>
      <c r="H23" s="424"/>
      <c r="I23" s="296"/>
      <c r="J23" s="522"/>
      <c r="K23" s="296"/>
      <c r="L23" s="416">
        <f t="shared" si="0"/>
        <v>0</v>
      </c>
      <c r="M23" s="111"/>
      <c r="N23" s="367"/>
      <c r="O23" s="111"/>
      <c r="P23" s="368"/>
      <c r="Q23" s="68"/>
      <c r="R23" s="488">
        <f t="shared" si="1"/>
        <v>0</v>
      </c>
      <c r="S23" s="489"/>
      <c r="T23" s="488">
        <f t="shared" si="2"/>
        <v>0</v>
      </c>
      <c r="U23" s="107"/>
      <c r="X23" s="176"/>
    </row>
    <row r="24" spans="1:24" ht="19.5" customHeight="1">
      <c r="A24" s="366">
        <v>8</v>
      </c>
      <c r="B24" s="260"/>
      <c r="C24" s="260"/>
      <c r="D24" s="623"/>
      <c r="E24" s="284"/>
      <c r="F24" s="132"/>
      <c r="G24" s="284"/>
      <c r="H24" s="424"/>
      <c r="I24" s="296"/>
      <c r="J24" s="522"/>
      <c r="K24" s="296"/>
      <c r="L24" s="416">
        <f t="shared" si="0"/>
        <v>0</v>
      </c>
      <c r="M24" s="111"/>
      <c r="N24" s="367"/>
      <c r="O24" s="111"/>
      <c r="P24" s="368"/>
      <c r="Q24" s="68"/>
      <c r="R24" s="488">
        <f t="shared" si="1"/>
        <v>0</v>
      </c>
      <c r="S24" s="489"/>
      <c r="T24" s="488">
        <f t="shared" si="2"/>
        <v>0</v>
      </c>
      <c r="U24" s="107"/>
      <c r="X24" s="176"/>
    </row>
    <row r="25" spans="1:24" ht="19.5" customHeight="1">
      <c r="A25" s="366">
        <v>9</v>
      </c>
      <c r="B25" s="260"/>
      <c r="C25" s="260"/>
      <c r="D25" s="623"/>
      <c r="E25" s="284"/>
      <c r="F25" s="132"/>
      <c r="G25" s="284"/>
      <c r="H25" s="424"/>
      <c r="I25" s="296"/>
      <c r="J25" s="522"/>
      <c r="K25" s="296"/>
      <c r="L25" s="416">
        <f t="shared" si="0"/>
        <v>0</v>
      </c>
      <c r="M25" s="111"/>
      <c r="N25" s="367"/>
      <c r="O25" s="111"/>
      <c r="P25" s="368"/>
      <c r="Q25" s="68"/>
      <c r="R25" s="488">
        <f t="shared" si="1"/>
        <v>0</v>
      </c>
      <c r="S25" s="489"/>
      <c r="T25" s="488">
        <f t="shared" si="2"/>
        <v>0</v>
      </c>
      <c r="U25" s="107"/>
      <c r="X25" s="176"/>
    </row>
    <row r="26" spans="1:24" ht="19.5" customHeight="1" thickBot="1">
      <c r="A26" s="366">
        <v>10</v>
      </c>
      <c r="B26" s="260"/>
      <c r="C26" s="260"/>
      <c r="D26" s="623"/>
      <c r="E26" s="284"/>
      <c r="F26" s="132"/>
      <c r="G26" s="284"/>
      <c r="H26" s="424"/>
      <c r="I26" s="296"/>
      <c r="J26" s="522"/>
      <c r="K26" s="296"/>
      <c r="L26" s="416">
        <f t="shared" si="0"/>
        <v>0</v>
      </c>
      <c r="M26" s="111"/>
      <c r="N26" s="367"/>
      <c r="O26" s="111"/>
      <c r="P26" s="368"/>
      <c r="Q26" s="68"/>
      <c r="R26" s="488">
        <f t="shared" si="1"/>
        <v>0</v>
      </c>
      <c r="S26" s="489"/>
      <c r="T26" s="488">
        <f t="shared" si="2"/>
        <v>0</v>
      </c>
      <c r="U26" s="107"/>
      <c r="X26" s="176"/>
    </row>
    <row r="27" spans="1:27" ht="16.5" customHeight="1">
      <c r="A27" s="369"/>
      <c r="B27" s="15"/>
      <c r="C27" s="7"/>
      <c r="D27" s="7" t="s">
        <v>311</v>
      </c>
      <c r="E27" s="59"/>
      <c r="F27" s="370"/>
      <c r="G27" s="370"/>
      <c r="H27" s="371"/>
      <c r="I27" s="370"/>
      <c r="J27" s="372"/>
      <c r="K27" s="370"/>
      <c r="L27" s="373"/>
      <c r="M27" s="370"/>
      <c r="N27" s="370"/>
      <c r="O27" s="370"/>
      <c r="P27" s="2"/>
      <c r="Q27" s="374"/>
      <c r="R27" s="490">
        <f>SUM(R17:R26)</f>
        <v>1362.5</v>
      </c>
      <c r="S27" s="491"/>
      <c r="T27" s="492">
        <f>SUM(T17:T26)</f>
        <v>1362.5</v>
      </c>
      <c r="U27" s="419"/>
      <c r="X27" s="176"/>
      <c r="AA27" s="359"/>
    </row>
    <row r="28" spans="1:27" ht="2.25" customHeight="1" thickBot="1">
      <c r="A28" s="375"/>
      <c r="B28" s="46"/>
      <c r="C28" s="46"/>
      <c r="D28" s="46"/>
      <c r="E28" s="376"/>
      <c r="F28" s="239"/>
      <c r="G28" s="239"/>
      <c r="H28" s="239"/>
      <c r="I28" s="239"/>
      <c r="J28" s="239"/>
      <c r="K28" s="239"/>
      <c r="L28" s="239"/>
      <c r="M28" s="239"/>
      <c r="N28" s="239"/>
      <c r="O28" s="239"/>
      <c r="P28" s="239"/>
      <c r="Q28" s="377"/>
      <c r="R28" s="378"/>
      <c r="S28" s="376"/>
      <c r="T28" s="420"/>
      <c r="U28" s="493"/>
      <c r="X28" s="176"/>
      <c r="AA28" s="359"/>
    </row>
    <row r="29" spans="1:27" ht="6.75" customHeight="1" thickTop="1">
      <c r="A29" s="17"/>
      <c r="B29" s="7"/>
      <c r="C29" s="7"/>
      <c r="D29" s="7"/>
      <c r="E29" s="7"/>
      <c r="F29" s="7"/>
      <c r="G29" s="7"/>
      <c r="H29" s="7"/>
      <c r="I29" s="7"/>
      <c r="J29" s="7"/>
      <c r="K29" s="7"/>
      <c r="L29" s="7"/>
      <c r="M29" s="7"/>
      <c r="N29" s="7"/>
      <c r="O29" s="7"/>
      <c r="P29" s="7"/>
      <c r="Q29" s="7"/>
      <c r="R29" s="7"/>
      <c r="S29" s="7"/>
      <c r="T29" s="7"/>
      <c r="U29" s="12"/>
      <c r="X29" s="176"/>
      <c r="AA29" s="359"/>
    </row>
    <row r="30" spans="1:27" ht="15" customHeight="1">
      <c r="A30" s="76" t="s">
        <v>312</v>
      </c>
      <c r="B30" s="7"/>
      <c r="C30" s="7"/>
      <c r="D30" s="7"/>
      <c r="E30" s="7"/>
      <c r="F30" s="7"/>
      <c r="G30" s="7"/>
      <c r="H30" s="7"/>
      <c r="I30" s="7"/>
      <c r="J30" s="7"/>
      <c r="K30" s="7"/>
      <c r="L30" s="7"/>
      <c r="M30" s="7"/>
      <c r="N30" s="7"/>
      <c r="O30" s="7"/>
      <c r="P30" s="7"/>
      <c r="Q30" s="7"/>
      <c r="R30" s="7"/>
      <c r="S30" s="7"/>
      <c r="T30" s="7"/>
      <c r="U30" s="12"/>
      <c r="X30" s="176"/>
      <c r="AA30" s="359"/>
    </row>
    <row r="31" spans="1:27" ht="3" customHeight="1">
      <c r="A31" s="25"/>
      <c r="B31" s="19"/>
      <c r="C31" s="19"/>
      <c r="D31" s="19"/>
      <c r="E31" s="19"/>
      <c r="F31" s="19"/>
      <c r="G31" s="19"/>
      <c r="H31" s="19"/>
      <c r="I31" s="19"/>
      <c r="J31" s="19"/>
      <c r="K31" s="19"/>
      <c r="L31" s="19"/>
      <c r="M31" s="19"/>
      <c r="N31" s="19"/>
      <c r="O31" s="19"/>
      <c r="P31" s="19"/>
      <c r="Q31" s="19"/>
      <c r="R31" s="19"/>
      <c r="S31" s="19"/>
      <c r="T31" s="19"/>
      <c r="U31" s="27"/>
      <c r="X31" s="176"/>
      <c r="AA31" s="359"/>
    </row>
    <row r="32" spans="1:24" ht="12.75" customHeight="1">
      <c r="A32" s="76"/>
      <c r="B32" s="357"/>
      <c r="C32" s="7"/>
      <c r="D32" s="7"/>
      <c r="E32" s="59"/>
      <c r="F32" s="60" t="s">
        <v>110</v>
      </c>
      <c r="G32" s="59"/>
      <c r="H32" s="66" t="s">
        <v>389</v>
      </c>
      <c r="I32" s="19"/>
      <c r="J32" s="19"/>
      <c r="K32" s="19"/>
      <c r="L32" s="67"/>
      <c r="M32" s="63"/>
      <c r="N32" s="98" t="s">
        <v>313</v>
      </c>
      <c r="O32" s="133"/>
      <c r="P32" s="15" t="s">
        <v>301</v>
      </c>
      <c r="Q32" s="59"/>
      <c r="R32" s="67" t="s">
        <v>314</v>
      </c>
      <c r="S32" s="67"/>
      <c r="T32" s="19"/>
      <c r="U32" s="27"/>
      <c r="X32" s="176"/>
    </row>
    <row r="33" spans="1:24" ht="14.25" customHeight="1">
      <c r="A33" s="47"/>
      <c r="B33" s="124" t="s">
        <v>315</v>
      </c>
      <c r="C33" s="7"/>
      <c r="D33" s="7"/>
      <c r="E33" s="59"/>
      <c r="F33" s="60" t="s">
        <v>316</v>
      </c>
      <c r="G33" s="59"/>
      <c r="H33" s="16" t="s">
        <v>109</v>
      </c>
      <c r="I33" s="59"/>
      <c r="J33" s="417" t="s">
        <v>329</v>
      </c>
      <c r="K33" s="59"/>
      <c r="L33" s="60" t="s">
        <v>317</v>
      </c>
      <c r="M33" s="59"/>
      <c r="N33" s="44" t="s">
        <v>305</v>
      </c>
      <c r="O33" s="379"/>
      <c r="P33" s="7" t="s">
        <v>306</v>
      </c>
      <c r="Q33" s="59"/>
      <c r="R33" s="41" t="s">
        <v>307</v>
      </c>
      <c r="S33" s="61"/>
      <c r="T33" s="41" t="s">
        <v>331</v>
      </c>
      <c r="U33" s="12"/>
      <c r="X33" s="176"/>
    </row>
    <row r="34" spans="1:24" ht="14.25" customHeight="1">
      <c r="A34" s="76"/>
      <c r="B34" s="360"/>
      <c r="C34" s="7"/>
      <c r="D34" s="7"/>
      <c r="E34" s="59"/>
      <c r="F34" s="60" t="s">
        <v>317</v>
      </c>
      <c r="G34" s="59"/>
      <c r="H34" s="361" t="s">
        <v>318</v>
      </c>
      <c r="I34" s="59"/>
      <c r="J34" s="361" t="s">
        <v>318</v>
      </c>
      <c r="K34" s="59"/>
      <c r="L34" s="361" t="s">
        <v>318</v>
      </c>
      <c r="M34" s="59"/>
      <c r="N34" s="494" t="s">
        <v>390</v>
      </c>
      <c r="O34" s="363"/>
      <c r="P34" s="362"/>
      <c r="Q34" s="59"/>
      <c r="R34" s="362"/>
      <c r="S34" s="363"/>
      <c r="T34" s="362"/>
      <c r="U34" s="12"/>
      <c r="X34" s="176"/>
    </row>
    <row r="35" spans="1:24" ht="12" customHeight="1">
      <c r="A35" s="364"/>
      <c r="B35" s="365">
        <v>14</v>
      </c>
      <c r="C35" s="19"/>
      <c r="D35" s="19"/>
      <c r="E35" s="63"/>
      <c r="F35" s="71">
        <v>15</v>
      </c>
      <c r="G35" s="72"/>
      <c r="H35" s="71">
        <v>16</v>
      </c>
      <c r="I35" s="63"/>
      <c r="J35" s="71">
        <v>17</v>
      </c>
      <c r="K35" s="63"/>
      <c r="L35" s="415" t="s">
        <v>330</v>
      </c>
      <c r="M35" s="111"/>
      <c r="N35" s="105">
        <v>19</v>
      </c>
      <c r="O35" s="72"/>
      <c r="P35" s="105">
        <v>20</v>
      </c>
      <c r="Q35" s="380"/>
      <c r="R35" s="105" t="s">
        <v>319</v>
      </c>
      <c r="S35" s="72"/>
      <c r="T35" s="105" t="s">
        <v>333</v>
      </c>
      <c r="U35" s="27"/>
      <c r="X35" s="176"/>
    </row>
    <row r="36" spans="1:24" ht="4.5" customHeight="1">
      <c r="A36" s="6"/>
      <c r="B36" s="7"/>
      <c r="C36" s="7"/>
      <c r="D36" s="7"/>
      <c r="E36" s="59"/>
      <c r="F36" s="7"/>
      <c r="G36" s="59"/>
      <c r="H36" s="7"/>
      <c r="I36" s="59"/>
      <c r="J36" s="7"/>
      <c r="K36" s="59"/>
      <c r="L36" s="7"/>
      <c r="M36" s="59"/>
      <c r="N36" s="381"/>
      <c r="O36" s="59"/>
      <c r="P36" s="7"/>
      <c r="Q36" s="59"/>
      <c r="R36" s="7"/>
      <c r="S36" s="59"/>
      <c r="T36" s="7"/>
      <c r="U36" s="12"/>
      <c r="X36" s="176"/>
    </row>
    <row r="37" spans="1:24" ht="12.75">
      <c r="A37" s="6"/>
      <c r="B37" s="15" t="s">
        <v>320</v>
      </c>
      <c r="C37" s="7"/>
      <c r="D37" s="7"/>
      <c r="E37" s="59"/>
      <c r="F37" s="7"/>
      <c r="G37" s="59"/>
      <c r="H37" s="7"/>
      <c r="I37" s="59"/>
      <c r="J37" s="7"/>
      <c r="K37" s="59"/>
      <c r="L37" s="7"/>
      <c r="M37" s="59"/>
      <c r="N37" s="381"/>
      <c r="O37" s="59"/>
      <c r="P37" s="7"/>
      <c r="Q37" s="59"/>
      <c r="R37" s="7"/>
      <c r="S37" s="59"/>
      <c r="T37" s="7"/>
      <c r="U37" s="12"/>
      <c r="X37" s="176"/>
    </row>
    <row r="38" spans="1:24" ht="3.75" customHeight="1">
      <c r="A38" s="6"/>
      <c r="B38" s="7"/>
      <c r="C38" s="7"/>
      <c r="D38" s="7"/>
      <c r="E38" s="59"/>
      <c r="F38" s="33"/>
      <c r="G38" s="59"/>
      <c r="H38" s="382"/>
      <c r="I38" s="383"/>
      <c r="J38" s="384"/>
      <c r="K38" s="383"/>
      <c r="L38" s="406"/>
      <c r="M38" s="59"/>
      <c r="N38" s="381"/>
      <c r="O38" s="59"/>
      <c r="P38" s="384"/>
      <c r="Q38" s="383"/>
      <c r="R38" s="384"/>
      <c r="S38" s="383"/>
      <c r="T38" s="384"/>
      <c r="U38" s="12"/>
      <c r="X38" s="176"/>
    </row>
    <row r="39" spans="1:24" ht="19.5" customHeight="1">
      <c r="A39" s="18">
        <v>1</v>
      </c>
      <c r="B39" s="942" t="s">
        <v>13</v>
      </c>
      <c r="C39" s="260"/>
      <c r="D39" s="260"/>
      <c r="E39" s="284"/>
      <c r="F39" s="385" t="s">
        <v>630</v>
      </c>
      <c r="G39" s="284"/>
      <c r="H39" s="386">
        <v>1</v>
      </c>
      <c r="I39" s="495"/>
      <c r="J39" s="390"/>
      <c r="K39" s="387"/>
      <c r="L39" s="418">
        <f aca="true" t="shared" si="3" ref="L39:L57">H39-J39</f>
        <v>1</v>
      </c>
      <c r="M39" s="63"/>
      <c r="N39" s="388">
        <v>144</v>
      </c>
      <c r="O39" s="63"/>
      <c r="P39" s="388"/>
      <c r="Q39" s="387"/>
      <c r="R39" s="488">
        <f aca="true" t="shared" si="4" ref="R39:R51">(H39*$T$7)*(N39+P39)</f>
        <v>144</v>
      </c>
      <c r="S39" s="489"/>
      <c r="T39" s="488">
        <f aca="true" t="shared" si="5" ref="T39:T51">(L39*$T$7)*(N39+P39)</f>
        <v>144</v>
      </c>
      <c r="U39" s="27"/>
      <c r="X39" s="176"/>
    </row>
    <row r="40" spans="1:24" ht="19.5" customHeight="1">
      <c r="A40" s="18">
        <v>3</v>
      </c>
      <c r="B40" s="622"/>
      <c r="C40" s="260"/>
      <c r="D40" s="260"/>
      <c r="E40" s="284"/>
      <c r="F40" s="385"/>
      <c r="G40" s="284"/>
      <c r="H40" s="386"/>
      <c r="I40" s="495"/>
      <c r="J40" s="390"/>
      <c r="K40" s="387"/>
      <c r="L40" s="418">
        <f>H40-J40</f>
        <v>0</v>
      </c>
      <c r="M40" s="63"/>
      <c r="N40" s="388"/>
      <c r="O40" s="63"/>
      <c r="P40" s="388"/>
      <c r="Q40" s="387"/>
      <c r="R40" s="488">
        <f t="shared" si="4"/>
        <v>0</v>
      </c>
      <c r="S40" s="489"/>
      <c r="T40" s="488">
        <f t="shared" si="5"/>
        <v>0</v>
      </c>
      <c r="U40" s="27"/>
      <c r="X40" s="176"/>
    </row>
    <row r="41" spans="1:24" ht="19.5" customHeight="1">
      <c r="A41" s="18">
        <v>4</v>
      </c>
      <c r="B41" s="622"/>
      <c r="C41" s="260"/>
      <c r="D41" s="260"/>
      <c r="E41" s="284"/>
      <c r="F41" s="385"/>
      <c r="G41" s="284"/>
      <c r="H41" s="386"/>
      <c r="I41" s="495"/>
      <c r="J41" s="390"/>
      <c r="K41" s="387"/>
      <c r="L41" s="418">
        <f>H41-J41</f>
        <v>0</v>
      </c>
      <c r="M41" s="63"/>
      <c r="N41" s="388"/>
      <c r="O41" s="63"/>
      <c r="P41" s="388"/>
      <c r="Q41" s="387"/>
      <c r="R41" s="488">
        <f t="shared" si="4"/>
        <v>0</v>
      </c>
      <c r="S41" s="489"/>
      <c r="T41" s="488">
        <f t="shared" si="5"/>
        <v>0</v>
      </c>
      <c r="U41" s="27"/>
      <c r="X41" s="176"/>
    </row>
    <row r="42" spans="1:24" ht="19.5" customHeight="1">
      <c r="A42" s="18">
        <v>5</v>
      </c>
      <c r="B42" s="622"/>
      <c r="C42" s="260"/>
      <c r="D42" s="260"/>
      <c r="E42" s="284"/>
      <c r="F42" s="385"/>
      <c r="G42" s="284"/>
      <c r="H42" s="386"/>
      <c r="I42" s="495"/>
      <c r="J42" s="390"/>
      <c r="K42" s="387"/>
      <c r="L42" s="418">
        <f t="shared" si="3"/>
        <v>0</v>
      </c>
      <c r="M42" s="63"/>
      <c r="N42" s="401"/>
      <c r="O42" s="63"/>
      <c r="P42" s="388"/>
      <c r="Q42" s="387"/>
      <c r="R42" s="488">
        <f t="shared" si="4"/>
        <v>0</v>
      </c>
      <c r="S42" s="489"/>
      <c r="T42" s="488">
        <f t="shared" si="5"/>
        <v>0</v>
      </c>
      <c r="U42" s="27"/>
      <c r="X42" s="176"/>
    </row>
    <row r="43" spans="1:24" ht="19.5" customHeight="1">
      <c r="A43" s="18">
        <v>6</v>
      </c>
      <c r="B43" s="260"/>
      <c r="C43" s="260"/>
      <c r="D43" s="260"/>
      <c r="E43" s="284"/>
      <c r="F43" s="385"/>
      <c r="G43" s="284"/>
      <c r="H43" s="386"/>
      <c r="I43" s="495"/>
      <c r="J43" s="390"/>
      <c r="K43" s="387"/>
      <c r="L43" s="418">
        <f t="shared" si="3"/>
        <v>0</v>
      </c>
      <c r="M43" s="63"/>
      <c r="N43" s="388"/>
      <c r="O43" s="63"/>
      <c r="P43" s="388"/>
      <c r="Q43" s="387"/>
      <c r="R43" s="488">
        <f t="shared" si="4"/>
        <v>0</v>
      </c>
      <c r="S43" s="489"/>
      <c r="T43" s="488">
        <f t="shared" si="5"/>
        <v>0</v>
      </c>
      <c r="U43" s="27"/>
      <c r="X43" s="176"/>
    </row>
    <row r="44" spans="1:24" ht="19.5" customHeight="1">
      <c r="A44" s="18">
        <v>7</v>
      </c>
      <c r="B44" s="622"/>
      <c r="C44" s="260"/>
      <c r="D44" s="260"/>
      <c r="E44" s="284"/>
      <c r="F44" s="385"/>
      <c r="G44" s="284"/>
      <c r="H44" s="386"/>
      <c r="I44" s="495"/>
      <c r="J44" s="390"/>
      <c r="K44" s="387"/>
      <c r="L44" s="418">
        <f t="shared" si="3"/>
        <v>0</v>
      </c>
      <c r="M44" s="63"/>
      <c r="N44" s="388"/>
      <c r="O44" s="63"/>
      <c r="P44" s="388"/>
      <c r="Q44" s="387"/>
      <c r="R44" s="488">
        <f t="shared" si="4"/>
        <v>0</v>
      </c>
      <c r="S44" s="489"/>
      <c r="T44" s="488">
        <f t="shared" si="5"/>
        <v>0</v>
      </c>
      <c r="U44" s="27"/>
      <c r="X44" s="176"/>
    </row>
    <row r="45" spans="1:24" ht="19.5" customHeight="1">
      <c r="A45" s="18">
        <v>8</v>
      </c>
      <c r="B45" s="260"/>
      <c r="C45" s="260"/>
      <c r="D45" s="260"/>
      <c r="E45" s="284"/>
      <c r="F45" s="385"/>
      <c r="G45" s="284"/>
      <c r="H45" s="386"/>
      <c r="I45" s="495"/>
      <c r="J45" s="390"/>
      <c r="K45" s="387"/>
      <c r="L45" s="418">
        <f t="shared" si="3"/>
        <v>0</v>
      </c>
      <c r="M45" s="63"/>
      <c r="N45" s="401"/>
      <c r="O45" s="63"/>
      <c r="P45" s="388"/>
      <c r="Q45" s="387"/>
      <c r="R45" s="488">
        <f t="shared" si="4"/>
        <v>0</v>
      </c>
      <c r="S45" s="489"/>
      <c r="T45" s="488">
        <f t="shared" si="5"/>
        <v>0</v>
      </c>
      <c r="U45" s="27"/>
      <c r="X45" s="176"/>
    </row>
    <row r="46" spans="1:24" ht="19.5" customHeight="1">
      <c r="A46" s="18">
        <v>9</v>
      </c>
      <c r="B46" s="260"/>
      <c r="C46" s="260"/>
      <c r="D46" s="260"/>
      <c r="E46" s="284"/>
      <c r="F46" s="385"/>
      <c r="G46" s="284"/>
      <c r="H46" s="389"/>
      <c r="I46" s="495"/>
      <c r="J46" s="390"/>
      <c r="K46" s="387"/>
      <c r="L46" s="418">
        <f t="shared" si="3"/>
        <v>0</v>
      </c>
      <c r="M46" s="63"/>
      <c r="N46" s="388"/>
      <c r="O46" s="63"/>
      <c r="P46" s="390"/>
      <c r="Q46" s="387"/>
      <c r="R46" s="488">
        <f t="shared" si="4"/>
        <v>0</v>
      </c>
      <c r="S46" s="489"/>
      <c r="T46" s="488">
        <f t="shared" si="5"/>
        <v>0</v>
      </c>
      <c r="U46" s="27"/>
      <c r="X46" s="176"/>
    </row>
    <row r="47" spans="1:24" ht="19.5" customHeight="1">
      <c r="A47" s="18">
        <v>10</v>
      </c>
      <c r="B47" s="260"/>
      <c r="C47" s="260"/>
      <c r="D47" s="260"/>
      <c r="E47" s="284"/>
      <c r="F47" s="385"/>
      <c r="G47" s="284"/>
      <c r="H47" s="386"/>
      <c r="I47" s="495"/>
      <c r="J47" s="390"/>
      <c r="K47" s="387"/>
      <c r="L47" s="418">
        <f>H47-J47</f>
        <v>0</v>
      </c>
      <c r="M47" s="63"/>
      <c r="N47" s="388"/>
      <c r="O47" s="63"/>
      <c r="P47" s="388"/>
      <c r="Q47" s="387"/>
      <c r="R47" s="488">
        <f t="shared" si="4"/>
        <v>0</v>
      </c>
      <c r="S47" s="489"/>
      <c r="T47" s="488">
        <f t="shared" si="5"/>
        <v>0</v>
      </c>
      <c r="U47" s="27"/>
      <c r="X47" s="176"/>
    </row>
    <row r="48" spans="1:24" ht="19.5" customHeight="1">
      <c r="A48" s="18">
        <v>11</v>
      </c>
      <c r="B48" s="260"/>
      <c r="C48" s="260"/>
      <c r="D48" s="260"/>
      <c r="E48" s="284"/>
      <c r="F48" s="385"/>
      <c r="G48" s="284"/>
      <c r="H48" s="386"/>
      <c r="I48" s="495"/>
      <c r="J48" s="390"/>
      <c r="K48" s="387"/>
      <c r="L48" s="418">
        <f>H48-J48</f>
        <v>0</v>
      </c>
      <c r="M48" s="63"/>
      <c r="N48" s="388"/>
      <c r="O48" s="63"/>
      <c r="P48" s="388"/>
      <c r="Q48" s="387"/>
      <c r="R48" s="488">
        <f t="shared" si="4"/>
        <v>0</v>
      </c>
      <c r="S48" s="489"/>
      <c r="T48" s="488">
        <f t="shared" si="5"/>
        <v>0</v>
      </c>
      <c r="U48" s="27"/>
      <c r="X48" s="176"/>
    </row>
    <row r="49" spans="1:24" ht="19.5" customHeight="1">
      <c r="A49" s="18">
        <v>12</v>
      </c>
      <c r="B49" s="622"/>
      <c r="C49" s="260"/>
      <c r="D49" s="260"/>
      <c r="E49" s="284"/>
      <c r="F49" s="385"/>
      <c r="G49" s="284"/>
      <c r="H49" s="386"/>
      <c r="I49" s="495"/>
      <c r="J49" s="390"/>
      <c r="K49" s="387"/>
      <c r="L49" s="418">
        <f>H49-J49</f>
        <v>0</v>
      </c>
      <c r="M49" s="63"/>
      <c r="N49" s="388"/>
      <c r="O49" s="63"/>
      <c r="P49" s="388"/>
      <c r="Q49" s="387"/>
      <c r="R49" s="488">
        <f t="shared" si="4"/>
        <v>0</v>
      </c>
      <c r="S49" s="489"/>
      <c r="T49" s="488">
        <f t="shared" si="5"/>
        <v>0</v>
      </c>
      <c r="U49" s="27"/>
      <c r="X49" s="176"/>
    </row>
    <row r="50" spans="1:24" ht="19.5" customHeight="1">
      <c r="A50" s="18">
        <v>13</v>
      </c>
      <c r="B50" s="260"/>
      <c r="C50" s="260"/>
      <c r="D50" s="260"/>
      <c r="E50" s="284"/>
      <c r="F50" s="385"/>
      <c r="G50" s="284"/>
      <c r="H50" s="386"/>
      <c r="I50" s="495"/>
      <c r="J50" s="390"/>
      <c r="K50" s="387"/>
      <c r="L50" s="418">
        <f>H50-J50</f>
        <v>0</v>
      </c>
      <c r="M50" s="63"/>
      <c r="N50" s="401"/>
      <c r="O50" s="63"/>
      <c r="P50" s="388"/>
      <c r="Q50" s="387"/>
      <c r="R50" s="488">
        <f t="shared" si="4"/>
        <v>0</v>
      </c>
      <c r="S50" s="489"/>
      <c r="T50" s="488">
        <f t="shared" si="5"/>
        <v>0</v>
      </c>
      <c r="U50" s="27"/>
      <c r="X50" s="176"/>
    </row>
    <row r="51" spans="1:24" ht="19.5" customHeight="1">
      <c r="A51" s="18">
        <v>14</v>
      </c>
      <c r="B51" s="260"/>
      <c r="C51" s="260"/>
      <c r="D51" s="260"/>
      <c r="E51" s="284"/>
      <c r="F51" s="385"/>
      <c r="G51" s="284"/>
      <c r="H51" s="389"/>
      <c r="I51" s="495"/>
      <c r="J51" s="390"/>
      <c r="K51" s="387"/>
      <c r="L51" s="418">
        <f>H51-J51</f>
        <v>0</v>
      </c>
      <c r="M51" s="63"/>
      <c r="N51" s="388"/>
      <c r="O51" s="63"/>
      <c r="P51" s="390"/>
      <c r="Q51" s="387"/>
      <c r="R51" s="488">
        <f t="shared" si="4"/>
        <v>0</v>
      </c>
      <c r="S51" s="489"/>
      <c r="T51" s="488">
        <f t="shared" si="5"/>
        <v>0</v>
      </c>
      <c r="U51" s="27"/>
      <c r="X51" s="176"/>
    </row>
    <row r="52" spans="1:24" ht="19.5" customHeight="1">
      <c r="A52" s="18">
        <v>15</v>
      </c>
      <c r="B52" s="260"/>
      <c r="C52" s="260"/>
      <c r="D52" s="260"/>
      <c r="E52" s="284"/>
      <c r="F52" s="385"/>
      <c r="G52" s="284"/>
      <c r="H52" s="386"/>
      <c r="I52" s="495"/>
      <c r="J52" s="390"/>
      <c r="K52" s="387"/>
      <c r="L52" s="418">
        <f t="shared" si="3"/>
        <v>0</v>
      </c>
      <c r="M52" s="63"/>
      <c r="N52" s="388"/>
      <c r="O52" s="63"/>
      <c r="P52" s="388"/>
      <c r="Q52" s="387"/>
      <c r="R52" s="488">
        <f aca="true" t="shared" si="6" ref="R52:R57">(H52*$T$7)*(N52+P52)</f>
        <v>0</v>
      </c>
      <c r="S52" s="489"/>
      <c r="T52" s="488">
        <f aca="true" t="shared" si="7" ref="T52:T57">(L52*$T$7)*(N52+P52)</f>
        <v>0</v>
      </c>
      <c r="U52" s="27"/>
      <c r="X52" s="176"/>
    </row>
    <row r="53" spans="1:24" ht="19.5" customHeight="1">
      <c r="A53" s="18">
        <v>16</v>
      </c>
      <c r="B53" s="260"/>
      <c r="C53" s="260"/>
      <c r="D53" s="260"/>
      <c r="E53" s="284"/>
      <c r="F53" s="385"/>
      <c r="G53" s="284"/>
      <c r="H53" s="386"/>
      <c r="I53" s="495"/>
      <c r="J53" s="390"/>
      <c r="K53" s="387"/>
      <c r="L53" s="418">
        <f t="shared" si="3"/>
        <v>0</v>
      </c>
      <c r="M53" s="63"/>
      <c r="N53" s="388"/>
      <c r="O53" s="63"/>
      <c r="P53" s="388"/>
      <c r="Q53" s="387"/>
      <c r="R53" s="488">
        <f t="shared" si="6"/>
        <v>0</v>
      </c>
      <c r="S53" s="489"/>
      <c r="T53" s="488">
        <f t="shared" si="7"/>
        <v>0</v>
      </c>
      <c r="U53" s="27"/>
      <c r="X53" s="176"/>
    </row>
    <row r="54" spans="1:24" ht="19.5" customHeight="1">
      <c r="A54" s="18">
        <v>17</v>
      </c>
      <c r="B54" s="622"/>
      <c r="C54" s="260"/>
      <c r="D54" s="260"/>
      <c r="E54" s="284"/>
      <c r="F54" s="385"/>
      <c r="G54" s="284"/>
      <c r="H54" s="386"/>
      <c r="I54" s="495"/>
      <c r="J54" s="390"/>
      <c r="K54" s="387"/>
      <c r="L54" s="418">
        <f t="shared" si="3"/>
        <v>0</v>
      </c>
      <c r="M54" s="63"/>
      <c r="N54" s="388"/>
      <c r="O54" s="63"/>
      <c r="P54" s="388"/>
      <c r="Q54" s="387"/>
      <c r="R54" s="488">
        <f t="shared" si="6"/>
        <v>0</v>
      </c>
      <c r="S54" s="489"/>
      <c r="T54" s="488">
        <f t="shared" si="7"/>
        <v>0</v>
      </c>
      <c r="U54" s="27"/>
      <c r="X54" s="176"/>
    </row>
    <row r="55" spans="1:24" ht="19.5" customHeight="1">
      <c r="A55" s="18">
        <v>18</v>
      </c>
      <c r="B55" s="260"/>
      <c r="C55" s="260"/>
      <c r="D55" s="260"/>
      <c r="E55" s="284"/>
      <c r="F55" s="385"/>
      <c r="G55" s="284"/>
      <c r="H55" s="386"/>
      <c r="I55" s="495"/>
      <c r="J55" s="390"/>
      <c r="K55" s="387"/>
      <c r="L55" s="418">
        <f t="shared" si="3"/>
        <v>0</v>
      </c>
      <c r="M55" s="63"/>
      <c r="N55" s="401"/>
      <c r="O55" s="63"/>
      <c r="P55" s="388"/>
      <c r="Q55" s="387"/>
      <c r="R55" s="488">
        <f t="shared" si="6"/>
        <v>0</v>
      </c>
      <c r="S55" s="489"/>
      <c r="T55" s="488">
        <f t="shared" si="7"/>
        <v>0</v>
      </c>
      <c r="U55" s="27"/>
      <c r="X55" s="176"/>
    </row>
    <row r="56" spans="1:24" ht="19.5" customHeight="1">
      <c r="A56" s="18">
        <v>19</v>
      </c>
      <c r="B56" s="260"/>
      <c r="C56" s="260"/>
      <c r="D56" s="260"/>
      <c r="E56" s="284"/>
      <c r="F56" s="385"/>
      <c r="G56" s="284"/>
      <c r="H56" s="389"/>
      <c r="I56" s="495"/>
      <c r="J56" s="390"/>
      <c r="K56" s="387"/>
      <c r="L56" s="418">
        <f t="shared" si="3"/>
        <v>0</v>
      </c>
      <c r="M56" s="63"/>
      <c r="N56" s="388"/>
      <c r="O56" s="63"/>
      <c r="P56" s="390"/>
      <c r="Q56" s="387"/>
      <c r="R56" s="488">
        <f t="shared" si="6"/>
        <v>0</v>
      </c>
      <c r="S56" s="489"/>
      <c r="T56" s="488">
        <f t="shared" si="7"/>
        <v>0</v>
      </c>
      <c r="U56" s="27"/>
      <c r="X56" s="176"/>
    </row>
    <row r="57" spans="1:24" ht="19.5" customHeight="1" thickBot="1">
      <c r="A57" s="18">
        <v>20</v>
      </c>
      <c r="B57" s="260"/>
      <c r="C57" s="260"/>
      <c r="D57" s="260"/>
      <c r="E57" s="284"/>
      <c r="F57" s="385"/>
      <c r="G57" s="284"/>
      <c r="H57" s="389"/>
      <c r="I57" s="495"/>
      <c r="J57" s="390"/>
      <c r="K57" s="387"/>
      <c r="L57" s="418">
        <f t="shared" si="3"/>
        <v>0</v>
      </c>
      <c r="M57" s="63"/>
      <c r="N57" s="388"/>
      <c r="O57" s="63"/>
      <c r="P57" s="390"/>
      <c r="Q57" s="387"/>
      <c r="R57" s="488">
        <f t="shared" si="6"/>
        <v>0</v>
      </c>
      <c r="S57" s="489"/>
      <c r="T57" s="488">
        <f t="shared" si="7"/>
        <v>0</v>
      </c>
      <c r="U57" s="27"/>
      <c r="X57" s="176"/>
    </row>
    <row r="58" spans="1:24" ht="21.75" customHeight="1" thickBot="1">
      <c r="A58" s="112"/>
      <c r="B58" s="113"/>
      <c r="C58" s="113"/>
      <c r="D58" s="113" t="s">
        <v>311</v>
      </c>
      <c r="E58" s="114"/>
      <c r="F58" s="391"/>
      <c r="G58" s="392"/>
      <c r="H58" s="393"/>
      <c r="I58" s="394"/>
      <c r="J58" s="393"/>
      <c r="K58" s="394"/>
      <c r="L58" s="393"/>
      <c r="M58" s="392"/>
      <c r="N58" s="395"/>
      <c r="O58" s="392"/>
      <c r="P58" s="396"/>
      <c r="Q58" s="397"/>
      <c r="R58" s="496">
        <f>SUM(R39:R57)</f>
        <v>144</v>
      </c>
      <c r="S58" s="497"/>
      <c r="T58" s="496">
        <f>SUM(T39:T57)</f>
        <v>144</v>
      </c>
      <c r="U58" s="498"/>
      <c r="X58" s="176"/>
    </row>
    <row r="59" spans="1:24" ht="6.75" customHeight="1">
      <c r="A59" s="6"/>
      <c r="B59" s="7"/>
      <c r="C59" s="7"/>
      <c r="D59" s="7"/>
      <c r="E59" s="59"/>
      <c r="F59" s="33"/>
      <c r="G59" s="59"/>
      <c r="H59" s="384"/>
      <c r="I59" s="383"/>
      <c r="J59" s="384"/>
      <c r="K59" s="383"/>
      <c r="L59" s="384"/>
      <c r="M59" s="59"/>
      <c r="N59" s="381"/>
      <c r="O59" s="59"/>
      <c r="P59" s="398"/>
      <c r="Q59" s="399"/>
      <c r="R59" s="398"/>
      <c r="S59" s="399"/>
      <c r="T59" s="398"/>
      <c r="U59" s="12"/>
      <c r="X59" s="176"/>
    </row>
    <row r="60" spans="1:24" ht="12.75" customHeight="1">
      <c r="A60" s="6"/>
      <c r="B60" s="15" t="s">
        <v>321</v>
      </c>
      <c r="C60" s="7"/>
      <c r="D60" s="7"/>
      <c r="E60" s="59"/>
      <c r="F60" s="33"/>
      <c r="G60" s="59"/>
      <c r="H60" s="384"/>
      <c r="I60" s="383"/>
      <c r="J60" s="384"/>
      <c r="K60" s="383"/>
      <c r="L60" s="421"/>
      <c r="M60" s="59"/>
      <c r="N60" s="400"/>
      <c r="O60" s="59"/>
      <c r="P60" s="398"/>
      <c r="Q60" s="399"/>
      <c r="R60" s="398"/>
      <c r="S60" s="399"/>
      <c r="T60" s="398"/>
      <c r="U60" s="12"/>
      <c r="X60" s="176"/>
    </row>
    <row r="61" spans="1:24" ht="3.75" customHeight="1">
      <c r="A61" s="6"/>
      <c r="B61" s="15"/>
      <c r="C61" s="7"/>
      <c r="D61" s="7"/>
      <c r="E61" s="59"/>
      <c r="F61" s="33"/>
      <c r="G61" s="59"/>
      <c r="H61" s="384"/>
      <c r="I61" s="383"/>
      <c r="J61" s="384"/>
      <c r="K61" s="383"/>
      <c r="L61" s="421"/>
      <c r="M61" s="59"/>
      <c r="N61" s="400"/>
      <c r="O61" s="59"/>
      <c r="P61" s="398"/>
      <c r="Q61" s="399"/>
      <c r="R61" s="398"/>
      <c r="S61" s="399"/>
      <c r="T61" s="398"/>
      <c r="U61" s="12"/>
      <c r="X61" s="176"/>
    </row>
    <row r="62" spans="1:24" ht="19.5" customHeight="1">
      <c r="A62" s="18">
        <v>1</v>
      </c>
      <c r="B62" s="942" t="s">
        <v>14</v>
      </c>
      <c r="C62" s="260"/>
      <c r="D62" s="260"/>
      <c r="E62" s="63"/>
      <c r="F62" s="297" t="s">
        <v>322</v>
      </c>
      <c r="G62" s="63"/>
      <c r="H62" s="386">
        <v>68</v>
      </c>
      <c r="I62" s="387"/>
      <c r="J62" s="390">
        <f>H62*0.9</f>
        <v>61.2</v>
      </c>
      <c r="K62" s="387"/>
      <c r="L62" s="418">
        <f aca="true" t="shared" si="8" ref="L62:L76">H62-J62</f>
        <v>6.799999999999997</v>
      </c>
      <c r="M62" s="63"/>
      <c r="N62" s="401">
        <v>4</v>
      </c>
      <c r="O62" s="63"/>
      <c r="P62" s="386"/>
      <c r="Q62" s="402"/>
      <c r="R62" s="488">
        <f aca="true" t="shared" si="9" ref="R62:R76">(H62*$T$7)*(N62+P62)</f>
        <v>272</v>
      </c>
      <c r="S62" s="489"/>
      <c r="T62" s="488">
        <v>0</v>
      </c>
      <c r="U62" s="27"/>
      <c r="X62" s="176"/>
    </row>
    <row r="63" spans="1:24" ht="19.5" customHeight="1">
      <c r="A63" s="18">
        <v>2</v>
      </c>
      <c r="B63" s="260"/>
      <c r="C63" s="260"/>
      <c r="D63" s="260"/>
      <c r="E63" s="63"/>
      <c r="F63" s="297" t="s">
        <v>322</v>
      </c>
      <c r="G63" s="63"/>
      <c r="H63" s="390"/>
      <c r="I63" s="387"/>
      <c r="J63" s="390"/>
      <c r="K63" s="387"/>
      <c r="L63" s="418">
        <f t="shared" si="8"/>
        <v>0</v>
      </c>
      <c r="M63" s="63"/>
      <c r="N63" s="401"/>
      <c r="O63" s="63"/>
      <c r="P63" s="403"/>
      <c r="Q63" s="402"/>
      <c r="R63" s="488">
        <f t="shared" si="9"/>
        <v>0</v>
      </c>
      <c r="S63" s="489"/>
      <c r="T63" s="488">
        <v>0</v>
      </c>
      <c r="U63" s="27"/>
      <c r="X63" s="176"/>
    </row>
    <row r="64" spans="1:24" ht="19.5" customHeight="1">
      <c r="A64" s="18">
        <v>3</v>
      </c>
      <c r="B64" s="260"/>
      <c r="C64" s="260"/>
      <c r="D64" s="260"/>
      <c r="E64" s="63"/>
      <c r="F64" s="297" t="s">
        <v>322</v>
      </c>
      <c r="G64" s="63"/>
      <c r="H64" s="390"/>
      <c r="I64" s="387"/>
      <c r="J64" s="390"/>
      <c r="K64" s="387"/>
      <c r="L64" s="418">
        <f t="shared" si="8"/>
        <v>0</v>
      </c>
      <c r="M64" s="63"/>
      <c r="N64" s="401"/>
      <c r="O64" s="63"/>
      <c r="P64" s="403"/>
      <c r="Q64" s="402"/>
      <c r="R64" s="488">
        <f t="shared" si="9"/>
        <v>0</v>
      </c>
      <c r="S64" s="489"/>
      <c r="T64" s="488">
        <v>0</v>
      </c>
      <c r="U64" s="27"/>
      <c r="X64" s="176"/>
    </row>
    <row r="65" spans="1:24" ht="19.5" customHeight="1">
      <c r="A65" s="18">
        <v>4</v>
      </c>
      <c r="B65" s="260"/>
      <c r="C65" s="260"/>
      <c r="D65" s="260"/>
      <c r="E65" s="63"/>
      <c r="F65" s="297" t="s">
        <v>322</v>
      </c>
      <c r="G65" s="63"/>
      <c r="H65" s="390"/>
      <c r="I65" s="387"/>
      <c r="J65" s="390"/>
      <c r="K65" s="387"/>
      <c r="L65" s="418">
        <f t="shared" si="8"/>
        <v>0</v>
      </c>
      <c r="M65" s="63"/>
      <c r="N65" s="401"/>
      <c r="O65" s="63"/>
      <c r="P65" s="403"/>
      <c r="Q65" s="402"/>
      <c r="R65" s="488">
        <f t="shared" si="9"/>
        <v>0</v>
      </c>
      <c r="S65" s="489"/>
      <c r="T65" s="488">
        <v>0</v>
      </c>
      <c r="U65" s="27"/>
      <c r="X65" s="176"/>
    </row>
    <row r="66" spans="1:24" ht="19.5" customHeight="1">
      <c r="A66" s="18">
        <v>5</v>
      </c>
      <c r="B66" s="260"/>
      <c r="C66" s="260"/>
      <c r="D66" s="260"/>
      <c r="E66" s="63"/>
      <c r="F66" s="297" t="s">
        <v>322</v>
      </c>
      <c r="G66" s="63"/>
      <c r="H66" s="390"/>
      <c r="I66" s="387"/>
      <c r="J66" s="390"/>
      <c r="K66" s="387"/>
      <c r="L66" s="418">
        <f t="shared" si="8"/>
        <v>0</v>
      </c>
      <c r="M66" s="63"/>
      <c r="N66" s="401"/>
      <c r="O66" s="63"/>
      <c r="P66" s="403"/>
      <c r="Q66" s="402"/>
      <c r="R66" s="488">
        <f t="shared" si="9"/>
        <v>0</v>
      </c>
      <c r="S66" s="489"/>
      <c r="T66" s="488">
        <v>0</v>
      </c>
      <c r="U66" s="27"/>
      <c r="X66" s="176"/>
    </row>
    <row r="67" spans="1:24" ht="19.5" customHeight="1">
      <c r="A67" s="18">
        <v>6</v>
      </c>
      <c r="B67" s="260"/>
      <c r="C67" s="260"/>
      <c r="D67" s="260"/>
      <c r="E67" s="63"/>
      <c r="F67" s="297" t="s">
        <v>322</v>
      </c>
      <c r="G67" s="63"/>
      <c r="H67" s="390"/>
      <c r="I67" s="387"/>
      <c r="J67" s="390"/>
      <c r="K67" s="387"/>
      <c r="L67" s="418">
        <f t="shared" si="8"/>
        <v>0</v>
      </c>
      <c r="M67" s="63"/>
      <c r="N67" s="388"/>
      <c r="O67" s="63"/>
      <c r="P67" s="403"/>
      <c r="Q67" s="402"/>
      <c r="R67" s="488">
        <f t="shared" si="9"/>
        <v>0</v>
      </c>
      <c r="S67" s="489"/>
      <c r="T67" s="488">
        <f aca="true" t="shared" si="10" ref="T67:T76">(L67*$T$7)*(N67+P67)</f>
        <v>0</v>
      </c>
      <c r="U67" s="27"/>
      <c r="X67" s="176"/>
    </row>
    <row r="68" spans="1:24" ht="19.5" customHeight="1">
      <c r="A68" s="18">
        <v>7</v>
      </c>
      <c r="B68" s="260"/>
      <c r="C68" s="260"/>
      <c r="D68" s="260"/>
      <c r="E68" s="63"/>
      <c r="F68" s="297" t="s">
        <v>322</v>
      </c>
      <c r="G68" s="63"/>
      <c r="H68" s="390"/>
      <c r="I68" s="387"/>
      <c r="J68" s="390"/>
      <c r="K68" s="387"/>
      <c r="L68" s="418">
        <f t="shared" si="8"/>
        <v>0</v>
      </c>
      <c r="M68" s="63"/>
      <c r="N68" s="388"/>
      <c r="O68" s="63"/>
      <c r="P68" s="403"/>
      <c r="Q68" s="402"/>
      <c r="R68" s="488">
        <f t="shared" si="9"/>
        <v>0</v>
      </c>
      <c r="S68" s="489"/>
      <c r="T68" s="488">
        <f t="shared" si="10"/>
        <v>0</v>
      </c>
      <c r="U68" s="27"/>
      <c r="X68" s="176"/>
    </row>
    <row r="69" spans="1:24" ht="19.5" customHeight="1">
      <c r="A69" s="18">
        <v>8</v>
      </c>
      <c r="B69" s="260"/>
      <c r="C69" s="260"/>
      <c r="D69" s="260"/>
      <c r="E69" s="63"/>
      <c r="F69" s="297" t="s">
        <v>322</v>
      </c>
      <c r="G69" s="63"/>
      <c r="H69" s="390"/>
      <c r="I69" s="387"/>
      <c r="J69" s="390"/>
      <c r="K69" s="387"/>
      <c r="L69" s="418">
        <f t="shared" si="8"/>
        <v>0</v>
      </c>
      <c r="M69" s="63"/>
      <c r="N69" s="388"/>
      <c r="O69" s="63"/>
      <c r="P69" s="403"/>
      <c r="Q69" s="402"/>
      <c r="R69" s="488">
        <f t="shared" si="9"/>
        <v>0</v>
      </c>
      <c r="S69" s="489"/>
      <c r="T69" s="488">
        <f t="shared" si="10"/>
        <v>0</v>
      </c>
      <c r="U69" s="27"/>
      <c r="X69" s="176"/>
    </row>
    <row r="70" spans="1:24" ht="19.5" customHeight="1">
      <c r="A70" s="18">
        <v>9</v>
      </c>
      <c r="B70" s="260"/>
      <c r="C70" s="260"/>
      <c r="D70" s="260"/>
      <c r="E70" s="63"/>
      <c r="F70" s="297" t="s">
        <v>322</v>
      </c>
      <c r="G70" s="63"/>
      <c r="H70" s="390"/>
      <c r="I70" s="387"/>
      <c r="J70" s="390"/>
      <c r="K70" s="387"/>
      <c r="L70" s="418">
        <f t="shared" si="8"/>
        <v>0</v>
      </c>
      <c r="M70" s="63"/>
      <c r="N70" s="388"/>
      <c r="O70" s="63"/>
      <c r="P70" s="403"/>
      <c r="Q70" s="402"/>
      <c r="R70" s="488">
        <f t="shared" si="9"/>
        <v>0</v>
      </c>
      <c r="S70" s="489"/>
      <c r="T70" s="488">
        <f t="shared" si="10"/>
        <v>0</v>
      </c>
      <c r="U70" s="27"/>
      <c r="X70" s="176"/>
    </row>
    <row r="71" spans="1:24" ht="19.5" customHeight="1">
      <c r="A71" s="18">
        <v>10</v>
      </c>
      <c r="B71" s="260"/>
      <c r="C71" s="260"/>
      <c r="D71" s="260"/>
      <c r="E71" s="63"/>
      <c r="F71" s="297" t="s">
        <v>322</v>
      </c>
      <c r="G71" s="63"/>
      <c r="H71" s="390"/>
      <c r="I71" s="387"/>
      <c r="J71" s="390"/>
      <c r="K71" s="387"/>
      <c r="L71" s="418">
        <f t="shared" si="8"/>
        <v>0</v>
      </c>
      <c r="M71" s="63"/>
      <c r="N71" s="388"/>
      <c r="O71" s="63"/>
      <c r="P71" s="403"/>
      <c r="Q71" s="402"/>
      <c r="R71" s="488">
        <f t="shared" si="9"/>
        <v>0</v>
      </c>
      <c r="S71" s="489"/>
      <c r="T71" s="488">
        <f t="shared" si="10"/>
        <v>0</v>
      </c>
      <c r="U71" s="27"/>
      <c r="X71" s="176"/>
    </row>
    <row r="72" spans="1:24" ht="19.5" customHeight="1">
      <c r="A72" s="18">
        <v>11</v>
      </c>
      <c r="B72" s="260"/>
      <c r="C72" s="260"/>
      <c r="D72" s="260"/>
      <c r="E72" s="63"/>
      <c r="F72" s="297" t="s">
        <v>322</v>
      </c>
      <c r="G72" s="63"/>
      <c r="H72" s="390"/>
      <c r="I72" s="387"/>
      <c r="J72" s="390"/>
      <c r="K72" s="387"/>
      <c r="L72" s="418">
        <f t="shared" si="8"/>
        <v>0</v>
      </c>
      <c r="M72" s="63"/>
      <c r="N72" s="388"/>
      <c r="O72" s="63"/>
      <c r="P72" s="403"/>
      <c r="Q72" s="402"/>
      <c r="R72" s="488">
        <f t="shared" si="9"/>
        <v>0</v>
      </c>
      <c r="S72" s="489"/>
      <c r="T72" s="488">
        <f t="shared" si="10"/>
        <v>0</v>
      </c>
      <c r="U72" s="27"/>
      <c r="X72" s="176"/>
    </row>
    <row r="73" spans="1:24" ht="19.5" customHeight="1">
      <c r="A73" s="18">
        <v>12</v>
      </c>
      <c r="B73" s="260"/>
      <c r="C73" s="260"/>
      <c r="D73" s="260"/>
      <c r="E73" s="63"/>
      <c r="F73" s="297" t="s">
        <v>322</v>
      </c>
      <c r="G73" s="63"/>
      <c r="H73" s="390"/>
      <c r="I73" s="387"/>
      <c r="J73" s="390"/>
      <c r="K73" s="387"/>
      <c r="L73" s="418">
        <f t="shared" si="8"/>
        <v>0</v>
      </c>
      <c r="M73" s="63"/>
      <c r="N73" s="388"/>
      <c r="O73" s="63"/>
      <c r="P73" s="403"/>
      <c r="Q73" s="402"/>
      <c r="R73" s="488">
        <f t="shared" si="9"/>
        <v>0</v>
      </c>
      <c r="S73" s="489"/>
      <c r="T73" s="488">
        <f t="shared" si="10"/>
        <v>0</v>
      </c>
      <c r="U73" s="27"/>
      <c r="X73" s="176"/>
    </row>
    <row r="74" spans="1:24" ht="19.5" customHeight="1">
      <c r="A74" s="18">
        <v>13</v>
      </c>
      <c r="B74" s="260"/>
      <c r="C74" s="260"/>
      <c r="D74" s="260"/>
      <c r="E74" s="63"/>
      <c r="F74" s="297" t="s">
        <v>322</v>
      </c>
      <c r="G74" s="63"/>
      <c r="H74" s="390"/>
      <c r="I74" s="387"/>
      <c r="J74" s="390"/>
      <c r="K74" s="387"/>
      <c r="L74" s="418">
        <f t="shared" si="8"/>
        <v>0</v>
      </c>
      <c r="M74" s="63"/>
      <c r="N74" s="388"/>
      <c r="O74" s="63"/>
      <c r="P74" s="403"/>
      <c r="Q74" s="402"/>
      <c r="R74" s="488">
        <f t="shared" si="9"/>
        <v>0</v>
      </c>
      <c r="S74" s="489"/>
      <c r="T74" s="488">
        <f t="shared" si="10"/>
        <v>0</v>
      </c>
      <c r="U74" s="27"/>
      <c r="X74" s="176"/>
    </row>
    <row r="75" spans="1:24" ht="19.5" customHeight="1">
      <c r="A75" s="18">
        <v>14</v>
      </c>
      <c r="B75" s="260"/>
      <c r="C75" s="260"/>
      <c r="D75" s="260"/>
      <c r="E75" s="63"/>
      <c r="F75" s="297" t="s">
        <v>322</v>
      </c>
      <c r="G75" s="63"/>
      <c r="H75" s="390"/>
      <c r="I75" s="387"/>
      <c r="J75" s="390"/>
      <c r="K75" s="387"/>
      <c r="L75" s="418">
        <f t="shared" si="8"/>
        <v>0</v>
      </c>
      <c r="M75" s="63"/>
      <c r="N75" s="388"/>
      <c r="O75" s="63"/>
      <c r="P75" s="403"/>
      <c r="Q75" s="402"/>
      <c r="R75" s="488">
        <f t="shared" si="9"/>
        <v>0</v>
      </c>
      <c r="S75" s="489"/>
      <c r="T75" s="488">
        <f t="shared" si="10"/>
        <v>0</v>
      </c>
      <c r="U75" s="27"/>
      <c r="X75" s="176"/>
    </row>
    <row r="76" spans="1:24" ht="19.5" customHeight="1" thickBot="1">
      <c r="A76" s="18">
        <v>15</v>
      </c>
      <c r="B76" s="260"/>
      <c r="C76" s="260"/>
      <c r="D76" s="260"/>
      <c r="E76" s="63"/>
      <c r="F76" s="297" t="s">
        <v>322</v>
      </c>
      <c r="G76" s="63"/>
      <c r="H76" s="390"/>
      <c r="I76" s="387"/>
      <c r="J76" s="390"/>
      <c r="K76" s="387"/>
      <c r="L76" s="418">
        <f t="shared" si="8"/>
        <v>0</v>
      </c>
      <c r="M76" s="63"/>
      <c r="N76" s="388"/>
      <c r="O76" s="63"/>
      <c r="P76" s="390"/>
      <c r="Q76" s="387"/>
      <c r="R76" s="488">
        <f t="shared" si="9"/>
        <v>0</v>
      </c>
      <c r="S76" s="489"/>
      <c r="T76" s="488">
        <f t="shared" si="10"/>
        <v>0</v>
      </c>
      <c r="U76" s="27"/>
      <c r="X76" s="176"/>
    </row>
    <row r="77" spans="1:24" ht="21.75" customHeight="1" thickBot="1">
      <c r="A77" s="112"/>
      <c r="B77" s="113"/>
      <c r="C77" s="113"/>
      <c r="D77" s="113" t="s">
        <v>311</v>
      </c>
      <c r="E77" s="114"/>
      <c r="F77" s="391"/>
      <c r="G77" s="392"/>
      <c r="H77" s="404">
        <f>SUM(H62:H76)</f>
        <v>68</v>
      </c>
      <c r="I77" s="405"/>
      <c r="J77" s="393"/>
      <c r="K77" s="394"/>
      <c r="L77" s="499"/>
      <c r="M77" s="392"/>
      <c r="N77" s="395"/>
      <c r="O77" s="392"/>
      <c r="P77" s="393"/>
      <c r="Q77" s="394"/>
      <c r="R77" s="500">
        <f>SUM(R62:R76)</f>
        <v>272</v>
      </c>
      <c r="S77" s="501"/>
      <c r="T77" s="502">
        <f>SUM(T62:T76)</f>
        <v>0</v>
      </c>
      <c r="U77" s="498"/>
      <c r="X77" s="176"/>
    </row>
    <row r="78" spans="1:24" ht="3.75" customHeight="1">
      <c r="A78" s="6"/>
      <c r="B78" s="7"/>
      <c r="C78" s="7"/>
      <c r="D78" s="7"/>
      <c r="E78" s="7"/>
      <c r="F78" s="33"/>
      <c r="G78" s="7"/>
      <c r="H78" s="384"/>
      <c r="I78" s="384"/>
      <c r="J78" s="384"/>
      <c r="K78" s="384"/>
      <c r="L78" s="406"/>
      <c r="M78" s="7"/>
      <c r="N78" s="381"/>
      <c r="O78" s="7"/>
      <c r="P78" s="384"/>
      <c r="Q78" s="407"/>
      <c r="R78" s="381"/>
      <c r="S78" s="503"/>
      <c r="T78" s="381"/>
      <c r="U78" s="12"/>
      <c r="X78" s="176"/>
    </row>
    <row r="79" spans="1:24" ht="18" customHeight="1">
      <c r="A79" s="17" t="s">
        <v>323</v>
      </c>
      <c r="B79" s="8"/>
      <c r="C79" s="7"/>
      <c r="D79" s="7"/>
      <c r="E79" s="7"/>
      <c r="F79" s="33"/>
      <c r="G79" s="7"/>
      <c r="H79" s="406"/>
      <c r="I79" s="384"/>
      <c r="J79" s="384"/>
      <c r="K79" s="384"/>
      <c r="L79" s="406"/>
      <c r="M79" s="7"/>
      <c r="N79" s="381"/>
      <c r="O79" s="7"/>
      <c r="P79" s="384"/>
      <c r="Q79" s="407"/>
      <c r="R79" s="504">
        <f>+R58+R77</f>
        <v>416</v>
      </c>
      <c r="S79" s="503"/>
      <c r="T79" s="504">
        <f>+T58+T77</f>
        <v>144</v>
      </c>
      <c r="U79" s="12"/>
      <c r="X79" s="176"/>
    </row>
    <row r="80" spans="1:24" ht="4.5" customHeight="1" thickBot="1">
      <c r="A80" s="375"/>
      <c r="B80" s="46"/>
      <c r="C80" s="46"/>
      <c r="D80" s="46"/>
      <c r="E80" s="46"/>
      <c r="F80" s="408"/>
      <c r="G80" s="46"/>
      <c r="H80" s="409"/>
      <c r="I80" s="410"/>
      <c r="J80" s="410"/>
      <c r="K80" s="410"/>
      <c r="L80" s="409"/>
      <c r="M80" s="46"/>
      <c r="N80" s="411"/>
      <c r="O80" s="46"/>
      <c r="P80" s="410"/>
      <c r="Q80" s="412"/>
      <c r="R80" s="411"/>
      <c r="S80" s="505"/>
      <c r="T80" s="411"/>
      <c r="U80" s="53"/>
      <c r="X80" s="176"/>
    </row>
    <row r="81" spans="1:24" ht="5.25" customHeight="1" thickTop="1">
      <c r="A81" s="6"/>
      <c r="B81" s="7"/>
      <c r="C81" s="7"/>
      <c r="D81" s="7"/>
      <c r="E81" s="7"/>
      <c r="F81" s="33"/>
      <c r="G81" s="7"/>
      <c r="H81" s="384"/>
      <c r="I81" s="384"/>
      <c r="J81" s="384"/>
      <c r="K81" s="384"/>
      <c r="L81" s="406"/>
      <c r="M81" s="7"/>
      <c r="N81" s="381"/>
      <c r="O81" s="7"/>
      <c r="P81" s="398"/>
      <c r="Q81" s="413"/>
      <c r="R81" s="506"/>
      <c r="S81" s="507"/>
      <c r="T81" s="506"/>
      <c r="U81" s="12"/>
      <c r="X81" s="176"/>
    </row>
    <row r="82" spans="1:24" ht="18" customHeight="1">
      <c r="A82" s="47" t="s">
        <v>324</v>
      </c>
      <c r="B82" s="52" t="s">
        <v>325</v>
      </c>
      <c r="C82" s="7"/>
      <c r="D82" s="7"/>
      <c r="E82" s="7"/>
      <c r="F82" s="33"/>
      <c r="G82" s="7"/>
      <c r="H82" s="384"/>
      <c r="I82" s="384"/>
      <c r="J82" s="384"/>
      <c r="K82" s="384"/>
      <c r="L82" s="406"/>
      <c r="M82" s="7"/>
      <c r="N82" s="381"/>
      <c r="O82" s="7"/>
      <c r="P82" s="384"/>
      <c r="Q82" s="407"/>
      <c r="R82" s="414">
        <f>R27-R79</f>
        <v>946.5</v>
      </c>
      <c r="S82" s="503"/>
      <c r="T82" s="414">
        <f>T27-T79</f>
        <v>1218.5</v>
      </c>
      <c r="U82" s="12"/>
      <c r="X82" s="176"/>
    </row>
    <row r="83" spans="1:24" ht="8.25" customHeight="1" thickBot="1">
      <c r="A83" s="508"/>
      <c r="B83" s="509"/>
      <c r="C83" s="113"/>
      <c r="D83" s="113"/>
      <c r="E83" s="113"/>
      <c r="F83" s="138"/>
      <c r="G83" s="113"/>
      <c r="H83" s="510"/>
      <c r="I83" s="510"/>
      <c r="J83" s="510"/>
      <c r="K83" s="510"/>
      <c r="L83" s="511"/>
      <c r="M83" s="113"/>
      <c r="N83" s="512"/>
      <c r="O83" s="113"/>
      <c r="P83" s="510"/>
      <c r="Q83" s="513"/>
      <c r="R83" s="514"/>
      <c r="S83" s="515"/>
      <c r="T83" s="514"/>
      <c r="U83" s="110"/>
      <c r="X83" s="176"/>
    </row>
    <row r="84" spans="1:24" ht="5.25" customHeight="1" thickBot="1">
      <c r="A84" s="47"/>
      <c r="B84" s="52"/>
      <c r="C84" s="7"/>
      <c r="D84" s="7"/>
      <c r="E84" s="7"/>
      <c r="F84" s="33"/>
      <c r="G84" s="7"/>
      <c r="H84" s="384"/>
      <c r="I84" s="384"/>
      <c r="J84" s="384"/>
      <c r="K84" s="384"/>
      <c r="L84" s="406"/>
      <c r="M84" s="7"/>
      <c r="N84" s="381"/>
      <c r="O84" s="7"/>
      <c r="P84" s="384"/>
      <c r="Q84" s="384"/>
      <c r="R84" s="414"/>
      <c r="S84" s="381"/>
      <c r="T84" s="414"/>
      <c r="U84" s="12"/>
      <c r="X84" s="176"/>
    </row>
    <row r="85" spans="1:24" ht="18" customHeight="1" thickBot="1">
      <c r="A85" s="47" t="s">
        <v>391</v>
      </c>
      <c r="B85" s="52"/>
      <c r="C85" s="7"/>
      <c r="D85" s="7"/>
      <c r="E85" s="7"/>
      <c r="F85" s="33"/>
      <c r="G85" s="7"/>
      <c r="H85" s="919">
        <f>(H77*T7)/275</f>
        <v>0.24727272727272728</v>
      </c>
      <c r="I85" s="516"/>
      <c r="J85" s="516" t="s">
        <v>392</v>
      </c>
      <c r="K85" s="384"/>
      <c r="L85" s="406"/>
      <c r="M85" s="7"/>
      <c r="N85" s="381"/>
      <c r="O85" s="7"/>
      <c r="P85" s="384"/>
      <c r="Q85" s="384"/>
      <c r="R85" s="414"/>
      <c r="S85" s="381"/>
      <c r="T85" s="414"/>
      <c r="U85" s="12"/>
      <c r="X85" s="176"/>
    </row>
    <row r="86" spans="1:24" ht="6.75" customHeight="1" thickBot="1">
      <c r="A86" s="45"/>
      <c r="B86" s="46"/>
      <c r="C86" s="46"/>
      <c r="D86" s="46"/>
      <c r="E86" s="46"/>
      <c r="F86" s="408"/>
      <c r="G86" s="46"/>
      <c r="H86" s="517"/>
      <c r="I86" s="410"/>
      <c r="J86" s="410"/>
      <c r="K86" s="410"/>
      <c r="L86" s="409"/>
      <c r="M86" s="46"/>
      <c r="N86" s="409"/>
      <c r="O86" s="46"/>
      <c r="P86" s="410"/>
      <c r="Q86" s="410"/>
      <c r="R86" s="410"/>
      <c r="S86" s="410"/>
      <c r="T86" s="410"/>
      <c r="U86" s="53"/>
      <c r="X86" s="176"/>
    </row>
    <row r="87" spans="1:24" ht="13.5" thickTop="1">
      <c r="A87" s="176"/>
      <c r="B87" s="176"/>
      <c r="C87" s="176"/>
      <c r="D87" s="176"/>
      <c r="E87" s="176"/>
      <c r="F87" s="176"/>
      <c r="G87" s="176"/>
      <c r="H87" s="176"/>
      <c r="I87" s="176"/>
      <c r="V87" s="176"/>
      <c r="W87" s="176"/>
      <c r="X87" s="176"/>
    </row>
    <row r="88" spans="1:24" ht="12.7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row>
    <row r="89" spans="1:24" ht="12.7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row>
  </sheetData>
  <sheetProtection password="CB61" sheet="1" objects="1" scenarios="1"/>
  <mergeCells count="2">
    <mergeCell ref="J1:L1"/>
    <mergeCell ref="D7:G7"/>
  </mergeCells>
  <printOptions horizontalCentered="1"/>
  <pageMargins left="0.7480314960629921" right="0.7480314960629921" top="0.3937007874015748" bottom="0.3937007874015748" header="0.11811023622047245" footer="0.11811023622047245"/>
  <pageSetup fitToHeight="1" fitToWidth="1" horizontalDpi="300" verticalDpi="300" orientation="portrait" scale="53" r:id="rId3"/>
  <colBreaks count="1" manualBreakCount="1">
    <brk id="8" max="65535" man="1"/>
  </colBreaks>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AA89"/>
  <sheetViews>
    <sheetView showGridLines="0" zoomScale="75" zoomScaleNormal="75" workbookViewId="0" topLeftCell="A4">
      <selection activeCell="N94" sqref="N94"/>
    </sheetView>
  </sheetViews>
  <sheetFormatPr defaultColWidth="11.421875" defaultRowHeight="12.75"/>
  <cols>
    <col min="1" max="1" width="3.140625" style="0" customWidth="1"/>
    <col min="2" max="2" width="12.421875" style="0" customWidth="1"/>
    <col min="3" max="3" width="0.9921875" style="0" customWidth="1"/>
    <col min="4" max="4" width="15.28125" style="0" customWidth="1"/>
    <col min="5" max="5" width="0.9921875" style="0" customWidth="1"/>
    <col min="6" max="6" width="12.7109375" style="0" customWidth="1"/>
    <col min="7" max="7" width="0.9921875" style="0" customWidth="1"/>
    <col min="8" max="8" width="17.7109375" style="0" customWidth="1"/>
    <col min="9" max="9" width="0.9921875" style="0" customWidth="1"/>
    <col min="10" max="10" width="17.7109375" style="0" customWidth="1"/>
    <col min="11" max="11" width="0.9921875" style="0" customWidth="1"/>
    <col min="12" max="12" width="17.7109375" style="0" customWidth="1"/>
    <col min="13" max="13" width="0.9921875" style="0" customWidth="1"/>
    <col min="14" max="14" width="14.00390625" style="0" customWidth="1"/>
    <col min="15" max="15" width="0.9921875" style="0" customWidth="1"/>
    <col min="16" max="16" width="12.57421875" style="0" customWidth="1"/>
    <col min="17" max="17" width="0.9921875" style="0" customWidth="1"/>
    <col min="18" max="18" width="16.7109375" style="0" customWidth="1"/>
    <col min="19" max="19" width="0.9921875" style="0" customWidth="1"/>
    <col min="20" max="20" width="16.7109375" style="0" customWidth="1"/>
    <col min="21" max="21" width="1.57421875" style="0" customWidth="1"/>
    <col min="22" max="22" width="14.00390625" style="0" customWidth="1"/>
    <col min="23" max="23" width="2.00390625" style="0" customWidth="1"/>
    <col min="24" max="16384" width="9.140625" style="0" customWidth="1"/>
  </cols>
  <sheetData>
    <row r="1" spans="1:24" ht="24.75">
      <c r="A1" s="482"/>
      <c r="B1" s="483"/>
      <c r="C1" s="483"/>
      <c r="D1" s="484"/>
      <c r="E1" s="176"/>
      <c r="F1" s="176"/>
      <c r="G1" s="485"/>
      <c r="H1" s="485"/>
      <c r="I1" s="485"/>
      <c r="J1" s="983" t="s">
        <v>471</v>
      </c>
      <c r="K1" s="984"/>
      <c r="L1" s="985"/>
      <c r="M1" s="176"/>
      <c r="N1" s="176"/>
      <c r="O1" s="176"/>
      <c r="P1" s="176"/>
      <c r="Q1" s="176"/>
      <c r="R1" s="176"/>
      <c r="T1" s="176"/>
      <c r="U1" s="176"/>
      <c r="X1" s="176"/>
    </row>
    <row r="2" spans="1:24" ht="9.75" customHeight="1">
      <c r="A2" s="173"/>
      <c r="B2" s="173"/>
      <c r="C2" s="173"/>
      <c r="D2" s="173"/>
      <c r="E2" s="173"/>
      <c r="F2" s="173"/>
      <c r="G2" s="173"/>
      <c r="H2" s="173"/>
      <c r="I2" s="173"/>
      <c r="J2" s="173"/>
      <c r="K2" s="173"/>
      <c r="L2" s="176"/>
      <c r="M2" s="173"/>
      <c r="N2" s="173"/>
      <c r="O2" s="173"/>
      <c r="P2" s="173"/>
      <c r="Q2" s="173"/>
      <c r="R2" s="173"/>
      <c r="S2" s="173"/>
      <c r="T2" s="173"/>
      <c r="U2" s="173"/>
      <c r="V2" s="173"/>
      <c r="W2" s="173"/>
      <c r="X2" s="176"/>
    </row>
    <row r="3" spans="1:24" ht="20.25">
      <c r="A3" s="177"/>
      <c r="B3" s="173"/>
      <c r="C3" s="176"/>
      <c r="D3" s="176"/>
      <c r="E3" s="173"/>
      <c r="F3" s="176"/>
      <c r="G3" s="173"/>
      <c r="H3" s="176"/>
      <c r="I3" s="178"/>
      <c r="J3" s="346" t="s">
        <v>398</v>
      </c>
      <c r="K3" s="178"/>
      <c r="L3" s="176"/>
      <c r="M3" s="176"/>
      <c r="N3" s="176"/>
      <c r="O3" s="176"/>
      <c r="P3" s="176"/>
      <c r="Q3" s="176"/>
      <c r="R3" s="176"/>
      <c r="S3" s="176"/>
      <c r="T3" s="176"/>
      <c r="U3" s="176"/>
      <c r="V3" s="176"/>
      <c r="W3" s="173"/>
      <c r="X3" s="176"/>
    </row>
    <row r="4" spans="1:24" ht="7.5" customHeight="1">
      <c r="A4" s="177"/>
      <c r="B4" s="173"/>
      <c r="C4" s="486"/>
      <c r="D4" s="176"/>
      <c r="E4" s="173"/>
      <c r="F4" s="176"/>
      <c r="G4" s="173"/>
      <c r="H4" s="176"/>
      <c r="I4" s="178"/>
      <c r="J4" s="178"/>
      <c r="K4" s="178"/>
      <c r="L4" s="176"/>
      <c r="M4" s="176"/>
      <c r="N4" s="176"/>
      <c r="O4" s="176"/>
      <c r="P4" s="176"/>
      <c r="Q4" s="176"/>
      <c r="R4" s="176"/>
      <c r="S4" s="176"/>
      <c r="T4" s="176"/>
      <c r="U4" s="176"/>
      <c r="V4" s="176"/>
      <c r="W4" s="173"/>
      <c r="X4" s="176"/>
    </row>
    <row r="5" spans="1:24" ht="6" customHeight="1">
      <c r="A5" s="177"/>
      <c r="B5" s="173"/>
      <c r="C5" s="179"/>
      <c r="D5" s="347"/>
      <c r="E5" s="173"/>
      <c r="F5" s="176"/>
      <c r="G5" s="176"/>
      <c r="H5" s="176"/>
      <c r="I5" s="178"/>
      <c r="J5" s="178"/>
      <c r="K5" s="178"/>
      <c r="L5" s="176"/>
      <c r="M5" s="176"/>
      <c r="N5" s="176"/>
      <c r="O5" s="176"/>
      <c r="P5" s="176"/>
      <c r="Q5" s="176"/>
      <c r="R5" s="176"/>
      <c r="S5" s="176"/>
      <c r="T5" s="176"/>
      <c r="U5" s="176"/>
      <c r="V5" s="176"/>
      <c r="W5" s="173"/>
      <c r="X5" s="176"/>
    </row>
    <row r="6" spans="1:24" ht="3.75" customHeight="1">
      <c r="A6" s="177"/>
      <c r="B6" s="173"/>
      <c r="C6" s="179"/>
      <c r="D6" s="347"/>
      <c r="E6" s="173"/>
      <c r="F6" s="176"/>
      <c r="G6" s="176"/>
      <c r="H6" s="176"/>
      <c r="I6" s="178"/>
      <c r="J6" s="178"/>
      <c r="K6" s="178"/>
      <c r="L6" s="176"/>
      <c r="M6" s="176"/>
      <c r="N6" s="176"/>
      <c r="O6" s="176"/>
      <c r="P6" s="176"/>
      <c r="Q6" s="176"/>
      <c r="R6" s="176"/>
      <c r="S6" s="176"/>
      <c r="T6" s="176"/>
      <c r="U6" s="176"/>
      <c r="V6" s="176"/>
      <c r="W6" s="173"/>
      <c r="X6" s="176"/>
    </row>
    <row r="7" spans="1:24" ht="16.5" customHeight="1">
      <c r="A7" s="177"/>
      <c r="B7" s="351" t="s">
        <v>458</v>
      </c>
      <c r="C7" s="176"/>
      <c r="D7" s="986"/>
      <c r="E7" s="987"/>
      <c r="F7" s="987"/>
      <c r="G7" s="987"/>
      <c r="H7" s="230" t="s">
        <v>288</v>
      </c>
      <c r="I7" s="173"/>
      <c r="J7" s="487"/>
      <c r="K7" s="176"/>
      <c r="L7" s="176"/>
      <c r="M7" s="176"/>
      <c r="N7" s="348" t="s">
        <v>289</v>
      </c>
      <c r="O7" s="176"/>
      <c r="P7" s="349"/>
      <c r="Q7" s="176"/>
      <c r="R7" s="264" t="s">
        <v>290</v>
      </c>
      <c r="S7" s="176"/>
      <c r="T7" s="349"/>
      <c r="U7" s="176"/>
      <c r="V7" s="176"/>
      <c r="W7" s="173"/>
      <c r="X7" s="176"/>
    </row>
    <row r="8" spans="1:24" ht="12" customHeight="1">
      <c r="A8" s="177"/>
      <c r="B8" s="179"/>
      <c r="C8" s="176"/>
      <c r="D8" s="173"/>
      <c r="E8" s="350" t="s">
        <v>291</v>
      </c>
      <c r="F8" s="173"/>
      <c r="G8" s="177"/>
      <c r="H8" s="351" t="s">
        <v>292</v>
      </c>
      <c r="I8" s="173"/>
      <c r="J8" s="352" t="s">
        <v>293</v>
      </c>
      <c r="K8" s="176"/>
      <c r="L8" s="176"/>
      <c r="M8" s="176"/>
      <c r="N8" s="353" t="s">
        <v>294</v>
      </c>
      <c r="O8" s="354"/>
      <c r="P8" s="354" t="s">
        <v>295</v>
      </c>
      <c r="Q8" s="176"/>
      <c r="R8" s="355" t="s">
        <v>296</v>
      </c>
      <c r="S8" s="176"/>
      <c r="T8" s="354" t="s">
        <v>297</v>
      </c>
      <c r="U8" s="176"/>
      <c r="V8" s="176"/>
      <c r="W8" s="173"/>
      <c r="X8" s="176"/>
    </row>
    <row r="9" spans="1:24" ht="9" customHeight="1" thickBot="1">
      <c r="A9" s="180"/>
      <c r="B9" s="180"/>
      <c r="C9" s="180"/>
      <c r="D9" s="180"/>
      <c r="E9" s="180"/>
      <c r="F9" s="180"/>
      <c r="G9" s="180"/>
      <c r="H9" s="180"/>
      <c r="I9" s="180"/>
      <c r="J9" s="180"/>
      <c r="K9" s="180"/>
      <c r="L9" s="356"/>
      <c r="M9" s="180"/>
      <c r="N9" s="180"/>
      <c r="O9" s="180"/>
      <c r="P9" s="180"/>
      <c r="Q9" s="180"/>
      <c r="R9" s="180"/>
      <c r="S9" s="180"/>
      <c r="T9" s="180"/>
      <c r="U9" s="180"/>
      <c r="X9" s="176"/>
    </row>
    <row r="10" spans="1:24" ht="4.5" customHeight="1" thickTop="1">
      <c r="A10" s="6"/>
      <c r="B10" s="7"/>
      <c r="C10" s="7"/>
      <c r="D10" s="7"/>
      <c r="E10" s="7"/>
      <c r="F10" s="7"/>
      <c r="G10" s="7"/>
      <c r="H10" s="7"/>
      <c r="I10" s="7"/>
      <c r="J10" s="7"/>
      <c r="K10" s="7"/>
      <c r="L10" s="7"/>
      <c r="M10" s="7"/>
      <c r="N10" s="7"/>
      <c r="O10" s="7"/>
      <c r="P10" s="7"/>
      <c r="Q10" s="7"/>
      <c r="R10" s="7"/>
      <c r="S10" s="7"/>
      <c r="T10" s="7"/>
      <c r="U10" s="12"/>
      <c r="X10" s="176"/>
    </row>
    <row r="11" spans="1:24" ht="14.25" customHeight="1">
      <c r="A11" s="131" t="s">
        <v>298</v>
      </c>
      <c r="B11" s="7"/>
      <c r="C11" s="7"/>
      <c r="D11" s="7"/>
      <c r="E11" s="7"/>
      <c r="F11" s="7"/>
      <c r="G11" s="7"/>
      <c r="H11" s="7"/>
      <c r="I11" s="7"/>
      <c r="J11" s="7"/>
      <c r="K11" s="7"/>
      <c r="L11" s="7"/>
      <c r="M11" s="7"/>
      <c r="N11" s="7"/>
      <c r="O11" s="7"/>
      <c r="P11" s="7"/>
      <c r="Q11" s="7"/>
      <c r="R11" s="7"/>
      <c r="S11" s="7"/>
      <c r="T11" s="7"/>
      <c r="U11" s="12"/>
      <c r="X11" s="176"/>
    </row>
    <row r="12" spans="1:24" ht="4.5" customHeight="1">
      <c r="A12" s="18"/>
      <c r="B12" s="19"/>
      <c r="C12" s="19"/>
      <c r="D12" s="19"/>
      <c r="E12" s="19"/>
      <c r="F12" s="19"/>
      <c r="G12" s="19"/>
      <c r="H12" s="19"/>
      <c r="I12" s="19"/>
      <c r="J12" s="19"/>
      <c r="K12" s="19"/>
      <c r="L12" s="19"/>
      <c r="M12" s="19"/>
      <c r="N12" s="19"/>
      <c r="O12" s="19"/>
      <c r="P12" s="19"/>
      <c r="Q12" s="19"/>
      <c r="R12" s="19"/>
      <c r="S12" s="19"/>
      <c r="T12" s="19"/>
      <c r="U12" s="27"/>
      <c r="X12" s="176"/>
    </row>
    <row r="13" spans="1:24" ht="12.75" customHeight="1">
      <c r="A13" s="76"/>
      <c r="B13" s="357"/>
      <c r="C13" s="7"/>
      <c r="D13" s="7"/>
      <c r="E13" s="59"/>
      <c r="F13" s="60" t="s">
        <v>110</v>
      </c>
      <c r="G13" s="59"/>
      <c r="H13" s="66" t="s">
        <v>299</v>
      </c>
      <c r="I13" s="19"/>
      <c r="J13" s="19"/>
      <c r="K13" s="19"/>
      <c r="L13" s="67"/>
      <c r="M13" s="63"/>
      <c r="N13" s="60" t="s">
        <v>300</v>
      </c>
      <c r="O13" s="59" t="s">
        <v>74</v>
      </c>
      <c r="P13" s="125" t="s">
        <v>301</v>
      </c>
      <c r="Q13" s="59"/>
      <c r="R13" s="66" t="s">
        <v>302</v>
      </c>
      <c r="S13" s="66"/>
      <c r="T13" s="358"/>
      <c r="U13" s="27"/>
      <c r="X13" s="176"/>
    </row>
    <row r="14" spans="1:27" ht="15.75" customHeight="1">
      <c r="A14" s="47"/>
      <c r="B14" s="124" t="s">
        <v>303</v>
      </c>
      <c r="C14" s="7"/>
      <c r="D14" s="7"/>
      <c r="E14" s="59"/>
      <c r="F14" s="60" t="s">
        <v>304</v>
      </c>
      <c r="G14" s="59"/>
      <c r="H14" s="16" t="s">
        <v>109</v>
      </c>
      <c r="I14" s="59"/>
      <c r="J14" s="40" t="s">
        <v>326</v>
      </c>
      <c r="K14" s="59"/>
      <c r="L14" s="60" t="s">
        <v>327</v>
      </c>
      <c r="M14" s="59"/>
      <c r="N14" s="44" t="s">
        <v>305</v>
      </c>
      <c r="O14" s="59"/>
      <c r="P14" s="7" t="s">
        <v>306</v>
      </c>
      <c r="Q14" s="59"/>
      <c r="R14" s="41" t="s">
        <v>307</v>
      </c>
      <c r="S14" s="61"/>
      <c r="T14" s="41" t="s">
        <v>331</v>
      </c>
      <c r="U14" s="12"/>
      <c r="X14" s="176"/>
      <c r="AA14" s="359"/>
    </row>
    <row r="15" spans="1:27" ht="12.75" customHeight="1">
      <c r="A15" s="76"/>
      <c r="B15" s="360"/>
      <c r="C15" s="7"/>
      <c r="D15" s="7"/>
      <c r="E15" s="59"/>
      <c r="F15" s="14" t="s">
        <v>308</v>
      </c>
      <c r="G15" s="59"/>
      <c r="H15" s="361" t="s">
        <v>309</v>
      </c>
      <c r="I15" s="59"/>
      <c r="J15" s="361" t="s">
        <v>309</v>
      </c>
      <c r="K15" s="59"/>
      <c r="L15" s="361" t="s">
        <v>309</v>
      </c>
      <c r="M15" s="59"/>
      <c r="N15" s="33" t="s">
        <v>388</v>
      </c>
      <c r="O15" s="59"/>
      <c r="P15" s="362"/>
      <c r="Q15" s="59"/>
      <c r="R15" s="362"/>
      <c r="S15" s="363"/>
      <c r="T15" s="362"/>
      <c r="U15" s="12"/>
      <c r="X15" s="176"/>
      <c r="AA15" s="359"/>
    </row>
    <row r="16" spans="1:27" ht="12.75" customHeight="1">
      <c r="A16" s="364"/>
      <c r="B16" s="365">
        <v>5</v>
      </c>
      <c r="C16" s="19"/>
      <c r="D16" s="19"/>
      <c r="E16" s="63"/>
      <c r="F16" s="71">
        <v>6</v>
      </c>
      <c r="G16" s="72">
        <v>1</v>
      </c>
      <c r="H16" s="71">
        <v>7</v>
      </c>
      <c r="I16" s="63"/>
      <c r="J16" s="71">
        <v>8</v>
      </c>
      <c r="K16" s="63"/>
      <c r="L16" s="415" t="s">
        <v>328</v>
      </c>
      <c r="M16" s="111"/>
      <c r="N16" s="71">
        <v>10</v>
      </c>
      <c r="O16" s="111"/>
      <c r="P16" s="71">
        <v>11</v>
      </c>
      <c r="Q16" s="68"/>
      <c r="R16" s="105" t="s">
        <v>310</v>
      </c>
      <c r="S16" s="72"/>
      <c r="T16" s="105" t="s">
        <v>332</v>
      </c>
      <c r="U16" s="27"/>
      <c r="X16" s="176"/>
      <c r="AA16" s="359"/>
    </row>
    <row r="17" spans="1:27" ht="19.5" customHeight="1">
      <c r="A17" s="366">
        <v>1</v>
      </c>
      <c r="B17" s="260"/>
      <c r="C17" s="260"/>
      <c r="D17" s="623"/>
      <c r="E17" s="284"/>
      <c r="F17" s="132"/>
      <c r="G17" s="284"/>
      <c r="H17" s="424"/>
      <c r="I17" s="296"/>
      <c r="J17" s="522"/>
      <c r="K17" s="296"/>
      <c r="L17" s="416">
        <f aca="true" t="shared" si="0" ref="L17:L26">H17-J17</f>
        <v>0</v>
      </c>
      <c r="M17" s="111"/>
      <c r="N17" s="367"/>
      <c r="O17" s="111"/>
      <c r="P17" s="368"/>
      <c r="Q17" s="68"/>
      <c r="R17" s="488">
        <f aca="true" t="shared" si="1" ref="R17:R26">(H17*$T$7)*(N17-P17)</f>
        <v>0</v>
      </c>
      <c r="S17" s="489"/>
      <c r="T17" s="488">
        <f aca="true" t="shared" si="2" ref="T17:T26">(L17*$T$7)*(N17-P17)</f>
        <v>0</v>
      </c>
      <c r="U17" s="27"/>
      <c r="X17" s="176"/>
      <c r="AA17" s="359"/>
    </row>
    <row r="18" spans="1:24" ht="19.5" customHeight="1">
      <c r="A18" s="366">
        <v>2</v>
      </c>
      <c r="B18" s="260"/>
      <c r="C18" s="260"/>
      <c r="D18" s="623"/>
      <c r="E18" s="284"/>
      <c r="F18" s="132"/>
      <c r="G18" s="284"/>
      <c r="H18" s="424"/>
      <c r="I18" s="296"/>
      <c r="J18" s="522"/>
      <c r="K18" s="296"/>
      <c r="L18" s="416">
        <f t="shared" si="0"/>
        <v>0</v>
      </c>
      <c r="M18" s="111"/>
      <c r="N18" s="367"/>
      <c r="O18" s="111"/>
      <c r="P18" s="368"/>
      <c r="Q18" s="68"/>
      <c r="R18" s="488">
        <f t="shared" si="1"/>
        <v>0</v>
      </c>
      <c r="S18" s="489"/>
      <c r="T18" s="488">
        <f t="shared" si="2"/>
        <v>0</v>
      </c>
      <c r="U18" s="107"/>
      <c r="X18" s="176"/>
    </row>
    <row r="19" spans="1:24" ht="19.5" customHeight="1">
      <c r="A19" s="366">
        <v>3</v>
      </c>
      <c r="B19" s="260"/>
      <c r="C19" s="260"/>
      <c r="D19" s="623"/>
      <c r="E19" s="284"/>
      <c r="F19" s="132"/>
      <c r="G19" s="284"/>
      <c r="H19" s="424"/>
      <c r="I19" s="296"/>
      <c r="J19" s="522"/>
      <c r="K19" s="296"/>
      <c r="L19" s="416">
        <f t="shared" si="0"/>
        <v>0</v>
      </c>
      <c r="M19" s="111"/>
      <c r="N19" s="367"/>
      <c r="O19" s="111"/>
      <c r="P19" s="368"/>
      <c r="Q19" s="68"/>
      <c r="R19" s="488">
        <f t="shared" si="1"/>
        <v>0</v>
      </c>
      <c r="S19" s="489"/>
      <c r="T19" s="488">
        <f t="shared" si="2"/>
        <v>0</v>
      </c>
      <c r="U19" s="107"/>
      <c r="X19" s="176"/>
    </row>
    <row r="20" spans="1:24" ht="19.5" customHeight="1">
      <c r="A20" s="366">
        <v>4</v>
      </c>
      <c r="B20" s="260"/>
      <c r="C20" s="260"/>
      <c r="D20" s="623"/>
      <c r="E20" s="284"/>
      <c r="F20" s="132"/>
      <c r="G20" s="284"/>
      <c r="H20" s="424"/>
      <c r="I20" s="296"/>
      <c r="J20" s="522"/>
      <c r="K20" s="296"/>
      <c r="L20" s="416">
        <f t="shared" si="0"/>
        <v>0</v>
      </c>
      <c r="M20" s="111"/>
      <c r="N20" s="367"/>
      <c r="O20" s="111"/>
      <c r="P20" s="368"/>
      <c r="Q20" s="68"/>
      <c r="R20" s="488">
        <f t="shared" si="1"/>
        <v>0</v>
      </c>
      <c r="S20" s="489"/>
      <c r="T20" s="488">
        <f t="shared" si="2"/>
        <v>0</v>
      </c>
      <c r="U20" s="107"/>
      <c r="X20" s="176"/>
    </row>
    <row r="21" spans="1:24" ht="19.5" customHeight="1">
      <c r="A21" s="366">
        <v>5</v>
      </c>
      <c r="B21" s="260"/>
      <c r="C21" s="260"/>
      <c r="D21" s="623"/>
      <c r="E21" s="284"/>
      <c r="F21" s="132"/>
      <c r="G21" s="284"/>
      <c r="H21" s="424"/>
      <c r="I21" s="296"/>
      <c r="J21" s="522"/>
      <c r="K21" s="296"/>
      <c r="L21" s="416">
        <f t="shared" si="0"/>
        <v>0</v>
      </c>
      <c r="M21" s="111"/>
      <c r="N21" s="367"/>
      <c r="O21" s="111"/>
      <c r="P21" s="368"/>
      <c r="Q21" s="68"/>
      <c r="R21" s="488">
        <f t="shared" si="1"/>
        <v>0</v>
      </c>
      <c r="S21" s="489"/>
      <c r="T21" s="488">
        <f t="shared" si="2"/>
        <v>0</v>
      </c>
      <c r="U21" s="107"/>
      <c r="X21" s="176"/>
    </row>
    <row r="22" spans="1:24" ht="19.5" customHeight="1">
      <c r="A22" s="366">
        <v>6</v>
      </c>
      <c r="B22" s="260"/>
      <c r="C22" s="260"/>
      <c r="D22" s="623"/>
      <c r="E22" s="284"/>
      <c r="F22" s="132"/>
      <c r="G22" s="284"/>
      <c r="H22" s="424"/>
      <c r="I22" s="296"/>
      <c r="J22" s="522"/>
      <c r="K22" s="296"/>
      <c r="L22" s="416">
        <f t="shared" si="0"/>
        <v>0</v>
      </c>
      <c r="M22" s="111"/>
      <c r="N22" s="367"/>
      <c r="O22" s="111"/>
      <c r="P22" s="368"/>
      <c r="Q22" s="68"/>
      <c r="R22" s="488">
        <f t="shared" si="1"/>
        <v>0</v>
      </c>
      <c r="S22" s="489"/>
      <c r="T22" s="488">
        <f t="shared" si="2"/>
        <v>0</v>
      </c>
      <c r="U22" s="107"/>
      <c r="X22" s="176"/>
    </row>
    <row r="23" spans="1:24" ht="19.5" customHeight="1">
      <c r="A23" s="366">
        <v>7</v>
      </c>
      <c r="B23" s="260"/>
      <c r="C23" s="260"/>
      <c r="D23" s="623"/>
      <c r="E23" s="284"/>
      <c r="F23" s="132"/>
      <c r="G23" s="284"/>
      <c r="H23" s="424"/>
      <c r="I23" s="296"/>
      <c r="J23" s="522"/>
      <c r="K23" s="296"/>
      <c r="L23" s="416">
        <f t="shared" si="0"/>
        <v>0</v>
      </c>
      <c r="M23" s="111"/>
      <c r="N23" s="367"/>
      <c r="O23" s="111"/>
      <c r="P23" s="368"/>
      <c r="Q23" s="68"/>
      <c r="R23" s="488">
        <f t="shared" si="1"/>
        <v>0</v>
      </c>
      <c r="S23" s="489"/>
      <c r="T23" s="488">
        <f t="shared" si="2"/>
        <v>0</v>
      </c>
      <c r="U23" s="107"/>
      <c r="X23" s="176"/>
    </row>
    <row r="24" spans="1:24" ht="19.5" customHeight="1">
      <c r="A24" s="366">
        <v>8</v>
      </c>
      <c r="B24" s="260"/>
      <c r="C24" s="260"/>
      <c r="D24" s="623"/>
      <c r="E24" s="284"/>
      <c r="F24" s="132"/>
      <c r="G24" s="284"/>
      <c r="H24" s="424"/>
      <c r="I24" s="296"/>
      <c r="J24" s="522"/>
      <c r="K24" s="296"/>
      <c r="L24" s="416">
        <f t="shared" si="0"/>
        <v>0</v>
      </c>
      <c r="M24" s="111"/>
      <c r="N24" s="367"/>
      <c r="O24" s="111"/>
      <c r="P24" s="368"/>
      <c r="Q24" s="68"/>
      <c r="R24" s="488">
        <f t="shared" si="1"/>
        <v>0</v>
      </c>
      <c r="S24" s="489"/>
      <c r="T24" s="488">
        <f t="shared" si="2"/>
        <v>0</v>
      </c>
      <c r="U24" s="107"/>
      <c r="X24" s="176"/>
    </row>
    <row r="25" spans="1:24" ht="19.5" customHeight="1">
      <c r="A25" s="366">
        <v>9</v>
      </c>
      <c r="B25" s="260"/>
      <c r="C25" s="260"/>
      <c r="D25" s="623"/>
      <c r="E25" s="284"/>
      <c r="F25" s="132"/>
      <c r="G25" s="284"/>
      <c r="H25" s="424"/>
      <c r="I25" s="296"/>
      <c r="J25" s="522"/>
      <c r="K25" s="296"/>
      <c r="L25" s="416">
        <f t="shared" si="0"/>
        <v>0</v>
      </c>
      <c r="M25" s="111"/>
      <c r="N25" s="367"/>
      <c r="O25" s="111"/>
      <c r="P25" s="368"/>
      <c r="Q25" s="68"/>
      <c r="R25" s="488">
        <f t="shared" si="1"/>
        <v>0</v>
      </c>
      <c r="S25" s="489"/>
      <c r="T25" s="488">
        <f t="shared" si="2"/>
        <v>0</v>
      </c>
      <c r="U25" s="107"/>
      <c r="X25" s="176"/>
    </row>
    <row r="26" spans="1:24" ht="19.5" customHeight="1" thickBot="1">
      <c r="A26" s="366">
        <v>10</v>
      </c>
      <c r="B26" s="260"/>
      <c r="C26" s="260"/>
      <c r="D26" s="623"/>
      <c r="E26" s="284"/>
      <c r="F26" s="132"/>
      <c r="G26" s="284"/>
      <c r="H26" s="424"/>
      <c r="I26" s="296"/>
      <c r="J26" s="522"/>
      <c r="K26" s="296"/>
      <c r="L26" s="416">
        <f t="shared" si="0"/>
        <v>0</v>
      </c>
      <c r="M26" s="111"/>
      <c r="N26" s="367"/>
      <c r="O26" s="111"/>
      <c r="P26" s="368"/>
      <c r="Q26" s="68"/>
      <c r="R26" s="488">
        <f t="shared" si="1"/>
        <v>0</v>
      </c>
      <c r="S26" s="489"/>
      <c r="T26" s="488">
        <f t="shared" si="2"/>
        <v>0</v>
      </c>
      <c r="U26" s="107"/>
      <c r="X26" s="176"/>
    </row>
    <row r="27" spans="1:27" ht="16.5" customHeight="1">
      <c r="A27" s="369"/>
      <c r="B27" s="15"/>
      <c r="C27" s="7"/>
      <c r="D27" s="7" t="s">
        <v>311</v>
      </c>
      <c r="E27" s="59"/>
      <c r="F27" s="370"/>
      <c r="G27" s="370"/>
      <c r="H27" s="371"/>
      <c r="I27" s="370"/>
      <c r="J27" s="372"/>
      <c r="K27" s="370"/>
      <c r="L27" s="373"/>
      <c r="M27" s="370"/>
      <c r="N27" s="370"/>
      <c r="O27" s="370"/>
      <c r="P27" s="2"/>
      <c r="Q27" s="374"/>
      <c r="R27" s="490">
        <f>SUM(R17:R26)</f>
        <v>0</v>
      </c>
      <c r="S27" s="491"/>
      <c r="T27" s="492">
        <f>SUM(T17:T26)</f>
        <v>0</v>
      </c>
      <c r="U27" s="419"/>
      <c r="X27" s="176"/>
      <c r="AA27" s="359"/>
    </row>
    <row r="28" spans="1:27" ht="2.25" customHeight="1" thickBot="1">
      <c r="A28" s="375"/>
      <c r="B28" s="46"/>
      <c r="C28" s="46"/>
      <c r="D28" s="46"/>
      <c r="E28" s="376"/>
      <c r="F28" s="239"/>
      <c r="G28" s="239"/>
      <c r="H28" s="239"/>
      <c r="I28" s="239"/>
      <c r="J28" s="239"/>
      <c r="K28" s="239"/>
      <c r="L28" s="239"/>
      <c r="M28" s="239"/>
      <c r="N28" s="239"/>
      <c r="O28" s="239"/>
      <c r="P28" s="239"/>
      <c r="Q28" s="377"/>
      <c r="R28" s="378"/>
      <c r="S28" s="376"/>
      <c r="T28" s="420"/>
      <c r="U28" s="493"/>
      <c r="X28" s="176"/>
      <c r="AA28" s="359"/>
    </row>
    <row r="29" spans="1:27" ht="6.75" customHeight="1" thickTop="1">
      <c r="A29" s="17"/>
      <c r="B29" s="7"/>
      <c r="C29" s="7"/>
      <c r="D29" s="7"/>
      <c r="E29" s="7"/>
      <c r="F29" s="7"/>
      <c r="G29" s="7"/>
      <c r="H29" s="7"/>
      <c r="I29" s="7"/>
      <c r="J29" s="7"/>
      <c r="K29" s="7"/>
      <c r="L29" s="7"/>
      <c r="M29" s="7"/>
      <c r="N29" s="7"/>
      <c r="O29" s="7"/>
      <c r="P29" s="7"/>
      <c r="Q29" s="7"/>
      <c r="R29" s="7"/>
      <c r="S29" s="7"/>
      <c r="T29" s="7"/>
      <c r="U29" s="12"/>
      <c r="X29" s="176"/>
      <c r="AA29" s="359"/>
    </row>
    <row r="30" spans="1:27" ht="15" customHeight="1">
      <c r="A30" s="76" t="s">
        <v>312</v>
      </c>
      <c r="B30" s="7"/>
      <c r="C30" s="7"/>
      <c r="D30" s="7"/>
      <c r="E30" s="7"/>
      <c r="F30" s="7"/>
      <c r="G30" s="7"/>
      <c r="H30" s="7"/>
      <c r="I30" s="7"/>
      <c r="J30" s="7"/>
      <c r="K30" s="7"/>
      <c r="L30" s="7"/>
      <c r="M30" s="7"/>
      <c r="N30" s="7"/>
      <c r="O30" s="7"/>
      <c r="P30" s="7"/>
      <c r="Q30" s="7"/>
      <c r="R30" s="7"/>
      <c r="S30" s="7"/>
      <c r="T30" s="7"/>
      <c r="U30" s="12"/>
      <c r="X30" s="176"/>
      <c r="AA30" s="359"/>
    </row>
    <row r="31" spans="1:27" ht="3" customHeight="1">
      <c r="A31" s="25"/>
      <c r="B31" s="19"/>
      <c r="C31" s="19"/>
      <c r="D31" s="19"/>
      <c r="E31" s="19"/>
      <c r="F31" s="19"/>
      <c r="G31" s="19"/>
      <c r="H31" s="19"/>
      <c r="I31" s="19"/>
      <c r="J31" s="19"/>
      <c r="K31" s="19"/>
      <c r="L31" s="19"/>
      <c r="M31" s="19"/>
      <c r="N31" s="19"/>
      <c r="O31" s="19"/>
      <c r="P31" s="19"/>
      <c r="Q31" s="19"/>
      <c r="R31" s="19"/>
      <c r="S31" s="19"/>
      <c r="T31" s="19"/>
      <c r="U31" s="27"/>
      <c r="X31" s="176"/>
      <c r="AA31" s="359"/>
    </row>
    <row r="32" spans="1:24" ht="12.75" customHeight="1">
      <c r="A32" s="76"/>
      <c r="B32" s="357"/>
      <c r="C32" s="7"/>
      <c r="D32" s="7"/>
      <c r="E32" s="59"/>
      <c r="F32" s="60" t="s">
        <v>110</v>
      </c>
      <c r="G32" s="59"/>
      <c r="H32" s="66" t="s">
        <v>389</v>
      </c>
      <c r="I32" s="19"/>
      <c r="J32" s="19"/>
      <c r="K32" s="19"/>
      <c r="L32" s="67"/>
      <c r="M32" s="63"/>
      <c r="N32" s="98" t="s">
        <v>313</v>
      </c>
      <c r="O32" s="133"/>
      <c r="P32" s="15" t="s">
        <v>301</v>
      </c>
      <c r="Q32" s="59"/>
      <c r="R32" s="67" t="s">
        <v>314</v>
      </c>
      <c r="S32" s="67"/>
      <c r="T32" s="19"/>
      <c r="U32" s="27"/>
      <c r="X32" s="176"/>
    </row>
    <row r="33" spans="1:24" ht="14.25" customHeight="1">
      <c r="A33" s="47"/>
      <c r="B33" s="124" t="s">
        <v>315</v>
      </c>
      <c r="C33" s="7"/>
      <c r="D33" s="7"/>
      <c r="E33" s="59"/>
      <c r="F33" s="60" t="s">
        <v>316</v>
      </c>
      <c r="G33" s="59"/>
      <c r="H33" s="16" t="s">
        <v>109</v>
      </c>
      <c r="I33" s="59"/>
      <c r="J33" s="417" t="s">
        <v>329</v>
      </c>
      <c r="K33" s="59"/>
      <c r="L33" s="60" t="s">
        <v>317</v>
      </c>
      <c r="M33" s="59"/>
      <c r="N33" s="44" t="s">
        <v>305</v>
      </c>
      <c r="O33" s="379"/>
      <c r="P33" s="7" t="s">
        <v>306</v>
      </c>
      <c r="Q33" s="59"/>
      <c r="R33" s="41" t="s">
        <v>307</v>
      </c>
      <c r="S33" s="61"/>
      <c r="T33" s="41" t="s">
        <v>331</v>
      </c>
      <c r="U33" s="12"/>
      <c r="X33" s="176"/>
    </row>
    <row r="34" spans="1:24" ht="14.25" customHeight="1">
      <c r="A34" s="76"/>
      <c r="B34" s="360"/>
      <c r="C34" s="7"/>
      <c r="D34" s="7"/>
      <c r="E34" s="59"/>
      <c r="F34" s="60" t="s">
        <v>317</v>
      </c>
      <c r="G34" s="59"/>
      <c r="H34" s="361" t="s">
        <v>318</v>
      </c>
      <c r="I34" s="59"/>
      <c r="J34" s="361" t="s">
        <v>318</v>
      </c>
      <c r="K34" s="59"/>
      <c r="L34" s="361" t="s">
        <v>318</v>
      </c>
      <c r="M34" s="59"/>
      <c r="N34" s="494" t="s">
        <v>390</v>
      </c>
      <c r="O34" s="363"/>
      <c r="P34" s="362"/>
      <c r="Q34" s="59"/>
      <c r="R34" s="362"/>
      <c r="S34" s="363"/>
      <c r="T34" s="362"/>
      <c r="U34" s="12"/>
      <c r="X34" s="176"/>
    </row>
    <row r="35" spans="1:24" ht="12" customHeight="1">
      <c r="A35" s="364"/>
      <c r="B35" s="365">
        <v>14</v>
      </c>
      <c r="C35" s="19"/>
      <c r="D35" s="19"/>
      <c r="E35" s="63"/>
      <c r="F35" s="71">
        <v>15</v>
      </c>
      <c r="G35" s="72"/>
      <c r="H35" s="71">
        <v>16</v>
      </c>
      <c r="I35" s="63"/>
      <c r="J35" s="71">
        <v>17</v>
      </c>
      <c r="K35" s="63"/>
      <c r="L35" s="415" t="s">
        <v>330</v>
      </c>
      <c r="M35" s="111"/>
      <c r="N35" s="105">
        <v>19</v>
      </c>
      <c r="O35" s="72"/>
      <c r="P35" s="105">
        <v>20</v>
      </c>
      <c r="Q35" s="380"/>
      <c r="R35" s="105" t="s">
        <v>319</v>
      </c>
      <c r="S35" s="72"/>
      <c r="T35" s="105" t="s">
        <v>333</v>
      </c>
      <c r="U35" s="27"/>
      <c r="X35" s="176"/>
    </row>
    <row r="36" spans="1:24" ht="4.5" customHeight="1">
      <c r="A36" s="6"/>
      <c r="B36" s="7"/>
      <c r="C36" s="7"/>
      <c r="D36" s="7"/>
      <c r="E36" s="59"/>
      <c r="F36" s="7"/>
      <c r="G36" s="59"/>
      <c r="H36" s="7"/>
      <c r="I36" s="59"/>
      <c r="J36" s="7"/>
      <c r="K36" s="59"/>
      <c r="L36" s="7"/>
      <c r="M36" s="59"/>
      <c r="N36" s="381"/>
      <c r="O36" s="59"/>
      <c r="P36" s="7"/>
      <c r="Q36" s="59"/>
      <c r="R36" s="7"/>
      <c r="S36" s="59"/>
      <c r="T36" s="7"/>
      <c r="U36" s="12"/>
      <c r="X36" s="176"/>
    </row>
    <row r="37" spans="1:24" ht="12.75">
      <c r="A37" s="6"/>
      <c r="B37" s="15" t="s">
        <v>320</v>
      </c>
      <c r="C37" s="7"/>
      <c r="D37" s="7"/>
      <c r="E37" s="59"/>
      <c r="F37" s="7"/>
      <c r="G37" s="59"/>
      <c r="H37" s="7"/>
      <c r="I37" s="59"/>
      <c r="J37" s="7"/>
      <c r="K37" s="59"/>
      <c r="L37" s="7"/>
      <c r="M37" s="59"/>
      <c r="N37" s="381"/>
      <c r="O37" s="59"/>
      <c r="P37" s="7"/>
      <c r="Q37" s="59"/>
      <c r="R37" s="7"/>
      <c r="S37" s="59"/>
      <c r="T37" s="7"/>
      <c r="U37" s="12"/>
      <c r="X37" s="176"/>
    </row>
    <row r="38" spans="1:24" ht="3.75" customHeight="1">
      <c r="A38" s="6"/>
      <c r="B38" s="7"/>
      <c r="C38" s="7"/>
      <c r="D38" s="7"/>
      <c r="E38" s="59"/>
      <c r="F38" s="33"/>
      <c r="G38" s="59"/>
      <c r="H38" s="382"/>
      <c r="I38" s="383"/>
      <c r="J38" s="384"/>
      <c r="K38" s="383"/>
      <c r="L38" s="406"/>
      <c r="M38" s="59"/>
      <c r="N38" s="381"/>
      <c r="O38" s="59"/>
      <c r="P38" s="384"/>
      <c r="Q38" s="383"/>
      <c r="R38" s="384"/>
      <c r="S38" s="383"/>
      <c r="T38" s="384"/>
      <c r="U38" s="12"/>
      <c r="X38" s="176"/>
    </row>
    <row r="39" spans="1:24" ht="19.5" customHeight="1">
      <c r="A39" s="18">
        <v>2</v>
      </c>
      <c r="B39" s="260"/>
      <c r="C39" s="260"/>
      <c r="D39" s="260"/>
      <c r="E39" s="284"/>
      <c r="F39" s="385"/>
      <c r="G39" s="284"/>
      <c r="H39" s="386"/>
      <c r="I39" s="495"/>
      <c r="J39" s="390"/>
      <c r="K39" s="387"/>
      <c r="L39" s="418">
        <f aca="true" t="shared" si="3" ref="L39:L57">H39-J39</f>
        <v>0</v>
      </c>
      <c r="M39" s="63"/>
      <c r="N39" s="388"/>
      <c r="O39" s="63"/>
      <c r="P39" s="388"/>
      <c r="Q39" s="387"/>
      <c r="R39" s="488">
        <f aca="true" t="shared" si="4" ref="R39:R46">(H39*$T$7)*(N39+P39)</f>
        <v>0</v>
      </c>
      <c r="S39" s="489"/>
      <c r="T39" s="488">
        <f aca="true" t="shared" si="5" ref="T39:T46">(L39*$T$7)*(N39+P39)</f>
        <v>0</v>
      </c>
      <c r="U39" s="27"/>
      <c r="X39" s="176"/>
    </row>
    <row r="40" spans="1:24" ht="19.5" customHeight="1">
      <c r="A40" s="18">
        <v>3</v>
      </c>
      <c r="B40" s="260"/>
      <c r="C40" s="260"/>
      <c r="D40" s="260"/>
      <c r="E40" s="284"/>
      <c r="F40" s="385"/>
      <c r="G40" s="284"/>
      <c r="H40" s="386"/>
      <c r="I40" s="495"/>
      <c r="J40" s="390"/>
      <c r="K40" s="387"/>
      <c r="L40" s="418">
        <f t="shared" si="3"/>
        <v>0</v>
      </c>
      <c r="M40" s="63"/>
      <c r="N40" s="388"/>
      <c r="O40" s="63"/>
      <c r="P40" s="388"/>
      <c r="Q40" s="387"/>
      <c r="R40" s="488">
        <f t="shared" si="4"/>
        <v>0</v>
      </c>
      <c r="S40" s="489"/>
      <c r="T40" s="488">
        <f t="shared" si="5"/>
        <v>0</v>
      </c>
      <c r="U40" s="27"/>
      <c r="X40" s="176"/>
    </row>
    <row r="41" spans="1:24" ht="19.5" customHeight="1">
      <c r="A41" s="18">
        <v>4</v>
      </c>
      <c r="B41" s="622"/>
      <c r="C41" s="260"/>
      <c r="D41" s="260"/>
      <c r="E41" s="284"/>
      <c r="F41" s="385"/>
      <c r="G41" s="284"/>
      <c r="H41" s="386"/>
      <c r="I41" s="495"/>
      <c r="J41" s="390"/>
      <c r="K41" s="387"/>
      <c r="L41" s="418">
        <f t="shared" si="3"/>
        <v>0</v>
      </c>
      <c r="M41" s="63"/>
      <c r="N41" s="388"/>
      <c r="O41" s="63"/>
      <c r="P41" s="388"/>
      <c r="Q41" s="387"/>
      <c r="R41" s="488">
        <f t="shared" si="4"/>
        <v>0</v>
      </c>
      <c r="S41" s="489"/>
      <c r="T41" s="488">
        <f t="shared" si="5"/>
        <v>0</v>
      </c>
      <c r="U41" s="27"/>
      <c r="X41" s="176"/>
    </row>
    <row r="42" spans="1:24" ht="19.5" customHeight="1">
      <c r="A42" s="18">
        <v>5</v>
      </c>
      <c r="B42" s="260"/>
      <c r="C42" s="260"/>
      <c r="D42" s="260"/>
      <c r="E42" s="284"/>
      <c r="F42" s="385"/>
      <c r="G42" s="284"/>
      <c r="H42" s="386"/>
      <c r="I42" s="495"/>
      <c r="J42" s="390"/>
      <c r="K42" s="387"/>
      <c r="L42" s="418">
        <f>H42-J42</f>
        <v>0</v>
      </c>
      <c r="M42" s="63"/>
      <c r="N42" s="388"/>
      <c r="O42" s="63"/>
      <c r="P42" s="388"/>
      <c r="Q42" s="387"/>
      <c r="R42" s="488">
        <f>(H42*$T$7)*(N42+P42)</f>
        <v>0</v>
      </c>
      <c r="S42" s="489"/>
      <c r="T42" s="488">
        <f>(L42*$T$7)*(N42+P42)</f>
        <v>0</v>
      </c>
      <c r="U42" s="27"/>
      <c r="X42" s="176"/>
    </row>
    <row r="43" spans="1:24" ht="19.5" customHeight="1">
      <c r="A43" s="18">
        <v>6</v>
      </c>
      <c r="B43" s="260"/>
      <c r="C43" s="260"/>
      <c r="D43" s="260"/>
      <c r="E43" s="284"/>
      <c r="F43" s="385"/>
      <c r="G43" s="284"/>
      <c r="H43" s="386"/>
      <c r="I43" s="495"/>
      <c r="J43" s="390"/>
      <c r="K43" s="387"/>
      <c r="L43" s="418">
        <f>H43-J43</f>
        <v>0</v>
      </c>
      <c r="M43" s="63"/>
      <c r="N43" s="388"/>
      <c r="O43" s="63"/>
      <c r="P43" s="388"/>
      <c r="Q43" s="387"/>
      <c r="R43" s="488">
        <f>(H43*$T$7)*(N43+P43)</f>
        <v>0</v>
      </c>
      <c r="S43" s="489"/>
      <c r="T43" s="488">
        <f>(L43*$T$7)*(N43+P43)</f>
        <v>0</v>
      </c>
      <c r="U43" s="27"/>
      <c r="X43" s="176"/>
    </row>
    <row r="44" spans="1:24" ht="19.5" customHeight="1">
      <c r="A44" s="18">
        <v>7</v>
      </c>
      <c r="B44" s="622"/>
      <c r="C44" s="260"/>
      <c r="D44" s="260"/>
      <c r="E44" s="284"/>
      <c r="F44" s="385"/>
      <c r="G44" s="284"/>
      <c r="H44" s="386"/>
      <c r="I44" s="495"/>
      <c r="J44" s="390"/>
      <c r="K44" s="387"/>
      <c r="L44" s="418">
        <f>H44-J44</f>
        <v>0</v>
      </c>
      <c r="M44" s="63"/>
      <c r="N44" s="388"/>
      <c r="O44" s="63"/>
      <c r="P44" s="388"/>
      <c r="Q44" s="387"/>
      <c r="R44" s="488">
        <f>(H44*$T$7)*(N44+P44)</f>
        <v>0</v>
      </c>
      <c r="S44" s="489"/>
      <c r="T44" s="488">
        <f>(L44*$T$7)*(N44+P44)</f>
        <v>0</v>
      </c>
      <c r="U44" s="27"/>
      <c r="X44" s="176"/>
    </row>
    <row r="45" spans="1:24" ht="19.5" customHeight="1">
      <c r="A45" s="18">
        <v>8</v>
      </c>
      <c r="B45" s="260"/>
      <c r="C45" s="260"/>
      <c r="D45" s="260"/>
      <c r="E45" s="284"/>
      <c r="F45" s="385"/>
      <c r="G45" s="284"/>
      <c r="H45" s="386"/>
      <c r="I45" s="495"/>
      <c r="J45" s="390"/>
      <c r="K45" s="387"/>
      <c r="L45" s="418">
        <f t="shared" si="3"/>
        <v>0</v>
      </c>
      <c r="M45" s="63"/>
      <c r="N45" s="401"/>
      <c r="O45" s="63"/>
      <c r="P45" s="388"/>
      <c r="Q45" s="387"/>
      <c r="R45" s="488">
        <f t="shared" si="4"/>
        <v>0</v>
      </c>
      <c r="S45" s="489"/>
      <c r="T45" s="488">
        <f t="shared" si="5"/>
        <v>0</v>
      </c>
      <c r="U45" s="27"/>
      <c r="X45" s="176"/>
    </row>
    <row r="46" spans="1:24" ht="19.5" customHeight="1">
      <c r="A46" s="18">
        <v>9</v>
      </c>
      <c r="B46" s="260"/>
      <c r="C46" s="260"/>
      <c r="D46" s="260"/>
      <c r="E46" s="284"/>
      <c r="F46" s="385"/>
      <c r="G46" s="284"/>
      <c r="H46" s="389"/>
      <c r="I46" s="495"/>
      <c r="J46" s="390"/>
      <c r="K46" s="387"/>
      <c r="L46" s="418">
        <f t="shared" si="3"/>
        <v>0</v>
      </c>
      <c r="M46" s="63"/>
      <c r="N46" s="388"/>
      <c r="O46" s="63"/>
      <c r="P46" s="390"/>
      <c r="Q46" s="387"/>
      <c r="R46" s="488">
        <f t="shared" si="4"/>
        <v>0</v>
      </c>
      <c r="S46" s="489"/>
      <c r="T46" s="488">
        <f t="shared" si="5"/>
        <v>0</v>
      </c>
      <c r="U46" s="27"/>
      <c r="X46" s="176"/>
    </row>
    <row r="47" spans="1:24" ht="19.5" customHeight="1">
      <c r="A47" s="18">
        <v>10</v>
      </c>
      <c r="B47" s="260"/>
      <c r="C47" s="260"/>
      <c r="D47" s="260"/>
      <c r="E47" s="284"/>
      <c r="F47" s="385"/>
      <c r="G47" s="284"/>
      <c r="H47" s="386"/>
      <c r="I47" s="495"/>
      <c r="J47" s="390"/>
      <c r="K47" s="387"/>
      <c r="L47" s="418">
        <f>H47-J47</f>
        <v>0</v>
      </c>
      <c r="M47" s="63"/>
      <c r="N47" s="388"/>
      <c r="O47" s="63"/>
      <c r="P47" s="388"/>
      <c r="Q47" s="387"/>
      <c r="R47" s="488">
        <f>(H47*$T$7)*(N47+P47)</f>
        <v>0</v>
      </c>
      <c r="S47" s="489"/>
      <c r="T47" s="488">
        <f>(L47*$T$7)*(N47+P47)</f>
        <v>0</v>
      </c>
      <c r="U47" s="27"/>
      <c r="X47" s="176"/>
    </row>
    <row r="48" spans="1:24" ht="19.5" customHeight="1">
      <c r="A48" s="18">
        <v>11</v>
      </c>
      <c r="B48" s="260"/>
      <c r="C48" s="260"/>
      <c r="D48" s="260"/>
      <c r="E48" s="284"/>
      <c r="F48" s="385"/>
      <c r="G48" s="284"/>
      <c r="H48" s="386"/>
      <c r="I48" s="495"/>
      <c r="J48" s="390"/>
      <c r="K48" s="387"/>
      <c r="L48" s="418">
        <f>H48-J48</f>
        <v>0</v>
      </c>
      <c r="M48" s="63"/>
      <c r="N48" s="388"/>
      <c r="O48" s="63"/>
      <c r="P48" s="388"/>
      <c r="Q48" s="387"/>
      <c r="R48" s="488">
        <f>(H48*$T$7)*(N48+P48)</f>
        <v>0</v>
      </c>
      <c r="S48" s="489"/>
      <c r="T48" s="488">
        <f>(L48*$T$7)*(N48+P48)</f>
        <v>0</v>
      </c>
      <c r="U48" s="27"/>
      <c r="X48" s="176"/>
    </row>
    <row r="49" spans="1:24" ht="19.5" customHeight="1">
      <c r="A49" s="18">
        <v>12</v>
      </c>
      <c r="B49" s="622"/>
      <c r="C49" s="260"/>
      <c r="D49" s="260"/>
      <c r="E49" s="284"/>
      <c r="F49" s="385"/>
      <c r="G49" s="284"/>
      <c r="H49" s="386"/>
      <c r="I49" s="495"/>
      <c r="J49" s="390"/>
      <c r="K49" s="387"/>
      <c r="L49" s="418">
        <f>H49-J49</f>
        <v>0</v>
      </c>
      <c r="M49" s="63"/>
      <c r="N49" s="388"/>
      <c r="O49" s="63"/>
      <c r="P49" s="388"/>
      <c r="Q49" s="387"/>
      <c r="R49" s="488">
        <f>(H49*$T$7)*(N49+P49)</f>
        <v>0</v>
      </c>
      <c r="S49" s="489"/>
      <c r="T49" s="488">
        <f>(L49*$T$7)*(N49+P49)</f>
        <v>0</v>
      </c>
      <c r="U49" s="27"/>
      <c r="X49" s="176"/>
    </row>
    <row r="50" spans="1:24" ht="19.5" customHeight="1">
      <c r="A50" s="18">
        <v>13</v>
      </c>
      <c r="B50" s="260"/>
      <c r="C50" s="260"/>
      <c r="D50" s="260"/>
      <c r="E50" s="284"/>
      <c r="F50" s="385"/>
      <c r="G50" s="284"/>
      <c r="H50" s="386"/>
      <c r="I50" s="495"/>
      <c r="J50" s="390"/>
      <c r="K50" s="387"/>
      <c r="L50" s="418">
        <f>H50-J50</f>
        <v>0</v>
      </c>
      <c r="M50" s="63"/>
      <c r="N50" s="401"/>
      <c r="O50" s="63"/>
      <c r="P50" s="388"/>
      <c r="Q50" s="387"/>
      <c r="R50" s="488">
        <f>(H50*$T$7)*(N50+P50)</f>
        <v>0</v>
      </c>
      <c r="S50" s="489"/>
      <c r="T50" s="488">
        <f>(L50*$T$7)*(N50+P50)</f>
        <v>0</v>
      </c>
      <c r="U50" s="27"/>
      <c r="X50" s="176"/>
    </row>
    <row r="51" spans="1:24" ht="19.5" customHeight="1">
      <c r="A51" s="18">
        <v>14</v>
      </c>
      <c r="B51" s="260"/>
      <c r="C51" s="260"/>
      <c r="D51" s="260"/>
      <c r="E51" s="284"/>
      <c r="F51" s="385"/>
      <c r="G51" s="284"/>
      <c r="H51" s="389"/>
      <c r="I51" s="495"/>
      <c r="J51" s="390"/>
      <c r="K51" s="387"/>
      <c r="L51" s="418">
        <f>H51-J51</f>
        <v>0</v>
      </c>
      <c r="M51" s="63"/>
      <c r="N51" s="388"/>
      <c r="O51" s="63"/>
      <c r="P51" s="390"/>
      <c r="Q51" s="387"/>
      <c r="R51" s="488">
        <f>(H51*$T$7)*(N51+P51)</f>
        <v>0</v>
      </c>
      <c r="S51" s="489"/>
      <c r="T51" s="488">
        <f>(L51*$T$7)*(N51+P51)</f>
        <v>0</v>
      </c>
      <c r="U51" s="27"/>
      <c r="X51" s="176"/>
    </row>
    <row r="52" spans="1:24" ht="19.5" customHeight="1">
      <c r="A52" s="18">
        <v>15</v>
      </c>
      <c r="B52" s="260"/>
      <c r="C52" s="260"/>
      <c r="D52" s="260"/>
      <c r="E52" s="284"/>
      <c r="F52" s="385"/>
      <c r="G52" s="284"/>
      <c r="H52" s="386"/>
      <c r="I52" s="495"/>
      <c r="J52" s="390"/>
      <c r="K52" s="387"/>
      <c r="L52" s="418">
        <f t="shared" si="3"/>
        <v>0</v>
      </c>
      <c r="M52" s="63"/>
      <c r="N52" s="388"/>
      <c r="O52" s="63"/>
      <c r="P52" s="388"/>
      <c r="Q52" s="387"/>
      <c r="R52" s="488">
        <f aca="true" t="shared" si="6" ref="R52:R57">(H52*$T$7)*(N52+P52)</f>
        <v>0</v>
      </c>
      <c r="S52" s="489"/>
      <c r="T52" s="488">
        <f aca="true" t="shared" si="7" ref="T52:T57">(L52*$T$7)*(N52+P52)</f>
        <v>0</v>
      </c>
      <c r="U52" s="27"/>
      <c r="X52" s="176"/>
    </row>
    <row r="53" spans="1:24" ht="19.5" customHeight="1">
      <c r="A53" s="18">
        <v>16</v>
      </c>
      <c r="B53" s="260"/>
      <c r="C53" s="260"/>
      <c r="D53" s="260"/>
      <c r="E53" s="284"/>
      <c r="F53" s="385"/>
      <c r="G53" s="284"/>
      <c r="H53" s="386"/>
      <c r="I53" s="495"/>
      <c r="J53" s="390"/>
      <c r="K53" s="387"/>
      <c r="L53" s="418">
        <f t="shared" si="3"/>
        <v>0</v>
      </c>
      <c r="M53" s="63"/>
      <c r="N53" s="388"/>
      <c r="O53" s="63"/>
      <c r="P53" s="388"/>
      <c r="Q53" s="387"/>
      <c r="R53" s="488">
        <f t="shared" si="6"/>
        <v>0</v>
      </c>
      <c r="S53" s="489"/>
      <c r="T53" s="488">
        <f t="shared" si="7"/>
        <v>0</v>
      </c>
      <c r="U53" s="27"/>
      <c r="X53" s="176"/>
    </row>
    <row r="54" spans="1:24" ht="19.5" customHeight="1">
      <c r="A54" s="18">
        <v>17</v>
      </c>
      <c r="B54" s="622"/>
      <c r="C54" s="260"/>
      <c r="D54" s="260"/>
      <c r="E54" s="284"/>
      <c r="F54" s="385"/>
      <c r="G54" s="284"/>
      <c r="H54" s="386"/>
      <c r="I54" s="495"/>
      <c r="J54" s="390"/>
      <c r="K54" s="387"/>
      <c r="L54" s="418">
        <f t="shared" si="3"/>
        <v>0</v>
      </c>
      <c r="M54" s="63"/>
      <c r="N54" s="388"/>
      <c r="O54" s="63"/>
      <c r="P54" s="388"/>
      <c r="Q54" s="387"/>
      <c r="R54" s="488">
        <f t="shared" si="6"/>
        <v>0</v>
      </c>
      <c r="S54" s="489"/>
      <c r="T54" s="488">
        <f t="shared" si="7"/>
        <v>0</v>
      </c>
      <c r="U54" s="27"/>
      <c r="X54" s="176"/>
    </row>
    <row r="55" spans="1:24" ht="19.5" customHeight="1">
      <c r="A55" s="18">
        <v>18</v>
      </c>
      <c r="B55" s="260"/>
      <c r="C55" s="260"/>
      <c r="D55" s="260"/>
      <c r="E55" s="284"/>
      <c r="F55" s="385"/>
      <c r="G55" s="284"/>
      <c r="H55" s="386"/>
      <c r="I55" s="495"/>
      <c r="J55" s="390"/>
      <c r="K55" s="387"/>
      <c r="L55" s="418">
        <f t="shared" si="3"/>
        <v>0</v>
      </c>
      <c r="M55" s="63"/>
      <c r="N55" s="401"/>
      <c r="O55" s="63"/>
      <c r="P55" s="388"/>
      <c r="Q55" s="387"/>
      <c r="R55" s="488">
        <f t="shared" si="6"/>
        <v>0</v>
      </c>
      <c r="S55" s="489"/>
      <c r="T55" s="488">
        <f t="shared" si="7"/>
        <v>0</v>
      </c>
      <c r="U55" s="27"/>
      <c r="X55" s="176"/>
    </row>
    <row r="56" spans="1:24" ht="19.5" customHeight="1">
      <c r="A56" s="18">
        <v>19</v>
      </c>
      <c r="B56" s="260"/>
      <c r="C56" s="260"/>
      <c r="D56" s="260"/>
      <c r="E56" s="284"/>
      <c r="F56" s="385"/>
      <c r="G56" s="284"/>
      <c r="H56" s="389"/>
      <c r="I56" s="495"/>
      <c r="J56" s="390"/>
      <c r="K56" s="387"/>
      <c r="L56" s="418">
        <f t="shared" si="3"/>
        <v>0</v>
      </c>
      <c r="M56" s="63"/>
      <c r="N56" s="388"/>
      <c r="O56" s="63"/>
      <c r="P56" s="390"/>
      <c r="Q56" s="387"/>
      <c r="R56" s="488">
        <f t="shared" si="6"/>
        <v>0</v>
      </c>
      <c r="S56" s="489"/>
      <c r="T56" s="488">
        <f t="shared" si="7"/>
        <v>0</v>
      </c>
      <c r="U56" s="27"/>
      <c r="X56" s="176"/>
    </row>
    <row r="57" spans="1:24" ht="19.5" customHeight="1" thickBot="1">
      <c r="A57" s="18">
        <v>20</v>
      </c>
      <c r="B57" s="260"/>
      <c r="C57" s="260"/>
      <c r="D57" s="260"/>
      <c r="E57" s="284"/>
      <c r="F57" s="385"/>
      <c r="G57" s="284"/>
      <c r="H57" s="389"/>
      <c r="I57" s="495"/>
      <c r="J57" s="390"/>
      <c r="K57" s="387"/>
      <c r="L57" s="418">
        <f t="shared" si="3"/>
        <v>0</v>
      </c>
      <c r="M57" s="63"/>
      <c r="N57" s="388"/>
      <c r="O57" s="63"/>
      <c r="P57" s="390"/>
      <c r="Q57" s="387"/>
      <c r="R57" s="488">
        <f t="shared" si="6"/>
        <v>0</v>
      </c>
      <c r="S57" s="489"/>
      <c r="T57" s="488">
        <f t="shared" si="7"/>
        <v>0</v>
      </c>
      <c r="U57" s="27"/>
      <c r="X57" s="176"/>
    </row>
    <row r="58" spans="1:24" ht="21.75" customHeight="1" thickBot="1">
      <c r="A58" s="112"/>
      <c r="B58" s="113"/>
      <c r="C58" s="113"/>
      <c r="D58" s="113" t="s">
        <v>311</v>
      </c>
      <c r="E58" s="114"/>
      <c r="F58" s="391"/>
      <c r="G58" s="392"/>
      <c r="H58" s="393"/>
      <c r="I58" s="394"/>
      <c r="J58" s="393"/>
      <c r="K58" s="394"/>
      <c r="L58" s="393"/>
      <c r="M58" s="392"/>
      <c r="N58" s="395"/>
      <c r="O58" s="392"/>
      <c r="P58" s="396"/>
      <c r="Q58" s="397"/>
      <c r="R58" s="496">
        <f>SUM(R39:R57)</f>
        <v>0</v>
      </c>
      <c r="S58" s="497"/>
      <c r="T58" s="496">
        <f>SUM(T39:T57)</f>
        <v>0</v>
      </c>
      <c r="U58" s="498"/>
      <c r="X58" s="176"/>
    </row>
    <row r="59" spans="1:24" ht="6.75" customHeight="1">
      <c r="A59" s="6"/>
      <c r="B59" s="7"/>
      <c r="C59" s="7"/>
      <c r="D59" s="7"/>
      <c r="E59" s="59"/>
      <c r="F59" s="33"/>
      <c r="G59" s="59"/>
      <c r="H59" s="384"/>
      <c r="I59" s="383"/>
      <c r="J59" s="384"/>
      <c r="K59" s="383"/>
      <c r="L59" s="384"/>
      <c r="M59" s="59"/>
      <c r="N59" s="381"/>
      <c r="O59" s="59"/>
      <c r="P59" s="398"/>
      <c r="Q59" s="399"/>
      <c r="R59" s="398"/>
      <c r="S59" s="399"/>
      <c r="T59" s="398"/>
      <c r="U59" s="12"/>
      <c r="X59" s="176"/>
    </row>
    <row r="60" spans="1:24" ht="12.75" customHeight="1">
      <c r="A60" s="6"/>
      <c r="B60" s="15" t="s">
        <v>321</v>
      </c>
      <c r="C60" s="7"/>
      <c r="D60" s="7"/>
      <c r="E60" s="59"/>
      <c r="F60" s="33"/>
      <c r="G60" s="59"/>
      <c r="H60" s="384"/>
      <c r="I60" s="383"/>
      <c r="J60" s="384"/>
      <c r="K60" s="383"/>
      <c r="L60" s="421"/>
      <c r="M60" s="59"/>
      <c r="N60" s="400"/>
      <c r="O60" s="59"/>
      <c r="P60" s="398"/>
      <c r="Q60" s="399"/>
      <c r="R60" s="398"/>
      <c r="S60" s="399"/>
      <c r="T60" s="398"/>
      <c r="U60" s="12"/>
      <c r="X60" s="176"/>
    </row>
    <row r="61" spans="1:24" ht="3.75" customHeight="1">
      <c r="A61" s="6"/>
      <c r="B61" s="15"/>
      <c r="C61" s="7"/>
      <c r="D61" s="7"/>
      <c r="E61" s="59"/>
      <c r="F61" s="33"/>
      <c r="G61" s="59"/>
      <c r="H61" s="384"/>
      <c r="I61" s="383"/>
      <c r="J61" s="384"/>
      <c r="K61" s="383"/>
      <c r="L61" s="421"/>
      <c r="M61" s="59"/>
      <c r="N61" s="400"/>
      <c r="O61" s="59"/>
      <c r="P61" s="398"/>
      <c r="Q61" s="399"/>
      <c r="R61" s="398"/>
      <c r="S61" s="399"/>
      <c r="T61" s="398"/>
      <c r="U61" s="12"/>
      <c r="X61" s="176"/>
    </row>
    <row r="62" spans="1:24" ht="19.5" customHeight="1">
      <c r="A62" s="18">
        <v>1</v>
      </c>
      <c r="B62" s="260"/>
      <c r="C62" s="260"/>
      <c r="D62" s="260"/>
      <c r="E62" s="63"/>
      <c r="F62" s="297" t="s">
        <v>322</v>
      </c>
      <c r="G62" s="63"/>
      <c r="H62" s="390"/>
      <c r="I62" s="387"/>
      <c r="J62" s="390"/>
      <c r="K62" s="387"/>
      <c r="L62" s="418">
        <f aca="true" t="shared" si="8" ref="L62:L76">H62-J62</f>
        <v>0</v>
      </c>
      <c r="M62" s="63"/>
      <c r="N62" s="401"/>
      <c r="O62" s="63"/>
      <c r="P62" s="386"/>
      <c r="Q62" s="402"/>
      <c r="R62" s="488">
        <f aca="true" t="shared" si="9" ref="R62:R76">(H62*$T$7)*(N62+P62)</f>
        <v>0</v>
      </c>
      <c r="S62" s="489"/>
      <c r="T62" s="488">
        <v>0</v>
      </c>
      <c r="U62" s="27"/>
      <c r="X62" s="176"/>
    </row>
    <row r="63" spans="1:24" ht="19.5" customHeight="1">
      <c r="A63" s="18">
        <v>2</v>
      </c>
      <c r="B63" s="260"/>
      <c r="C63" s="260"/>
      <c r="D63" s="260"/>
      <c r="E63" s="63"/>
      <c r="F63" s="297" t="s">
        <v>322</v>
      </c>
      <c r="G63" s="63"/>
      <c r="H63" s="390"/>
      <c r="I63" s="387"/>
      <c r="J63" s="390"/>
      <c r="K63" s="387"/>
      <c r="L63" s="418">
        <f t="shared" si="8"/>
        <v>0</v>
      </c>
      <c r="M63" s="63"/>
      <c r="N63" s="401"/>
      <c r="O63" s="63"/>
      <c r="P63" s="403"/>
      <c r="Q63" s="402"/>
      <c r="R63" s="488">
        <f t="shared" si="9"/>
        <v>0</v>
      </c>
      <c r="S63" s="489"/>
      <c r="T63" s="488">
        <v>0</v>
      </c>
      <c r="U63" s="27"/>
      <c r="X63" s="176"/>
    </row>
    <row r="64" spans="1:24" ht="19.5" customHeight="1">
      <c r="A64" s="18">
        <v>3</v>
      </c>
      <c r="B64" s="260"/>
      <c r="C64" s="260"/>
      <c r="D64" s="260"/>
      <c r="E64" s="63"/>
      <c r="F64" s="297" t="s">
        <v>322</v>
      </c>
      <c r="G64" s="63"/>
      <c r="H64" s="390"/>
      <c r="I64" s="387"/>
      <c r="J64" s="390"/>
      <c r="K64" s="387"/>
      <c r="L64" s="418">
        <f t="shared" si="8"/>
        <v>0</v>
      </c>
      <c r="M64" s="63"/>
      <c r="N64" s="401"/>
      <c r="O64" s="63"/>
      <c r="P64" s="403"/>
      <c r="Q64" s="402"/>
      <c r="R64" s="488">
        <f t="shared" si="9"/>
        <v>0</v>
      </c>
      <c r="S64" s="489"/>
      <c r="T64" s="488">
        <v>0</v>
      </c>
      <c r="U64" s="27"/>
      <c r="X64" s="176"/>
    </row>
    <row r="65" spans="1:24" ht="19.5" customHeight="1">
      <c r="A65" s="18">
        <v>4</v>
      </c>
      <c r="B65" s="260"/>
      <c r="C65" s="260"/>
      <c r="D65" s="260"/>
      <c r="E65" s="63"/>
      <c r="F65" s="297" t="s">
        <v>322</v>
      </c>
      <c r="G65" s="63"/>
      <c r="H65" s="390"/>
      <c r="I65" s="387"/>
      <c r="J65" s="390"/>
      <c r="K65" s="387"/>
      <c r="L65" s="418">
        <f t="shared" si="8"/>
        <v>0</v>
      </c>
      <c r="M65" s="63"/>
      <c r="N65" s="401"/>
      <c r="O65" s="63"/>
      <c r="P65" s="403"/>
      <c r="Q65" s="402"/>
      <c r="R65" s="488">
        <f t="shared" si="9"/>
        <v>0</v>
      </c>
      <c r="S65" s="489"/>
      <c r="T65" s="488">
        <v>0</v>
      </c>
      <c r="U65" s="27"/>
      <c r="X65" s="176"/>
    </row>
    <row r="66" spans="1:24" ht="19.5" customHeight="1">
      <c r="A66" s="18">
        <v>5</v>
      </c>
      <c r="B66" s="260"/>
      <c r="C66" s="260"/>
      <c r="D66" s="260"/>
      <c r="E66" s="63"/>
      <c r="F66" s="297" t="s">
        <v>322</v>
      </c>
      <c r="G66" s="63"/>
      <c r="H66" s="390"/>
      <c r="I66" s="387"/>
      <c r="J66" s="390"/>
      <c r="K66" s="387"/>
      <c r="L66" s="418">
        <f t="shared" si="8"/>
        <v>0</v>
      </c>
      <c r="M66" s="63"/>
      <c r="N66" s="401"/>
      <c r="O66" s="63"/>
      <c r="P66" s="403"/>
      <c r="Q66" s="402"/>
      <c r="R66" s="488">
        <f t="shared" si="9"/>
        <v>0</v>
      </c>
      <c r="S66" s="489"/>
      <c r="T66" s="488">
        <v>0</v>
      </c>
      <c r="U66" s="27"/>
      <c r="X66" s="176"/>
    </row>
    <row r="67" spans="1:24" ht="19.5" customHeight="1">
      <c r="A67" s="18">
        <v>6</v>
      </c>
      <c r="B67" s="260"/>
      <c r="C67" s="260"/>
      <c r="D67" s="260"/>
      <c r="E67" s="63"/>
      <c r="F67" s="297" t="s">
        <v>322</v>
      </c>
      <c r="G67" s="63"/>
      <c r="H67" s="390"/>
      <c r="I67" s="387"/>
      <c r="J67" s="390"/>
      <c r="K67" s="387"/>
      <c r="L67" s="418">
        <f t="shared" si="8"/>
        <v>0</v>
      </c>
      <c r="M67" s="63"/>
      <c r="N67" s="388"/>
      <c r="O67" s="63"/>
      <c r="P67" s="403"/>
      <c r="Q67" s="402"/>
      <c r="R67" s="488">
        <f t="shared" si="9"/>
        <v>0</v>
      </c>
      <c r="S67" s="489"/>
      <c r="T67" s="488">
        <f aca="true" t="shared" si="10" ref="T67:T76">(L67*$T$7)*(N67+P67)</f>
        <v>0</v>
      </c>
      <c r="U67" s="27"/>
      <c r="X67" s="176"/>
    </row>
    <row r="68" spans="1:24" ht="19.5" customHeight="1">
      <c r="A68" s="18">
        <v>7</v>
      </c>
      <c r="B68" s="260"/>
      <c r="C68" s="260"/>
      <c r="D68" s="260"/>
      <c r="E68" s="63"/>
      <c r="F68" s="297" t="s">
        <v>322</v>
      </c>
      <c r="G68" s="63"/>
      <c r="H68" s="390"/>
      <c r="I68" s="387"/>
      <c r="J68" s="390"/>
      <c r="K68" s="387"/>
      <c r="L68" s="418">
        <f t="shared" si="8"/>
        <v>0</v>
      </c>
      <c r="M68" s="63"/>
      <c r="N68" s="388"/>
      <c r="O68" s="63"/>
      <c r="P68" s="403"/>
      <c r="Q68" s="402"/>
      <c r="R68" s="488">
        <f t="shared" si="9"/>
        <v>0</v>
      </c>
      <c r="S68" s="489"/>
      <c r="T68" s="488">
        <f t="shared" si="10"/>
        <v>0</v>
      </c>
      <c r="U68" s="27"/>
      <c r="X68" s="176"/>
    </row>
    <row r="69" spans="1:24" ht="19.5" customHeight="1">
      <c r="A69" s="18">
        <v>8</v>
      </c>
      <c r="B69" s="260"/>
      <c r="C69" s="260"/>
      <c r="D69" s="260"/>
      <c r="E69" s="63"/>
      <c r="F69" s="297" t="s">
        <v>322</v>
      </c>
      <c r="G69" s="63"/>
      <c r="H69" s="390"/>
      <c r="I69" s="387"/>
      <c r="J69" s="390"/>
      <c r="K69" s="387"/>
      <c r="L69" s="418">
        <f t="shared" si="8"/>
        <v>0</v>
      </c>
      <c r="M69" s="63"/>
      <c r="N69" s="388"/>
      <c r="O69" s="63"/>
      <c r="P69" s="403"/>
      <c r="Q69" s="402"/>
      <c r="R69" s="488">
        <f t="shared" si="9"/>
        <v>0</v>
      </c>
      <c r="S69" s="489"/>
      <c r="T69" s="488">
        <f t="shared" si="10"/>
        <v>0</v>
      </c>
      <c r="U69" s="27"/>
      <c r="X69" s="176"/>
    </row>
    <row r="70" spans="1:24" ht="19.5" customHeight="1">
      <c r="A70" s="18">
        <v>9</v>
      </c>
      <c r="B70" s="260"/>
      <c r="C70" s="260"/>
      <c r="D70" s="260"/>
      <c r="E70" s="63"/>
      <c r="F70" s="297" t="s">
        <v>322</v>
      </c>
      <c r="G70" s="63"/>
      <c r="H70" s="390"/>
      <c r="I70" s="387"/>
      <c r="J70" s="390"/>
      <c r="K70" s="387"/>
      <c r="L70" s="418">
        <f t="shared" si="8"/>
        <v>0</v>
      </c>
      <c r="M70" s="63"/>
      <c r="N70" s="388"/>
      <c r="O70" s="63"/>
      <c r="P70" s="403"/>
      <c r="Q70" s="402"/>
      <c r="R70" s="488">
        <f t="shared" si="9"/>
        <v>0</v>
      </c>
      <c r="S70" s="489"/>
      <c r="T70" s="488">
        <f t="shared" si="10"/>
        <v>0</v>
      </c>
      <c r="U70" s="27"/>
      <c r="X70" s="176"/>
    </row>
    <row r="71" spans="1:24" ht="19.5" customHeight="1">
      <c r="A71" s="18">
        <v>10</v>
      </c>
      <c r="B71" s="260"/>
      <c r="C71" s="260"/>
      <c r="D71" s="260"/>
      <c r="E71" s="63"/>
      <c r="F71" s="297" t="s">
        <v>322</v>
      </c>
      <c r="G71" s="63"/>
      <c r="H71" s="390"/>
      <c r="I71" s="387"/>
      <c r="J71" s="390"/>
      <c r="K71" s="387"/>
      <c r="L71" s="418">
        <f t="shared" si="8"/>
        <v>0</v>
      </c>
      <c r="M71" s="63"/>
      <c r="N71" s="388"/>
      <c r="O71" s="63"/>
      <c r="P71" s="403"/>
      <c r="Q71" s="402"/>
      <c r="R71" s="488">
        <f t="shared" si="9"/>
        <v>0</v>
      </c>
      <c r="S71" s="489"/>
      <c r="T71" s="488">
        <f t="shared" si="10"/>
        <v>0</v>
      </c>
      <c r="U71" s="27"/>
      <c r="X71" s="176"/>
    </row>
    <row r="72" spans="1:24" ht="19.5" customHeight="1">
      <c r="A72" s="18">
        <v>11</v>
      </c>
      <c r="B72" s="260"/>
      <c r="C72" s="260"/>
      <c r="D72" s="260"/>
      <c r="E72" s="63"/>
      <c r="F72" s="297" t="s">
        <v>322</v>
      </c>
      <c r="G72" s="63"/>
      <c r="H72" s="390"/>
      <c r="I72" s="387"/>
      <c r="J72" s="390"/>
      <c r="K72" s="387"/>
      <c r="L72" s="418">
        <f t="shared" si="8"/>
        <v>0</v>
      </c>
      <c r="M72" s="63"/>
      <c r="N72" s="388"/>
      <c r="O72" s="63"/>
      <c r="P72" s="403"/>
      <c r="Q72" s="402"/>
      <c r="R72" s="488">
        <f t="shared" si="9"/>
        <v>0</v>
      </c>
      <c r="S72" s="489"/>
      <c r="T72" s="488">
        <f t="shared" si="10"/>
        <v>0</v>
      </c>
      <c r="U72" s="27"/>
      <c r="X72" s="176"/>
    </row>
    <row r="73" spans="1:24" ht="19.5" customHeight="1">
      <c r="A73" s="18">
        <v>12</v>
      </c>
      <c r="B73" s="260"/>
      <c r="C73" s="260"/>
      <c r="D73" s="260"/>
      <c r="E73" s="63"/>
      <c r="F73" s="297" t="s">
        <v>322</v>
      </c>
      <c r="G73" s="63"/>
      <c r="H73" s="390"/>
      <c r="I73" s="387"/>
      <c r="J73" s="390"/>
      <c r="K73" s="387"/>
      <c r="L73" s="418">
        <f t="shared" si="8"/>
        <v>0</v>
      </c>
      <c r="M73" s="63"/>
      <c r="N73" s="388"/>
      <c r="O73" s="63"/>
      <c r="P73" s="403"/>
      <c r="Q73" s="402"/>
      <c r="R73" s="488">
        <f t="shared" si="9"/>
        <v>0</v>
      </c>
      <c r="S73" s="489"/>
      <c r="T73" s="488">
        <f t="shared" si="10"/>
        <v>0</v>
      </c>
      <c r="U73" s="27"/>
      <c r="X73" s="176"/>
    </row>
    <row r="74" spans="1:24" ht="19.5" customHeight="1">
      <c r="A74" s="18">
        <v>13</v>
      </c>
      <c r="B74" s="260"/>
      <c r="C74" s="260"/>
      <c r="D74" s="260"/>
      <c r="E74" s="63"/>
      <c r="F74" s="297" t="s">
        <v>322</v>
      </c>
      <c r="G74" s="63"/>
      <c r="H74" s="390"/>
      <c r="I74" s="387"/>
      <c r="J74" s="390"/>
      <c r="K74" s="387"/>
      <c r="L74" s="418">
        <f t="shared" si="8"/>
        <v>0</v>
      </c>
      <c r="M74" s="63"/>
      <c r="N74" s="388"/>
      <c r="O74" s="63"/>
      <c r="P74" s="403"/>
      <c r="Q74" s="402"/>
      <c r="R74" s="488">
        <f t="shared" si="9"/>
        <v>0</v>
      </c>
      <c r="S74" s="489"/>
      <c r="T74" s="488">
        <f t="shared" si="10"/>
        <v>0</v>
      </c>
      <c r="U74" s="27"/>
      <c r="X74" s="176"/>
    </row>
    <row r="75" spans="1:24" ht="19.5" customHeight="1">
      <c r="A75" s="18">
        <v>14</v>
      </c>
      <c r="B75" s="260"/>
      <c r="C75" s="260"/>
      <c r="D75" s="260"/>
      <c r="E75" s="63"/>
      <c r="F75" s="297" t="s">
        <v>322</v>
      </c>
      <c r="G75" s="63"/>
      <c r="H75" s="390"/>
      <c r="I75" s="387"/>
      <c r="J75" s="390"/>
      <c r="K75" s="387"/>
      <c r="L75" s="418">
        <f t="shared" si="8"/>
        <v>0</v>
      </c>
      <c r="M75" s="63"/>
      <c r="N75" s="388"/>
      <c r="O75" s="63"/>
      <c r="P75" s="403"/>
      <c r="Q75" s="402"/>
      <c r="R75" s="488">
        <f t="shared" si="9"/>
        <v>0</v>
      </c>
      <c r="S75" s="489"/>
      <c r="T75" s="488">
        <f t="shared" si="10"/>
        <v>0</v>
      </c>
      <c r="U75" s="27"/>
      <c r="X75" s="176"/>
    </row>
    <row r="76" spans="1:24" ht="19.5" customHeight="1" thickBot="1">
      <c r="A76" s="18">
        <v>15</v>
      </c>
      <c r="B76" s="260"/>
      <c r="C76" s="260"/>
      <c r="D76" s="260"/>
      <c r="E76" s="63"/>
      <c r="F76" s="297" t="s">
        <v>322</v>
      </c>
      <c r="G76" s="63"/>
      <c r="H76" s="390"/>
      <c r="I76" s="387"/>
      <c r="J76" s="390"/>
      <c r="K76" s="387"/>
      <c r="L76" s="418">
        <f t="shared" si="8"/>
        <v>0</v>
      </c>
      <c r="M76" s="63"/>
      <c r="N76" s="388"/>
      <c r="O76" s="63"/>
      <c r="P76" s="390"/>
      <c r="Q76" s="387"/>
      <c r="R76" s="488">
        <f t="shared" si="9"/>
        <v>0</v>
      </c>
      <c r="S76" s="489"/>
      <c r="T76" s="488">
        <f t="shared" si="10"/>
        <v>0</v>
      </c>
      <c r="U76" s="27"/>
      <c r="X76" s="176"/>
    </row>
    <row r="77" spans="1:24" ht="21.75" customHeight="1" thickBot="1">
      <c r="A77" s="112"/>
      <c r="B77" s="113"/>
      <c r="C77" s="113"/>
      <c r="D77" s="113" t="s">
        <v>311</v>
      </c>
      <c r="E77" s="114"/>
      <c r="F77" s="391"/>
      <c r="G77" s="392"/>
      <c r="H77" s="404">
        <f>SUM(H62:H76)</f>
        <v>0</v>
      </c>
      <c r="I77" s="405"/>
      <c r="J77" s="393"/>
      <c r="K77" s="394"/>
      <c r="L77" s="499"/>
      <c r="M77" s="392"/>
      <c r="N77" s="395"/>
      <c r="O77" s="392"/>
      <c r="P77" s="393"/>
      <c r="Q77" s="394"/>
      <c r="R77" s="500">
        <f>SUM(R62:R76)</f>
        <v>0</v>
      </c>
      <c r="S77" s="501"/>
      <c r="T77" s="502">
        <f>SUM(T62:T76)</f>
        <v>0</v>
      </c>
      <c r="U77" s="498"/>
      <c r="X77" s="176"/>
    </row>
    <row r="78" spans="1:24" ht="3.75" customHeight="1">
      <c r="A78" s="6"/>
      <c r="B78" s="7"/>
      <c r="C78" s="7"/>
      <c r="D78" s="7"/>
      <c r="E78" s="7"/>
      <c r="F78" s="33"/>
      <c r="G78" s="7"/>
      <c r="H78" s="384"/>
      <c r="I78" s="384"/>
      <c r="J78" s="384"/>
      <c r="K78" s="384"/>
      <c r="L78" s="406"/>
      <c r="M78" s="7"/>
      <c r="N78" s="381"/>
      <c r="O78" s="7"/>
      <c r="P78" s="384"/>
      <c r="Q78" s="407"/>
      <c r="R78" s="381"/>
      <c r="S78" s="503"/>
      <c r="T78" s="381"/>
      <c r="U78" s="12"/>
      <c r="X78" s="176"/>
    </row>
    <row r="79" spans="1:24" ht="18" customHeight="1">
      <c r="A79" s="17" t="s">
        <v>323</v>
      </c>
      <c r="B79" s="8"/>
      <c r="C79" s="7"/>
      <c r="D79" s="7"/>
      <c r="E79" s="7"/>
      <c r="F79" s="33"/>
      <c r="G79" s="7"/>
      <c r="H79" s="406"/>
      <c r="I79" s="384"/>
      <c r="J79" s="384"/>
      <c r="K79" s="384"/>
      <c r="L79" s="406"/>
      <c r="M79" s="7"/>
      <c r="N79" s="381"/>
      <c r="O79" s="7"/>
      <c r="P79" s="384"/>
      <c r="Q79" s="407"/>
      <c r="R79" s="504">
        <f>+R58+R77</f>
        <v>0</v>
      </c>
      <c r="S79" s="503"/>
      <c r="T79" s="504">
        <f>+T58+T77</f>
        <v>0</v>
      </c>
      <c r="U79" s="12"/>
      <c r="X79" s="176"/>
    </row>
    <row r="80" spans="1:24" ht="4.5" customHeight="1" thickBot="1">
      <c r="A80" s="375"/>
      <c r="B80" s="46"/>
      <c r="C80" s="46"/>
      <c r="D80" s="46"/>
      <c r="E80" s="46"/>
      <c r="F80" s="408"/>
      <c r="G80" s="46"/>
      <c r="H80" s="409"/>
      <c r="I80" s="410"/>
      <c r="J80" s="410"/>
      <c r="K80" s="410"/>
      <c r="L80" s="409"/>
      <c r="M80" s="46"/>
      <c r="N80" s="411"/>
      <c r="O80" s="46"/>
      <c r="P80" s="410"/>
      <c r="Q80" s="412"/>
      <c r="R80" s="411"/>
      <c r="S80" s="505"/>
      <c r="T80" s="411"/>
      <c r="U80" s="53"/>
      <c r="X80" s="176"/>
    </row>
    <row r="81" spans="1:24" ht="5.25" customHeight="1" thickTop="1">
      <c r="A81" s="6"/>
      <c r="B81" s="7"/>
      <c r="C81" s="7"/>
      <c r="D81" s="7"/>
      <c r="E81" s="7"/>
      <c r="F81" s="33"/>
      <c r="G81" s="7"/>
      <c r="H81" s="384"/>
      <c r="I81" s="384"/>
      <c r="J81" s="384"/>
      <c r="K81" s="384"/>
      <c r="L81" s="406"/>
      <c r="M81" s="7"/>
      <c r="N81" s="381"/>
      <c r="O81" s="7"/>
      <c r="P81" s="398"/>
      <c r="Q81" s="413"/>
      <c r="R81" s="506"/>
      <c r="S81" s="507"/>
      <c r="T81" s="506"/>
      <c r="U81" s="12"/>
      <c r="X81" s="176"/>
    </row>
    <row r="82" spans="1:24" ht="18" customHeight="1">
      <c r="A82" s="47" t="s">
        <v>324</v>
      </c>
      <c r="B82" s="52" t="s">
        <v>325</v>
      </c>
      <c r="C82" s="7"/>
      <c r="D82" s="7"/>
      <c r="E82" s="7"/>
      <c r="F82" s="33"/>
      <c r="G82" s="7"/>
      <c r="H82" s="384"/>
      <c r="I82" s="384"/>
      <c r="J82" s="384"/>
      <c r="K82" s="384"/>
      <c r="L82" s="406"/>
      <c r="M82" s="7"/>
      <c r="N82" s="381"/>
      <c r="O82" s="7"/>
      <c r="P82" s="384"/>
      <c r="Q82" s="407"/>
      <c r="R82" s="414">
        <f>R27-R79</f>
        <v>0</v>
      </c>
      <c r="S82" s="503"/>
      <c r="T82" s="414">
        <f>T27-T79</f>
        <v>0</v>
      </c>
      <c r="U82" s="12"/>
      <c r="X82" s="176"/>
    </row>
    <row r="83" spans="1:24" ht="8.25" customHeight="1" thickBot="1">
      <c r="A83" s="508"/>
      <c r="B83" s="509"/>
      <c r="C83" s="113"/>
      <c r="D83" s="113"/>
      <c r="E83" s="113"/>
      <c r="F83" s="138"/>
      <c r="G83" s="113"/>
      <c r="H83" s="510"/>
      <c r="I83" s="510"/>
      <c r="J83" s="510"/>
      <c r="K83" s="510"/>
      <c r="L83" s="511"/>
      <c r="M83" s="113"/>
      <c r="N83" s="512"/>
      <c r="O83" s="113"/>
      <c r="P83" s="510"/>
      <c r="Q83" s="513"/>
      <c r="R83" s="514"/>
      <c r="S83" s="515"/>
      <c r="T83" s="514"/>
      <c r="U83" s="110"/>
      <c r="X83" s="176"/>
    </row>
    <row r="84" spans="1:24" ht="5.25" customHeight="1" thickBot="1">
      <c r="A84" s="47"/>
      <c r="B84" s="52"/>
      <c r="C84" s="7"/>
      <c r="D84" s="7"/>
      <c r="E84" s="7"/>
      <c r="F84" s="33"/>
      <c r="G84" s="7"/>
      <c r="H84" s="384"/>
      <c r="I84" s="384"/>
      <c r="J84" s="384"/>
      <c r="K84" s="384"/>
      <c r="L84" s="406"/>
      <c r="M84" s="7"/>
      <c r="N84" s="381"/>
      <c r="O84" s="7"/>
      <c r="P84" s="384"/>
      <c r="Q84" s="384"/>
      <c r="R84" s="414"/>
      <c r="S84" s="381"/>
      <c r="T84" s="414"/>
      <c r="U84" s="12"/>
      <c r="X84" s="176"/>
    </row>
    <row r="85" spans="1:24" ht="18" customHeight="1" thickBot="1">
      <c r="A85" s="47" t="s">
        <v>391</v>
      </c>
      <c r="B85" s="52"/>
      <c r="C85" s="7"/>
      <c r="D85" s="7"/>
      <c r="E85" s="7"/>
      <c r="F85" s="33"/>
      <c r="G85" s="7"/>
      <c r="H85" s="919">
        <f>(H77*T7)/275</f>
        <v>0</v>
      </c>
      <c r="I85" s="516"/>
      <c r="J85" s="516" t="s">
        <v>392</v>
      </c>
      <c r="K85" s="384"/>
      <c r="L85" s="406"/>
      <c r="M85" s="7"/>
      <c r="N85" s="381"/>
      <c r="O85" s="7"/>
      <c r="P85" s="384"/>
      <c r="Q85" s="384"/>
      <c r="R85" s="414"/>
      <c r="S85" s="381"/>
      <c r="T85" s="414"/>
      <c r="U85" s="12"/>
      <c r="X85" s="176"/>
    </row>
    <row r="86" spans="1:24" ht="6.75" customHeight="1" thickBot="1">
      <c r="A86" s="45"/>
      <c r="B86" s="46"/>
      <c r="C86" s="46"/>
      <c r="D86" s="46"/>
      <c r="E86" s="46"/>
      <c r="F86" s="408"/>
      <c r="G86" s="46"/>
      <c r="H86" s="517"/>
      <c r="I86" s="410"/>
      <c r="J86" s="410"/>
      <c r="K86" s="410"/>
      <c r="L86" s="409"/>
      <c r="M86" s="46"/>
      <c r="N86" s="409"/>
      <c r="O86" s="46"/>
      <c r="P86" s="410"/>
      <c r="Q86" s="410"/>
      <c r="R86" s="410"/>
      <c r="S86" s="410"/>
      <c r="T86" s="410"/>
      <c r="U86" s="53"/>
      <c r="X86" s="176"/>
    </row>
    <row r="87" spans="1:24" ht="13.5" thickTop="1">
      <c r="A87" s="176"/>
      <c r="B87" s="176"/>
      <c r="C87" s="176"/>
      <c r="D87" s="176"/>
      <c r="E87" s="176"/>
      <c r="F87" s="176"/>
      <c r="G87" s="176"/>
      <c r="H87" s="176"/>
      <c r="I87" s="176"/>
      <c r="V87" s="176"/>
      <c r="W87" s="176"/>
      <c r="X87" s="176"/>
    </row>
    <row r="88" spans="1:24" ht="12.7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row>
    <row r="89" spans="1:24" ht="12.7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row>
  </sheetData>
  <sheetProtection password="CB61" sheet="1" objects="1" scenarios="1"/>
  <mergeCells count="2">
    <mergeCell ref="J1:L1"/>
    <mergeCell ref="D7:G7"/>
  </mergeCells>
  <printOptions horizontalCentered="1"/>
  <pageMargins left="0.7480314960629921" right="0.7480314960629921" top="0.3937007874015748" bottom="0.3937007874015748" header="0.11811023622047245" footer="0.11811023622047245"/>
  <pageSetup fitToHeight="1" fitToWidth="1" horizontalDpi="300" verticalDpi="300" orientation="portrait" scale="53" r:id="rId3"/>
  <colBreaks count="1" manualBreakCount="1">
    <brk id="8" max="65535" man="1"/>
  </colBreaks>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AA90"/>
  <sheetViews>
    <sheetView showGridLines="0" zoomScale="75" zoomScaleNormal="75" workbookViewId="0" topLeftCell="B77">
      <selection activeCell="N93" sqref="N93"/>
    </sheetView>
  </sheetViews>
  <sheetFormatPr defaultColWidth="11.421875" defaultRowHeight="12.75"/>
  <cols>
    <col min="1" max="1" width="3.140625" style="0" customWidth="1"/>
    <col min="2" max="2" width="12.421875" style="0" customWidth="1"/>
    <col min="3" max="3" width="0.9921875" style="0" customWidth="1"/>
    <col min="4" max="4" width="15.28125" style="0" customWidth="1"/>
    <col min="5" max="5" width="0.9921875" style="0" customWidth="1"/>
    <col min="6" max="6" width="12.7109375" style="0" customWidth="1"/>
    <col min="7" max="7" width="0.9921875" style="0" customWidth="1"/>
    <col min="8" max="8" width="17.7109375" style="0" customWidth="1"/>
    <col min="9" max="9" width="0.9921875" style="0" customWidth="1"/>
    <col min="10" max="10" width="17.7109375" style="0" customWidth="1"/>
    <col min="11" max="11" width="0.9921875" style="0" customWidth="1"/>
    <col min="12" max="12" width="17.7109375" style="0" customWidth="1"/>
    <col min="13" max="13" width="0.9921875" style="0" customWidth="1"/>
    <col min="14" max="14" width="14.00390625" style="0" customWidth="1"/>
    <col min="15" max="15" width="0.9921875" style="0" customWidth="1"/>
    <col min="16" max="16" width="12.57421875" style="0" customWidth="1"/>
    <col min="17" max="17" width="0.9921875" style="0" customWidth="1"/>
    <col min="18" max="18" width="16.7109375" style="0" customWidth="1"/>
    <col min="19" max="19" width="0.9921875" style="0" customWidth="1"/>
    <col min="20" max="20" width="16.7109375" style="0" customWidth="1"/>
    <col min="21" max="21" width="1.57421875" style="0" customWidth="1"/>
    <col min="22" max="22" width="14.00390625" style="0" customWidth="1"/>
    <col min="23" max="23" width="2.00390625" style="0" customWidth="1"/>
    <col min="24" max="16384" width="9.140625" style="0" customWidth="1"/>
  </cols>
  <sheetData>
    <row r="1" spans="1:24" ht="24.75">
      <c r="A1" s="482"/>
      <c r="B1" s="483"/>
      <c r="C1" s="483"/>
      <c r="D1" s="484"/>
      <c r="E1" s="176"/>
      <c r="F1" s="176"/>
      <c r="G1" s="485"/>
      <c r="H1" s="485"/>
      <c r="I1" s="485"/>
      <c r="J1" s="983" t="s">
        <v>471</v>
      </c>
      <c r="K1" s="984"/>
      <c r="L1" s="985"/>
      <c r="M1" s="176"/>
      <c r="N1" s="176"/>
      <c r="O1" s="176"/>
      <c r="P1" s="176"/>
      <c r="Q1" s="176"/>
      <c r="R1" s="176"/>
      <c r="T1" s="176"/>
      <c r="U1" s="176"/>
      <c r="X1" s="176"/>
    </row>
    <row r="2" spans="1:24" ht="9.75" customHeight="1">
      <c r="A2" s="173"/>
      <c r="B2" s="173"/>
      <c r="C2" s="173"/>
      <c r="D2" s="173"/>
      <c r="E2" s="173"/>
      <c r="F2" s="173"/>
      <c r="G2" s="173"/>
      <c r="H2" s="173"/>
      <c r="I2" s="173"/>
      <c r="J2" s="173"/>
      <c r="K2" s="173"/>
      <c r="L2" s="176"/>
      <c r="M2" s="173"/>
      <c r="N2" s="173"/>
      <c r="O2" s="173"/>
      <c r="P2" s="173"/>
      <c r="Q2" s="173"/>
      <c r="R2" s="173"/>
      <c r="S2" s="173"/>
      <c r="T2" s="173"/>
      <c r="U2" s="173"/>
      <c r="V2" s="173"/>
      <c r="W2" s="173"/>
      <c r="X2" s="176"/>
    </row>
    <row r="3" spans="1:24" ht="20.25">
      <c r="A3" s="177"/>
      <c r="B3" s="173"/>
      <c r="C3" s="176"/>
      <c r="D3" s="176"/>
      <c r="E3" s="173"/>
      <c r="F3" s="176"/>
      <c r="G3" s="173"/>
      <c r="H3" s="176"/>
      <c r="I3" s="178"/>
      <c r="J3" s="346" t="s">
        <v>399</v>
      </c>
      <c r="K3" s="178"/>
      <c r="L3" s="176"/>
      <c r="M3" s="176"/>
      <c r="N3" s="176"/>
      <c r="O3" s="176"/>
      <c r="P3" s="176"/>
      <c r="Q3" s="176"/>
      <c r="R3" s="176"/>
      <c r="S3" s="176"/>
      <c r="T3" s="176"/>
      <c r="U3" s="176"/>
      <c r="V3" s="176"/>
      <c r="W3" s="173"/>
      <c r="X3" s="176"/>
    </row>
    <row r="4" spans="1:24" ht="7.5" customHeight="1">
      <c r="A4" s="177"/>
      <c r="B4" s="173"/>
      <c r="C4" s="486"/>
      <c r="D4" s="176"/>
      <c r="E4" s="173"/>
      <c r="F4" s="176"/>
      <c r="G4" s="173"/>
      <c r="H4" s="176"/>
      <c r="I4" s="178"/>
      <c r="J4" s="178"/>
      <c r="K4" s="178"/>
      <c r="L4" s="176"/>
      <c r="M4" s="176"/>
      <c r="N4" s="176"/>
      <c r="O4" s="176"/>
      <c r="P4" s="176"/>
      <c r="Q4" s="176"/>
      <c r="R4" s="176"/>
      <c r="S4" s="176"/>
      <c r="T4" s="176"/>
      <c r="U4" s="176"/>
      <c r="V4" s="176"/>
      <c r="W4" s="173"/>
      <c r="X4" s="176"/>
    </row>
    <row r="5" spans="1:24" ht="6" customHeight="1">
      <c r="A5" s="177"/>
      <c r="B5" s="173"/>
      <c r="C5" s="179"/>
      <c r="D5" s="347"/>
      <c r="E5" s="173"/>
      <c r="F5" s="176"/>
      <c r="G5" s="176"/>
      <c r="H5" s="176"/>
      <c r="I5" s="178"/>
      <c r="J5" s="178"/>
      <c r="K5" s="178"/>
      <c r="L5" s="176"/>
      <c r="M5" s="176"/>
      <c r="N5" s="176"/>
      <c r="O5" s="176"/>
      <c r="P5" s="176"/>
      <c r="Q5" s="176"/>
      <c r="R5" s="176"/>
      <c r="S5" s="176"/>
      <c r="T5" s="176"/>
      <c r="U5" s="176"/>
      <c r="V5" s="176"/>
      <c r="W5" s="173"/>
      <c r="X5" s="176"/>
    </row>
    <row r="6" spans="1:24" ht="3.75" customHeight="1">
      <c r="A6" s="177"/>
      <c r="B6" s="173"/>
      <c r="C6" s="179"/>
      <c r="D6" s="347"/>
      <c r="E6" s="173"/>
      <c r="F6" s="176"/>
      <c r="G6" s="176"/>
      <c r="H6" s="176"/>
      <c r="I6" s="178"/>
      <c r="J6" s="178"/>
      <c r="K6" s="178"/>
      <c r="L6" s="176"/>
      <c r="M6" s="176"/>
      <c r="N6" s="176"/>
      <c r="O6" s="176"/>
      <c r="P6" s="176"/>
      <c r="Q6" s="176"/>
      <c r="R6" s="176"/>
      <c r="S6" s="176"/>
      <c r="T6" s="176"/>
      <c r="U6" s="176"/>
      <c r="V6" s="176"/>
      <c r="W6" s="173"/>
      <c r="X6" s="176"/>
    </row>
    <row r="7" spans="1:24" ht="16.5" customHeight="1">
      <c r="A7" s="177"/>
      <c r="B7" s="351" t="s">
        <v>458</v>
      </c>
      <c r="C7" s="176"/>
      <c r="D7" s="986"/>
      <c r="E7" s="987"/>
      <c r="F7" s="987"/>
      <c r="G7" s="987"/>
      <c r="H7" s="230" t="s">
        <v>288</v>
      </c>
      <c r="I7" s="173"/>
      <c r="J7" s="487"/>
      <c r="K7" s="176"/>
      <c r="L7" s="176"/>
      <c r="M7" s="176"/>
      <c r="N7" s="348" t="s">
        <v>289</v>
      </c>
      <c r="O7" s="176"/>
      <c r="P7" s="349"/>
      <c r="Q7" s="176"/>
      <c r="R7" s="264" t="s">
        <v>290</v>
      </c>
      <c r="S7" s="176"/>
      <c r="T7" s="349"/>
      <c r="U7" s="176"/>
      <c r="V7" s="176"/>
      <c r="W7" s="173"/>
      <c r="X7" s="176"/>
    </row>
    <row r="8" spans="1:24" ht="12" customHeight="1">
      <c r="A8" s="177"/>
      <c r="B8" s="179"/>
      <c r="C8" s="176"/>
      <c r="D8" s="173"/>
      <c r="E8" s="350" t="s">
        <v>291</v>
      </c>
      <c r="F8" s="173"/>
      <c r="G8" s="177"/>
      <c r="H8" s="351" t="s">
        <v>292</v>
      </c>
      <c r="I8" s="173"/>
      <c r="J8" s="352" t="s">
        <v>293</v>
      </c>
      <c r="K8" s="176"/>
      <c r="L8" s="176"/>
      <c r="M8" s="176"/>
      <c r="N8" s="353" t="s">
        <v>294</v>
      </c>
      <c r="O8" s="354"/>
      <c r="P8" s="354" t="s">
        <v>295</v>
      </c>
      <c r="Q8" s="176"/>
      <c r="R8" s="355" t="s">
        <v>296</v>
      </c>
      <c r="S8" s="176"/>
      <c r="T8" s="354" t="s">
        <v>297</v>
      </c>
      <c r="U8" s="176"/>
      <c r="V8" s="176"/>
      <c r="W8" s="173"/>
      <c r="X8" s="176"/>
    </row>
    <row r="9" spans="1:24" ht="9" customHeight="1" thickBot="1">
      <c r="A9" s="180"/>
      <c r="B9" s="180"/>
      <c r="C9" s="180"/>
      <c r="D9" s="180"/>
      <c r="E9" s="180"/>
      <c r="F9" s="180"/>
      <c r="G9" s="180"/>
      <c r="H9" s="180"/>
      <c r="I9" s="180"/>
      <c r="J9" s="180"/>
      <c r="K9" s="180"/>
      <c r="L9" s="356"/>
      <c r="M9" s="180"/>
      <c r="N9" s="180"/>
      <c r="O9" s="180"/>
      <c r="P9" s="180"/>
      <c r="Q9" s="180"/>
      <c r="R9" s="180"/>
      <c r="S9" s="180"/>
      <c r="T9" s="180"/>
      <c r="U9" s="180"/>
      <c r="X9" s="176"/>
    </row>
    <row r="10" spans="1:24" ht="4.5" customHeight="1" thickTop="1">
      <c r="A10" s="6"/>
      <c r="B10" s="7"/>
      <c r="C10" s="7"/>
      <c r="D10" s="7"/>
      <c r="E10" s="7"/>
      <c r="F10" s="7"/>
      <c r="G10" s="7"/>
      <c r="H10" s="7"/>
      <c r="I10" s="7"/>
      <c r="J10" s="7"/>
      <c r="K10" s="7"/>
      <c r="L10" s="7"/>
      <c r="M10" s="7"/>
      <c r="N10" s="7"/>
      <c r="O10" s="7"/>
      <c r="P10" s="7"/>
      <c r="Q10" s="7"/>
      <c r="R10" s="7"/>
      <c r="S10" s="7"/>
      <c r="T10" s="7"/>
      <c r="U10" s="12"/>
      <c r="X10" s="176"/>
    </row>
    <row r="11" spans="1:24" ht="14.25" customHeight="1">
      <c r="A11" s="131" t="s">
        <v>298</v>
      </c>
      <c r="B11" s="7"/>
      <c r="C11" s="7"/>
      <c r="D11" s="7"/>
      <c r="E11" s="7"/>
      <c r="F11" s="7"/>
      <c r="G11" s="7"/>
      <c r="H11" s="7"/>
      <c r="I11" s="7"/>
      <c r="J11" s="7"/>
      <c r="K11" s="7"/>
      <c r="L11" s="7"/>
      <c r="M11" s="7"/>
      <c r="N11" s="7"/>
      <c r="O11" s="7"/>
      <c r="P11" s="7"/>
      <c r="Q11" s="7"/>
      <c r="R11" s="7"/>
      <c r="S11" s="7"/>
      <c r="T11" s="7"/>
      <c r="U11" s="12"/>
      <c r="X11" s="176"/>
    </row>
    <row r="12" spans="1:24" ht="4.5" customHeight="1">
      <c r="A12" s="18"/>
      <c r="B12" s="19"/>
      <c r="C12" s="19"/>
      <c r="D12" s="19"/>
      <c r="E12" s="19"/>
      <c r="F12" s="19"/>
      <c r="G12" s="19"/>
      <c r="H12" s="19"/>
      <c r="I12" s="19"/>
      <c r="J12" s="19"/>
      <c r="K12" s="19"/>
      <c r="L12" s="19"/>
      <c r="M12" s="19"/>
      <c r="N12" s="19"/>
      <c r="O12" s="19"/>
      <c r="P12" s="19"/>
      <c r="Q12" s="19"/>
      <c r="R12" s="19"/>
      <c r="S12" s="19"/>
      <c r="T12" s="19"/>
      <c r="U12" s="27"/>
      <c r="X12" s="176"/>
    </row>
    <row r="13" spans="1:24" ht="12.75" customHeight="1">
      <c r="A13" s="76"/>
      <c r="B13" s="357"/>
      <c r="C13" s="7"/>
      <c r="D13" s="7"/>
      <c r="E13" s="59"/>
      <c r="F13" s="60" t="s">
        <v>110</v>
      </c>
      <c r="G13" s="59"/>
      <c r="H13" s="66" t="s">
        <v>299</v>
      </c>
      <c r="I13" s="19"/>
      <c r="J13" s="19"/>
      <c r="K13" s="19"/>
      <c r="L13" s="67"/>
      <c r="M13" s="63"/>
      <c r="N13" s="60" t="s">
        <v>300</v>
      </c>
      <c r="O13" s="59" t="s">
        <v>74</v>
      </c>
      <c r="P13" s="125" t="s">
        <v>301</v>
      </c>
      <c r="Q13" s="59"/>
      <c r="R13" s="66" t="s">
        <v>302</v>
      </c>
      <c r="S13" s="66"/>
      <c r="T13" s="358"/>
      <c r="U13" s="27"/>
      <c r="X13" s="176"/>
    </row>
    <row r="14" spans="1:27" ht="15.75" customHeight="1">
      <c r="A14" s="47"/>
      <c r="B14" s="124" t="s">
        <v>303</v>
      </c>
      <c r="C14" s="7"/>
      <c r="D14" s="7"/>
      <c r="E14" s="59"/>
      <c r="F14" s="60" t="s">
        <v>304</v>
      </c>
      <c r="G14" s="59"/>
      <c r="H14" s="16" t="s">
        <v>109</v>
      </c>
      <c r="I14" s="59"/>
      <c r="J14" s="40" t="s">
        <v>326</v>
      </c>
      <c r="K14" s="59"/>
      <c r="L14" s="60" t="s">
        <v>327</v>
      </c>
      <c r="M14" s="59"/>
      <c r="N14" s="44" t="s">
        <v>305</v>
      </c>
      <c r="O14" s="59"/>
      <c r="P14" s="7" t="s">
        <v>306</v>
      </c>
      <c r="Q14" s="59"/>
      <c r="R14" s="41" t="s">
        <v>307</v>
      </c>
      <c r="S14" s="61"/>
      <c r="T14" s="41" t="s">
        <v>331</v>
      </c>
      <c r="U14" s="12"/>
      <c r="X14" s="176"/>
      <c r="AA14" s="359"/>
    </row>
    <row r="15" spans="1:27" ht="12.75" customHeight="1">
      <c r="A15" s="76"/>
      <c r="B15" s="360"/>
      <c r="C15" s="7"/>
      <c r="D15" s="7"/>
      <c r="E15" s="59"/>
      <c r="F15" s="14" t="s">
        <v>308</v>
      </c>
      <c r="G15" s="59"/>
      <c r="H15" s="361" t="s">
        <v>309</v>
      </c>
      <c r="I15" s="59"/>
      <c r="J15" s="361" t="s">
        <v>309</v>
      </c>
      <c r="K15" s="59"/>
      <c r="L15" s="361" t="s">
        <v>309</v>
      </c>
      <c r="M15" s="59"/>
      <c r="N15" s="33" t="s">
        <v>388</v>
      </c>
      <c r="O15" s="59"/>
      <c r="P15" s="362"/>
      <c r="Q15" s="59"/>
      <c r="R15" s="362"/>
      <c r="S15" s="363"/>
      <c r="T15" s="362"/>
      <c r="U15" s="12"/>
      <c r="X15" s="176"/>
      <c r="AA15" s="359"/>
    </row>
    <row r="16" spans="1:27" ht="12.75" customHeight="1">
      <c r="A16" s="364"/>
      <c r="B16" s="365">
        <v>5</v>
      </c>
      <c r="C16" s="19"/>
      <c r="D16" s="19"/>
      <c r="E16" s="63"/>
      <c r="F16" s="71">
        <v>6</v>
      </c>
      <c r="G16" s="72">
        <v>1</v>
      </c>
      <c r="H16" s="71">
        <v>7</v>
      </c>
      <c r="I16" s="63"/>
      <c r="J16" s="71">
        <v>8</v>
      </c>
      <c r="K16" s="63"/>
      <c r="L16" s="415" t="s">
        <v>328</v>
      </c>
      <c r="M16" s="111"/>
      <c r="N16" s="71">
        <v>10</v>
      </c>
      <c r="O16" s="111"/>
      <c r="P16" s="71">
        <v>11</v>
      </c>
      <c r="Q16" s="68"/>
      <c r="R16" s="105" t="s">
        <v>310</v>
      </c>
      <c r="S16" s="72"/>
      <c r="T16" s="105" t="s">
        <v>332</v>
      </c>
      <c r="U16" s="27"/>
      <c r="X16" s="176"/>
      <c r="AA16" s="359"/>
    </row>
    <row r="17" spans="1:27" ht="19.5" customHeight="1">
      <c r="A17" s="366">
        <v>1</v>
      </c>
      <c r="B17" s="260"/>
      <c r="C17" s="260"/>
      <c r="D17" s="623"/>
      <c r="E17" s="284"/>
      <c r="F17" s="132"/>
      <c r="G17" s="284"/>
      <c r="H17" s="424"/>
      <c r="I17" s="296"/>
      <c r="J17" s="522"/>
      <c r="K17" s="296"/>
      <c r="L17" s="416">
        <f aca="true" t="shared" si="0" ref="L17:L26">H17-J17</f>
        <v>0</v>
      </c>
      <c r="M17" s="111"/>
      <c r="N17" s="367"/>
      <c r="O17" s="111"/>
      <c r="P17" s="368"/>
      <c r="Q17" s="68"/>
      <c r="R17" s="488">
        <f aca="true" t="shared" si="1" ref="R17:R26">(H17*$T$7)*(N17-P17)</f>
        <v>0</v>
      </c>
      <c r="S17" s="489"/>
      <c r="T17" s="488">
        <f aca="true" t="shared" si="2" ref="T17:T26">(L17*$T$7)*(N17-P17)</f>
        <v>0</v>
      </c>
      <c r="U17" s="27"/>
      <c r="X17" s="176"/>
      <c r="AA17" s="359"/>
    </row>
    <row r="18" spans="1:24" ht="19.5" customHeight="1">
      <c r="A18" s="366">
        <v>2</v>
      </c>
      <c r="B18" s="260"/>
      <c r="C18" s="260"/>
      <c r="D18" s="623"/>
      <c r="E18" s="284"/>
      <c r="F18" s="132"/>
      <c r="G18" s="284"/>
      <c r="H18" s="424"/>
      <c r="I18" s="296"/>
      <c r="J18" s="522"/>
      <c r="K18" s="296"/>
      <c r="L18" s="416">
        <f t="shared" si="0"/>
        <v>0</v>
      </c>
      <c r="M18" s="111"/>
      <c r="N18" s="367"/>
      <c r="O18" s="111"/>
      <c r="P18" s="368"/>
      <c r="Q18" s="68"/>
      <c r="R18" s="488">
        <f t="shared" si="1"/>
        <v>0</v>
      </c>
      <c r="S18" s="489"/>
      <c r="T18" s="488">
        <f t="shared" si="2"/>
        <v>0</v>
      </c>
      <c r="U18" s="107"/>
      <c r="X18" s="176"/>
    </row>
    <row r="19" spans="1:24" ht="19.5" customHeight="1">
      <c r="A19" s="366">
        <v>3</v>
      </c>
      <c r="B19" s="260"/>
      <c r="C19" s="260"/>
      <c r="D19" s="623"/>
      <c r="E19" s="284"/>
      <c r="F19" s="132"/>
      <c r="G19" s="284"/>
      <c r="H19" s="424"/>
      <c r="I19" s="296"/>
      <c r="J19" s="522"/>
      <c r="K19" s="296"/>
      <c r="L19" s="416">
        <f t="shared" si="0"/>
        <v>0</v>
      </c>
      <c r="M19" s="111"/>
      <c r="N19" s="367"/>
      <c r="O19" s="111"/>
      <c r="P19" s="368"/>
      <c r="Q19" s="68"/>
      <c r="R19" s="488">
        <f t="shared" si="1"/>
        <v>0</v>
      </c>
      <c r="S19" s="489"/>
      <c r="T19" s="488">
        <f t="shared" si="2"/>
        <v>0</v>
      </c>
      <c r="U19" s="107"/>
      <c r="X19" s="176"/>
    </row>
    <row r="20" spans="1:24" ht="19.5" customHeight="1">
      <c r="A20" s="366">
        <v>4</v>
      </c>
      <c r="B20" s="260"/>
      <c r="C20" s="260"/>
      <c r="D20" s="623"/>
      <c r="E20" s="284"/>
      <c r="F20" s="132"/>
      <c r="G20" s="284"/>
      <c r="H20" s="424"/>
      <c r="I20" s="296"/>
      <c r="J20" s="522"/>
      <c r="K20" s="296"/>
      <c r="L20" s="416">
        <f t="shared" si="0"/>
        <v>0</v>
      </c>
      <c r="M20" s="111"/>
      <c r="N20" s="367"/>
      <c r="O20" s="111"/>
      <c r="P20" s="368"/>
      <c r="Q20" s="68"/>
      <c r="R20" s="488">
        <f t="shared" si="1"/>
        <v>0</v>
      </c>
      <c r="S20" s="489"/>
      <c r="T20" s="488">
        <f t="shared" si="2"/>
        <v>0</v>
      </c>
      <c r="U20" s="107"/>
      <c r="X20" s="176"/>
    </row>
    <row r="21" spans="1:24" ht="19.5" customHeight="1">
      <c r="A21" s="366">
        <v>5</v>
      </c>
      <c r="B21" s="260"/>
      <c r="C21" s="260"/>
      <c r="D21" s="623"/>
      <c r="E21" s="284"/>
      <c r="F21" s="132"/>
      <c r="G21" s="284"/>
      <c r="H21" s="424"/>
      <c r="I21" s="296"/>
      <c r="J21" s="522"/>
      <c r="K21" s="296"/>
      <c r="L21" s="416">
        <f t="shared" si="0"/>
        <v>0</v>
      </c>
      <c r="M21" s="111"/>
      <c r="N21" s="367"/>
      <c r="O21" s="111"/>
      <c r="P21" s="368"/>
      <c r="Q21" s="68"/>
      <c r="R21" s="488">
        <f t="shared" si="1"/>
        <v>0</v>
      </c>
      <c r="S21" s="489"/>
      <c r="T21" s="488">
        <f t="shared" si="2"/>
        <v>0</v>
      </c>
      <c r="U21" s="107"/>
      <c r="X21" s="176"/>
    </row>
    <row r="22" spans="1:24" ht="19.5" customHeight="1">
      <c r="A22" s="366">
        <v>6</v>
      </c>
      <c r="B22" s="260"/>
      <c r="C22" s="260"/>
      <c r="D22" s="623"/>
      <c r="E22" s="284"/>
      <c r="F22" s="132"/>
      <c r="G22" s="284"/>
      <c r="H22" s="424"/>
      <c r="I22" s="296"/>
      <c r="J22" s="522"/>
      <c r="K22" s="296"/>
      <c r="L22" s="416">
        <f t="shared" si="0"/>
        <v>0</v>
      </c>
      <c r="M22" s="111"/>
      <c r="N22" s="367"/>
      <c r="O22" s="111"/>
      <c r="P22" s="368"/>
      <c r="Q22" s="68"/>
      <c r="R22" s="488">
        <f t="shared" si="1"/>
        <v>0</v>
      </c>
      <c r="S22" s="489"/>
      <c r="T22" s="488">
        <f t="shared" si="2"/>
        <v>0</v>
      </c>
      <c r="U22" s="107"/>
      <c r="X22" s="176"/>
    </row>
    <row r="23" spans="1:24" ht="19.5" customHeight="1">
      <c r="A23" s="366">
        <v>7</v>
      </c>
      <c r="B23" s="260"/>
      <c r="C23" s="260"/>
      <c r="D23" s="623"/>
      <c r="E23" s="284"/>
      <c r="F23" s="132"/>
      <c r="G23" s="284"/>
      <c r="H23" s="424"/>
      <c r="I23" s="296"/>
      <c r="J23" s="522"/>
      <c r="K23" s="296"/>
      <c r="L23" s="416">
        <f t="shared" si="0"/>
        <v>0</v>
      </c>
      <c r="M23" s="111"/>
      <c r="N23" s="367"/>
      <c r="O23" s="111"/>
      <c r="P23" s="368"/>
      <c r="Q23" s="68"/>
      <c r="R23" s="488">
        <f t="shared" si="1"/>
        <v>0</v>
      </c>
      <c r="S23" s="489"/>
      <c r="T23" s="488">
        <f t="shared" si="2"/>
        <v>0</v>
      </c>
      <c r="U23" s="107"/>
      <c r="X23" s="176"/>
    </row>
    <row r="24" spans="1:24" ht="19.5" customHeight="1">
      <c r="A24" s="366">
        <v>8</v>
      </c>
      <c r="B24" s="260"/>
      <c r="C24" s="260"/>
      <c r="D24" s="623"/>
      <c r="E24" s="284"/>
      <c r="F24" s="132"/>
      <c r="G24" s="284"/>
      <c r="H24" s="424"/>
      <c r="I24" s="296"/>
      <c r="J24" s="522"/>
      <c r="K24" s="296"/>
      <c r="L24" s="416">
        <f t="shared" si="0"/>
        <v>0</v>
      </c>
      <c r="M24" s="111"/>
      <c r="N24" s="367"/>
      <c r="O24" s="111"/>
      <c r="P24" s="368"/>
      <c r="Q24" s="68"/>
      <c r="R24" s="488">
        <f t="shared" si="1"/>
        <v>0</v>
      </c>
      <c r="S24" s="489"/>
      <c r="T24" s="488">
        <f t="shared" si="2"/>
        <v>0</v>
      </c>
      <c r="U24" s="107"/>
      <c r="X24" s="176"/>
    </row>
    <row r="25" spans="1:24" ht="19.5" customHeight="1">
      <c r="A25" s="366">
        <v>9</v>
      </c>
      <c r="B25" s="260"/>
      <c r="C25" s="260"/>
      <c r="D25" s="623"/>
      <c r="E25" s="284"/>
      <c r="F25" s="132"/>
      <c r="G25" s="284"/>
      <c r="H25" s="424"/>
      <c r="I25" s="296"/>
      <c r="J25" s="522"/>
      <c r="K25" s="296"/>
      <c r="L25" s="416">
        <f t="shared" si="0"/>
        <v>0</v>
      </c>
      <c r="M25" s="111"/>
      <c r="N25" s="367"/>
      <c r="O25" s="111"/>
      <c r="P25" s="368"/>
      <c r="Q25" s="68"/>
      <c r="R25" s="488">
        <f t="shared" si="1"/>
        <v>0</v>
      </c>
      <c r="S25" s="489"/>
      <c r="T25" s="488">
        <f t="shared" si="2"/>
        <v>0</v>
      </c>
      <c r="U25" s="107"/>
      <c r="X25" s="176"/>
    </row>
    <row r="26" spans="1:24" ht="19.5" customHeight="1" thickBot="1">
      <c r="A26" s="366">
        <v>10</v>
      </c>
      <c r="B26" s="260"/>
      <c r="C26" s="260"/>
      <c r="D26" s="623"/>
      <c r="E26" s="284"/>
      <c r="F26" s="132"/>
      <c r="G26" s="284"/>
      <c r="H26" s="424"/>
      <c r="I26" s="296"/>
      <c r="J26" s="522"/>
      <c r="K26" s="296"/>
      <c r="L26" s="416">
        <f t="shared" si="0"/>
        <v>0</v>
      </c>
      <c r="M26" s="111"/>
      <c r="N26" s="367"/>
      <c r="O26" s="111"/>
      <c r="P26" s="368"/>
      <c r="Q26" s="68"/>
      <c r="R26" s="488">
        <f t="shared" si="1"/>
        <v>0</v>
      </c>
      <c r="S26" s="489"/>
      <c r="T26" s="488">
        <f t="shared" si="2"/>
        <v>0</v>
      </c>
      <c r="U26" s="107"/>
      <c r="X26" s="176"/>
    </row>
    <row r="27" spans="1:27" ht="16.5" customHeight="1">
      <c r="A27" s="369"/>
      <c r="B27" s="15"/>
      <c r="C27" s="7"/>
      <c r="D27" s="7" t="s">
        <v>311</v>
      </c>
      <c r="E27" s="59"/>
      <c r="F27" s="370"/>
      <c r="G27" s="370"/>
      <c r="H27" s="371"/>
      <c r="I27" s="370"/>
      <c r="J27" s="372"/>
      <c r="K27" s="370"/>
      <c r="L27" s="373"/>
      <c r="M27" s="370"/>
      <c r="N27" s="370"/>
      <c r="O27" s="370"/>
      <c r="P27" s="2"/>
      <c r="Q27" s="374"/>
      <c r="R27" s="490">
        <f>SUM(R17:R26)</f>
        <v>0</v>
      </c>
      <c r="S27" s="491"/>
      <c r="T27" s="492">
        <f>SUM(T17:T26)</f>
        <v>0</v>
      </c>
      <c r="U27" s="419"/>
      <c r="X27" s="176"/>
      <c r="AA27" s="359"/>
    </row>
    <row r="28" spans="1:27" ht="2.25" customHeight="1" thickBot="1">
      <c r="A28" s="375"/>
      <c r="B28" s="46"/>
      <c r="C28" s="46"/>
      <c r="D28" s="46"/>
      <c r="E28" s="376"/>
      <c r="F28" s="239"/>
      <c r="G28" s="239"/>
      <c r="H28" s="239"/>
      <c r="I28" s="239"/>
      <c r="J28" s="239"/>
      <c r="K28" s="239"/>
      <c r="L28" s="239"/>
      <c r="M28" s="239"/>
      <c r="N28" s="239"/>
      <c r="O28" s="239"/>
      <c r="P28" s="239"/>
      <c r="Q28" s="377"/>
      <c r="R28" s="378"/>
      <c r="S28" s="376"/>
      <c r="T28" s="420"/>
      <c r="U28" s="493"/>
      <c r="X28" s="176"/>
      <c r="AA28" s="359"/>
    </row>
    <row r="29" spans="1:27" ht="6.75" customHeight="1" thickTop="1">
      <c r="A29" s="17"/>
      <c r="B29" s="7"/>
      <c r="C29" s="7"/>
      <c r="D29" s="7"/>
      <c r="E29" s="7"/>
      <c r="F29" s="7"/>
      <c r="G29" s="7"/>
      <c r="H29" s="7"/>
      <c r="I29" s="7"/>
      <c r="J29" s="7"/>
      <c r="K29" s="7"/>
      <c r="L29" s="7"/>
      <c r="M29" s="7"/>
      <c r="N29" s="7"/>
      <c r="O29" s="7"/>
      <c r="P29" s="7"/>
      <c r="Q29" s="7"/>
      <c r="R29" s="7"/>
      <c r="S29" s="7"/>
      <c r="T29" s="7"/>
      <c r="U29" s="12"/>
      <c r="X29" s="176"/>
      <c r="AA29" s="359"/>
    </row>
    <row r="30" spans="1:27" ht="15" customHeight="1">
      <c r="A30" s="76" t="s">
        <v>312</v>
      </c>
      <c r="B30" s="7"/>
      <c r="C30" s="7"/>
      <c r="D30" s="7"/>
      <c r="E30" s="7"/>
      <c r="F30" s="7"/>
      <c r="G30" s="7"/>
      <c r="H30" s="7"/>
      <c r="I30" s="7"/>
      <c r="J30" s="7"/>
      <c r="K30" s="7"/>
      <c r="L30" s="7"/>
      <c r="M30" s="7"/>
      <c r="N30" s="7"/>
      <c r="O30" s="7"/>
      <c r="P30" s="7"/>
      <c r="Q30" s="7"/>
      <c r="R30" s="7"/>
      <c r="S30" s="7"/>
      <c r="T30" s="7"/>
      <c r="U30" s="12"/>
      <c r="X30" s="176"/>
      <c r="AA30" s="359"/>
    </row>
    <row r="31" spans="1:27" ht="3" customHeight="1">
      <c r="A31" s="25"/>
      <c r="B31" s="19"/>
      <c r="C31" s="19"/>
      <c r="D31" s="19"/>
      <c r="E31" s="19"/>
      <c r="F31" s="19"/>
      <c r="G31" s="19"/>
      <c r="H31" s="19"/>
      <c r="I31" s="19"/>
      <c r="J31" s="19"/>
      <c r="K31" s="19"/>
      <c r="L31" s="19"/>
      <c r="M31" s="19"/>
      <c r="N31" s="19"/>
      <c r="O31" s="19"/>
      <c r="P31" s="19"/>
      <c r="Q31" s="19"/>
      <c r="R31" s="19"/>
      <c r="S31" s="19"/>
      <c r="T31" s="19"/>
      <c r="U31" s="27"/>
      <c r="X31" s="176"/>
      <c r="AA31" s="359"/>
    </row>
    <row r="32" spans="1:24" ht="12.75" customHeight="1">
      <c r="A32" s="76"/>
      <c r="B32" s="357"/>
      <c r="C32" s="7"/>
      <c r="D32" s="7"/>
      <c r="E32" s="59"/>
      <c r="F32" s="60" t="s">
        <v>110</v>
      </c>
      <c r="G32" s="59"/>
      <c r="H32" s="66" t="s">
        <v>389</v>
      </c>
      <c r="I32" s="19"/>
      <c r="J32" s="19"/>
      <c r="K32" s="19"/>
      <c r="L32" s="67"/>
      <c r="M32" s="63"/>
      <c r="N32" s="98" t="s">
        <v>313</v>
      </c>
      <c r="O32" s="133"/>
      <c r="P32" s="15" t="s">
        <v>301</v>
      </c>
      <c r="Q32" s="59"/>
      <c r="R32" s="67" t="s">
        <v>314</v>
      </c>
      <c r="S32" s="67"/>
      <c r="T32" s="19"/>
      <c r="U32" s="27"/>
      <c r="X32" s="176"/>
    </row>
    <row r="33" spans="1:24" ht="14.25" customHeight="1">
      <c r="A33" s="47"/>
      <c r="B33" s="124" t="s">
        <v>315</v>
      </c>
      <c r="C33" s="7"/>
      <c r="D33" s="7"/>
      <c r="E33" s="59"/>
      <c r="F33" s="60" t="s">
        <v>316</v>
      </c>
      <c r="G33" s="59"/>
      <c r="H33" s="16" t="s">
        <v>109</v>
      </c>
      <c r="I33" s="59"/>
      <c r="J33" s="417" t="s">
        <v>329</v>
      </c>
      <c r="K33" s="59"/>
      <c r="L33" s="60" t="s">
        <v>317</v>
      </c>
      <c r="M33" s="59"/>
      <c r="N33" s="44" t="s">
        <v>305</v>
      </c>
      <c r="O33" s="379"/>
      <c r="P33" s="7" t="s">
        <v>306</v>
      </c>
      <c r="Q33" s="59"/>
      <c r="R33" s="41" t="s">
        <v>307</v>
      </c>
      <c r="S33" s="61"/>
      <c r="T33" s="41" t="s">
        <v>331</v>
      </c>
      <c r="U33" s="12"/>
      <c r="X33" s="176"/>
    </row>
    <row r="34" spans="1:24" ht="14.25" customHeight="1">
      <c r="A34" s="76"/>
      <c r="B34" s="360"/>
      <c r="C34" s="7"/>
      <c r="D34" s="7"/>
      <c r="E34" s="59"/>
      <c r="F34" s="60" t="s">
        <v>317</v>
      </c>
      <c r="G34" s="59"/>
      <c r="H34" s="361" t="s">
        <v>318</v>
      </c>
      <c r="I34" s="59"/>
      <c r="J34" s="361" t="s">
        <v>318</v>
      </c>
      <c r="K34" s="59"/>
      <c r="L34" s="361" t="s">
        <v>318</v>
      </c>
      <c r="M34" s="59"/>
      <c r="N34" s="494" t="s">
        <v>390</v>
      </c>
      <c r="O34" s="363"/>
      <c r="P34" s="362"/>
      <c r="Q34" s="59"/>
      <c r="R34" s="362"/>
      <c r="S34" s="363"/>
      <c r="T34" s="362"/>
      <c r="U34" s="12"/>
      <c r="X34" s="176"/>
    </row>
    <row r="35" spans="1:24" ht="12" customHeight="1">
      <c r="A35" s="364"/>
      <c r="B35" s="365">
        <v>14</v>
      </c>
      <c r="C35" s="19"/>
      <c r="D35" s="19"/>
      <c r="E35" s="63"/>
      <c r="F35" s="71">
        <v>15</v>
      </c>
      <c r="G35" s="72"/>
      <c r="H35" s="71">
        <v>16</v>
      </c>
      <c r="I35" s="63"/>
      <c r="J35" s="71">
        <v>17</v>
      </c>
      <c r="K35" s="63"/>
      <c r="L35" s="415" t="s">
        <v>330</v>
      </c>
      <c r="M35" s="111"/>
      <c r="N35" s="105">
        <v>19</v>
      </c>
      <c r="O35" s="72"/>
      <c r="P35" s="105">
        <v>20</v>
      </c>
      <c r="Q35" s="380"/>
      <c r="R35" s="105" t="s">
        <v>319</v>
      </c>
      <c r="S35" s="72"/>
      <c r="T35" s="105" t="s">
        <v>333</v>
      </c>
      <c r="U35" s="27"/>
      <c r="X35" s="176"/>
    </row>
    <row r="36" spans="1:24" ht="4.5" customHeight="1">
      <c r="A36" s="6"/>
      <c r="B36" s="7"/>
      <c r="C36" s="7"/>
      <c r="D36" s="7"/>
      <c r="E36" s="59"/>
      <c r="F36" s="7"/>
      <c r="G36" s="59"/>
      <c r="H36" s="7"/>
      <c r="I36" s="59"/>
      <c r="J36" s="7"/>
      <c r="K36" s="59"/>
      <c r="L36" s="7"/>
      <c r="M36" s="59"/>
      <c r="N36" s="381"/>
      <c r="O36" s="59"/>
      <c r="P36" s="7"/>
      <c r="Q36" s="59"/>
      <c r="R36" s="7"/>
      <c r="S36" s="59"/>
      <c r="T36" s="7"/>
      <c r="U36" s="12"/>
      <c r="X36" s="176"/>
    </row>
    <row r="37" spans="1:24" ht="12.75">
      <c r="A37" s="6"/>
      <c r="B37" s="15" t="s">
        <v>320</v>
      </c>
      <c r="C37" s="7"/>
      <c r="D37" s="7"/>
      <c r="E37" s="59"/>
      <c r="F37" s="7"/>
      <c r="G37" s="59"/>
      <c r="H37" s="7"/>
      <c r="I37" s="59"/>
      <c r="J37" s="7"/>
      <c r="K37" s="59"/>
      <c r="L37" s="7"/>
      <c r="M37" s="59"/>
      <c r="N37" s="381"/>
      <c r="O37" s="59"/>
      <c r="P37" s="7"/>
      <c r="Q37" s="59"/>
      <c r="R37" s="7"/>
      <c r="S37" s="59"/>
      <c r="T37" s="7"/>
      <c r="U37" s="12"/>
      <c r="X37" s="176"/>
    </row>
    <row r="38" spans="1:24" ht="3.75" customHeight="1">
      <c r="A38" s="6"/>
      <c r="B38" s="7"/>
      <c r="C38" s="7"/>
      <c r="D38" s="7"/>
      <c r="E38" s="59"/>
      <c r="F38" s="33"/>
      <c r="G38" s="59"/>
      <c r="H38" s="382"/>
      <c r="I38" s="383"/>
      <c r="J38" s="384"/>
      <c r="K38" s="383"/>
      <c r="L38" s="406"/>
      <c r="M38" s="59"/>
      <c r="N38" s="381"/>
      <c r="O38" s="59"/>
      <c r="P38" s="384"/>
      <c r="Q38" s="383"/>
      <c r="R38" s="384"/>
      <c r="S38" s="383"/>
      <c r="T38" s="384"/>
      <c r="U38" s="12"/>
      <c r="X38" s="176"/>
    </row>
    <row r="39" spans="1:24" ht="19.5" customHeight="1">
      <c r="A39" s="18">
        <v>1</v>
      </c>
      <c r="B39" s="260"/>
      <c r="C39" s="260"/>
      <c r="D39" s="260"/>
      <c r="E39" s="284"/>
      <c r="F39" s="385"/>
      <c r="G39" s="284"/>
      <c r="H39" s="386"/>
      <c r="I39" s="495"/>
      <c r="J39" s="390"/>
      <c r="K39" s="387"/>
      <c r="L39" s="418">
        <f aca="true" t="shared" si="3" ref="L39:L58">H39-J39</f>
        <v>0</v>
      </c>
      <c r="M39" s="63"/>
      <c r="N39" s="388"/>
      <c r="O39" s="63"/>
      <c r="P39" s="388"/>
      <c r="Q39" s="387"/>
      <c r="R39" s="488">
        <f aca="true" t="shared" si="4" ref="R39:R44">(H39*$T$7)*(N39+P39)</f>
        <v>0</v>
      </c>
      <c r="S39" s="489"/>
      <c r="T39" s="488">
        <f aca="true" t="shared" si="5" ref="T39:T44">(L39*$T$7)*(N39+P39)</f>
        <v>0</v>
      </c>
      <c r="U39" s="27"/>
      <c r="X39" s="176"/>
    </row>
    <row r="40" spans="1:24" ht="19.5" customHeight="1">
      <c r="A40" s="18">
        <v>2</v>
      </c>
      <c r="B40" s="260"/>
      <c r="C40" s="260"/>
      <c r="D40" s="260"/>
      <c r="E40" s="284"/>
      <c r="F40" s="385"/>
      <c r="G40" s="284"/>
      <c r="H40" s="386"/>
      <c r="I40" s="495"/>
      <c r="J40" s="390"/>
      <c r="K40" s="387"/>
      <c r="L40" s="418">
        <f t="shared" si="3"/>
        <v>0</v>
      </c>
      <c r="M40" s="63"/>
      <c r="N40" s="388"/>
      <c r="O40" s="63"/>
      <c r="P40" s="388"/>
      <c r="Q40" s="387"/>
      <c r="R40" s="488">
        <f t="shared" si="4"/>
        <v>0</v>
      </c>
      <c r="S40" s="489"/>
      <c r="T40" s="488">
        <f t="shared" si="5"/>
        <v>0</v>
      </c>
      <c r="U40" s="27"/>
      <c r="X40" s="176"/>
    </row>
    <row r="41" spans="1:24" ht="19.5" customHeight="1">
      <c r="A41" s="18">
        <v>3</v>
      </c>
      <c r="B41" s="260"/>
      <c r="C41" s="260"/>
      <c r="D41" s="260"/>
      <c r="E41" s="284"/>
      <c r="F41" s="385"/>
      <c r="G41" s="284"/>
      <c r="H41" s="386"/>
      <c r="I41" s="495"/>
      <c r="J41" s="390"/>
      <c r="K41" s="387"/>
      <c r="L41" s="418">
        <f t="shared" si="3"/>
        <v>0</v>
      </c>
      <c r="M41" s="63"/>
      <c r="N41" s="388"/>
      <c r="O41" s="63"/>
      <c r="P41" s="388"/>
      <c r="Q41" s="387"/>
      <c r="R41" s="488">
        <f t="shared" si="4"/>
        <v>0</v>
      </c>
      <c r="S41" s="489"/>
      <c r="T41" s="488">
        <f t="shared" si="5"/>
        <v>0</v>
      </c>
      <c r="U41" s="27"/>
      <c r="X41" s="176"/>
    </row>
    <row r="42" spans="1:24" ht="19.5" customHeight="1">
      <c r="A42" s="18">
        <v>4</v>
      </c>
      <c r="B42" s="260"/>
      <c r="C42" s="260"/>
      <c r="D42" s="260"/>
      <c r="E42" s="284"/>
      <c r="F42" s="385"/>
      <c r="G42" s="284"/>
      <c r="H42" s="386"/>
      <c r="I42" s="495"/>
      <c r="J42" s="390"/>
      <c r="K42" s="387"/>
      <c r="L42" s="418">
        <f t="shared" si="3"/>
        <v>0</v>
      </c>
      <c r="M42" s="63"/>
      <c r="N42" s="388"/>
      <c r="O42" s="63"/>
      <c r="P42" s="388"/>
      <c r="Q42" s="387"/>
      <c r="R42" s="488">
        <f t="shared" si="4"/>
        <v>0</v>
      </c>
      <c r="S42" s="489"/>
      <c r="T42" s="488">
        <f t="shared" si="5"/>
        <v>0</v>
      </c>
      <c r="U42" s="27"/>
      <c r="X42" s="176"/>
    </row>
    <row r="43" spans="1:24" ht="19.5" customHeight="1">
      <c r="A43" s="18">
        <v>5</v>
      </c>
      <c r="B43" s="622"/>
      <c r="C43" s="260"/>
      <c r="D43" s="260"/>
      <c r="E43" s="284"/>
      <c r="F43" s="385"/>
      <c r="G43" s="284"/>
      <c r="H43" s="386"/>
      <c r="I43" s="495"/>
      <c r="J43" s="390"/>
      <c r="K43" s="387"/>
      <c r="L43" s="418">
        <f t="shared" si="3"/>
        <v>0</v>
      </c>
      <c r="M43" s="63"/>
      <c r="N43" s="401"/>
      <c r="O43" s="63"/>
      <c r="P43" s="388"/>
      <c r="Q43" s="387"/>
      <c r="R43" s="488">
        <f t="shared" si="4"/>
        <v>0</v>
      </c>
      <c r="S43" s="489"/>
      <c r="T43" s="488">
        <f t="shared" si="5"/>
        <v>0</v>
      </c>
      <c r="U43" s="27"/>
      <c r="X43" s="176"/>
    </row>
    <row r="44" spans="1:24" ht="19.5" customHeight="1">
      <c r="A44" s="18">
        <v>6</v>
      </c>
      <c r="B44" s="260"/>
      <c r="C44" s="260"/>
      <c r="D44" s="260"/>
      <c r="E44" s="284"/>
      <c r="F44" s="385"/>
      <c r="G44" s="284"/>
      <c r="H44" s="389"/>
      <c r="I44" s="495"/>
      <c r="J44" s="390"/>
      <c r="K44" s="387"/>
      <c r="L44" s="418">
        <f t="shared" si="3"/>
        <v>0</v>
      </c>
      <c r="M44" s="63"/>
      <c r="N44" s="388"/>
      <c r="O44" s="63"/>
      <c r="P44" s="390"/>
      <c r="Q44" s="387"/>
      <c r="R44" s="488">
        <f t="shared" si="4"/>
        <v>0</v>
      </c>
      <c r="S44" s="489"/>
      <c r="T44" s="488">
        <f t="shared" si="5"/>
        <v>0</v>
      </c>
      <c r="U44" s="27"/>
      <c r="X44" s="176"/>
    </row>
    <row r="45" spans="1:24" ht="19.5" customHeight="1">
      <c r="A45" s="18">
        <v>7</v>
      </c>
      <c r="B45" s="260"/>
      <c r="C45" s="260"/>
      <c r="D45" s="260"/>
      <c r="E45" s="284"/>
      <c r="F45" s="385"/>
      <c r="G45" s="284"/>
      <c r="H45" s="386"/>
      <c r="I45" s="495"/>
      <c r="J45" s="390"/>
      <c r="K45" s="387"/>
      <c r="L45" s="418">
        <f aca="true" t="shared" si="6" ref="L45:L52">H45-J45</f>
        <v>0</v>
      </c>
      <c r="M45" s="63"/>
      <c r="N45" s="388"/>
      <c r="O45" s="63"/>
      <c r="P45" s="388"/>
      <c r="Q45" s="387"/>
      <c r="R45" s="488">
        <f aca="true" t="shared" si="7" ref="R45:R52">(H45*$T$7)*(N45+P45)</f>
        <v>0</v>
      </c>
      <c r="S45" s="489"/>
      <c r="T45" s="488">
        <f aca="true" t="shared" si="8" ref="T45:T52">(L45*$T$7)*(N45+P45)</f>
        <v>0</v>
      </c>
      <c r="U45" s="27"/>
      <c r="X45" s="176"/>
    </row>
    <row r="46" spans="1:24" ht="19.5" customHeight="1">
      <c r="A46" s="18">
        <v>8</v>
      </c>
      <c r="B46" s="260"/>
      <c r="C46" s="260"/>
      <c r="D46" s="260"/>
      <c r="E46" s="284"/>
      <c r="F46" s="385"/>
      <c r="G46" s="284"/>
      <c r="H46" s="386"/>
      <c r="I46" s="495"/>
      <c r="J46" s="390"/>
      <c r="K46" s="387"/>
      <c r="L46" s="418">
        <f t="shared" si="6"/>
        <v>0</v>
      </c>
      <c r="M46" s="63"/>
      <c r="N46" s="388"/>
      <c r="O46" s="63"/>
      <c r="P46" s="388"/>
      <c r="Q46" s="387"/>
      <c r="R46" s="488">
        <f t="shared" si="7"/>
        <v>0</v>
      </c>
      <c r="S46" s="489"/>
      <c r="T46" s="488">
        <f t="shared" si="8"/>
        <v>0</v>
      </c>
      <c r="U46" s="27"/>
      <c r="X46" s="176"/>
    </row>
    <row r="47" spans="1:24" ht="19.5" customHeight="1">
      <c r="A47" s="18">
        <v>9</v>
      </c>
      <c r="B47" s="622"/>
      <c r="C47" s="260"/>
      <c r="D47" s="260"/>
      <c r="E47" s="284"/>
      <c r="F47" s="385"/>
      <c r="G47" s="284"/>
      <c r="H47" s="386"/>
      <c r="I47" s="495"/>
      <c r="J47" s="390"/>
      <c r="K47" s="387"/>
      <c r="L47" s="418">
        <f t="shared" si="6"/>
        <v>0</v>
      </c>
      <c r="M47" s="63"/>
      <c r="N47" s="388"/>
      <c r="O47" s="63"/>
      <c r="P47" s="388"/>
      <c r="Q47" s="387"/>
      <c r="R47" s="488">
        <f t="shared" si="7"/>
        <v>0</v>
      </c>
      <c r="S47" s="489"/>
      <c r="T47" s="488">
        <f t="shared" si="8"/>
        <v>0</v>
      </c>
      <c r="U47" s="27"/>
      <c r="X47" s="176"/>
    </row>
    <row r="48" spans="1:24" ht="19.5" customHeight="1">
      <c r="A48" s="18">
        <v>10</v>
      </c>
      <c r="B48" s="260"/>
      <c r="C48" s="260"/>
      <c r="D48" s="260"/>
      <c r="E48" s="284"/>
      <c r="F48" s="385"/>
      <c r="G48" s="284"/>
      <c r="H48" s="386"/>
      <c r="I48" s="495"/>
      <c r="J48" s="390"/>
      <c r="K48" s="387"/>
      <c r="L48" s="418">
        <f t="shared" si="6"/>
        <v>0</v>
      </c>
      <c r="M48" s="63"/>
      <c r="N48" s="401"/>
      <c r="O48" s="63"/>
      <c r="P48" s="388"/>
      <c r="Q48" s="387"/>
      <c r="R48" s="488">
        <f t="shared" si="7"/>
        <v>0</v>
      </c>
      <c r="S48" s="489"/>
      <c r="T48" s="488">
        <f t="shared" si="8"/>
        <v>0</v>
      </c>
      <c r="U48" s="27"/>
      <c r="X48" s="176"/>
    </row>
    <row r="49" spans="1:24" ht="19.5" customHeight="1">
      <c r="A49" s="18">
        <v>11</v>
      </c>
      <c r="B49" s="260"/>
      <c r="C49" s="260"/>
      <c r="D49" s="260"/>
      <c r="E49" s="284"/>
      <c r="F49" s="385"/>
      <c r="G49" s="284"/>
      <c r="H49" s="389"/>
      <c r="I49" s="495"/>
      <c r="J49" s="390"/>
      <c r="K49" s="387"/>
      <c r="L49" s="418">
        <f>H49-J49</f>
        <v>0</v>
      </c>
      <c r="M49" s="63"/>
      <c r="N49" s="388"/>
      <c r="O49" s="63"/>
      <c r="P49" s="390"/>
      <c r="Q49" s="387"/>
      <c r="R49" s="488">
        <f>(H49*$T$7)*(N49+P49)</f>
        <v>0</v>
      </c>
      <c r="S49" s="489"/>
      <c r="T49" s="488">
        <f>(L49*$T$7)*(N49+P49)</f>
        <v>0</v>
      </c>
      <c r="U49" s="27"/>
      <c r="X49" s="176"/>
    </row>
    <row r="50" spans="1:24" ht="19.5" customHeight="1">
      <c r="A50" s="18">
        <v>12</v>
      </c>
      <c r="B50" s="260"/>
      <c r="C50" s="260"/>
      <c r="D50" s="260"/>
      <c r="E50" s="284"/>
      <c r="F50" s="385"/>
      <c r="G50" s="284"/>
      <c r="H50" s="386"/>
      <c r="I50" s="495"/>
      <c r="J50" s="390"/>
      <c r="K50" s="387"/>
      <c r="L50" s="418">
        <f>H50-J50</f>
        <v>0</v>
      </c>
      <c r="M50" s="63"/>
      <c r="N50" s="388"/>
      <c r="O50" s="63"/>
      <c r="P50" s="388"/>
      <c r="Q50" s="387"/>
      <c r="R50" s="488">
        <f>(H50*$T$7)*(N50+P50)</f>
        <v>0</v>
      </c>
      <c r="S50" s="489"/>
      <c r="T50" s="488">
        <f>(L50*$T$7)*(N50+P50)</f>
        <v>0</v>
      </c>
      <c r="U50" s="27"/>
      <c r="X50" s="176"/>
    </row>
    <row r="51" spans="1:24" ht="19.5" customHeight="1">
      <c r="A51" s="18">
        <v>13</v>
      </c>
      <c r="B51" s="260"/>
      <c r="C51" s="260"/>
      <c r="D51" s="260"/>
      <c r="E51" s="284"/>
      <c r="F51" s="385"/>
      <c r="G51" s="284"/>
      <c r="H51" s="386"/>
      <c r="I51" s="495"/>
      <c r="J51" s="390"/>
      <c r="K51" s="387"/>
      <c r="L51" s="418">
        <f>H51-J51</f>
        <v>0</v>
      </c>
      <c r="M51" s="63"/>
      <c r="N51" s="388"/>
      <c r="O51" s="63"/>
      <c r="P51" s="388"/>
      <c r="Q51" s="387"/>
      <c r="R51" s="488">
        <f>(H51*$T$7)*(N51+P51)</f>
        <v>0</v>
      </c>
      <c r="S51" s="489"/>
      <c r="T51" s="488">
        <f>(L51*$T$7)*(N51+P51)</f>
        <v>0</v>
      </c>
      <c r="U51" s="27"/>
      <c r="X51" s="176"/>
    </row>
    <row r="52" spans="1:24" ht="19.5" customHeight="1">
      <c r="A52" s="18">
        <v>14</v>
      </c>
      <c r="B52" s="260"/>
      <c r="C52" s="260"/>
      <c r="D52" s="260"/>
      <c r="E52" s="284"/>
      <c r="F52" s="385"/>
      <c r="G52" s="284"/>
      <c r="H52" s="389"/>
      <c r="I52" s="495"/>
      <c r="J52" s="390"/>
      <c r="K52" s="387"/>
      <c r="L52" s="418">
        <f t="shared" si="6"/>
        <v>0</v>
      </c>
      <c r="M52" s="63"/>
      <c r="N52" s="388"/>
      <c r="O52" s="63"/>
      <c r="P52" s="390"/>
      <c r="Q52" s="387"/>
      <c r="R52" s="488">
        <f t="shared" si="7"/>
        <v>0</v>
      </c>
      <c r="S52" s="489"/>
      <c r="T52" s="488">
        <f t="shared" si="8"/>
        <v>0</v>
      </c>
      <c r="U52" s="27"/>
      <c r="X52" s="176"/>
    </row>
    <row r="53" spans="1:24" ht="19.5" customHeight="1">
      <c r="A53" s="18">
        <v>15</v>
      </c>
      <c r="B53" s="260"/>
      <c r="C53" s="260"/>
      <c r="D53" s="260"/>
      <c r="E53" s="284"/>
      <c r="F53" s="385"/>
      <c r="G53" s="284"/>
      <c r="H53" s="386"/>
      <c r="I53" s="495"/>
      <c r="J53" s="390"/>
      <c r="K53" s="387"/>
      <c r="L53" s="418">
        <f t="shared" si="3"/>
        <v>0</v>
      </c>
      <c r="M53" s="63"/>
      <c r="N53" s="388"/>
      <c r="O53" s="63"/>
      <c r="P53" s="388"/>
      <c r="Q53" s="387"/>
      <c r="R53" s="488">
        <f aca="true" t="shared" si="9" ref="R53:R58">(H53*$T$7)*(N53+P53)</f>
        <v>0</v>
      </c>
      <c r="S53" s="489"/>
      <c r="T53" s="488">
        <f aca="true" t="shared" si="10" ref="T53:T58">(L53*$T$7)*(N53+P53)</f>
        <v>0</v>
      </c>
      <c r="U53" s="27"/>
      <c r="X53" s="176"/>
    </row>
    <row r="54" spans="1:24" ht="19.5" customHeight="1">
      <c r="A54" s="18">
        <v>16</v>
      </c>
      <c r="B54" s="260"/>
      <c r="C54" s="260"/>
      <c r="D54" s="260"/>
      <c r="E54" s="284"/>
      <c r="F54" s="385"/>
      <c r="G54" s="284"/>
      <c r="H54" s="386"/>
      <c r="I54" s="495"/>
      <c r="J54" s="390"/>
      <c r="K54" s="387"/>
      <c r="L54" s="418">
        <f t="shared" si="3"/>
        <v>0</v>
      </c>
      <c r="M54" s="63"/>
      <c r="N54" s="388"/>
      <c r="O54" s="63"/>
      <c r="P54" s="388"/>
      <c r="Q54" s="387"/>
      <c r="R54" s="488">
        <f t="shared" si="9"/>
        <v>0</v>
      </c>
      <c r="S54" s="489"/>
      <c r="T54" s="488">
        <f t="shared" si="10"/>
        <v>0</v>
      </c>
      <c r="U54" s="27"/>
      <c r="X54" s="176"/>
    </row>
    <row r="55" spans="1:24" ht="19.5" customHeight="1">
      <c r="A55" s="18">
        <v>17</v>
      </c>
      <c r="B55" s="622"/>
      <c r="C55" s="260"/>
      <c r="D55" s="260"/>
      <c r="E55" s="284"/>
      <c r="F55" s="385"/>
      <c r="G55" s="284"/>
      <c r="H55" s="386"/>
      <c r="I55" s="495"/>
      <c r="J55" s="390"/>
      <c r="K55" s="387"/>
      <c r="L55" s="418">
        <f t="shared" si="3"/>
        <v>0</v>
      </c>
      <c r="M55" s="63"/>
      <c r="N55" s="388"/>
      <c r="O55" s="63"/>
      <c r="P55" s="388"/>
      <c r="Q55" s="387"/>
      <c r="R55" s="488">
        <f t="shared" si="9"/>
        <v>0</v>
      </c>
      <c r="S55" s="489"/>
      <c r="T55" s="488">
        <f t="shared" si="10"/>
        <v>0</v>
      </c>
      <c r="U55" s="27"/>
      <c r="X55" s="176"/>
    </row>
    <row r="56" spans="1:24" ht="19.5" customHeight="1">
      <c r="A56" s="18">
        <v>18</v>
      </c>
      <c r="B56" s="260"/>
      <c r="C56" s="260"/>
      <c r="D56" s="260"/>
      <c r="E56" s="284"/>
      <c r="F56" s="385"/>
      <c r="G56" s="284"/>
      <c r="H56" s="386"/>
      <c r="I56" s="495"/>
      <c r="J56" s="390"/>
      <c r="K56" s="387"/>
      <c r="L56" s="418">
        <f t="shared" si="3"/>
        <v>0</v>
      </c>
      <c r="M56" s="63"/>
      <c r="N56" s="401"/>
      <c r="O56" s="63"/>
      <c r="P56" s="388"/>
      <c r="Q56" s="387"/>
      <c r="R56" s="488">
        <f t="shared" si="9"/>
        <v>0</v>
      </c>
      <c r="S56" s="489"/>
      <c r="T56" s="488">
        <f t="shared" si="10"/>
        <v>0</v>
      </c>
      <c r="U56" s="27"/>
      <c r="X56" s="176"/>
    </row>
    <row r="57" spans="1:24" ht="19.5" customHeight="1">
      <c r="A57" s="18">
        <v>19</v>
      </c>
      <c r="B57" s="260"/>
      <c r="C57" s="260"/>
      <c r="D57" s="260"/>
      <c r="E57" s="284"/>
      <c r="F57" s="385"/>
      <c r="G57" s="284"/>
      <c r="H57" s="389"/>
      <c r="I57" s="495"/>
      <c r="J57" s="390"/>
      <c r="K57" s="387"/>
      <c r="L57" s="418">
        <f t="shared" si="3"/>
        <v>0</v>
      </c>
      <c r="M57" s="63"/>
      <c r="N57" s="388"/>
      <c r="O57" s="63"/>
      <c r="P57" s="390"/>
      <c r="Q57" s="387"/>
      <c r="R57" s="488">
        <f t="shared" si="9"/>
        <v>0</v>
      </c>
      <c r="S57" s="489"/>
      <c r="T57" s="488">
        <f t="shared" si="10"/>
        <v>0</v>
      </c>
      <c r="U57" s="27"/>
      <c r="X57" s="176"/>
    </row>
    <row r="58" spans="1:24" ht="19.5" customHeight="1" thickBot="1">
      <c r="A58" s="18">
        <v>20</v>
      </c>
      <c r="B58" s="260"/>
      <c r="C58" s="260"/>
      <c r="D58" s="260"/>
      <c r="E58" s="284"/>
      <c r="F58" s="385"/>
      <c r="G58" s="284"/>
      <c r="H58" s="389"/>
      <c r="I58" s="495"/>
      <c r="J58" s="390"/>
      <c r="K58" s="387"/>
      <c r="L58" s="418">
        <f t="shared" si="3"/>
        <v>0</v>
      </c>
      <c r="M58" s="63"/>
      <c r="N58" s="388"/>
      <c r="O58" s="63"/>
      <c r="P58" s="390"/>
      <c r="Q58" s="387"/>
      <c r="R58" s="488">
        <f t="shared" si="9"/>
        <v>0</v>
      </c>
      <c r="S58" s="489"/>
      <c r="T58" s="488">
        <f t="shared" si="10"/>
        <v>0</v>
      </c>
      <c r="U58" s="27"/>
      <c r="X58" s="176"/>
    </row>
    <row r="59" spans="1:24" ht="21.75" customHeight="1" thickBot="1">
      <c r="A59" s="112"/>
      <c r="B59" s="113"/>
      <c r="C59" s="113"/>
      <c r="D59" s="113" t="s">
        <v>311</v>
      </c>
      <c r="E59" s="114"/>
      <c r="F59" s="391"/>
      <c r="G59" s="392"/>
      <c r="H59" s="393"/>
      <c r="I59" s="394"/>
      <c r="J59" s="393"/>
      <c r="K59" s="394"/>
      <c r="L59" s="393"/>
      <c r="M59" s="392"/>
      <c r="N59" s="395"/>
      <c r="O59" s="392"/>
      <c r="P59" s="396"/>
      <c r="Q59" s="397"/>
      <c r="R59" s="496">
        <f>SUM(R39:R58)</f>
        <v>0</v>
      </c>
      <c r="S59" s="497"/>
      <c r="T59" s="496">
        <f>SUM(T39:T58)</f>
        <v>0</v>
      </c>
      <c r="U59" s="498"/>
      <c r="X59" s="176"/>
    </row>
    <row r="60" spans="1:24" ht="6.75" customHeight="1">
      <c r="A60" s="6"/>
      <c r="B60" s="7"/>
      <c r="C60" s="7"/>
      <c r="D60" s="7"/>
      <c r="E60" s="59"/>
      <c r="F60" s="33"/>
      <c r="G60" s="59"/>
      <c r="H60" s="384"/>
      <c r="I60" s="383"/>
      <c r="J60" s="384"/>
      <c r="K60" s="383"/>
      <c r="L60" s="384"/>
      <c r="M60" s="59"/>
      <c r="N60" s="381"/>
      <c r="O60" s="59"/>
      <c r="P60" s="398"/>
      <c r="Q60" s="399"/>
      <c r="R60" s="398"/>
      <c r="S60" s="399"/>
      <c r="T60" s="398"/>
      <c r="U60" s="12"/>
      <c r="X60" s="176"/>
    </row>
    <row r="61" spans="1:24" ht="12.75" customHeight="1">
      <c r="A61" s="6"/>
      <c r="B61" s="15" t="s">
        <v>321</v>
      </c>
      <c r="C61" s="7"/>
      <c r="D61" s="7"/>
      <c r="E61" s="59"/>
      <c r="F61" s="33"/>
      <c r="G61" s="59"/>
      <c r="H61" s="384"/>
      <c r="I61" s="383"/>
      <c r="J61" s="384"/>
      <c r="K61" s="383"/>
      <c r="L61" s="421"/>
      <c r="M61" s="59"/>
      <c r="N61" s="400"/>
      <c r="O61" s="59"/>
      <c r="P61" s="398"/>
      <c r="Q61" s="399"/>
      <c r="R61" s="398"/>
      <c r="S61" s="399"/>
      <c r="T61" s="398"/>
      <c r="U61" s="12"/>
      <c r="X61" s="176"/>
    </row>
    <row r="62" spans="1:24" ht="3.75" customHeight="1">
      <c r="A62" s="6"/>
      <c r="B62" s="15"/>
      <c r="C62" s="7"/>
      <c r="D62" s="7"/>
      <c r="E62" s="59"/>
      <c r="F62" s="33"/>
      <c r="G62" s="59"/>
      <c r="H62" s="384"/>
      <c r="I62" s="383"/>
      <c r="J62" s="384"/>
      <c r="K62" s="383"/>
      <c r="L62" s="421"/>
      <c r="M62" s="59"/>
      <c r="N62" s="400"/>
      <c r="O62" s="59"/>
      <c r="P62" s="398"/>
      <c r="Q62" s="399"/>
      <c r="R62" s="398"/>
      <c r="S62" s="399"/>
      <c r="T62" s="398"/>
      <c r="U62" s="12"/>
      <c r="X62" s="176"/>
    </row>
    <row r="63" spans="1:24" ht="19.5" customHeight="1">
      <c r="A63" s="18">
        <v>1</v>
      </c>
      <c r="B63" s="260"/>
      <c r="C63" s="260"/>
      <c r="D63" s="260"/>
      <c r="E63" s="63"/>
      <c r="F63" s="297" t="s">
        <v>322</v>
      </c>
      <c r="G63" s="63"/>
      <c r="H63" s="390"/>
      <c r="I63" s="387"/>
      <c r="J63" s="390"/>
      <c r="K63" s="387"/>
      <c r="L63" s="418">
        <f aca="true" t="shared" si="11" ref="L63:L77">H63-J63</f>
        <v>0</v>
      </c>
      <c r="M63" s="63"/>
      <c r="N63" s="401"/>
      <c r="O63" s="63"/>
      <c r="P63" s="386"/>
      <c r="Q63" s="402"/>
      <c r="R63" s="488">
        <f aca="true" t="shared" si="12" ref="R63:R77">(H63*$T$7)*(N63+P63)</f>
        <v>0</v>
      </c>
      <c r="S63" s="489"/>
      <c r="T63" s="488">
        <v>0</v>
      </c>
      <c r="U63" s="27"/>
      <c r="X63" s="176"/>
    </row>
    <row r="64" spans="1:24" ht="19.5" customHeight="1">
      <c r="A64" s="18">
        <v>2</v>
      </c>
      <c r="B64" s="260"/>
      <c r="C64" s="260"/>
      <c r="D64" s="260"/>
      <c r="E64" s="63"/>
      <c r="F64" s="297" t="s">
        <v>322</v>
      </c>
      <c r="G64" s="63"/>
      <c r="H64" s="390"/>
      <c r="I64" s="387"/>
      <c r="J64" s="390"/>
      <c r="K64" s="387"/>
      <c r="L64" s="418">
        <f t="shared" si="11"/>
        <v>0</v>
      </c>
      <c r="M64" s="63"/>
      <c r="N64" s="401"/>
      <c r="O64" s="63"/>
      <c r="P64" s="403"/>
      <c r="Q64" s="402"/>
      <c r="R64" s="488">
        <f t="shared" si="12"/>
        <v>0</v>
      </c>
      <c r="S64" s="489"/>
      <c r="T64" s="488">
        <v>0</v>
      </c>
      <c r="U64" s="27"/>
      <c r="X64" s="176"/>
    </row>
    <row r="65" spans="1:24" ht="19.5" customHeight="1">
      <c r="A65" s="18">
        <v>3</v>
      </c>
      <c r="B65" s="260"/>
      <c r="C65" s="260"/>
      <c r="D65" s="260"/>
      <c r="E65" s="63"/>
      <c r="F65" s="297" t="s">
        <v>322</v>
      </c>
      <c r="G65" s="63"/>
      <c r="H65" s="390"/>
      <c r="I65" s="387"/>
      <c r="J65" s="390"/>
      <c r="K65" s="387"/>
      <c r="L65" s="418">
        <f t="shared" si="11"/>
        <v>0</v>
      </c>
      <c r="M65" s="63"/>
      <c r="N65" s="401"/>
      <c r="O65" s="63"/>
      <c r="P65" s="403"/>
      <c r="Q65" s="402"/>
      <c r="R65" s="488">
        <f t="shared" si="12"/>
        <v>0</v>
      </c>
      <c r="S65" s="489"/>
      <c r="T65" s="488">
        <v>0</v>
      </c>
      <c r="U65" s="27"/>
      <c r="X65" s="176"/>
    </row>
    <row r="66" spans="1:24" ht="19.5" customHeight="1">
      <c r="A66" s="18">
        <v>4</v>
      </c>
      <c r="B66" s="260"/>
      <c r="C66" s="260"/>
      <c r="D66" s="260"/>
      <c r="E66" s="63"/>
      <c r="F66" s="297" t="s">
        <v>322</v>
      </c>
      <c r="G66" s="63"/>
      <c r="H66" s="390"/>
      <c r="I66" s="387"/>
      <c r="J66" s="390"/>
      <c r="K66" s="387"/>
      <c r="L66" s="418">
        <f t="shared" si="11"/>
        <v>0</v>
      </c>
      <c r="M66" s="63"/>
      <c r="N66" s="401"/>
      <c r="O66" s="63"/>
      <c r="P66" s="403"/>
      <c r="Q66" s="402"/>
      <c r="R66" s="488">
        <f t="shared" si="12"/>
        <v>0</v>
      </c>
      <c r="S66" s="489"/>
      <c r="T66" s="488">
        <v>0</v>
      </c>
      <c r="U66" s="27"/>
      <c r="X66" s="176"/>
    </row>
    <row r="67" spans="1:24" ht="19.5" customHeight="1">
      <c r="A67" s="18">
        <v>5</v>
      </c>
      <c r="B67" s="260"/>
      <c r="C67" s="260"/>
      <c r="D67" s="260"/>
      <c r="E67" s="63"/>
      <c r="F67" s="297" t="s">
        <v>322</v>
      </c>
      <c r="G67" s="63"/>
      <c r="H67" s="390"/>
      <c r="I67" s="387"/>
      <c r="J67" s="390"/>
      <c r="K67" s="387"/>
      <c r="L67" s="418">
        <f t="shared" si="11"/>
        <v>0</v>
      </c>
      <c r="M67" s="63"/>
      <c r="N67" s="401"/>
      <c r="O67" s="63"/>
      <c r="P67" s="403"/>
      <c r="Q67" s="402"/>
      <c r="R67" s="488">
        <f t="shared" si="12"/>
        <v>0</v>
      </c>
      <c r="S67" s="489"/>
      <c r="T67" s="488">
        <v>0</v>
      </c>
      <c r="U67" s="27"/>
      <c r="X67" s="176"/>
    </row>
    <row r="68" spans="1:24" ht="19.5" customHeight="1">
      <c r="A68" s="18">
        <v>6</v>
      </c>
      <c r="B68" s="260"/>
      <c r="C68" s="260"/>
      <c r="D68" s="260"/>
      <c r="E68" s="63"/>
      <c r="F68" s="297" t="s">
        <v>322</v>
      </c>
      <c r="G68" s="63"/>
      <c r="H68" s="390"/>
      <c r="I68" s="387"/>
      <c r="J68" s="390"/>
      <c r="K68" s="387"/>
      <c r="L68" s="418">
        <f t="shared" si="11"/>
        <v>0</v>
      </c>
      <c r="M68" s="63"/>
      <c r="N68" s="401"/>
      <c r="O68" s="63"/>
      <c r="P68" s="403"/>
      <c r="Q68" s="402"/>
      <c r="R68" s="488">
        <f t="shared" si="12"/>
        <v>0</v>
      </c>
      <c r="S68" s="489"/>
      <c r="T68" s="488">
        <v>0</v>
      </c>
      <c r="U68" s="27"/>
      <c r="X68" s="176"/>
    </row>
    <row r="69" spans="1:24" ht="19.5" customHeight="1">
      <c r="A69" s="18">
        <v>7</v>
      </c>
      <c r="B69" s="260"/>
      <c r="C69" s="260"/>
      <c r="D69" s="260"/>
      <c r="E69" s="63"/>
      <c r="F69" s="297" t="s">
        <v>322</v>
      </c>
      <c r="G69" s="63"/>
      <c r="H69" s="390"/>
      <c r="I69" s="387"/>
      <c r="J69" s="390"/>
      <c r="K69" s="387"/>
      <c r="L69" s="418">
        <f t="shared" si="11"/>
        <v>0</v>
      </c>
      <c r="M69" s="63"/>
      <c r="N69" s="388"/>
      <c r="O69" s="63"/>
      <c r="P69" s="403"/>
      <c r="Q69" s="402"/>
      <c r="R69" s="488">
        <f t="shared" si="12"/>
        <v>0</v>
      </c>
      <c r="S69" s="489"/>
      <c r="T69" s="488">
        <f aca="true" t="shared" si="13" ref="T69:T77">(L69*$T$7)*(N69+P69)</f>
        <v>0</v>
      </c>
      <c r="U69" s="27"/>
      <c r="X69" s="176"/>
    </row>
    <row r="70" spans="1:24" ht="19.5" customHeight="1">
      <c r="A70" s="18">
        <v>8</v>
      </c>
      <c r="B70" s="260"/>
      <c r="C70" s="260"/>
      <c r="D70" s="260"/>
      <c r="E70" s="63"/>
      <c r="F70" s="297" t="s">
        <v>322</v>
      </c>
      <c r="G70" s="63"/>
      <c r="H70" s="390"/>
      <c r="I70" s="387"/>
      <c r="J70" s="390"/>
      <c r="K70" s="387"/>
      <c r="L70" s="418">
        <f t="shared" si="11"/>
        <v>0</v>
      </c>
      <c r="M70" s="63"/>
      <c r="N70" s="388"/>
      <c r="O70" s="63"/>
      <c r="P70" s="403"/>
      <c r="Q70" s="402"/>
      <c r="R70" s="488">
        <f t="shared" si="12"/>
        <v>0</v>
      </c>
      <c r="S70" s="489"/>
      <c r="T70" s="488">
        <f t="shared" si="13"/>
        <v>0</v>
      </c>
      <c r="U70" s="27"/>
      <c r="X70" s="176"/>
    </row>
    <row r="71" spans="1:24" ht="19.5" customHeight="1">
      <c r="A71" s="18">
        <v>9</v>
      </c>
      <c r="B71" s="260"/>
      <c r="C71" s="260"/>
      <c r="D71" s="260"/>
      <c r="E71" s="63"/>
      <c r="F71" s="297" t="s">
        <v>322</v>
      </c>
      <c r="G71" s="63"/>
      <c r="H71" s="390"/>
      <c r="I71" s="387"/>
      <c r="J71" s="390"/>
      <c r="K71" s="387"/>
      <c r="L71" s="418">
        <f t="shared" si="11"/>
        <v>0</v>
      </c>
      <c r="M71" s="63"/>
      <c r="N71" s="388"/>
      <c r="O71" s="63"/>
      <c r="P71" s="403"/>
      <c r="Q71" s="402"/>
      <c r="R71" s="488">
        <f t="shared" si="12"/>
        <v>0</v>
      </c>
      <c r="S71" s="489"/>
      <c r="T71" s="488">
        <f t="shared" si="13"/>
        <v>0</v>
      </c>
      <c r="U71" s="27"/>
      <c r="X71" s="176"/>
    </row>
    <row r="72" spans="1:24" ht="19.5" customHeight="1">
      <c r="A72" s="18">
        <v>10</v>
      </c>
      <c r="B72" s="260"/>
      <c r="C72" s="260"/>
      <c r="D72" s="260"/>
      <c r="E72" s="63"/>
      <c r="F72" s="297" t="s">
        <v>322</v>
      </c>
      <c r="G72" s="63"/>
      <c r="H72" s="390"/>
      <c r="I72" s="387"/>
      <c r="J72" s="390"/>
      <c r="K72" s="387"/>
      <c r="L72" s="418">
        <f t="shared" si="11"/>
        <v>0</v>
      </c>
      <c r="M72" s="63"/>
      <c r="N72" s="388"/>
      <c r="O72" s="63"/>
      <c r="P72" s="403"/>
      <c r="Q72" s="402"/>
      <c r="R72" s="488">
        <f t="shared" si="12"/>
        <v>0</v>
      </c>
      <c r="S72" s="489"/>
      <c r="T72" s="488">
        <f t="shared" si="13"/>
        <v>0</v>
      </c>
      <c r="U72" s="27"/>
      <c r="X72" s="176"/>
    </row>
    <row r="73" spans="1:24" ht="19.5" customHeight="1">
      <c r="A73" s="18">
        <v>11</v>
      </c>
      <c r="B73" s="260"/>
      <c r="C73" s="260"/>
      <c r="D73" s="260"/>
      <c r="E73" s="63"/>
      <c r="F73" s="297" t="s">
        <v>322</v>
      </c>
      <c r="G73" s="63"/>
      <c r="H73" s="390"/>
      <c r="I73" s="387"/>
      <c r="J73" s="390"/>
      <c r="K73" s="387"/>
      <c r="L73" s="418">
        <f t="shared" si="11"/>
        <v>0</v>
      </c>
      <c r="M73" s="63"/>
      <c r="N73" s="388"/>
      <c r="O73" s="63"/>
      <c r="P73" s="403"/>
      <c r="Q73" s="402"/>
      <c r="R73" s="488">
        <f t="shared" si="12"/>
        <v>0</v>
      </c>
      <c r="S73" s="489"/>
      <c r="T73" s="488">
        <f t="shared" si="13"/>
        <v>0</v>
      </c>
      <c r="U73" s="27"/>
      <c r="X73" s="176"/>
    </row>
    <row r="74" spans="1:24" ht="19.5" customHeight="1">
      <c r="A74" s="18">
        <v>12</v>
      </c>
      <c r="B74" s="260"/>
      <c r="C74" s="260"/>
      <c r="D74" s="260"/>
      <c r="E74" s="63"/>
      <c r="F74" s="297" t="s">
        <v>322</v>
      </c>
      <c r="G74" s="63"/>
      <c r="H74" s="390"/>
      <c r="I74" s="387"/>
      <c r="J74" s="390"/>
      <c r="K74" s="387"/>
      <c r="L74" s="418">
        <f t="shared" si="11"/>
        <v>0</v>
      </c>
      <c r="M74" s="63"/>
      <c r="N74" s="388"/>
      <c r="O74" s="63"/>
      <c r="P74" s="403"/>
      <c r="Q74" s="402"/>
      <c r="R74" s="488">
        <f t="shared" si="12"/>
        <v>0</v>
      </c>
      <c r="S74" s="489"/>
      <c r="T74" s="488">
        <f t="shared" si="13"/>
        <v>0</v>
      </c>
      <c r="U74" s="27"/>
      <c r="X74" s="176"/>
    </row>
    <row r="75" spans="1:24" ht="19.5" customHeight="1">
      <c r="A75" s="18">
        <v>13</v>
      </c>
      <c r="B75" s="260"/>
      <c r="C75" s="260"/>
      <c r="D75" s="260"/>
      <c r="E75" s="63"/>
      <c r="F75" s="297" t="s">
        <v>322</v>
      </c>
      <c r="G75" s="63"/>
      <c r="H75" s="390"/>
      <c r="I75" s="387"/>
      <c r="J75" s="390"/>
      <c r="K75" s="387"/>
      <c r="L75" s="418">
        <f t="shared" si="11"/>
        <v>0</v>
      </c>
      <c r="M75" s="63"/>
      <c r="N75" s="388"/>
      <c r="O75" s="63"/>
      <c r="P75" s="403"/>
      <c r="Q75" s="402"/>
      <c r="R75" s="488">
        <f t="shared" si="12"/>
        <v>0</v>
      </c>
      <c r="S75" s="489"/>
      <c r="T75" s="488">
        <f t="shared" si="13"/>
        <v>0</v>
      </c>
      <c r="U75" s="27"/>
      <c r="X75" s="176"/>
    </row>
    <row r="76" spans="1:24" ht="19.5" customHeight="1">
      <c r="A76" s="18">
        <v>14</v>
      </c>
      <c r="B76" s="260"/>
      <c r="C76" s="260"/>
      <c r="D76" s="260"/>
      <c r="E76" s="63"/>
      <c r="F76" s="297" t="s">
        <v>322</v>
      </c>
      <c r="G76" s="63"/>
      <c r="H76" s="390"/>
      <c r="I76" s="387"/>
      <c r="J76" s="390"/>
      <c r="K76" s="387"/>
      <c r="L76" s="418">
        <f t="shared" si="11"/>
        <v>0</v>
      </c>
      <c r="M76" s="63"/>
      <c r="N76" s="388"/>
      <c r="O76" s="63"/>
      <c r="P76" s="403"/>
      <c r="Q76" s="402"/>
      <c r="R76" s="488">
        <f t="shared" si="12"/>
        <v>0</v>
      </c>
      <c r="S76" s="489"/>
      <c r="T76" s="488">
        <f t="shared" si="13"/>
        <v>0</v>
      </c>
      <c r="U76" s="27"/>
      <c r="X76" s="176"/>
    </row>
    <row r="77" spans="1:24" ht="19.5" customHeight="1" thickBot="1">
      <c r="A77" s="18">
        <v>15</v>
      </c>
      <c r="B77" s="260"/>
      <c r="C77" s="260"/>
      <c r="D77" s="260"/>
      <c r="E77" s="63"/>
      <c r="F77" s="297" t="s">
        <v>322</v>
      </c>
      <c r="G77" s="63"/>
      <c r="H77" s="390"/>
      <c r="I77" s="387"/>
      <c r="J77" s="390"/>
      <c r="K77" s="387"/>
      <c r="L77" s="418">
        <f t="shared" si="11"/>
        <v>0</v>
      </c>
      <c r="M77" s="63"/>
      <c r="N77" s="388"/>
      <c r="O77" s="63"/>
      <c r="P77" s="390"/>
      <c r="Q77" s="387"/>
      <c r="R77" s="488">
        <f t="shared" si="12"/>
        <v>0</v>
      </c>
      <c r="S77" s="489"/>
      <c r="T77" s="488">
        <f t="shared" si="13"/>
        <v>0</v>
      </c>
      <c r="U77" s="27"/>
      <c r="X77" s="176"/>
    </row>
    <row r="78" spans="1:24" ht="21.75" customHeight="1" thickBot="1">
      <c r="A78" s="112"/>
      <c r="B78" s="113"/>
      <c r="C78" s="113"/>
      <c r="D78" s="113" t="s">
        <v>311</v>
      </c>
      <c r="E78" s="114"/>
      <c r="F78" s="391"/>
      <c r="G78" s="392"/>
      <c r="H78" s="404">
        <f>SUM(H63:H77)</f>
        <v>0</v>
      </c>
      <c r="I78" s="405"/>
      <c r="J78" s="393"/>
      <c r="K78" s="394"/>
      <c r="L78" s="499"/>
      <c r="M78" s="392"/>
      <c r="N78" s="395"/>
      <c r="O78" s="392"/>
      <c r="P78" s="393"/>
      <c r="Q78" s="394"/>
      <c r="R78" s="500">
        <f>SUM(R63:R77)</f>
        <v>0</v>
      </c>
      <c r="S78" s="501"/>
      <c r="T78" s="502">
        <f>SUM(T63:T77)</f>
        <v>0</v>
      </c>
      <c r="U78" s="498"/>
      <c r="X78" s="176"/>
    </row>
    <row r="79" spans="1:24" ht="3.75" customHeight="1">
      <c r="A79" s="6"/>
      <c r="B79" s="7"/>
      <c r="C79" s="7"/>
      <c r="D79" s="7"/>
      <c r="E79" s="7"/>
      <c r="F79" s="33"/>
      <c r="G79" s="7"/>
      <c r="H79" s="384"/>
      <c r="I79" s="384"/>
      <c r="J79" s="384"/>
      <c r="K79" s="384"/>
      <c r="L79" s="406"/>
      <c r="M79" s="7"/>
      <c r="N79" s="381"/>
      <c r="O79" s="7"/>
      <c r="P79" s="384"/>
      <c r="Q79" s="407"/>
      <c r="R79" s="381"/>
      <c r="S79" s="503"/>
      <c r="T79" s="381"/>
      <c r="U79" s="12"/>
      <c r="X79" s="176"/>
    </row>
    <row r="80" spans="1:24" ht="18" customHeight="1">
      <c r="A80" s="17" t="s">
        <v>323</v>
      </c>
      <c r="B80" s="8"/>
      <c r="C80" s="7"/>
      <c r="D80" s="7"/>
      <c r="E80" s="7"/>
      <c r="F80" s="33"/>
      <c r="G80" s="7"/>
      <c r="H80" s="406"/>
      <c r="I80" s="384"/>
      <c r="J80" s="384"/>
      <c r="K80" s="384"/>
      <c r="L80" s="406"/>
      <c r="M80" s="7"/>
      <c r="N80" s="381"/>
      <c r="O80" s="7"/>
      <c r="P80" s="384"/>
      <c r="Q80" s="407"/>
      <c r="R80" s="504">
        <f>+R59+R78</f>
        <v>0</v>
      </c>
      <c r="S80" s="503"/>
      <c r="T80" s="504">
        <f>+T59+T78</f>
        <v>0</v>
      </c>
      <c r="U80" s="12"/>
      <c r="X80" s="176"/>
    </row>
    <row r="81" spans="1:24" ht="4.5" customHeight="1" thickBot="1">
      <c r="A81" s="375"/>
      <c r="B81" s="46"/>
      <c r="C81" s="46"/>
      <c r="D81" s="46"/>
      <c r="E81" s="46"/>
      <c r="F81" s="408"/>
      <c r="G81" s="46"/>
      <c r="H81" s="409"/>
      <c r="I81" s="410"/>
      <c r="J81" s="410"/>
      <c r="K81" s="410"/>
      <c r="L81" s="409"/>
      <c r="M81" s="46"/>
      <c r="N81" s="411"/>
      <c r="O81" s="46"/>
      <c r="P81" s="410"/>
      <c r="Q81" s="412"/>
      <c r="R81" s="411"/>
      <c r="S81" s="505"/>
      <c r="T81" s="411"/>
      <c r="U81" s="53"/>
      <c r="X81" s="176"/>
    </row>
    <row r="82" spans="1:24" ht="5.25" customHeight="1" thickTop="1">
      <c r="A82" s="6"/>
      <c r="B82" s="7"/>
      <c r="C82" s="7"/>
      <c r="D82" s="7"/>
      <c r="E82" s="7"/>
      <c r="F82" s="33"/>
      <c r="G82" s="7"/>
      <c r="H82" s="384"/>
      <c r="I82" s="384"/>
      <c r="J82" s="384"/>
      <c r="K82" s="384"/>
      <c r="L82" s="406"/>
      <c r="M82" s="7"/>
      <c r="N82" s="381"/>
      <c r="O82" s="7"/>
      <c r="P82" s="398"/>
      <c r="Q82" s="413"/>
      <c r="R82" s="506"/>
      <c r="S82" s="507"/>
      <c r="T82" s="506"/>
      <c r="U82" s="12"/>
      <c r="X82" s="176"/>
    </row>
    <row r="83" spans="1:24" ht="18" customHeight="1">
      <c r="A83" s="47" t="s">
        <v>324</v>
      </c>
      <c r="B83" s="52" t="s">
        <v>325</v>
      </c>
      <c r="C83" s="7"/>
      <c r="D83" s="7"/>
      <c r="E83" s="7"/>
      <c r="F83" s="33"/>
      <c r="G83" s="7"/>
      <c r="H83" s="384"/>
      <c r="I83" s="384"/>
      <c r="J83" s="384"/>
      <c r="K83" s="384"/>
      <c r="L83" s="406"/>
      <c r="M83" s="7"/>
      <c r="N83" s="381"/>
      <c r="O83" s="7"/>
      <c r="P83" s="384"/>
      <c r="Q83" s="407"/>
      <c r="R83" s="414">
        <f>R27-R80</f>
        <v>0</v>
      </c>
      <c r="S83" s="503"/>
      <c r="T83" s="414">
        <f>T27-T80</f>
        <v>0</v>
      </c>
      <c r="U83" s="12"/>
      <c r="X83" s="176"/>
    </row>
    <row r="84" spans="1:24" ht="8.25" customHeight="1" thickBot="1">
      <c r="A84" s="508"/>
      <c r="B84" s="509"/>
      <c r="C84" s="113"/>
      <c r="D84" s="113"/>
      <c r="E84" s="113"/>
      <c r="F84" s="138"/>
      <c r="G84" s="113"/>
      <c r="H84" s="510"/>
      <c r="I84" s="510"/>
      <c r="J84" s="510"/>
      <c r="K84" s="510"/>
      <c r="L84" s="511"/>
      <c r="M84" s="113"/>
      <c r="N84" s="512"/>
      <c r="O84" s="113"/>
      <c r="P84" s="510"/>
      <c r="Q84" s="513"/>
      <c r="R84" s="514"/>
      <c r="S84" s="515"/>
      <c r="T84" s="514"/>
      <c r="U84" s="110"/>
      <c r="X84" s="176"/>
    </row>
    <row r="85" spans="1:24" ht="5.25" customHeight="1" thickBot="1">
      <c r="A85" s="47"/>
      <c r="B85" s="52"/>
      <c r="C85" s="7"/>
      <c r="D85" s="7"/>
      <c r="E85" s="7"/>
      <c r="F85" s="33"/>
      <c r="G85" s="7"/>
      <c r="H85" s="384"/>
      <c r="I85" s="384"/>
      <c r="J85" s="384"/>
      <c r="K85" s="384"/>
      <c r="L85" s="406"/>
      <c r="M85" s="7"/>
      <c r="N85" s="381"/>
      <c r="O85" s="7"/>
      <c r="P85" s="384"/>
      <c r="Q85" s="384"/>
      <c r="R85" s="414"/>
      <c r="S85" s="381"/>
      <c r="T85" s="414"/>
      <c r="U85" s="12"/>
      <c r="X85" s="176"/>
    </row>
    <row r="86" spans="1:24" ht="18" customHeight="1" thickBot="1">
      <c r="A86" s="47" t="s">
        <v>391</v>
      </c>
      <c r="B86" s="52"/>
      <c r="C86" s="7"/>
      <c r="D86" s="7"/>
      <c r="E86" s="7"/>
      <c r="F86" s="33"/>
      <c r="G86" s="7"/>
      <c r="H86" s="919">
        <f>(H78*T7)/275</f>
        <v>0</v>
      </c>
      <c r="I86" s="516"/>
      <c r="J86" s="516" t="s">
        <v>392</v>
      </c>
      <c r="K86" s="384"/>
      <c r="L86" s="406"/>
      <c r="M86" s="7"/>
      <c r="N86" s="381"/>
      <c r="O86" s="7"/>
      <c r="P86" s="384"/>
      <c r="Q86" s="384"/>
      <c r="R86" s="414"/>
      <c r="S86" s="381"/>
      <c r="T86" s="414"/>
      <c r="U86" s="12"/>
      <c r="X86" s="176"/>
    </row>
    <row r="87" spans="1:24" ht="6.75" customHeight="1" thickBot="1">
      <c r="A87" s="45"/>
      <c r="B87" s="46"/>
      <c r="C87" s="46"/>
      <c r="D87" s="46"/>
      <c r="E87" s="46"/>
      <c r="F87" s="408"/>
      <c r="G87" s="46"/>
      <c r="H87" s="517"/>
      <c r="I87" s="410"/>
      <c r="J87" s="410"/>
      <c r="K87" s="410"/>
      <c r="L87" s="409"/>
      <c r="M87" s="46"/>
      <c r="N87" s="409"/>
      <c r="O87" s="46"/>
      <c r="P87" s="410"/>
      <c r="Q87" s="410"/>
      <c r="R87" s="410"/>
      <c r="S87" s="410"/>
      <c r="T87" s="410"/>
      <c r="U87" s="53"/>
      <c r="X87" s="176"/>
    </row>
    <row r="88" spans="1:24" ht="13.5" thickTop="1">
      <c r="A88" s="176"/>
      <c r="B88" s="176"/>
      <c r="C88" s="176"/>
      <c r="D88" s="176"/>
      <c r="E88" s="176"/>
      <c r="F88" s="176"/>
      <c r="G88" s="176"/>
      <c r="H88" s="176"/>
      <c r="I88" s="176"/>
      <c r="V88" s="176"/>
      <c r="W88" s="176"/>
      <c r="X88" s="176"/>
    </row>
    <row r="89" spans="1:24" ht="12.7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row>
    <row r="90" spans="1:24" ht="12.7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row>
  </sheetData>
  <sheetProtection password="CB61" sheet="1" objects="1" scenarios="1"/>
  <mergeCells count="2">
    <mergeCell ref="J1:L1"/>
    <mergeCell ref="D7:G7"/>
  </mergeCells>
  <printOptions horizontalCentered="1"/>
  <pageMargins left="0.7480314960629921" right="0.7480314960629921" top="0.3937007874015748" bottom="0.3937007874015748" header="0.11811023622047245" footer="0.11811023622047245"/>
  <pageSetup fitToHeight="1" fitToWidth="1" horizontalDpi="300" verticalDpi="300" orientation="portrait" scale="53" r:id="rId3"/>
  <colBreaks count="1" manualBreakCount="1">
    <brk id="8" max="65535" man="1"/>
  </colBreaks>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AA89"/>
  <sheetViews>
    <sheetView showGridLines="0" zoomScale="75" zoomScaleNormal="75" workbookViewId="0" topLeftCell="A72">
      <selection activeCell="B62" sqref="B62:B67"/>
    </sheetView>
  </sheetViews>
  <sheetFormatPr defaultColWidth="11.421875" defaultRowHeight="12.75"/>
  <cols>
    <col min="1" max="1" width="3.140625" style="0" customWidth="1"/>
    <col min="2" max="2" width="12.421875" style="0" customWidth="1"/>
    <col min="3" max="3" width="0.9921875" style="0" customWidth="1"/>
    <col min="4" max="4" width="15.28125" style="0" customWidth="1"/>
    <col min="5" max="5" width="0.9921875" style="0" customWidth="1"/>
    <col min="6" max="6" width="12.7109375" style="0" customWidth="1"/>
    <col min="7" max="7" width="0.9921875" style="0" customWidth="1"/>
    <col min="8" max="8" width="17.7109375" style="0" customWidth="1"/>
    <col min="9" max="9" width="0.9921875" style="0" customWidth="1"/>
    <col min="10" max="10" width="17.7109375" style="0" customWidth="1"/>
    <col min="11" max="11" width="0.9921875" style="0" customWidth="1"/>
    <col min="12" max="12" width="17.7109375" style="0" customWidth="1"/>
    <col min="13" max="13" width="0.9921875" style="0" customWidth="1"/>
    <col min="14" max="14" width="14.00390625" style="0" customWidth="1"/>
    <col min="15" max="15" width="0.9921875" style="0" customWidth="1"/>
    <col min="16" max="16" width="12.57421875" style="0" customWidth="1"/>
    <col min="17" max="17" width="0.9921875" style="0" customWidth="1"/>
    <col min="18" max="18" width="16.7109375" style="0" customWidth="1"/>
    <col min="19" max="19" width="0.9921875" style="0" customWidth="1"/>
    <col min="20" max="20" width="16.7109375" style="0" customWidth="1"/>
    <col min="21" max="21" width="1.57421875" style="0" customWidth="1"/>
    <col min="22" max="22" width="14.00390625" style="0" customWidth="1"/>
    <col min="23" max="23" width="2.00390625" style="0" customWidth="1"/>
    <col min="24" max="16384" width="9.140625" style="0" customWidth="1"/>
  </cols>
  <sheetData>
    <row r="1" spans="1:24" ht="24.75">
      <c r="A1" s="482"/>
      <c r="B1" s="483"/>
      <c r="C1" s="483"/>
      <c r="D1" s="484"/>
      <c r="E1" s="176"/>
      <c r="F1" s="176"/>
      <c r="G1" s="485"/>
      <c r="H1" s="485"/>
      <c r="I1" s="485"/>
      <c r="J1" s="983" t="s">
        <v>471</v>
      </c>
      <c r="K1" s="984"/>
      <c r="L1" s="985"/>
      <c r="M1" s="176"/>
      <c r="N1" s="176"/>
      <c r="O1" s="176"/>
      <c r="P1" s="176"/>
      <c r="Q1" s="176"/>
      <c r="R1" s="176"/>
      <c r="T1" s="176"/>
      <c r="U1" s="176"/>
      <c r="X1" s="176"/>
    </row>
    <row r="2" spans="1:24" ht="9.75" customHeight="1">
      <c r="A2" s="173"/>
      <c r="B2" s="173"/>
      <c r="C2" s="173"/>
      <c r="D2" s="173"/>
      <c r="E2" s="173"/>
      <c r="F2" s="173"/>
      <c r="G2" s="173"/>
      <c r="H2" s="173"/>
      <c r="I2" s="173"/>
      <c r="J2" s="173"/>
      <c r="K2" s="173"/>
      <c r="L2" s="176"/>
      <c r="M2" s="173"/>
      <c r="N2" s="173"/>
      <c r="O2" s="173"/>
      <c r="P2" s="173"/>
      <c r="Q2" s="173"/>
      <c r="R2" s="173"/>
      <c r="S2" s="173"/>
      <c r="T2" s="173"/>
      <c r="U2" s="173"/>
      <c r="V2" s="173"/>
      <c r="W2" s="173"/>
      <c r="X2" s="176"/>
    </row>
    <row r="3" spans="1:24" ht="20.25">
      <c r="A3" s="177"/>
      <c r="B3" s="173"/>
      <c r="C3" s="176"/>
      <c r="D3" s="176"/>
      <c r="E3" s="173"/>
      <c r="F3" s="176"/>
      <c r="G3" s="173"/>
      <c r="H3" s="176"/>
      <c r="I3" s="178"/>
      <c r="J3" s="346" t="s">
        <v>400</v>
      </c>
      <c r="K3" s="178"/>
      <c r="L3" s="176"/>
      <c r="M3" s="176"/>
      <c r="N3" s="176"/>
      <c r="O3" s="176"/>
      <c r="P3" s="176"/>
      <c r="Q3" s="176"/>
      <c r="R3" s="176"/>
      <c r="S3" s="176"/>
      <c r="T3" s="176"/>
      <c r="U3" s="176"/>
      <c r="V3" s="176"/>
      <c r="W3" s="173"/>
      <c r="X3" s="176"/>
    </row>
    <row r="4" spans="1:24" ht="7.5" customHeight="1">
      <c r="A4" s="177"/>
      <c r="B4" s="173"/>
      <c r="C4" s="486"/>
      <c r="D4" s="176"/>
      <c r="E4" s="173"/>
      <c r="F4" s="176"/>
      <c r="G4" s="173"/>
      <c r="H4" s="176"/>
      <c r="I4" s="178"/>
      <c r="J4" s="178"/>
      <c r="K4" s="178"/>
      <c r="L4" s="176"/>
      <c r="M4" s="176"/>
      <c r="N4" s="176"/>
      <c r="O4" s="176"/>
      <c r="P4" s="176"/>
      <c r="Q4" s="176"/>
      <c r="R4" s="176"/>
      <c r="S4" s="176"/>
      <c r="T4" s="176"/>
      <c r="U4" s="176"/>
      <c r="V4" s="176"/>
      <c r="W4" s="173"/>
      <c r="X4" s="176"/>
    </row>
    <row r="5" spans="1:24" ht="6" customHeight="1">
      <c r="A5" s="177"/>
      <c r="B5" s="173"/>
      <c r="C5" s="179"/>
      <c r="D5" s="347"/>
      <c r="E5" s="173"/>
      <c r="F5" s="176"/>
      <c r="G5" s="176"/>
      <c r="H5" s="176"/>
      <c r="I5" s="178"/>
      <c r="J5" s="178"/>
      <c r="K5" s="178"/>
      <c r="L5" s="176"/>
      <c r="M5" s="176"/>
      <c r="N5" s="176"/>
      <c r="O5" s="176"/>
      <c r="P5" s="176"/>
      <c r="Q5" s="176"/>
      <c r="R5" s="176"/>
      <c r="S5" s="176"/>
      <c r="T5" s="176"/>
      <c r="U5" s="176"/>
      <c r="V5" s="176"/>
      <c r="W5" s="173"/>
      <c r="X5" s="176"/>
    </row>
    <row r="6" spans="1:24" ht="3.75" customHeight="1">
      <c r="A6" s="177"/>
      <c r="B6" s="173"/>
      <c r="C6" s="179"/>
      <c r="D6" s="347"/>
      <c r="E6" s="173"/>
      <c r="F6" s="176"/>
      <c r="G6" s="176"/>
      <c r="H6" s="176"/>
      <c r="I6" s="178"/>
      <c r="J6" s="178"/>
      <c r="K6" s="178"/>
      <c r="L6" s="176"/>
      <c r="M6" s="176"/>
      <c r="N6" s="176"/>
      <c r="O6" s="176"/>
      <c r="P6" s="176"/>
      <c r="Q6" s="176"/>
      <c r="R6" s="176"/>
      <c r="S6" s="176"/>
      <c r="T6" s="176"/>
      <c r="U6" s="176"/>
      <c r="V6" s="176"/>
      <c r="W6" s="173"/>
      <c r="X6" s="176"/>
    </row>
    <row r="7" spans="1:24" ht="16.5" customHeight="1">
      <c r="A7" s="177"/>
      <c r="B7" s="351" t="s">
        <v>458</v>
      </c>
      <c r="C7" s="176"/>
      <c r="D7" s="986"/>
      <c r="E7" s="987"/>
      <c r="F7" s="987"/>
      <c r="G7" s="987"/>
      <c r="H7" s="230" t="s">
        <v>288</v>
      </c>
      <c r="I7" s="173"/>
      <c r="J7" s="487"/>
      <c r="K7" s="176"/>
      <c r="L7" s="176"/>
      <c r="M7" s="176"/>
      <c r="N7" s="348" t="s">
        <v>289</v>
      </c>
      <c r="O7" s="176"/>
      <c r="P7" s="349"/>
      <c r="Q7" s="176"/>
      <c r="R7" s="264" t="s">
        <v>290</v>
      </c>
      <c r="S7" s="176"/>
      <c r="T7" s="349"/>
      <c r="U7" s="176"/>
      <c r="V7" s="176"/>
      <c r="W7" s="173"/>
      <c r="X7" s="176"/>
    </row>
    <row r="8" spans="1:24" ht="12" customHeight="1">
      <c r="A8" s="177"/>
      <c r="B8" s="179"/>
      <c r="C8" s="176"/>
      <c r="D8" s="173"/>
      <c r="E8" s="350" t="s">
        <v>291</v>
      </c>
      <c r="F8" s="173"/>
      <c r="G8" s="177"/>
      <c r="H8" s="351" t="s">
        <v>292</v>
      </c>
      <c r="I8" s="173"/>
      <c r="J8" s="352" t="s">
        <v>293</v>
      </c>
      <c r="K8" s="176"/>
      <c r="L8" s="176"/>
      <c r="M8" s="176"/>
      <c r="N8" s="353" t="s">
        <v>294</v>
      </c>
      <c r="O8" s="354"/>
      <c r="P8" s="354" t="s">
        <v>295</v>
      </c>
      <c r="Q8" s="176"/>
      <c r="R8" s="355" t="s">
        <v>296</v>
      </c>
      <c r="S8" s="176"/>
      <c r="T8" s="354" t="s">
        <v>297</v>
      </c>
      <c r="U8" s="176"/>
      <c r="V8" s="176"/>
      <c r="W8" s="173"/>
      <c r="X8" s="176"/>
    </row>
    <row r="9" spans="1:24" ht="9" customHeight="1" thickBot="1">
      <c r="A9" s="180"/>
      <c r="B9" s="180"/>
      <c r="C9" s="180"/>
      <c r="D9" s="180"/>
      <c r="E9" s="180"/>
      <c r="F9" s="180"/>
      <c r="G9" s="180"/>
      <c r="H9" s="180"/>
      <c r="I9" s="180"/>
      <c r="J9" s="180"/>
      <c r="K9" s="180"/>
      <c r="L9" s="356"/>
      <c r="M9" s="180"/>
      <c r="N9" s="180"/>
      <c r="O9" s="180"/>
      <c r="P9" s="180"/>
      <c r="Q9" s="180"/>
      <c r="R9" s="180"/>
      <c r="S9" s="180"/>
      <c r="T9" s="180"/>
      <c r="U9" s="180"/>
      <c r="X9" s="176"/>
    </row>
    <row r="10" spans="1:24" ht="4.5" customHeight="1" thickTop="1">
      <c r="A10" s="6"/>
      <c r="B10" s="7"/>
      <c r="C10" s="7"/>
      <c r="D10" s="7"/>
      <c r="E10" s="7"/>
      <c r="F10" s="7"/>
      <c r="G10" s="7"/>
      <c r="H10" s="7"/>
      <c r="I10" s="7"/>
      <c r="J10" s="7"/>
      <c r="K10" s="7"/>
      <c r="L10" s="7"/>
      <c r="M10" s="7"/>
      <c r="N10" s="7"/>
      <c r="O10" s="7"/>
      <c r="P10" s="7"/>
      <c r="Q10" s="7"/>
      <c r="R10" s="7"/>
      <c r="S10" s="7"/>
      <c r="T10" s="7"/>
      <c r="U10" s="12"/>
      <c r="X10" s="176"/>
    </row>
    <row r="11" spans="1:24" ht="14.25" customHeight="1">
      <c r="A11" s="131" t="s">
        <v>298</v>
      </c>
      <c r="B11" s="7"/>
      <c r="C11" s="7"/>
      <c r="D11" s="7"/>
      <c r="E11" s="7"/>
      <c r="F11" s="7"/>
      <c r="G11" s="7"/>
      <c r="H11" s="7"/>
      <c r="I11" s="7"/>
      <c r="J11" s="7"/>
      <c r="K11" s="7"/>
      <c r="L11" s="7"/>
      <c r="M11" s="7"/>
      <c r="N11" s="7"/>
      <c r="O11" s="7"/>
      <c r="P11" s="7"/>
      <c r="Q11" s="7"/>
      <c r="R11" s="7"/>
      <c r="S11" s="7"/>
      <c r="T11" s="7"/>
      <c r="U11" s="12"/>
      <c r="X11" s="176"/>
    </row>
    <row r="12" spans="1:24" ht="4.5" customHeight="1">
      <c r="A12" s="18"/>
      <c r="B12" s="19"/>
      <c r="C12" s="19"/>
      <c r="D12" s="19"/>
      <c r="E12" s="19"/>
      <c r="F12" s="19"/>
      <c r="G12" s="19"/>
      <c r="H12" s="19"/>
      <c r="I12" s="19"/>
      <c r="J12" s="19"/>
      <c r="K12" s="19"/>
      <c r="L12" s="19"/>
      <c r="M12" s="19"/>
      <c r="N12" s="19"/>
      <c r="O12" s="19"/>
      <c r="P12" s="19"/>
      <c r="Q12" s="19"/>
      <c r="R12" s="19"/>
      <c r="S12" s="19"/>
      <c r="T12" s="19"/>
      <c r="U12" s="27"/>
      <c r="X12" s="176"/>
    </row>
    <row r="13" spans="1:24" ht="12.75" customHeight="1">
      <c r="A13" s="76"/>
      <c r="B13" s="357"/>
      <c r="C13" s="7"/>
      <c r="D13" s="7"/>
      <c r="E13" s="59"/>
      <c r="F13" s="60" t="s">
        <v>110</v>
      </c>
      <c r="G13" s="59"/>
      <c r="H13" s="66" t="s">
        <v>299</v>
      </c>
      <c r="I13" s="19"/>
      <c r="J13" s="19"/>
      <c r="K13" s="19"/>
      <c r="L13" s="67"/>
      <c r="M13" s="63"/>
      <c r="N13" s="60" t="s">
        <v>300</v>
      </c>
      <c r="O13" s="59" t="s">
        <v>74</v>
      </c>
      <c r="P13" s="125" t="s">
        <v>301</v>
      </c>
      <c r="Q13" s="59"/>
      <c r="R13" s="66" t="s">
        <v>302</v>
      </c>
      <c r="S13" s="66"/>
      <c r="T13" s="358"/>
      <c r="U13" s="27"/>
      <c r="X13" s="176"/>
    </row>
    <row r="14" spans="1:27" ht="15.75" customHeight="1">
      <c r="A14" s="47"/>
      <c r="B14" s="124" t="s">
        <v>303</v>
      </c>
      <c r="C14" s="7"/>
      <c r="D14" s="7"/>
      <c r="E14" s="59"/>
      <c r="F14" s="60" t="s">
        <v>304</v>
      </c>
      <c r="G14" s="59"/>
      <c r="H14" s="16" t="s">
        <v>109</v>
      </c>
      <c r="I14" s="59"/>
      <c r="J14" s="40" t="s">
        <v>326</v>
      </c>
      <c r="K14" s="59"/>
      <c r="L14" s="60" t="s">
        <v>327</v>
      </c>
      <c r="M14" s="59"/>
      <c r="N14" s="44" t="s">
        <v>305</v>
      </c>
      <c r="O14" s="59"/>
      <c r="P14" s="7" t="s">
        <v>306</v>
      </c>
      <c r="Q14" s="59"/>
      <c r="R14" s="41" t="s">
        <v>307</v>
      </c>
      <c r="S14" s="61"/>
      <c r="T14" s="41" t="s">
        <v>331</v>
      </c>
      <c r="U14" s="12"/>
      <c r="X14" s="176"/>
      <c r="AA14" s="359"/>
    </row>
    <row r="15" spans="1:27" ht="12.75" customHeight="1">
      <c r="A15" s="76"/>
      <c r="B15" s="360"/>
      <c r="C15" s="7"/>
      <c r="D15" s="7"/>
      <c r="E15" s="59"/>
      <c r="F15" s="14" t="s">
        <v>308</v>
      </c>
      <c r="G15" s="59"/>
      <c r="H15" s="361" t="s">
        <v>309</v>
      </c>
      <c r="I15" s="59"/>
      <c r="J15" s="361" t="s">
        <v>309</v>
      </c>
      <c r="K15" s="59"/>
      <c r="L15" s="361" t="s">
        <v>309</v>
      </c>
      <c r="M15" s="59"/>
      <c r="N15" s="33" t="s">
        <v>388</v>
      </c>
      <c r="O15" s="59"/>
      <c r="P15" s="362"/>
      <c r="Q15" s="59"/>
      <c r="R15" s="362"/>
      <c r="S15" s="363"/>
      <c r="T15" s="362"/>
      <c r="U15" s="12"/>
      <c r="X15" s="176"/>
      <c r="AA15" s="359"/>
    </row>
    <row r="16" spans="1:27" ht="12.75" customHeight="1">
      <c r="A16" s="364"/>
      <c r="B16" s="365">
        <v>5</v>
      </c>
      <c r="C16" s="19"/>
      <c r="D16" s="19"/>
      <c r="E16" s="63"/>
      <c r="F16" s="71">
        <v>6</v>
      </c>
      <c r="G16" s="72">
        <v>1</v>
      </c>
      <c r="H16" s="71">
        <v>7</v>
      </c>
      <c r="I16" s="63"/>
      <c r="J16" s="71">
        <v>8</v>
      </c>
      <c r="K16" s="63"/>
      <c r="L16" s="415" t="s">
        <v>328</v>
      </c>
      <c r="M16" s="111"/>
      <c r="N16" s="71">
        <v>10</v>
      </c>
      <c r="O16" s="111"/>
      <c r="P16" s="71">
        <v>11</v>
      </c>
      <c r="Q16" s="68"/>
      <c r="R16" s="105" t="s">
        <v>310</v>
      </c>
      <c r="S16" s="72"/>
      <c r="T16" s="105" t="s">
        <v>332</v>
      </c>
      <c r="U16" s="27"/>
      <c r="X16" s="176"/>
      <c r="AA16" s="359"/>
    </row>
    <row r="17" spans="1:27" ht="19.5" customHeight="1">
      <c r="A17" s="366">
        <v>1</v>
      </c>
      <c r="B17" s="260"/>
      <c r="C17" s="260"/>
      <c r="D17" s="623"/>
      <c r="E17" s="284"/>
      <c r="F17" s="132"/>
      <c r="G17" s="284"/>
      <c r="H17" s="424"/>
      <c r="I17" s="296"/>
      <c r="J17" s="522"/>
      <c r="K17" s="296"/>
      <c r="L17" s="416">
        <f aca="true" t="shared" si="0" ref="L17:L26">H17-J17</f>
        <v>0</v>
      </c>
      <c r="M17" s="111"/>
      <c r="N17" s="367"/>
      <c r="O17" s="111"/>
      <c r="P17" s="368"/>
      <c r="Q17" s="68"/>
      <c r="R17" s="488">
        <f aca="true" t="shared" si="1" ref="R17:R26">(H17*$T$7)*(N17-P17)</f>
        <v>0</v>
      </c>
      <c r="S17" s="489"/>
      <c r="T17" s="488">
        <f aca="true" t="shared" si="2" ref="T17:T26">(L17*$T$7)*(N17-P17)</f>
        <v>0</v>
      </c>
      <c r="U17" s="27"/>
      <c r="X17" s="176"/>
      <c r="AA17" s="359"/>
    </row>
    <row r="18" spans="1:24" ht="19.5" customHeight="1">
      <c r="A18" s="366">
        <v>2</v>
      </c>
      <c r="B18" s="260"/>
      <c r="C18" s="260"/>
      <c r="D18" s="623"/>
      <c r="E18" s="284"/>
      <c r="F18" s="132"/>
      <c r="G18" s="284"/>
      <c r="H18" s="424"/>
      <c r="I18" s="296"/>
      <c r="J18" s="522"/>
      <c r="K18" s="296"/>
      <c r="L18" s="416">
        <f t="shared" si="0"/>
        <v>0</v>
      </c>
      <c r="M18" s="111"/>
      <c r="N18" s="367"/>
      <c r="O18" s="111"/>
      <c r="P18" s="368"/>
      <c r="Q18" s="68"/>
      <c r="R18" s="488">
        <f t="shared" si="1"/>
        <v>0</v>
      </c>
      <c r="S18" s="489"/>
      <c r="T18" s="488">
        <f t="shared" si="2"/>
        <v>0</v>
      </c>
      <c r="U18" s="107"/>
      <c r="X18" s="176"/>
    </row>
    <row r="19" spans="1:24" ht="19.5" customHeight="1">
      <c r="A19" s="366">
        <v>3</v>
      </c>
      <c r="B19" s="260"/>
      <c r="C19" s="260"/>
      <c r="D19" s="623"/>
      <c r="E19" s="284"/>
      <c r="F19" s="132"/>
      <c r="G19" s="284"/>
      <c r="H19" s="424"/>
      <c r="I19" s="296"/>
      <c r="J19" s="522"/>
      <c r="K19" s="296"/>
      <c r="L19" s="416">
        <f t="shared" si="0"/>
        <v>0</v>
      </c>
      <c r="M19" s="111"/>
      <c r="N19" s="367"/>
      <c r="O19" s="111"/>
      <c r="P19" s="368"/>
      <c r="Q19" s="68"/>
      <c r="R19" s="488">
        <f t="shared" si="1"/>
        <v>0</v>
      </c>
      <c r="S19" s="489"/>
      <c r="T19" s="488">
        <f t="shared" si="2"/>
        <v>0</v>
      </c>
      <c r="U19" s="107"/>
      <c r="X19" s="176"/>
    </row>
    <row r="20" spans="1:24" ht="19.5" customHeight="1">
      <c r="A20" s="366">
        <v>4</v>
      </c>
      <c r="B20" s="260"/>
      <c r="C20" s="260"/>
      <c r="D20" s="623"/>
      <c r="E20" s="284"/>
      <c r="F20" s="132"/>
      <c r="G20" s="284"/>
      <c r="H20" s="424"/>
      <c r="I20" s="296"/>
      <c r="J20" s="522"/>
      <c r="K20" s="296"/>
      <c r="L20" s="416">
        <f t="shared" si="0"/>
        <v>0</v>
      </c>
      <c r="M20" s="111"/>
      <c r="N20" s="367"/>
      <c r="O20" s="111"/>
      <c r="P20" s="368"/>
      <c r="Q20" s="68"/>
      <c r="R20" s="488">
        <f t="shared" si="1"/>
        <v>0</v>
      </c>
      <c r="S20" s="489"/>
      <c r="T20" s="488">
        <f t="shared" si="2"/>
        <v>0</v>
      </c>
      <c r="U20" s="107"/>
      <c r="X20" s="176"/>
    </row>
    <row r="21" spans="1:24" ht="19.5" customHeight="1">
      <c r="A21" s="366">
        <v>5</v>
      </c>
      <c r="B21" s="260"/>
      <c r="C21" s="260"/>
      <c r="D21" s="623"/>
      <c r="E21" s="284"/>
      <c r="F21" s="132"/>
      <c r="G21" s="284"/>
      <c r="H21" s="424"/>
      <c r="I21" s="296"/>
      <c r="J21" s="522"/>
      <c r="K21" s="296"/>
      <c r="L21" s="416">
        <f t="shared" si="0"/>
        <v>0</v>
      </c>
      <c r="M21" s="111"/>
      <c r="N21" s="367"/>
      <c r="O21" s="111"/>
      <c r="P21" s="368"/>
      <c r="Q21" s="68"/>
      <c r="R21" s="488">
        <f t="shared" si="1"/>
        <v>0</v>
      </c>
      <c r="S21" s="489"/>
      <c r="T21" s="488">
        <f t="shared" si="2"/>
        <v>0</v>
      </c>
      <c r="U21" s="107"/>
      <c r="X21" s="176"/>
    </row>
    <row r="22" spans="1:24" ht="19.5" customHeight="1">
      <c r="A22" s="366">
        <v>6</v>
      </c>
      <c r="B22" s="260"/>
      <c r="C22" s="260"/>
      <c r="D22" s="623"/>
      <c r="E22" s="284"/>
      <c r="F22" s="132"/>
      <c r="G22" s="284"/>
      <c r="H22" s="424"/>
      <c r="I22" s="296"/>
      <c r="J22" s="522"/>
      <c r="K22" s="296"/>
      <c r="L22" s="416">
        <f t="shared" si="0"/>
        <v>0</v>
      </c>
      <c r="M22" s="111"/>
      <c r="N22" s="367"/>
      <c r="O22" s="111"/>
      <c r="P22" s="368"/>
      <c r="Q22" s="68"/>
      <c r="R22" s="488">
        <f t="shared" si="1"/>
        <v>0</v>
      </c>
      <c r="S22" s="489"/>
      <c r="T22" s="488">
        <f t="shared" si="2"/>
        <v>0</v>
      </c>
      <c r="U22" s="107"/>
      <c r="X22" s="176"/>
    </row>
    <row r="23" spans="1:24" ht="19.5" customHeight="1">
      <c r="A23" s="366">
        <v>7</v>
      </c>
      <c r="B23" s="260"/>
      <c r="C23" s="260"/>
      <c r="D23" s="623"/>
      <c r="E23" s="284"/>
      <c r="F23" s="132"/>
      <c r="G23" s="284"/>
      <c r="H23" s="424"/>
      <c r="I23" s="296"/>
      <c r="J23" s="522"/>
      <c r="K23" s="296"/>
      <c r="L23" s="416">
        <f t="shared" si="0"/>
        <v>0</v>
      </c>
      <c r="M23" s="111"/>
      <c r="N23" s="367"/>
      <c r="O23" s="111"/>
      <c r="P23" s="368"/>
      <c r="Q23" s="68"/>
      <c r="R23" s="488">
        <f t="shared" si="1"/>
        <v>0</v>
      </c>
      <c r="S23" s="489"/>
      <c r="T23" s="488">
        <f t="shared" si="2"/>
        <v>0</v>
      </c>
      <c r="U23" s="107"/>
      <c r="X23" s="176"/>
    </row>
    <row r="24" spans="1:24" ht="19.5" customHeight="1">
      <c r="A24" s="366">
        <v>8</v>
      </c>
      <c r="B24" s="260"/>
      <c r="C24" s="260"/>
      <c r="D24" s="623"/>
      <c r="E24" s="284"/>
      <c r="F24" s="132"/>
      <c r="G24" s="284"/>
      <c r="H24" s="424"/>
      <c r="I24" s="296"/>
      <c r="J24" s="522"/>
      <c r="K24" s="296"/>
      <c r="L24" s="416">
        <f t="shared" si="0"/>
        <v>0</v>
      </c>
      <c r="M24" s="111"/>
      <c r="N24" s="367"/>
      <c r="O24" s="111"/>
      <c r="P24" s="368"/>
      <c r="Q24" s="68"/>
      <c r="R24" s="488">
        <f t="shared" si="1"/>
        <v>0</v>
      </c>
      <c r="S24" s="489"/>
      <c r="T24" s="488">
        <f t="shared" si="2"/>
        <v>0</v>
      </c>
      <c r="U24" s="107"/>
      <c r="X24" s="176"/>
    </row>
    <row r="25" spans="1:24" ht="19.5" customHeight="1">
      <c r="A25" s="366">
        <v>9</v>
      </c>
      <c r="B25" s="260"/>
      <c r="C25" s="260"/>
      <c r="D25" s="623"/>
      <c r="E25" s="284"/>
      <c r="F25" s="132"/>
      <c r="G25" s="284"/>
      <c r="H25" s="424"/>
      <c r="I25" s="296"/>
      <c r="J25" s="522"/>
      <c r="K25" s="296"/>
      <c r="L25" s="416">
        <f t="shared" si="0"/>
        <v>0</v>
      </c>
      <c r="M25" s="111"/>
      <c r="N25" s="367"/>
      <c r="O25" s="111"/>
      <c r="P25" s="368"/>
      <c r="Q25" s="68"/>
      <c r="R25" s="488">
        <f t="shared" si="1"/>
        <v>0</v>
      </c>
      <c r="S25" s="489"/>
      <c r="T25" s="488">
        <f t="shared" si="2"/>
        <v>0</v>
      </c>
      <c r="U25" s="107"/>
      <c r="X25" s="176"/>
    </row>
    <row r="26" spans="1:24" ht="19.5" customHeight="1" thickBot="1">
      <c r="A26" s="366">
        <v>10</v>
      </c>
      <c r="B26" s="260"/>
      <c r="C26" s="260"/>
      <c r="D26" s="623"/>
      <c r="E26" s="284"/>
      <c r="F26" s="132"/>
      <c r="G26" s="284"/>
      <c r="H26" s="424"/>
      <c r="I26" s="296"/>
      <c r="J26" s="522"/>
      <c r="K26" s="296"/>
      <c r="L26" s="416">
        <f t="shared" si="0"/>
        <v>0</v>
      </c>
      <c r="M26" s="111"/>
      <c r="N26" s="367"/>
      <c r="O26" s="111"/>
      <c r="P26" s="368"/>
      <c r="Q26" s="68"/>
      <c r="R26" s="488">
        <f t="shared" si="1"/>
        <v>0</v>
      </c>
      <c r="S26" s="489"/>
      <c r="T26" s="488">
        <f t="shared" si="2"/>
        <v>0</v>
      </c>
      <c r="U26" s="107"/>
      <c r="X26" s="176"/>
    </row>
    <row r="27" spans="1:27" ht="16.5" customHeight="1">
      <c r="A27" s="369"/>
      <c r="B27" s="15"/>
      <c r="C27" s="7"/>
      <c r="D27" s="7" t="s">
        <v>311</v>
      </c>
      <c r="E27" s="59"/>
      <c r="F27" s="370"/>
      <c r="G27" s="370"/>
      <c r="H27" s="371"/>
      <c r="I27" s="370"/>
      <c r="J27" s="372"/>
      <c r="K27" s="370"/>
      <c r="L27" s="373"/>
      <c r="M27" s="370"/>
      <c r="N27" s="370"/>
      <c r="O27" s="370"/>
      <c r="P27" s="2"/>
      <c r="Q27" s="374"/>
      <c r="R27" s="490">
        <f>SUM(R17:R26)</f>
        <v>0</v>
      </c>
      <c r="S27" s="491"/>
      <c r="T27" s="492">
        <f>SUM(T17:T26)</f>
        <v>0</v>
      </c>
      <c r="U27" s="419"/>
      <c r="X27" s="176"/>
      <c r="AA27" s="359"/>
    </row>
    <row r="28" spans="1:27" ht="2.25" customHeight="1" thickBot="1">
      <c r="A28" s="375"/>
      <c r="B28" s="46"/>
      <c r="C28" s="46"/>
      <c r="D28" s="46"/>
      <c r="E28" s="376"/>
      <c r="F28" s="239"/>
      <c r="G28" s="239"/>
      <c r="H28" s="239"/>
      <c r="I28" s="239"/>
      <c r="J28" s="239"/>
      <c r="K28" s="239"/>
      <c r="L28" s="239"/>
      <c r="M28" s="239"/>
      <c r="N28" s="239"/>
      <c r="O28" s="239"/>
      <c r="P28" s="239"/>
      <c r="Q28" s="377"/>
      <c r="R28" s="378"/>
      <c r="S28" s="376"/>
      <c r="T28" s="420"/>
      <c r="U28" s="493"/>
      <c r="X28" s="176"/>
      <c r="AA28" s="359"/>
    </row>
    <row r="29" spans="1:27" ht="6.75" customHeight="1" thickTop="1">
      <c r="A29" s="17"/>
      <c r="B29" s="7"/>
      <c r="C29" s="7"/>
      <c r="D29" s="7"/>
      <c r="E29" s="7"/>
      <c r="F29" s="7"/>
      <c r="G29" s="7"/>
      <c r="H29" s="7"/>
      <c r="I29" s="7"/>
      <c r="J29" s="7"/>
      <c r="K29" s="7"/>
      <c r="L29" s="7"/>
      <c r="M29" s="7"/>
      <c r="N29" s="7"/>
      <c r="O29" s="7"/>
      <c r="P29" s="7"/>
      <c r="Q29" s="7"/>
      <c r="R29" s="7"/>
      <c r="S29" s="7"/>
      <c r="T29" s="7"/>
      <c r="U29" s="12"/>
      <c r="X29" s="176"/>
      <c r="AA29" s="359"/>
    </row>
    <row r="30" spans="1:27" ht="15" customHeight="1">
      <c r="A30" s="76" t="s">
        <v>312</v>
      </c>
      <c r="B30" s="7"/>
      <c r="C30" s="7"/>
      <c r="D30" s="7"/>
      <c r="E30" s="7"/>
      <c r="F30" s="7"/>
      <c r="G30" s="7"/>
      <c r="H30" s="7"/>
      <c r="I30" s="7"/>
      <c r="J30" s="7"/>
      <c r="K30" s="7"/>
      <c r="L30" s="7"/>
      <c r="M30" s="7"/>
      <c r="N30" s="7"/>
      <c r="O30" s="7"/>
      <c r="P30" s="7"/>
      <c r="Q30" s="7"/>
      <c r="R30" s="7"/>
      <c r="S30" s="7"/>
      <c r="T30" s="7"/>
      <c r="U30" s="12"/>
      <c r="X30" s="176"/>
      <c r="AA30" s="359"/>
    </row>
    <row r="31" spans="1:27" ht="3" customHeight="1">
      <c r="A31" s="25"/>
      <c r="B31" s="19"/>
      <c r="C31" s="19"/>
      <c r="D31" s="19"/>
      <c r="E31" s="19"/>
      <c r="F31" s="19"/>
      <c r="G31" s="19"/>
      <c r="H31" s="19"/>
      <c r="I31" s="19"/>
      <c r="J31" s="19"/>
      <c r="K31" s="19"/>
      <c r="L31" s="19"/>
      <c r="M31" s="19"/>
      <c r="N31" s="19"/>
      <c r="O31" s="19"/>
      <c r="P31" s="19"/>
      <c r="Q31" s="19"/>
      <c r="R31" s="19"/>
      <c r="S31" s="19"/>
      <c r="T31" s="19"/>
      <c r="U31" s="27"/>
      <c r="X31" s="176"/>
      <c r="AA31" s="359"/>
    </row>
    <row r="32" spans="1:24" ht="12.75" customHeight="1">
      <c r="A32" s="76"/>
      <c r="B32" s="357"/>
      <c r="C32" s="7"/>
      <c r="D32" s="7"/>
      <c r="E32" s="59"/>
      <c r="F32" s="60" t="s">
        <v>110</v>
      </c>
      <c r="G32" s="59"/>
      <c r="H32" s="66" t="s">
        <v>389</v>
      </c>
      <c r="I32" s="19"/>
      <c r="J32" s="19"/>
      <c r="K32" s="19"/>
      <c r="L32" s="67"/>
      <c r="M32" s="63"/>
      <c r="N32" s="98" t="s">
        <v>313</v>
      </c>
      <c r="O32" s="133"/>
      <c r="P32" s="15" t="s">
        <v>301</v>
      </c>
      <c r="Q32" s="59"/>
      <c r="R32" s="67" t="s">
        <v>314</v>
      </c>
      <c r="S32" s="67"/>
      <c r="T32" s="19"/>
      <c r="U32" s="27"/>
      <c r="X32" s="176"/>
    </row>
    <row r="33" spans="1:24" ht="14.25" customHeight="1">
      <c r="A33" s="47"/>
      <c r="B33" s="124" t="s">
        <v>315</v>
      </c>
      <c r="C33" s="7"/>
      <c r="D33" s="7"/>
      <c r="E33" s="59"/>
      <c r="F33" s="60" t="s">
        <v>316</v>
      </c>
      <c r="G33" s="59"/>
      <c r="H33" s="16" t="s">
        <v>109</v>
      </c>
      <c r="I33" s="59"/>
      <c r="J33" s="417" t="s">
        <v>329</v>
      </c>
      <c r="K33" s="59"/>
      <c r="L33" s="60" t="s">
        <v>317</v>
      </c>
      <c r="M33" s="59"/>
      <c r="N33" s="44" t="s">
        <v>305</v>
      </c>
      <c r="O33" s="379"/>
      <c r="P33" s="7" t="s">
        <v>306</v>
      </c>
      <c r="Q33" s="59"/>
      <c r="R33" s="41" t="s">
        <v>307</v>
      </c>
      <c r="S33" s="61"/>
      <c r="T33" s="41" t="s">
        <v>331</v>
      </c>
      <c r="U33" s="12"/>
      <c r="X33" s="176"/>
    </row>
    <row r="34" spans="1:24" ht="14.25" customHeight="1">
      <c r="A34" s="76"/>
      <c r="B34" s="360"/>
      <c r="C34" s="7"/>
      <c r="D34" s="7"/>
      <c r="E34" s="59"/>
      <c r="F34" s="60" t="s">
        <v>317</v>
      </c>
      <c r="G34" s="59"/>
      <c r="H34" s="361" t="s">
        <v>318</v>
      </c>
      <c r="I34" s="59"/>
      <c r="J34" s="361" t="s">
        <v>318</v>
      </c>
      <c r="K34" s="59"/>
      <c r="L34" s="361" t="s">
        <v>318</v>
      </c>
      <c r="M34" s="59"/>
      <c r="N34" s="494" t="s">
        <v>390</v>
      </c>
      <c r="O34" s="363"/>
      <c r="P34" s="362"/>
      <c r="Q34" s="59"/>
      <c r="R34" s="362"/>
      <c r="S34" s="363"/>
      <c r="T34" s="362"/>
      <c r="U34" s="12"/>
      <c r="X34" s="176"/>
    </row>
    <row r="35" spans="1:24" ht="12" customHeight="1">
      <c r="A35" s="364"/>
      <c r="B35" s="365">
        <v>14</v>
      </c>
      <c r="C35" s="19"/>
      <c r="D35" s="19"/>
      <c r="E35" s="63"/>
      <c r="F35" s="71">
        <v>15</v>
      </c>
      <c r="G35" s="72"/>
      <c r="H35" s="71">
        <v>16</v>
      </c>
      <c r="I35" s="63"/>
      <c r="J35" s="71">
        <v>17</v>
      </c>
      <c r="K35" s="63"/>
      <c r="L35" s="415" t="s">
        <v>330</v>
      </c>
      <c r="M35" s="111"/>
      <c r="N35" s="105">
        <v>19</v>
      </c>
      <c r="O35" s="72"/>
      <c r="P35" s="105">
        <v>20</v>
      </c>
      <c r="Q35" s="380"/>
      <c r="R35" s="105" t="s">
        <v>319</v>
      </c>
      <c r="S35" s="72"/>
      <c r="T35" s="105" t="s">
        <v>333</v>
      </c>
      <c r="U35" s="27"/>
      <c r="X35" s="176"/>
    </row>
    <row r="36" spans="1:24" ht="4.5" customHeight="1">
      <c r="A36" s="6"/>
      <c r="B36" s="7"/>
      <c r="C36" s="7"/>
      <c r="D36" s="7"/>
      <c r="E36" s="59"/>
      <c r="F36" s="7"/>
      <c r="G36" s="59"/>
      <c r="H36" s="7"/>
      <c r="I36" s="59"/>
      <c r="J36" s="7"/>
      <c r="K36" s="59"/>
      <c r="L36" s="7"/>
      <c r="M36" s="59"/>
      <c r="N36" s="381"/>
      <c r="O36" s="59"/>
      <c r="P36" s="7"/>
      <c r="Q36" s="59"/>
      <c r="R36" s="7"/>
      <c r="S36" s="59"/>
      <c r="T36" s="7"/>
      <c r="U36" s="12"/>
      <c r="X36" s="176"/>
    </row>
    <row r="37" spans="1:24" ht="12.75">
      <c r="A37" s="6"/>
      <c r="B37" s="15" t="s">
        <v>320</v>
      </c>
      <c r="C37" s="7"/>
      <c r="D37" s="7"/>
      <c r="E37" s="59"/>
      <c r="F37" s="7"/>
      <c r="G37" s="59"/>
      <c r="H37" s="7"/>
      <c r="I37" s="59"/>
      <c r="J37" s="7"/>
      <c r="K37" s="59"/>
      <c r="L37" s="7"/>
      <c r="M37" s="59"/>
      <c r="N37" s="381"/>
      <c r="O37" s="59"/>
      <c r="P37" s="7"/>
      <c r="Q37" s="59"/>
      <c r="R37" s="7"/>
      <c r="S37" s="59"/>
      <c r="T37" s="7"/>
      <c r="U37" s="12"/>
      <c r="X37" s="176"/>
    </row>
    <row r="38" spans="1:24" ht="3.75" customHeight="1">
      <c r="A38" s="6"/>
      <c r="B38" s="7"/>
      <c r="C38" s="7"/>
      <c r="D38" s="7"/>
      <c r="E38" s="59"/>
      <c r="F38" s="33"/>
      <c r="G38" s="59"/>
      <c r="H38" s="382"/>
      <c r="I38" s="383"/>
      <c r="J38" s="384"/>
      <c r="K38" s="383"/>
      <c r="L38" s="406"/>
      <c r="M38" s="59"/>
      <c r="N38" s="381"/>
      <c r="O38" s="59"/>
      <c r="P38" s="384"/>
      <c r="Q38" s="383"/>
      <c r="R38" s="384"/>
      <c r="S38" s="383"/>
      <c r="T38" s="384"/>
      <c r="U38" s="12"/>
      <c r="X38" s="176"/>
    </row>
    <row r="39" spans="1:24" ht="19.5" customHeight="1">
      <c r="A39" s="18">
        <v>2</v>
      </c>
      <c r="B39" s="260"/>
      <c r="C39" s="260"/>
      <c r="D39" s="260"/>
      <c r="E39" s="284"/>
      <c r="F39" s="385"/>
      <c r="G39" s="284"/>
      <c r="H39" s="386"/>
      <c r="I39" s="495"/>
      <c r="J39" s="390"/>
      <c r="K39" s="387"/>
      <c r="L39" s="418">
        <f aca="true" t="shared" si="3" ref="L39:L57">H39-J39</f>
        <v>0</v>
      </c>
      <c r="M39" s="63"/>
      <c r="N39" s="388"/>
      <c r="O39" s="63"/>
      <c r="P39" s="388"/>
      <c r="Q39" s="387"/>
      <c r="R39" s="488">
        <f aca="true" t="shared" si="4" ref="R39:R46">(H39*$T$7)*(N39+P39)</f>
        <v>0</v>
      </c>
      <c r="S39" s="489"/>
      <c r="T39" s="488">
        <f aca="true" t="shared" si="5" ref="T39:T46">(L39*$T$7)*(N39+P39)</f>
        <v>0</v>
      </c>
      <c r="U39" s="27"/>
      <c r="X39" s="176"/>
    </row>
    <row r="40" spans="1:24" ht="19.5" customHeight="1">
      <c r="A40" s="18">
        <v>3</v>
      </c>
      <c r="B40" s="260"/>
      <c r="C40" s="260"/>
      <c r="D40" s="260"/>
      <c r="E40" s="284"/>
      <c r="F40" s="385"/>
      <c r="G40" s="284"/>
      <c r="H40" s="386"/>
      <c r="I40" s="495"/>
      <c r="J40" s="390"/>
      <c r="K40" s="387"/>
      <c r="L40" s="418">
        <f t="shared" si="3"/>
        <v>0</v>
      </c>
      <c r="M40" s="63"/>
      <c r="N40" s="388"/>
      <c r="O40" s="63"/>
      <c r="P40" s="388"/>
      <c r="Q40" s="387"/>
      <c r="R40" s="488">
        <f t="shared" si="4"/>
        <v>0</v>
      </c>
      <c r="S40" s="489"/>
      <c r="T40" s="488">
        <f t="shared" si="5"/>
        <v>0</v>
      </c>
      <c r="U40" s="27"/>
      <c r="X40" s="176"/>
    </row>
    <row r="41" spans="1:24" ht="19.5" customHeight="1">
      <c r="A41" s="18">
        <v>4</v>
      </c>
      <c r="B41" s="622"/>
      <c r="C41" s="260"/>
      <c r="D41" s="260"/>
      <c r="E41" s="284"/>
      <c r="F41" s="385"/>
      <c r="G41" s="284"/>
      <c r="H41" s="386"/>
      <c r="I41" s="495"/>
      <c r="J41" s="390"/>
      <c r="K41" s="387"/>
      <c r="L41" s="418">
        <f t="shared" si="3"/>
        <v>0</v>
      </c>
      <c r="M41" s="63"/>
      <c r="N41" s="388"/>
      <c r="O41" s="63"/>
      <c r="P41" s="388"/>
      <c r="Q41" s="387"/>
      <c r="R41" s="488">
        <f t="shared" si="4"/>
        <v>0</v>
      </c>
      <c r="S41" s="489"/>
      <c r="T41" s="488">
        <f t="shared" si="5"/>
        <v>0</v>
      </c>
      <c r="U41" s="27"/>
      <c r="X41" s="176"/>
    </row>
    <row r="42" spans="1:24" ht="19.5" customHeight="1">
      <c r="A42" s="18">
        <v>5</v>
      </c>
      <c r="B42" s="260"/>
      <c r="C42" s="260"/>
      <c r="D42" s="260"/>
      <c r="E42" s="284"/>
      <c r="F42" s="385"/>
      <c r="G42" s="284"/>
      <c r="H42" s="386"/>
      <c r="I42" s="495"/>
      <c r="J42" s="390"/>
      <c r="K42" s="387"/>
      <c r="L42" s="418">
        <f t="shared" si="3"/>
        <v>0</v>
      </c>
      <c r="M42" s="63"/>
      <c r="N42" s="401"/>
      <c r="O42" s="63"/>
      <c r="P42" s="388"/>
      <c r="Q42" s="387"/>
      <c r="R42" s="488">
        <f t="shared" si="4"/>
        <v>0</v>
      </c>
      <c r="S42" s="489"/>
      <c r="T42" s="488">
        <f t="shared" si="5"/>
        <v>0</v>
      </c>
      <c r="U42" s="27"/>
      <c r="X42" s="176"/>
    </row>
    <row r="43" spans="1:24" ht="19.5" customHeight="1">
      <c r="A43" s="18">
        <v>6</v>
      </c>
      <c r="B43" s="260"/>
      <c r="C43" s="260"/>
      <c r="D43" s="260"/>
      <c r="E43" s="284"/>
      <c r="F43" s="385"/>
      <c r="G43" s="284"/>
      <c r="H43" s="389"/>
      <c r="I43" s="495"/>
      <c r="J43" s="390"/>
      <c r="K43" s="387"/>
      <c r="L43" s="418">
        <f t="shared" si="3"/>
        <v>0</v>
      </c>
      <c r="M43" s="63"/>
      <c r="N43" s="388"/>
      <c r="O43" s="63"/>
      <c r="P43" s="390"/>
      <c r="Q43" s="387"/>
      <c r="R43" s="488">
        <f t="shared" si="4"/>
        <v>0</v>
      </c>
      <c r="S43" s="489"/>
      <c r="T43" s="488">
        <f t="shared" si="5"/>
        <v>0</v>
      </c>
      <c r="U43" s="27"/>
      <c r="X43" s="176"/>
    </row>
    <row r="44" spans="1:24" ht="19.5" customHeight="1">
      <c r="A44" s="18">
        <v>7</v>
      </c>
      <c r="B44" s="260"/>
      <c r="C44" s="260"/>
      <c r="D44" s="260"/>
      <c r="E44" s="284"/>
      <c r="F44" s="385"/>
      <c r="G44" s="284"/>
      <c r="H44" s="386"/>
      <c r="I44" s="495"/>
      <c r="J44" s="390"/>
      <c r="K44" s="387"/>
      <c r="L44" s="418">
        <f t="shared" si="3"/>
        <v>0</v>
      </c>
      <c r="M44" s="63"/>
      <c r="N44" s="388"/>
      <c r="O44" s="63"/>
      <c r="P44" s="388"/>
      <c r="Q44" s="387"/>
      <c r="R44" s="488">
        <f t="shared" si="4"/>
        <v>0</v>
      </c>
      <c r="S44" s="489"/>
      <c r="T44" s="488">
        <f t="shared" si="5"/>
        <v>0</v>
      </c>
      <c r="U44" s="27"/>
      <c r="X44" s="176"/>
    </row>
    <row r="45" spans="1:24" ht="19.5" customHeight="1">
      <c r="A45" s="18">
        <v>8</v>
      </c>
      <c r="B45" s="260"/>
      <c r="C45" s="260"/>
      <c r="D45" s="260"/>
      <c r="E45" s="284"/>
      <c r="F45" s="385"/>
      <c r="G45" s="284"/>
      <c r="H45" s="386"/>
      <c r="I45" s="495"/>
      <c r="J45" s="390"/>
      <c r="K45" s="387"/>
      <c r="L45" s="418">
        <f t="shared" si="3"/>
        <v>0</v>
      </c>
      <c r="M45" s="63"/>
      <c r="N45" s="388"/>
      <c r="O45" s="63"/>
      <c r="P45" s="388"/>
      <c r="Q45" s="387"/>
      <c r="R45" s="488">
        <f t="shared" si="4"/>
        <v>0</v>
      </c>
      <c r="S45" s="489"/>
      <c r="T45" s="488">
        <f t="shared" si="5"/>
        <v>0</v>
      </c>
      <c r="U45" s="27"/>
      <c r="X45" s="176"/>
    </row>
    <row r="46" spans="1:24" ht="19.5" customHeight="1">
      <c r="A46" s="18">
        <v>9</v>
      </c>
      <c r="B46" s="622"/>
      <c r="C46" s="260"/>
      <c r="D46" s="260"/>
      <c r="E46" s="284"/>
      <c r="F46" s="385"/>
      <c r="G46" s="284"/>
      <c r="H46" s="386"/>
      <c r="I46" s="495"/>
      <c r="J46" s="390"/>
      <c r="K46" s="387"/>
      <c r="L46" s="418">
        <f t="shared" si="3"/>
        <v>0</v>
      </c>
      <c r="M46" s="63"/>
      <c r="N46" s="388"/>
      <c r="O46" s="63"/>
      <c r="P46" s="388"/>
      <c r="Q46" s="387"/>
      <c r="R46" s="488">
        <f t="shared" si="4"/>
        <v>0</v>
      </c>
      <c r="S46" s="489"/>
      <c r="T46" s="488">
        <f t="shared" si="5"/>
        <v>0</v>
      </c>
      <c r="U46" s="27"/>
      <c r="X46" s="176"/>
    </row>
    <row r="47" spans="1:24" ht="19.5" customHeight="1">
      <c r="A47" s="18">
        <v>10</v>
      </c>
      <c r="B47" s="260"/>
      <c r="C47" s="260"/>
      <c r="D47" s="260"/>
      <c r="E47" s="284"/>
      <c r="F47" s="385"/>
      <c r="G47" s="284"/>
      <c r="H47" s="386"/>
      <c r="I47" s="495"/>
      <c r="J47" s="390"/>
      <c r="K47" s="387"/>
      <c r="L47" s="418">
        <f>H47-J47</f>
        <v>0</v>
      </c>
      <c r="M47" s="63"/>
      <c r="N47" s="388"/>
      <c r="O47" s="63"/>
      <c r="P47" s="388"/>
      <c r="Q47" s="387"/>
      <c r="R47" s="488">
        <f>(H47*$T$7)*(N47+P47)</f>
        <v>0</v>
      </c>
      <c r="S47" s="489"/>
      <c r="T47" s="488">
        <f>(L47*$T$7)*(N47+P47)</f>
        <v>0</v>
      </c>
      <c r="U47" s="27"/>
      <c r="X47" s="176"/>
    </row>
    <row r="48" spans="1:24" ht="19.5" customHeight="1">
      <c r="A48" s="18">
        <v>11</v>
      </c>
      <c r="B48" s="260"/>
      <c r="C48" s="260"/>
      <c r="D48" s="260"/>
      <c r="E48" s="284"/>
      <c r="F48" s="385"/>
      <c r="G48" s="284"/>
      <c r="H48" s="386"/>
      <c r="I48" s="495"/>
      <c r="J48" s="390"/>
      <c r="K48" s="387"/>
      <c r="L48" s="418">
        <f>H48-J48</f>
        <v>0</v>
      </c>
      <c r="M48" s="63"/>
      <c r="N48" s="388"/>
      <c r="O48" s="63"/>
      <c r="P48" s="388"/>
      <c r="Q48" s="387"/>
      <c r="R48" s="488">
        <f>(H48*$T$7)*(N48+P48)</f>
        <v>0</v>
      </c>
      <c r="S48" s="489"/>
      <c r="T48" s="488">
        <f>(L48*$T$7)*(N48+P48)</f>
        <v>0</v>
      </c>
      <c r="U48" s="27"/>
      <c r="X48" s="176"/>
    </row>
    <row r="49" spans="1:24" ht="19.5" customHeight="1">
      <c r="A49" s="18">
        <v>12</v>
      </c>
      <c r="B49" s="622"/>
      <c r="C49" s="260"/>
      <c r="D49" s="260"/>
      <c r="E49" s="284"/>
      <c r="F49" s="385"/>
      <c r="G49" s="284"/>
      <c r="H49" s="386"/>
      <c r="I49" s="495"/>
      <c r="J49" s="390"/>
      <c r="K49" s="387"/>
      <c r="L49" s="418">
        <f>H49-J49</f>
        <v>0</v>
      </c>
      <c r="M49" s="63"/>
      <c r="N49" s="388"/>
      <c r="O49" s="63"/>
      <c r="P49" s="388"/>
      <c r="Q49" s="387"/>
      <c r="R49" s="488">
        <f>(H49*$T$7)*(N49+P49)</f>
        <v>0</v>
      </c>
      <c r="S49" s="489"/>
      <c r="T49" s="488">
        <f>(L49*$T$7)*(N49+P49)</f>
        <v>0</v>
      </c>
      <c r="U49" s="27"/>
      <c r="X49" s="176"/>
    </row>
    <row r="50" spans="1:24" ht="19.5" customHeight="1">
      <c r="A50" s="18">
        <v>13</v>
      </c>
      <c r="B50" s="260"/>
      <c r="C50" s="260"/>
      <c r="D50" s="260"/>
      <c r="E50" s="284"/>
      <c r="F50" s="385"/>
      <c r="G50" s="284"/>
      <c r="H50" s="386"/>
      <c r="I50" s="495"/>
      <c r="J50" s="390"/>
      <c r="K50" s="387"/>
      <c r="L50" s="418">
        <f>H50-J50</f>
        <v>0</v>
      </c>
      <c r="M50" s="63"/>
      <c r="N50" s="401"/>
      <c r="O50" s="63"/>
      <c r="P50" s="388"/>
      <c r="Q50" s="387"/>
      <c r="R50" s="488">
        <f>(H50*$T$7)*(N50+P50)</f>
        <v>0</v>
      </c>
      <c r="S50" s="489"/>
      <c r="T50" s="488">
        <f>(L50*$T$7)*(N50+P50)</f>
        <v>0</v>
      </c>
      <c r="U50" s="27"/>
      <c r="X50" s="176"/>
    </row>
    <row r="51" spans="1:24" ht="19.5" customHeight="1">
      <c r="A51" s="18">
        <v>14</v>
      </c>
      <c r="B51" s="260"/>
      <c r="C51" s="260"/>
      <c r="D51" s="260"/>
      <c r="E51" s="284"/>
      <c r="F51" s="385"/>
      <c r="G51" s="284"/>
      <c r="H51" s="389"/>
      <c r="I51" s="495"/>
      <c r="J51" s="390"/>
      <c r="K51" s="387"/>
      <c r="L51" s="418">
        <f>H51-J51</f>
        <v>0</v>
      </c>
      <c r="M51" s="63"/>
      <c r="N51" s="388"/>
      <c r="O51" s="63"/>
      <c r="P51" s="390"/>
      <c r="Q51" s="387"/>
      <c r="R51" s="488">
        <f>(H51*$T$7)*(N51+P51)</f>
        <v>0</v>
      </c>
      <c r="S51" s="489"/>
      <c r="T51" s="488">
        <f>(L51*$T$7)*(N51+P51)</f>
        <v>0</v>
      </c>
      <c r="U51" s="27"/>
      <c r="X51" s="176"/>
    </row>
    <row r="52" spans="1:24" ht="19.5" customHeight="1">
      <c r="A52" s="18">
        <v>15</v>
      </c>
      <c r="B52" s="260"/>
      <c r="C52" s="260"/>
      <c r="D52" s="260"/>
      <c r="E52" s="284"/>
      <c r="F52" s="385"/>
      <c r="G52" s="284"/>
      <c r="H52" s="386"/>
      <c r="I52" s="495"/>
      <c r="J52" s="390"/>
      <c r="K52" s="387"/>
      <c r="L52" s="418">
        <f t="shared" si="3"/>
        <v>0</v>
      </c>
      <c r="M52" s="63"/>
      <c r="N52" s="388"/>
      <c r="O52" s="63"/>
      <c r="P52" s="388"/>
      <c r="Q52" s="387"/>
      <c r="R52" s="488">
        <f aca="true" t="shared" si="6" ref="R52:R57">(H52*$T$7)*(N52+P52)</f>
        <v>0</v>
      </c>
      <c r="S52" s="489"/>
      <c r="T52" s="488">
        <f aca="true" t="shared" si="7" ref="T52:T57">(L52*$T$7)*(N52+P52)</f>
        <v>0</v>
      </c>
      <c r="U52" s="27"/>
      <c r="X52" s="176"/>
    </row>
    <row r="53" spans="1:24" ht="19.5" customHeight="1">
      <c r="A53" s="18">
        <v>16</v>
      </c>
      <c r="B53" s="260"/>
      <c r="C53" s="260"/>
      <c r="D53" s="260"/>
      <c r="E53" s="284"/>
      <c r="F53" s="385"/>
      <c r="G53" s="284"/>
      <c r="H53" s="386"/>
      <c r="I53" s="495"/>
      <c r="J53" s="390"/>
      <c r="K53" s="387"/>
      <c r="L53" s="418">
        <f t="shared" si="3"/>
        <v>0</v>
      </c>
      <c r="M53" s="63"/>
      <c r="N53" s="388"/>
      <c r="O53" s="63"/>
      <c r="P53" s="388"/>
      <c r="Q53" s="387"/>
      <c r="R53" s="488">
        <f t="shared" si="6"/>
        <v>0</v>
      </c>
      <c r="S53" s="489"/>
      <c r="T53" s="488">
        <f t="shared" si="7"/>
        <v>0</v>
      </c>
      <c r="U53" s="27"/>
      <c r="X53" s="176"/>
    </row>
    <row r="54" spans="1:24" ht="19.5" customHeight="1">
      <c r="A54" s="18">
        <v>17</v>
      </c>
      <c r="B54" s="622"/>
      <c r="C54" s="260"/>
      <c r="D54" s="260"/>
      <c r="E54" s="284"/>
      <c r="F54" s="385"/>
      <c r="G54" s="284"/>
      <c r="H54" s="386"/>
      <c r="I54" s="495"/>
      <c r="J54" s="390"/>
      <c r="K54" s="387"/>
      <c r="L54" s="418">
        <f t="shared" si="3"/>
        <v>0</v>
      </c>
      <c r="M54" s="63"/>
      <c r="N54" s="388"/>
      <c r="O54" s="63"/>
      <c r="P54" s="388"/>
      <c r="Q54" s="387"/>
      <c r="R54" s="488">
        <f t="shared" si="6"/>
        <v>0</v>
      </c>
      <c r="S54" s="489"/>
      <c r="T54" s="488">
        <f t="shared" si="7"/>
        <v>0</v>
      </c>
      <c r="U54" s="27"/>
      <c r="X54" s="176"/>
    </row>
    <row r="55" spans="1:24" ht="19.5" customHeight="1">
      <c r="A55" s="18">
        <v>18</v>
      </c>
      <c r="B55" s="260"/>
      <c r="C55" s="260"/>
      <c r="D55" s="260"/>
      <c r="E55" s="284"/>
      <c r="F55" s="385"/>
      <c r="G55" s="284"/>
      <c r="H55" s="386"/>
      <c r="I55" s="495"/>
      <c r="J55" s="390"/>
      <c r="K55" s="387"/>
      <c r="L55" s="418">
        <f t="shared" si="3"/>
        <v>0</v>
      </c>
      <c r="M55" s="63"/>
      <c r="N55" s="401"/>
      <c r="O55" s="63"/>
      <c r="P55" s="388"/>
      <c r="Q55" s="387"/>
      <c r="R55" s="488">
        <f t="shared" si="6"/>
        <v>0</v>
      </c>
      <c r="S55" s="489"/>
      <c r="T55" s="488">
        <f t="shared" si="7"/>
        <v>0</v>
      </c>
      <c r="U55" s="27"/>
      <c r="X55" s="176"/>
    </row>
    <row r="56" spans="1:24" ht="19.5" customHeight="1">
      <c r="A56" s="18">
        <v>19</v>
      </c>
      <c r="B56" s="260"/>
      <c r="C56" s="260"/>
      <c r="D56" s="260"/>
      <c r="E56" s="284"/>
      <c r="F56" s="385"/>
      <c r="G56" s="284"/>
      <c r="H56" s="389"/>
      <c r="I56" s="495"/>
      <c r="J56" s="390"/>
      <c r="K56" s="387"/>
      <c r="L56" s="418">
        <f t="shared" si="3"/>
        <v>0</v>
      </c>
      <c r="M56" s="63"/>
      <c r="N56" s="388"/>
      <c r="O56" s="63"/>
      <c r="P56" s="390"/>
      <c r="Q56" s="387"/>
      <c r="R56" s="488">
        <f t="shared" si="6"/>
        <v>0</v>
      </c>
      <c r="S56" s="489"/>
      <c r="T56" s="488">
        <f t="shared" si="7"/>
        <v>0</v>
      </c>
      <c r="U56" s="27"/>
      <c r="X56" s="176"/>
    </row>
    <row r="57" spans="1:24" ht="19.5" customHeight="1" thickBot="1">
      <c r="A57" s="18">
        <v>20</v>
      </c>
      <c r="B57" s="260"/>
      <c r="C57" s="260"/>
      <c r="D57" s="260"/>
      <c r="E57" s="284"/>
      <c r="F57" s="385"/>
      <c r="G57" s="284"/>
      <c r="H57" s="389"/>
      <c r="I57" s="495"/>
      <c r="J57" s="390"/>
      <c r="K57" s="387"/>
      <c r="L57" s="418">
        <f t="shared" si="3"/>
        <v>0</v>
      </c>
      <c r="M57" s="63"/>
      <c r="N57" s="388"/>
      <c r="O57" s="63"/>
      <c r="P57" s="390"/>
      <c r="Q57" s="387"/>
      <c r="R57" s="488">
        <f t="shared" si="6"/>
        <v>0</v>
      </c>
      <c r="S57" s="489"/>
      <c r="T57" s="488">
        <f t="shared" si="7"/>
        <v>0</v>
      </c>
      <c r="U57" s="27"/>
      <c r="X57" s="176"/>
    </row>
    <row r="58" spans="1:24" ht="21.75" customHeight="1" thickBot="1">
      <c r="A58" s="112"/>
      <c r="B58" s="113"/>
      <c r="C58" s="113"/>
      <c r="D58" s="113" t="s">
        <v>311</v>
      </c>
      <c r="E58" s="114"/>
      <c r="F58" s="391"/>
      <c r="G58" s="392"/>
      <c r="H58" s="393"/>
      <c r="I58" s="394"/>
      <c r="J58" s="393"/>
      <c r="K58" s="394"/>
      <c r="L58" s="393"/>
      <c r="M58" s="392"/>
      <c r="N58" s="395"/>
      <c r="O58" s="392"/>
      <c r="P58" s="396"/>
      <c r="Q58" s="397"/>
      <c r="R58" s="496">
        <f>SUM(R39:R57)</f>
        <v>0</v>
      </c>
      <c r="S58" s="497"/>
      <c r="T58" s="496">
        <f>SUM(T39:T57)</f>
        <v>0</v>
      </c>
      <c r="U58" s="498"/>
      <c r="X58" s="176"/>
    </row>
    <row r="59" spans="1:24" ht="6.75" customHeight="1">
      <c r="A59" s="6"/>
      <c r="B59" s="7"/>
      <c r="C59" s="7"/>
      <c r="D59" s="7"/>
      <c r="E59" s="59"/>
      <c r="F59" s="33"/>
      <c r="G59" s="59"/>
      <c r="H59" s="384"/>
      <c r="I59" s="383"/>
      <c r="J59" s="384"/>
      <c r="K59" s="383"/>
      <c r="L59" s="384"/>
      <c r="M59" s="59"/>
      <c r="N59" s="381"/>
      <c r="O59" s="59"/>
      <c r="P59" s="398"/>
      <c r="Q59" s="399"/>
      <c r="R59" s="398"/>
      <c r="S59" s="399"/>
      <c r="T59" s="398"/>
      <c r="U59" s="12"/>
      <c r="X59" s="176"/>
    </row>
    <row r="60" spans="1:24" ht="12.75" customHeight="1">
      <c r="A60" s="6"/>
      <c r="B60" s="15" t="s">
        <v>321</v>
      </c>
      <c r="C60" s="7"/>
      <c r="D60" s="7"/>
      <c r="E60" s="59"/>
      <c r="F60" s="33"/>
      <c r="G60" s="59"/>
      <c r="H60" s="384"/>
      <c r="I60" s="383"/>
      <c r="J60" s="384"/>
      <c r="K60" s="383"/>
      <c r="L60" s="421"/>
      <c r="M60" s="59"/>
      <c r="N60" s="400"/>
      <c r="O60" s="59"/>
      <c r="P60" s="398"/>
      <c r="Q60" s="399"/>
      <c r="R60" s="398"/>
      <c r="S60" s="399"/>
      <c r="T60" s="398"/>
      <c r="U60" s="12"/>
      <c r="X60" s="176"/>
    </row>
    <row r="61" spans="1:24" ht="3.75" customHeight="1">
      <c r="A61" s="6"/>
      <c r="B61" s="15"/>
      <c r="C61" s="7"/>
      <c r="D61" s="7"/>
      <c r="E61" s="59"/>
      <c r="F61" s="33"/>
      <c r="G61" s="59"/>
      <c r="H61" s="384"/>
      <c r="I61" s="383"/>
      <c r="J61" s="384"/>
      <c r="K61" s="383"/>
      <c r="L61" s="421"/>
      <c r="M61" s="59"/>
      <c r="N61" s="400"/>
      <c r="O61" s="59"/>
      <c r="P61" s="398"/>
      <c r="Q61" s="399"/>
      <c r="R61" s="398"/>
      <c r="S61" s="399"/>
      <c r="T61" s="398"/>
      <c r="U61" s="12"/>
      <c r="X61" s="176"/>
    </row>
    <row r="62" spans="1:24" ht="19.5" customHeight="1">
      <c r="A62" s="18">
        <v>1</v>
      </c>
      <c r="B62" s="260"/>
      <c r="C62" s="260"/>
      <c r="D62" s="260"/>
      <c r="E62" s="63"/>
      <c r="F62" s="297" t="s">
        <v>322</v>
      </c>
      <c r="G62" s="63"/>
      <c r="H62" s="390"/>
      <c r="I62" s="387"/>
      <c r="J62" s="390"/>
      <c r="K62" s="387"/>
      <c r="L62" s="418">
        <f aca="true" t="shared" si="8" ref="L62:L76">H62-J62</f>
        <v>0</v>
      </c>
      <c r="M62" s="63"/>
      <c r="N62" s="401"/>
      <c r="O62" s="63"/>
      <c r="P62" s="386"/>
      <c r="Q62" s="402"/>
      <c r="R62" s="488">
        <f aca="true" t="shared" si="9" ref="R62:R76">(H62*$T$7)*(N62+P62)</f>
        <v>0</v>
      </c>
      <c r="S62" s="489"/>
      <c r="T62" s="488">
        <v>0</v>
      </c>
      <c r="U62" s="27"/>
      <c r="X62" s="176"/>
    </row>
    <row r="63" spans="1:24" ht="19.5" customHeight="1">
      <c r="A63" s="18">
        <v>2</v>
      </c>
      <c r="B63" s="260"/>
      <c r="C63" s="260"/>
      <c r="D63" s="260"/>
      <c r="E63" s="63"/>
      <c r="F63" s="297" t="s">
        <v>322</v>
      </c>
      <c r="G63" s="63"/>
      <c r="H63" s="390"/>
      <c r="I63" s="387"/>
      <c r="J63" s="390"/>
      <c r="K63" s="387"/>
      <c r="L63" s="418">
        <f t="shared" si="8"/>
        <v>0</v>
      </c>
      <c r="M63" s="63"/>
      <c r="N63" s="401"/>
      <c r="O63" s="63"/>
      <c r="P63" s="403"/>
      <c r="Q63" s="402"/>
      <c r="R63" s="488">
        <f t="shared" si="9"/>
        <v>0</v>
      </c>
      <c r="S63" s="489"/>
      <c r="T63" s="488">
        <v>0</v>
      </c>
      <c r="U63" s="27"/>
      <c r="X63" s="176"/>
    </row>
    <row r="64" spans="1:24" ht="19.5" customHeight="1">
      <c r="A64" s="18">
        <v>3</v>
      </c>
      <c r="B64" s="260"/>
      <c r="C64" s="260"/>
      <c r="D64" s="260"/>
      <c r="E64" s="63"/>
      <c r="F64" s="297" t="s">
        <v>322</v>
      </c>
      <c r="G64" s="63"/>
      <c r="H64" s="390"/>
      <c r="I64" s="387"/>
      <c r="J64" s="390"/>
      <c r="K64" s="387"/>
      <c r="L64" s="418">
        <f t="shared" si="8"/>
        <v>0</v>
      </c>
      <c r="M64" s="63"/>
      <c r="N64" s="401"/>
      <c r="O64" s="63"/>
      <c r="P64" s="403"/>
      <c r="Q64" s="402"/>
      <c r="R64" s="488">
        <f t="shared" si="9"/>
        <v>0</v>
      </c>
      <c r="S64" s="489"/>
      <c r="T64" s="488">
        <v>0</v>
      </c>
      <c r="U64" s="27"/>
      <c r="X64" s="176"/>
    </row>
    <row r="65" spans="1:24" ht="19.5" customHeight="1">
      <c r="A65" s="18">
        <v>4</v>
      </c>
      <c r="B65" s="260"/>
      <c r="C65" s="260"/>
      <c r="D65" s="260"/>
      <c r="E65" s="63"/>
      <c r="F65" s="297" t="s">
        <v>322</v>
      </c>
      <c r="G65" s="63"/>
      <c r="H65" s="390"/>
      <c r="I65" s="387"/>
      <c r="J65" s="390"/>
      <c r="K65" s="387"/>
      <c r="L65" s="418">
        <f t="shared" si="8"/>
        <v>0</v>
      </c>
      <c r="M65" s="63"/>
      <c r="N65" s="401"/>
      <c r="O65" s="63"/>
      <c r="P65" s="403"/>
      <c r="Q65" s="402"/>
      <c r="R65" s="488">
        <f t="shared" si="9"/>
        <v>0</v>
      </c>
      <c r="S65" s="489"/>
      <c r="T65" s="488">
        <v>0</v>
      </c>
      <c r="U65" s="27"/>
      <c r="X65" s="176"/>
    </row>
    <row r="66" spans="1:24" ht="19.5" customHeight="1">
      <c r="A66" s="18">
        <v>5</v>
      </c>
      <c r="B66" s="260"/>
      <c r="C66" s="260"/>
      <c r="D66" s="260"/>
      <c r="E66" s="63"/>
      <c r="F66" s="297" t="s">
        <v>322</v>
      </c>
      <c r="G66" s="63"/>
      <c r="H66" s="390"/>
      <c r="I66" s="387"/>
      <c r="J66" s="390"/>
      <c r="K66" s="387"/>
      <c r="L66" s="418">
        <f t="shared" si="8"/>
        <v>0</v>
      </c>
      <c r="M66" s="63"/>
      <c r="N66" s="401"/>
      <c r="O66" s="63"/>
      <c r="P66" s="403"/>
      <c r="Q66" s="402"/>
      <c r="R66" s="488">
        <f t="shared" si="9"/>
        <v>0</v>
      </c>
      <c r="S66" s="489"/>
      <c r="T66" s="488">
        <v>0</v>
      </c>
      <c r="U66" s="27"/>
      <c r="X66" s="176"/>
    </row>
    <row r="67" spans="1:24" ht="19.5" customHeight="1">
      <c r="A67" s="18">
        <v>6</v>
      </c>
      <c r="B67" s="260"/>
      <c r="C67" s="260"/>
      <c r="D67" s="260"/>
      <c r="E67" s="63"/>
      <c r="F67" s="297" t="s">
        <v>322</v>
      </c>
      <c r="G67" s="63"/>
      <c r="H67" s="390"/>
      <c r="I67" s="387"/>
      <c r="J67" s="390"/>
      <c r="K67" s="387"/>
      <c r="L67" s="418">
        <f t="shared" si="8"/>
        <v>0</v>
      </c>
      <c r="M67" s="63"/>
      <c r="N67" s="388"/>
      <c r="O67" s="63"/>
      <c r="P67" s="403"/>
      <c r="Q67" s="402"/>
      <c r="R67" s="488">
        <f t="shared" si="9"/>
        <v>0</v>
      </c>
      <c r="S67" s="489"/>
      <c r="T67" s="488">
        <f aca="true" t="shared" si="10" ref="T67:T76">(L67*$T$7)*(N67+P67)</f>
        <v>0</v>
      </c>
      <c r="U67" s="27"/>
      <c r="X67" s="176"/>
    </row>
    <row r="68" spans="1:24" ht="19.5" customHeight="1">
      <c r="A68" s="18">
        <v>7</v>
      </c>
      <c r="B68" s="260"/>
      <c r="C68" s="260"/>
      <c r="D68" s="260"/>
      <c r="E68" s="63"/>
      <c r="F68" s="297" t="s">
        <v>322</v>
      </c>
      <c r="G68" s="63"/>
      <c r="H68" s="390"/>
      <c r="I68" s="387"/>
      <c r="J68" s="390"/>
      <c r="K68" s="387"/>
      <c r="L68" s="418">
        <f t="shared" si="8"/>
        <v>0</v>
      </c>
      <c r="M68" s="63"/>
      <c r="N68" s="388"/>
      <c r="O68" s="63"/>
      <c r="P68" s="403"/>
      <c r="Q68" s="402"/>
      <c r="R68" s="488">
        <f t="shared" si="9"/>
        <v>0</v>
      </c>
      <c r="S68" s="489"/>
      <c r="T68" s="488">
        <f t="shared" si="10"/>
        <v>0</v>
      </c>
      <c r="U68" s="27"/>
      <c r="X68" s="176"/>
    </row>
    <row r="69" spans="1:24" ht="19.5" customHeight="1">
      <c r="A69" s="18">
        <v>8</v>
      </c>
      <c r="B69" s="260"/>
      <c r="C69" s="260"/>
      <c r="D69" s="260"/>
      <c r="E69" s="63"/>
      <c r="F69" s="297" t="s">
        <v>322</v>
      </c>
      <c r="G69" s="63"/>
      <c r="H69" s="390"/>
      <c r="I69" s="387"/>
      <c r="J69" s="390"/>
      <c r="K69" s="387"/>
      <c r="L69" s="418">
        <f t="shared" si="8"/>
        <v>0</v>
      </c>
      <c r="M69" s="63"/>
      <c r="N69" s="388"/>
      <c r="O69" s="63"/>
      <c r="P69" s="403"/>
      <c r="Q69" s="402"/>
      <c r="R69" s="488">
        <f t="shared" si="9"/>
        <v>0</v>
      </c>
      <c r="S69" s="489"/>
      <c r="T69" s="488">
        <f t="shared" si="10"/>
        <v>0</v>
      </c>
      <c r="U69" s="27"/>
      <c r="X69" s="176"/>
    </row>
    <row r="70" spans="1:24" ht="19.5" customHeight="1">
      <c r="A70" s="18">
        <v>9</v>
      </c>
      <c r="B70" s="260"/>
      <c r="C70" s="260"/>
      <c r="D70" s="260"/>
      <c r="E70" s="63"/>
      <c r="F70" s="297" t="s">
        <v>322</v>
      </c>
      <c r="G70" s="63"/>
      <c r="H70" s="390"/>
      <c r="I70" s="387"/>
      <c r="J70" s="390"/>
      <c r="K70" s="387"/>
      <c r="L70" s="418">
        <f t="shared" si="8"/>
        <v>0</v>
      </c>
      <c r="M70" s="63"/>
      <c r="N70" s="388"/>
      <c r="O70" s="63"/>
      <c r="P70" s="403"/>
      <c r="Q70" s="402"/>
      <c r="R70" s="488">
        <f t="shared" si="9"/>
        <v>0</v>
      </c>
      <c r="S70" s="489"/>
      <c r="T70" s="488">
        <f t="shared" si="10"/>
        <v>0</v>
      </c>
      <c r="U70" s="27"/>
      <c r="X70" s="176"/>
    </row>
    <row r="71" spans="1:24" ht="19.5" customHeight="1">
      <c r="A71" s="18">
        <v>10</v>
      </c>
      <c r="B71" s="260"/>
      <c r="C71" s="260"/>
      <c r="D71" s="260"/>
      <c r="E71" s="63"/>
      <c r="F71" s="297" t="s">
        <v>322</v>
      </c>
      <c r="G71" s="63"/>
      <c r="H71" s="390"/>
      <c r="I71" s="387"/>
      <c r="J71" s="390"/>
      <c r="K71" s="387"/>
      <c r="L71" s="418">
        <f t="shared" si="8"/>
        <v>0</v>
      </c>
      <c r="M71" s="63"/>
      <c r="N71" s="388"/>
      <c r="O71" s="63"/>
      <c r="P71" s="403"/>
      <c r="Q71" s="402"/>
      <c r="R71" s="488">
        <f t="shared" si="9"/>
        <v>0</v>
      </c>
      <c r="S71" s="489"/>
      <c r="T71" s="488">
        <f t="shared" si="10"/>
        <v>0</v>
      </c>
      <c r="U71" s="27"/>
      <c r="X71" s="176"/>
    </row>
    <row r="72" spans="1:24" ht="19.5" customHeight="1">
      <c r="A72" s="18">
        <v>11</v>
      </c>
      <c r="B72" s="260"/>
      <c r="C72" s="260"/>
      <c r="D72" s="260"/>
      <c r="E72" s="63"/>
      <c r="F72" s="297" t="s">
        <v>322</v>
      </c>
      <c r="G72" s="63"/>
      <c r="H72" s="390"/>
      <c r="I72" s="387"/>
      <c r="J72" s="390"/>
      <c r="K72" s="387"/>
      <c r="L72" s="418">
        <f t="shared" si="8"/>
        <v>0</v>
      </c>
      <c r="M72" s="63"/>
      <c r="N72" s="388"/>
      <c r="O72" s="63"/>
      <c r="P72" s="403"/>
      <c r="Q72" s="402"/>
      <c r="R72" s="488">
        <f t="shared" si="9"/>
        <v>0</v>
      </c>
      <c r="S72" s="489"/>
      <c r="T72" s="488">
        <f t="shared" si="10"/>
        <v>0</v>
      </c>
      <c r="U72" s="27"/>
      <c r="X72" s="176"/>
    </row>
    <row r="73" spans="1:24" ht="19.5" customHeight="1">
      <c r="A73" s="18">
        <v>12</v>
      </c>
      <c r="B73" s="260"/>
      <c r="C73" s="260"/>
      <c r="D73" s="260"/>
      <c r="E73" s="63"/>
      <c r="F73" s="297" t="s">
        <v>322</v>
      </c>
      <c r="G73" s="63"/>
      <c r="H73" s="390"/>
      <c r="I73" s="387"/>
      <c r="J73" s="390"/>
      <c r="K73" s="387"/>
      <c r="L73" s="418">
        <f t="shared" si="8"/>
        <v>0</v>
      </c>
      <c r="M73" s="63"/>
      <c r="N73" s="388"/>
      <c r="O73" s="63"/>
      <c r="P73" s="403"/>
      <c r="Q73" s="402"/>
      <c r="R73" s="488">
        <f t="shared" si="9"/>
        <v>0</v>
      </c>
      <c r="S73" s="489"/>
      <c r="T73" s="488">
        <f t="shared" si="10"/>
        <v>0</v>
      </c>
      <c r="U73" s="27"/>
      <c r="X73" s="176"/>
    </row>
    <row r="74" spans="1:24" ht="19.5" customHeight="1">
      <c r="A74" s="18">
        <v>13</v>
      </c>
      <c r="B74" s="260"/>
      <c r="C74" s="260"/>
      <c r="D74" s="260"/>
      <c r="E74" s="63"/>
      <c r="F74" s="297" t="s">
        <v>322</v>
      </c>
      <c r="G74" s="63"/>
      <c r="H74" s="390"/>
      <c r="I74" s="387"/>
      <c r="J74" s="390"/>
      <c r="K74" s="387"/>
      <c r="L74" s="418">
        <f t="shared" si="8"/>
        <v>0</v>
      </c>
      <c r="M74" s="63"/>
      <c r="N74" s="388"/>
      <c r="O74" s="63"/>
      <c r="P74" s="403"/>
      <c r="Q74" s="402"/>
      <c r="R74" s="488">
        <f t="shared" si="9"/>
        <v>0</v>
      </c>
      <c r="S74" s="489"/>
      <c r="T74" s="488">
        <f t="shared" si="10"/>
        <v>0</v>
      </c>
      <c r="U74" s="27"/>
      <c r="X74" s="176"/>
    </row>
    <row r="75" spans="1:24" ht="19.5" customHeight="1">
      <c r="A75" s="18">
        <v>14</v>
      </c>
      <c r="B75" s="260"/>
      <c r="C75" s="260"/>
      <c r="D75" s="260"/>
      <c r="E75" s="63"/>
      <c r="F75" s="297" t="s">
        <v>322</v>
      </c>
      <c r="G75" s="63"/>
      <c r="H75" s="390"/>
      <c r="I75" s="387"/>
      <c r="J75" s="390"/>
      <c r="K75" s="387"/>
      <c r="L75" s="418">
        <f t="shared" si="8"/>
        <v>0</v>
      </c>
      <c r="M75" s="63"/>
      <c r="N75" s="388"/>
      <c r="O75" s="63"/>
      <c r="P75" s="403"/>
      <c r="Q75" s="402"/>
      <c r="R75" s="488">
        <f t="shared" si="9"/>
        <v>0</v>
      </c>
      <c r="S75" s="489"/>
      <c r="T75" s="488">
        <f t="shared" si="10"/>
        <v>0</v>
      </c>
      <c r="U75" s="27"/>
      <c r="X75" s="176"/>
    </row>
    <row r="76" spans="1:24" ht="19.5" customHeight="1" thickBot="1">
      <c r="A76" s="18">
        <v>15</v>
      </c>
      <c r="B76" s="260"/>
      <c r="C76" s="260"/>
      <c r="D76" s="260"/>
      <c r="E76" s="63"/>
      <c r="F76" s="297" t="s">
        <v>322</v>
      </c>
      <c r="G76" s="63"/>
      <c r="H76" s="390"/>
      <c r="I76" s="387"/>
      <c r="J76" s="390"/>
      <c r="K76" s="387"/>
      <c r="L76" s="418">
        <f t="shared" si="8"/>
        <v>0</v>
      </c>
      <c r="M76" s="63"/>
      <c r="N76" s="388"/>
      <c r="O76" s="63"/>
      <c r="P76" s="390"/>
      <c r="Q76" s="387"/>
      <c r="R76" s="488">
        <f t="shared" si="9"/>
        <v>0</v>
      </c>
      <c r="S76" s="489"/>
      <c r="T76" s="488">
        <f t="shared" si="10"/>
        <v>0</v>
      </c>
      <c r="U76" s="27"/>
      <c r="X76" s="176"/>
    </row>
    <row r="77" spans="1:24" ht="21.75" customHeight="1" thickBot="1">
      <c r="A77" s="112"/>
      <c r="B77" s="113"/>
      <c r="C77" s="113"/>
      <c r="D77" s="113" t="s">
        <v>311</v>
      </c>
      <c r="E77" s="114"/>
      <c r="F77" s="391"/>
      <c r="G77" s="392"/>
      <c r="H77" s="404">
        <f>SUM(H62:H76)</f>
        <v>0</v>
      </c>
      <c r="I77" s="405"/>
      <c r="J77" s="393"/>
      <c r="K77" s="394"/>
      <c r="L77" s="499"/>
      <c r="M77" s="392"/>
      <c r="N77" s="395"/>
      <c r="O77" s="392"/>
      <c r="P77" s="393"/>
      <c r="Q77" s="394"/>
      <c r="R77" s="500">
        <f>SUM(R62:R76)</f>
        <v>0</v>
      </c>
      <c r="S77" s="501"/>
      <c r="T77" s="502">
        <f>SUM(T62:T76)</f>
        <v>0</v>
      </c>
      <c r="U77" s="498"/>
      <c r="X77" s="176"/>
    </row>
    <row r="78" spans="1:24" ht="3.75" customHeight="1">
      <c r="A78" s="6"/>
      <c r="B78" s="7"/>
      <c r="C78" s="7"/>
      <c r="D78" s="7"/>
      <c r="E78" s="7"/>
      <c r="F78" s="33"/>
      <c r="G78" s="7"/>
      <c r="H78" s="384"/>
      <c r="I78" s="384"/>
      <c r="J78" s="384"/>
      <c r="K78" s="384"/>
      <c r="L78" s="406"/>
      <c r="M78" s="7"/>
      <c r="N78" s="381"/>
      <c r="O78" s="7"/>
      <c r="P78" s="384"/>
      <c r="Q78" s="407"/>
      <c r="R78" s="381"/>
      <c r="S78" s="503"/>
      <c r="T78" s="381"/>
      <c r="U78" s="12"/>
      <c r="X78" s="176"/>
    </row>
    <row r="79" spans="1:24" ht="18" customHeight="1">
      <c r="A79" s="17" t="s">
        <v>323</v>
      </c>
      <c r="B79" s="8"/>
      <c r="C79" s="7"/>
      <c r="D79" s="7"/>
      <c r="E79" s="7"/>
      <c r="F79" s="33"/>
      <c r="G79" s="7"/>
      <c r="H79" s="406"/>
      <c r="I79" s="384"/>
      <c r="J79" s="384"/>
      <c r="K79" s="384"/>
      <c r="L79" s="406"/>
      <c r="M79" s="7"/>
      <c r="N79" s="381"/>
      <c r="O79" s="7"/>
      <c r="P79" s="384"/>
      <c r="Q79" s="407"/>
      <c r="R79" s="504">
        <f>+R58+R77</f>
        <v>0</v>
      </c>
      <c r="S79" s="503"/>
      <c r="T79" s="504">
        <f>+T58+T77</f>
        <v>0</v>
      </c>
      <c r="U79" s="12"/>
      <c r="X79" s="176"/>
    </row>
    <row r="80" spans="1:24" ht="4.5" customHeight="1" thickBot="1">
      <c r="A80" s="375"/>
      <c r="B80" s="46"/>
      <c r="C80" s="46"/>
      <c r="D80" s="46"/>
      <c r="E80" s="46"/>
      <c r="F80" s="408"/>
      <c r="G80" s="46"/>
      <c r="H80" s="409"/>
      <c r="I80" s="410"/>
      <c r="J80" s="410"/>
      <c r="K80" s="410"/>
      <c r="L80" s="409"/>
      <c r="M80" s="46"/>
      <c r="N80" s="411"/>
      <c r="O80" s="46"/>
      <c r="P80" s="410"/>
      <c r="Q80" s="412"/>
      <c r="R80" s="411"/>
      <c r="S80" s="505"/>
      <c r="T80" s="411"/>
      <c r="U80" s="53"/>
      <c r="X80" s="176"/>
    </row>
    <row r="81" spans="1:24" ht="5.25" customHeight="1" thickTop="1">
      <c r="A81" s="6"/>
      <c r="B81" s="7"/>
      <c r="C81" s="7"/>
      <c r="D81" s="7"/>
      <c r="E81" s="7"/>
      <c r="F81" s="33"/>
      <c r="G81" s="7"/>
      <c r="H81" s="384"/>
      <c r="I81" s="384"/>
      <c r="J81" s="384"/>
      <c r="K81" s="384"/>
      <c r="L81" s="406"/>
      <c r="M81" s="7"/>
      <c r="N81" s="381"/>
      <c r="O81" s="7"/>
      <c r="P81" s="398"/>
      <c r="Q81" s="413"/>
      <c r="R81" s="506"/>
      <c r="S81" s="507"/>
      <c r="T81" s="506"/>
      <c r="U81" s="12"/>
      <c r="X81" s="176"/>
    </row>
    <row r="82" spans="1:24" ht="18" customHeight="1">
      <c r="A82" s="47" t="s">
        <v>324</v>
      </c>
      <c r="B82" s="52" t="s">
        <v>325</v>
      </c>
      <c r="C82" s="7"/>
      <c r="D82" s="7"/>
      <c r="E82" s="7"/>
      <c r="F82" s="33"/>
      <c r="G82" s="7"/>
      <c r="H82" s="384"/>
      <c r="I82" s="384"/>
      <c r="J82" s="384"/>
      <c r="K82" s="384"/>
      <c r="L82" s="406"/>
      <c r="M82" s="7"/>
      <c r="N82" s="381"/>
      <c r="O82" s="7"/>
      <c r="P82" s="384"/>
      <c r="Q82" s="407"/>
      <c r="R82" s="414">
        <f>R27-R79</f>
        <v>0</v>
      </c>
      <c r="S82" s="503"/>
      <c r="T82" s="414">
        <f>T27-T79</f>
        <v>0</v>
      </c>
      <c r="U82" s="12"/>
      <c r="X82" s="176"/>
    </row>
    <row r="83" spans="1:24" ht="8.25" customHeight="1" thickBot="1">
      <c r="A83" s="508"/>
      <c r="B83" s="509"/>
      <c r="C83" s="113"/>
      <c r="D83" s="113"/>
      <c r="E83" s="113"/>
      <c r="F83" s="138"/>
      <c r="G83" s="113"/>
      <c r="H83" s="510"/>
      <c r="I83" s="510"/>
      <c r="J83" s="510"/>
      <c r="K83" s="510"/>
      <c r="L83" s="511"/>
      <c r="M83" s="113"/>
      <c r="N83" s="512"/>
      <c r="O83" s="113"/>
      <c r="P83" s="510"/>
      <c r="Q83" s="513"/>
      <c r="R83" s="514"/>
      <c r="S83" s="515"/>
      <c r="T83" s="514"/>
      <c r="U83" s="110"/>
      <c r="X83" s="176"/>
    </row>
    <row r="84" spans="1:24" ht="5.25" customHeight="1" thickBot="1">
      <c r="A84" s="47"/>
      <c r="B84" s="52"/>
      <c r="C84" s="7"/>
      <c r="D84" s="7"/>
      <c r="E84" s="7"/>
      <c r="F84" s="33"/>
      <c r="G84" s="7"/>
      <c r="H84" s="384"/>
      <c r="I84" s="384"/>
      <c r="J84" s="384"/>
      <c r="K84" s="384"/>
      <c r="L84" s="406"/>
      <c r="M84" s="7"/>
      <c r="N84" s="381"/>
      <c r="O84" s="7"/>
      <c r="P84" s="384"/>
      <c r="Q84" s="384"/>
      <c r="R84" s="414"/>
      <c r="S84" s="381"/>
      <c r="T84" s="414"/>
      <c r="U84" s="12"/>
      <c r="X84" s="176"/>
    </row>
    <row r="85" spans="1:24" ht="18" customHeight="1" thickBot="1">
      <c r="A85" s="47" t="s">
        <v>391</v>
      </c>
      <c r="B85" s="52"/>
      <c r="C85" s="7"/>
      <c r="D85" s="7"/>
      <c r="E85" s="7"/>
      <c r="F85" s="33"/>
      <c r="G85" s="7"/>
      <c r="H85" s="919">
        <f>(H77*T7)/275</f>
        <v>0</v>
      </c>
      <c r="I85" s="516"/>
      <c r="J85" s="516" t="s">
        <v>392</v>
      </c>
      <c r="K85" s="384"/>
      <c r="L85" s="406"/>
      <c r="M85" s="7"/>
      <c r="N85" s="381"/>
      <c r="O85" s="7"/>
      <c r="P85" s="384"/>
      <c r="Q85" s="384"/>
      <c r="R85" s="414"/>
      <c r="S85" s="381"/>
      <c r="T85" s="414"/>
      <c r="U85" s="12"/>
      <c r="X85" s="176"/>
    </row>
    <row r="86" spans="1:24" ht="6.75" customHeight="1" thickBot="1">
      <c r="A86" s="45"/>
      <c r="B86" s="46"/>
      <c r="C86" s="46"/>
      <c r="D86" s="46"/>
      <c r="E86" s="46"/>
      <c r="F86" s="408"/>
      <c r="G86" s="46"/>
      <c r="H86" s="517"/>
      <c r="I86" s="410"/>
      <c r="J86" s="410"/>
      <c r="K86" s="410"/>
      <c r="L86" s="409"/>
      <c r="M86" s="46"/>
      <c r="N86" s="409"/>
      <c r="O86" s="46"/>
      <c r="P86" s="410"/>
      <c r="Q86" s="410"/>
      <c r="R86" s="410"/>
      <c r="S86" s="410"/>
      <c r="T86" s="410"/>
      <c r="U86" s="53"/>
      <c r="X86" s="176"/>
    </row>
    <row r="87" spans="1:24" ht="13.5" thickTop="1">
      <c r="A87" s="176"/>
      <c r="B87" s="176"/>
      <c r="C87" s="176"/>
      <c r="D87" s="176"/>
      <c r="E87" s="176"/>
      <c r="F87" s="176"/>
      <c r="G87" s="176"/>
      <c r="H87" s="176"/>
      <c r="I87" s="176"/>
      <c r="V87" s="176"/>
      <c r="W87" s="176"/>
      <c r="X87" s="176"/>
    </row>
    <row r="88" spans="1:24" ht="12.7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row>
    <row r="89" spans="1:24" ht="12.7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row>
  </sheetData>
  <sheetProtection password="CB61" sheet="1" objects="1" scenarios="1"/>
  <mergeCells count="2">
    <mergeCell ref="J1:L1"/>
    <mergeCell ref="D7:G7"/>
  </mergeCells>
  <printOptions horizontalCentered="1"/>
  <pageMargins left="0.7480314960629921" right="0.7480314960629921" top="0.3937007874015748" bottom="0.3937007874015748" header="0.11811023622047245" footer="0.11811023622047245"/>
  <pageSetup fitToHeight="1" fitToWidth="1" horizontalDpi="300" verticalDpi="300" orientation="portrait" scale="53" r:id="rId3"/>
  <colBreaks count="1" manualBreakCount="1">
    <brk id="8" max="65535" man="1"/>
  </colBreaks>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AA90"/>
  <sheetViews>
    <sheetView showGridLines="0" zoomScale="75" zoomScaleNormal="75" workbookViewId="0" topLeftCell="A76">
      <selection activeCell="N63" sqref="D17:N63"/>
    </sheetView>
  </sheetViews>
  <sheetFormatPr defaultColWidth="11.421875" defaultRowHeight="12.75"/>
  <cols>
    <col min="1" max="1" width="3.140625" style="0" customWidth="1"/>
    <col min="2" max="2" width="12.421875" style="0" customWidth="1"/>
    <col min="3" max="3" width="0.9921875" style="0" customWidth="1"/>
    <col min="4" max="4" width="15.28125" style="0" customWidth="1"/>
    <col min="5" max="5" width="0.9921875" style="0" customWidth="1"/>
    <col min="6" max="6" width="12.7109375" style="0" customWidth="1"/>
    <col min="7" max="7" width="0.9921875" style="0" customWidth="1"/>
    <col min="8" max="8" width="17.7109375" style="0" customWidth="1"/>
    <col min="9" max="9" width="0.9921875" style="0" customWidth="1"/>
    <col min="10" max="10" width="17.7109375" style="0" customWidth="1"/>
    <col min="11" max="11" width="0.9921875" style="0" customWidth="1"/>
    <col min="12" max="12" width="17.7109375" style="0" customWidth="1"/>
    <col min="13" max="13" width="0.9921875" style="0" customWidth="1"/>
    <col min="14" max="14" width="14.00390625" style="0" customWidth="1"/>
    <col min="15" max="15" width="0.9921875" style="0" customWidth="1"/>
    <col min="16" max="16" width="12.57421875" style="0" customWidth="1"/>
    <col min="17" max="17" width="0.9921875" style="0" customWidth="1"/>
    <col min="18" max="18" width="16.7109375" style="0" customWidth="1"/>
    <col min="19" max="19" width="0.9921875" style="0" customWidth="1"/>
    <col min="20" max="20" width="16.7109375" style="0" customWidth="1"/>
    <col min="21" max="21" width="1.57421875" style="0" customWidth="1"/>
    <col min="22" max="22" width="14.00390625" style="0" customWidth="1"/>
    <col min="23" max="23" width="2.00390625" style="0" customWidth="1"/>
    <col min="24" max="16384" width="9.140625" style="0" customWidth="1"/>
  </cols>
  <sheetData>
    <row r="1" spans="1:24" ht="24.75">
      <c r="A1" s="482"/>
      <c r="B1" s="483"/>
      <c r="C1" s="483"/>
      <c r="D1" s="484"/>
      <c r="E1" s="176"/>
      <c r="F1" s="176"/>
      <c r="G1" s="485"/>
      <c r="H1" s="485"/>
      <c r="I1" s="485"/>
      <c r="J1" s="983" t="s">
        <v>471</v>
      </c>
      <c r="K1" s="984"/>
      <c r="L1" s="985"/>
      <c r="M1" s="176"/>
      <c r="N1" s="176"/>
      <c r="O1" s="176"/>
      <c r="P1" s="176"/>
      <c r="Q1" s="176"/>
      <c r="R1" s="176"/>
      <c r="T1" s="176"/>
      <c r="U1" s="176"/>
      <c r="X1" s="176"/>
    </row>
    <row r="2" spans="1:24" ht="9.75" customHeight="1">
      <c r="A2" s="173"/>
      <c r="B2" s="173"/>
      <c r="C2" s="173"/>
      <c r="D2" s="173"/>
      <c r="E2" s="173"/>
      <c r="F2" s="173"/>
      <c r="G2" s="173"/>
      <c r="H2" s="173"/>
      <c r="I2" s="173"/>
      <c r="J2" s="173"/>
      <c r="K2" s="173"/>
      <c r="L2" s="176"/>
      <c r="M2" s="173"/>
      <c r="N2" s="173"/>
      <c r="O2" s="173"/>
      <c r="P2" s="173"/>
      <c r="Q2" s="173"/>
      <c r="R2" s="173"/>
      <c r="S2" s="173"/>
      <c r="T2" s="173"/>
      <c r="U2" s="173"/>
      <c r="V2" s="173"/>
      <c r="W2" s="173"/>
      <c r="X2" s="176"/>
    </row>
    <row r="3" spans="1:24" ht="20.25">
      <c r="A3" s="177"/>
      <c r="B3" s="173"/>
      <c r="C3" s="176"/>
      <c r="D3" s="176"/>
      <c r="E3" s="173"/>
      <c r="F3" s="176"/>
      <c r="G3" s="173"/>
      <c r="H3" s="176"/>
      <c r="I3" s="178"/>
      <c r="J3" s="346" t="s">
        <v>401</v>
      </c>
      <c r="K3" s="178"/>
      <c r="L3" s="176"/>
      <c r="M3" s="176"/>
      <c r="N3" s="176"/>
      <c r="O3" s="176"/>
      <c r="P3" s="176"/>
      <c r="Q3" s="176"/>
      <c r="R3" s="176"/>
      <c r="S3" s="176"/>
      <c r="T3" s="176"/>
      <c r="U3" s="176"/>
      <c r="V3" s="176"/>
      <c r="W3" s="173"/>
      <c r="X3" s="176"/>
    </row>
    <row r="4" spans="1:24" ht="7.5" customHeight="1">
      <c r="A4" s="177"/>
      <c r="B4" s="173"/>
      <c r="C4" s="486"/>
      <c r="D4" s="176"/>
      <c r="E4" s="173"/>
      <c r="F4" s="176"/>
      <c r="G4" s="173"/>
      <c r="H4" s="176"/>
      <c r="I4" s="178"/>
      <c r="J4" s="178"/>
      <c r="K4" s="178"/>
      <c r="L4" s="176"/>
      <c r="M4" s="176"/>
      <c r="N4" s="176"/>
      <c r="O4" s="176"/>
      <c r="P4" s="176"/>
      <c r="Q4" s="176"/>
      <c r="R4" s="176"/>
      <c r="S4" s="176"/>
      <c r="T4" s="176"/>
      <c r="U4" s="176"/>
      <c r="V4" s="176"/>
      <c r="W4" s="173"/>
      <c r="X4" s="176"/>
    </row>
    <row r="5" spans="1:24" ht="6" customHeight="1">
      <c r="A5" s="177"/>
      <c r="B5" s="173"/>
      <c r="C5" s="179"/>
      <c r="D5" s="347"/>
      <c r="E5" s="173"/>
      <c r="F5" s="176"/>
      <c r="G5" s="176"/>
      <c r="H5" s="176"/>
      <c r="I5" s="178"/>
      <c r="J5" s="178"/>
      <c r="K5" s="178"/>
      <c r="L5" s="176"/>
      <c r="M5" s="176"/>
      <c r="N5" s="176"/>
      <c r="O5" s="176"/>
      <c r="P5" s="176"/>
      <c r="Q5" s="176"/>
      <c r="R5" s="176"/>
      <c r="S5" s="176"/>
      <c r="T5" s="176"/>
      <c r="U5" s="176"/>
      <c r="V5" s="176"/>
      <c r="W5" s="173"/>
      <c r="X5" s="176"/>
    </row>
    <row r="6" spans="1:24" ht="3.75" customHeight="1">
      <c r="A6" s="177"/>
      <c r="B6" s="173"/>
      <c r="C6" s="179"/>
      <c r="D6" s="347"/>
      <c r="E6" s="173"/>
      <c r="F6" s="176"/>
      <c r="G6" s="176"/>
      <c r="H6" s="176"/>
      <c r="I6" s="178"/>
      <c r="J6" s="178"/>
      <c r="K6" s="178"/>
      <c r="L6" s="176"/>
      <c r="M6" s="176"/>
      <c r="N6" s="176"/>
      <c r="O6" s="176"/>
      <c r="P6" s="176"/>
      <c r="Q6" s="176"/>
      <c r="R6" s="176"/>
      <c r="S6" s="176"/>
      <c r="T6" s="176"/>
      <c r="U6" s="176"/>
      <c r="V6" s="176"/>
      <c r="W6" s="173"/>
      <c r="X6" s="176"/>
    </row>
    <row r="7" spans="1:24" ht="16.5" customHeight="1">
      <c r="A7" s="177"/>
      <c r="B7" s="351" t="s">
        <v>458</v>
      </c>
      <c r="C7" s="176"/>
      <c r="D7" s="986"/>
      <c r="E7" s="987"/>
      <c r="F7" s="987"/>
      <c r="G7" s="987"/>
      <c r="H7" s="230" t="s">
        <v>288</v>
      </c>
      <c r="I7" s="173"/>
      <c r="J7" s="487"/>
      <c r="K7" s="176"/>
      <c r="L7" s="176"/>
      <c r="M7" s="176"/>
      <c r="N7" s="348" t="s">
        <v>289</v>
      </c>
      <c r="O7" s="176"/>
      <c r="P7" s="349"/>
      <c r="Q7" s="176"/>
      <c r="R7" s="264" t="s">
        <v>290</v>
      </c>
      <c r="S7" s="176"/>
      <c r="T7" s="349"/>
      <c r="U7" s="176"/>
      <c r="V7" s="176"/>
      <c r="W7" s="173"/>
      <c r="X7" s="176"/>
    </row>
    <row r="8" spans="1:24" ht="12" customHeight="1">
      <c r="A8" s="177"/>
      <c r="B8" s="179"/>
      <c r="C8" s="176"/>
      <c r="D8" s="173"/>
      <c r="E8" s="350" t="s">
        <v>291</v>
      </c>
      <c r="F8" s="173"/>
      <c r="G8" s="177"/>
      <c r="H8" s="351" t="s">
        <v>292</v>
      </c>
      <c r="I8" s="173"/>
      <c r="J8" s="352" t="s">
        <v>293</v>
      </c>
      <c r="K8" s="176"/>
      <c r="L8" s="176"/>
      <c r="M8" s="176"/>
      <c r="N8" s="353" t="s">
        <v>294</v>
      </c>
      <c r="O8" s="354"/>
      <c r="P8" s="354" t="s">
        <v>295</v>
      </c>
      <c r="Q8" s="176"/>
      <c r="R8" s="355" t="s">
        <v>296</v>
      </c>
      <c r="S8" s="176"/>
      <c r="T8" s="354" t="s">
        <v>297</v>
      </c>
      <c r="U8" s="176"/>
      <c r="V8" s="176"/>
      <c r="W8" s="173"/>
      <c r="X8" s="176"/>
    </row>
    <row r="9" spans="1:24" ht="9" customHeight="1" thickBot="1">
      <c r="A9" s="180"/>
      <c r="B9" s="180"/>
      <c r="C9" s="180"/>
      <c r="D9" s="180"/>
      <c r="E9" s="180"/>
      <c r="F9" s="180"/>
      <c r="G9" s="180"/>
      <c r="H9" s="180"/>
      <c r="I9" s="180"/>
      <c r="J9" s="180"/>
      <c r="K9" s="180"/>
      <c r="L9" s="356"/>
      <c r="M9" s="180"/>
      <c r="N9" s="180"/>
      <c r="O9" s="180"/>
      <c r="P9" s="180"/>
      <c r="Q9" s="180"/>
      <c r="R9" s="180"/>
      <c r="S9" s="180"/>
      <c r="T9" s="180"/>
      <c r="U9" s="180"/>
      <c r="X9" s="176"/>
    </row>
    <row r="10" spans="1:24" ht="4.5" customHeight="1" thickTop="1">
      <c r="A10" s="6"/>
      <c r="B10" s="7"/>
      <c r="C10" s="7"/>
      <c r="D10" s="7"/>
      <c r="E10" s="7"/>
      <c r="F10" s="7"/>
      <c r="G10" s="7"/>
      <c r="H10" s="7"/>
      <c r="I10" s="7"/>
      <c r="J10" s="7"/>
      <c r="K10" s="7"/>
      <c r="L10" s="7"/>
      <c r="M10" s="7"/>
      <c r="N10" s="7"/>
      <c r="O10" s="7"/>
      <c r="P10" s="7"/>
      <c r="Q10" s="7"/>
      <c r="R10" s="7"/>
      <c r="S10" s="7"/>
      <c r="T10" s="7"/>
      <c r="U10" s="12"/>
      <c r="X10" s="176"/>
    </row>
    <row r="11" spans="1:24" ht="14.25" customHeight="1">
      <c r="A11" s="131" t="s">
        <v>298</v>
      </c>
      <c r="B11" s="7"/>
      <c r="C11" s="7"/>
      <c r="D11" s="7"/>
      <c r="E11" s="7"/>
      <c r="F11" s="7"/>
      <c r="G11" s="7"/>
      <c r="H11" s="7"/>
      <c r="I11" s="7"/>
      <c r="J11" s="7"/>
      <c r="K11" s="7"/>
      <c r="L11" s="7"/>
      <c r="M11" s="7"/>
      <c r="N11" s="7"/>
      <c r="O11" s="7"/>
      <c r="P11" s="7"/>
      <c r="Q11" s="7"/>
      <c r="R11" s="7"/>
      <c r="S11" s="7"/>
      <c r="T11" s="7"/>
      <c r="U11" s="12"/>
      <c r="X11" s="176"/>
    </row>
    <row r="12" spans="1:24" ht="4.5" customHeight="1">
      <c r="A12" s="18"/>
      <c r="B12" s="19"/>
      <c r="C12" s="19"/>
      <c r="D12" s="19"/>
      <c r="E12" s="19"/>
      <c r="F12" s="19"/>
      <c r="G12" s="19"/>
      <c r="H12" s="19"/>
      <c r="I12" s="19"/>
      <c r="J12" s="19"/>
      <c r="K12" s="19"/>
      <c r="L12" s="19"/>
      <c r="M12" s="19"/>
      <c r="N12" s="19"/>
      <c r="O12" s="19"/>
      <c r="P12" s="19"/>
      <c r="Q12" s="19"/>
      <c r="R12" s="19"/>
      <c r="S12" s="19"/>
      <c r="T12" s="19"/>
      <c r="U12" s="27"/>
      <c r="X12" s="176"/>
    </row>
    <row r="13" spans="1:24" ht="12.75" customHeight="1">
      <c r="A13" s="76"/>
      <c r="B13" s="357"/>
      <c r="C13" s="7"/>
      <c r="D13" s="7"/>
      <c r="E13" s="59"/>
      <c r="F13" s="60" t="s">
        <v>110</v>
      </c>
      <c r="G13" s="59"/>
      <c r="H13" s="66" t="s">
        <v>299</v>
      </c>
      <c r="I13" s="19"/>
      <c r="J13" s="19"/>
      <c r="K13" s="19"/>
      <c r="L13" s="67"/>
      <c r="M13" s="63"/>
      <c r="N13" s="60" t="s">
        <v>300</v>
      </c>
      <c r="O13" s="59" t="s">
        <v>74</v>
      </c>
      <c r="P13" s="125" t="s">
        <v>301</v>
      </c>
      <c r="Q13" s="59"/>
      <c r="R13" s="66" t="s">
        <v>302</v>
      </c>
      <c r="S13" s="66"/>
      <c r="T13" s="358"/>
      <c r="U13" s="27"/>
      <c r="X13" s="176"/>
    </row>
    <row r="14" spans="1:27" ht="15.75" customHeight="1">
      <c r="A14" s="47"/>
      <c r="B14" s="124" t="s">
        <v>303</v>
      </c>
      <c r="C14" s="7"/>
      <c r="D14" s="7"/>
      <c r="E14" s="59"/>
      <c r="F14" s="60" t="s">
        <v>304</v>
      </c>
      <c r="G14" s="59"/>
      <c r="H14" s="16" t="s">
        <v>109</v>
      </c>
      <c r="I14" s="59"/>
      <c r="J14" s="40" t="s">
        <v>326</v>
      </c>
      <c r="K14" s="59"/>
      <c r="L14" s="60" t="s">
        <v>327</v>
      </c>
      <c r="M14" s="59"/>
      <c r="N14" s="44" t="s">
        <v>305</v>
      </c>
      <c r="O14" s="59"/>
      <c r="P14" s="7" t="s">
        <v>306</v>
      </c>
      <c r="Q14" s="59"/>
      <c r="R14" s="41" t="s">
        <v>307</v>
      </c>
      <c r="S14" s="61"/>
      <c r="T14" s="41" t="s">
        <v>331</v>
      </c>
      <c r="U14" s="12"/>
      <c r="X14" s="176"/>
      <c r="AA14" s="359"/>
    </row>
    <row r="15" spans="1:27" ht="12.75" customHeight="1">
      <c r="A15" s="76"/>
      <c r="B15" s="360"/>
      <c r="C15" s="7"/>
      <c r="D15" s="7"/>
      <c r="E15" s="59"/>
      <c r="F15" s="14" t="s">
        <v>308</v>
      </c>
      <c r="G15" s="59"/>
      <c r="H15" s="361" t="s">
        <v>309</v>
      </c>
      <c r="I15" s="59"/>
      <c r="J15" s="361" t="s">
        <v>309</v>
      </c>
      <c r="K15" s="59"/>
      <c r="L15" s="361" t="s">
        <v>309</v>
      </c>
      <c r="M15" s="59"/>
      <c r="N15" s="33" t="s">
        <v>388</v>
      </c>
      <c r="O15" s="59"/>
      <c r="P15" s="362"/>
      <c r="Q15" s="59"/>
      <c r="R15" s="362"/>
      <c r="S15" s="363"/>
      <c r="T15" s="362"/>
      <c r="U15" s="12"/>
      <c r="X15" s="176"/>
      <c r="AA15" s="359"/>
    </row>
    <row r="16" spans="1:27" ht="12.75" customHeight="1">
      <c r="A16" s="364"/>
      <c r="B16" s="365">
        <v>5</v>
      </c>
      <c r="C16" s="19"/>
      <c r="D16" s="19"/>
      <c r="E16" s="63"/>
      <c r="F16" s="71">
        <v>6</v>
      </c>
      <c r="G16" s="72">
        <v>1</v>
      </c>
      <c r="H16" s="71">
        <v>7</v>
      </c>
      <c r="I16" s="63"/>
      <c r="J16" s="71">
        <v>8</v>
      </c>
      <c r="K16" s="63"/>
      <c r="L16" s="415" t="s">
        <v>328</v>
      </c>
      <c r="M16" s="111"/>
      <c r="N16" s="71">
        <v>10</v>
      </c>
      <c r="O16" s="111"/>
      <c r="P16" s="71">
        <v>11</v>
      </c>
      <c r="Q16" s="68"/>
      <c r="R16" s="105" t="s">
        <v>310</v>
      </c>
      <c r="S16" s="72"/>
      <c r="T16" s="105" t="s">
        <v>332</v>
      </c>
      <c r="U16" s="27"/>
      <c r="X16" s="176"/>
      <c r="AA16" s="359"/>
    </row>
    <row r="17" spans="1:27" ht="19.5" customHeight="1">
      <c r="A17" s="366">
        <v>1</v>
      </c>
      <c r="B17" s="260"/>
      <c r="C17" s="260"/>
      <c r="D17" s="260"/>
      <c r="E17" s="284"/>
      <c r="F17" s="132"/>
      <c r="G17" s="284"/>
      <c r="H17" s="424"/>
      <c r="I17" s="296"/>
      <c r="J17" s="522">
        <f>+H17*0.3</f>
        <v>0</v>
      </c>
      <c r="K17" s="296"/>
      <c r="L17" s="416">
        <f aca="true" t="shared" si="0" ref="L17:L26">H17-J17</f>
        <v>0</v>
      </c>
      <c r="M17" s="111"/>
      <c r="N17" s="367"/>
      <c r="O17" s="111"/>
      <c r="P17" s="368"/>
      <c r="Q17" s="68"/>
      <c r="R17" s="488">
        <f aca="true" t="shared" si="1" ref="R17:R26">(H17*$T$7)*(N17-P17)</f>
        <v>0</v>
      </c>
      <c r="S17" s="489"/>
      <c r="T17" s="488">
        <f aca="true" t="shared" si="2" ref="T17:T26">(L17*$T$7)*(N17-P17)</f>
        <v>0</v>
      </c>
      <c r="U17" s="27"/>
      <c r="X17" s="176"/>
      <c r="AA17" s="359"/>
    </row>
    <row r="18" spans="1:24" ht="19.5" customHeight="1">
      <c r="A18" s="366">
        <v>2</v>
      </c>
      <c r="B18" s="260"/>
      <c r="C18" s="260"/>
      <c r="D18" s="260"/>
      <c r="E18" s="284"/>
      <c r="F18" s="132"/>
      <c r="G18" s="284"/>
      <c r="H18" s="424"/>
      <c r="I18" s="296"/>
      <c r="J18" s="522"/>
      <c r="K18" s="296"/>
      <c r="L18" s="416">
        <f t="shared" si="0"/>
        <v>0</v>
      </c>
      <c r="M18" s="111"/>
      <c r="N18" s="367"/>
      <c r="O18" s="111"/>
      <c r="P18" s="368"/>
      <c r="Q18" s="68"/>
      <c r="R18" s="488">
        <f t="shared" si="1"/>
        <v>0</v>
      </c>
      <c r="S18" s="489"/>
      <c r="T18" s="488">
        <f t="shared" si="2"/>
        <v>0</v>
      </c>
      <c r="U18" s="107"/>
      <c r="X18" s="176"/>
    </row>
    <row r="19" spans="1:24" ht="19.5" customHeight="1">
      <c r="A19" s="366">
        <v>3</v>
      </c>
      <c r="B19" s="260"/>
      <c r="C19" s="260"/>
      <c r="D19" s="260"/>
      <c r="E19" s="284"/>
      <c r="F19" s="132"/>
      <c r="G19" s="284"/>
      <c r="H19" s="424"/>
      <c r="I19" s="296"/>
      <c r="J19" s="522"/>
      <c r="K19" s="296"/>
      <c r="L19" s="416">
        <f t="shared" si="0"/>
        <v>0</v>
      </c>
      <c r="M19" s="111"/>
      <c r="N19" s="367"/>
      <c r="O19" s="111"/>
      <c r="P19" s="368"/>
      <c r="Q19" s="68"/>
      <c r="R19" s="488">
        <f t="shared" si="1"/>
        <v>0</v>
      </c>
      <c r="S19" s="489"/>
      <c r="T19" s="488">
        <f t="shared" si="2"/>
        <v>0</v>
      </c>
      <c r="U19" s="107"/>
      <c r="X19" s="176"/>
    </row>
    <row r="20" spans="1:24" ht="19.5" customHeight="1">
      <c r="A20" s="366">
        <v>4</v>
      </c>
      <c r="B20" s="622"/>
      <c r="C20" s="260"/>
      <c r="D20" s="260"/>
      <c r="E20" s="284"/>
      <c r="F20" s="132"/>
      <c r="G20" s="284"/>
      <c r="H20" s="424"/>
      <c r="I20" s="296"/>
      <c r="J20" s="522"/>
      <c r="K20" s="296"/>
      <c r="L20" s="416">
        <f t="shared" si="0"/>
        <v>0</v>
      </c>
      <c r="M20" s="111"/>
      <c r="N20" s="367"/>
      <c r="O20" s="111"/>
      <c r="P20" s="368"/>
      <c r="Q20" s="68"/>
      <c r="R20" s="488">
        <f t="shared" si="1"/>
        <v>0</v>
      </c>
      <c r="S20" s="489"/>
      <c r="T20" s="488">
        <f t="shared" si="2"/>
        <v>0</v>
      </c>
      <c r="U20" s="107"/>
      <c r="X20" s="176"/>
    </row>
    <row r="21" spans="1:24" ht="19.5" customHeight="1">
      <c r="A21" s="366">
        <v>5</v>
      </c>
      <c r="B21" s="260"/>
      <c r="C21" s="260"/>
      <c r="D21" s="260"/>
      <c r="E21" s="284"/>
      <c r="F21" s="132"/>
      <c r="G21" s="284"/>
      <c r="H21" s="424"/>
      <c r="I21" s="296"/>
      <c r="J21" s="522"/>
      <c r="K21" s="296"/>
      <c r="L21" s="416">
        <f t="shared" si="0"/>
        <v>0</v>
      </c>
      <c r="M21" s="111"/>
      <c r="N21" s="367"/>
      <c r="O21" s="111"/>
      <c r="P21" s="368"/>
      <c r="Q21" s="68"/>
      <c r="R21" s="488">
        <f t="shared" si="1"/>
        <v>0</v>
      </c>
      <c r="S21" s="489"/>
      <c r="T21" s="488">
        <f t="shared" si="2"/>
        <v>0</v>
      </c>
      <c r="U21" s="107"/>
      <c r="X21" s="176"/>
    </row>
    <row r="22" spans="1:24" ht="19.5" customHeight="1">
      <c r="A22" s="366">
        <v>6</v>
      </c>
      <c r="B22" s="260"/>
      <c r="C22" s="260"/>
      <c r="D22" s="623"/>
      <c r="E22" s="284"/>
      <c r="F22" s="132"/>
      <c r="G22" s="284"/>
      <c r="H22" s="424"/>
      <c r="I22" s="296"/>
      <c r="J22" s="522"/>
      <c r="K22" s="296"/>
      <c r="L22" s="416">
        <f t="shared" si="0"/>
        <v>0</v>
      </c>
      <c r="M22" s="111"/>
      <c r="N22" s="367"/>
      <c r="O22" s="111"/>
      <c r="P22" s="368"/>
      <c r="Q22" s="68"/>
      <c r="R22" s="488">
        <f t="shared" si="1"/>
        <v>0</v>
      </c>
      <c r="S22" s="489"/>
      <c r="T22" s="488">
        <f t="shared" si="2"/>
        <v>0</v>
      </c>
      <c r="U22" s="107"/>
      <c r="X22" s="176"/>
    </row>
    <row r="23" spans="1:24" ht="19.5" customHeight="1">
      <c r="A23" s="366">
        <v>7</v>
      </c>
      <c r="B23" s="260"/>
      <c r="C23" s="260"/>
      <c r="D23" s="623"/>
      <c r="E23" s="284"/>
      <c r="F23" s="132"/>
      <c r="G23" s="284"/>
      <c r="H23" s="424"/>
      <c r="I23" s="296"/>
      <c r="J23" s="522"/>
      <c r="K23" s="296"/>
      <c r="L23" s="416">
        <f t="shared" si="0"/>
        <v>0</v>
      </c>
      <c r="M23" s="111"/>
      <c r="N23" s="367"/>
      <c r="O23" s="111"/>
      <c r="P23" s="368"/>
      <c r="Q23" s="68"/>
      <c r="R23" s="488">
        <f t="shared" si="1"/>
        <v>0</v>
      </c>
      <c r="S23" s="489"/>
      <c r="T23" s="488">
        <f t="shared" si="2"/>
        <v>0</v>
      </c>
      <c r="U23" s="107"/>
      <c r="X23" s="176"/>
    </row>
    <row r="24" spans="1:24" ht="19.5" customHeight="1">
      <c r="A24" s="366">
        <v>8</v>
      </c>
      <c r="B24" s="260"/>
      <c r="C24" s="260"/>
      <c r="D24" s="623"/>
      <c r="E24" s="284"/>
      <c r="F24" s="132"/>
      <c r="G24" s="284"/>
      <c r="H24" s="424"/>
      <c r="I24" s="296"/>
      <c r="J24" s="522"/>
      <c r="K24" s="296"/>
      <c r="L24" s="416">
        <f t="shared" si="0"/>
        <v>0</v>
      </c>
      <c r="M24" s="111"/>
      <c r="N24" s="367"/>
      <c r="O24" s="111"/>
      <c r="P24" s="368"/>
      <c r="Q24" s="68"/>
      <c r="R24" s="488">
        <f t="shared" si="1"/>
        <v>0</v>
      </c>
      <c r="S24" s="489"/>
      <c r="T24" s="488">
        <f t="shared" si="2"/>
        <v>0</v>
      </c>
      <c r="U24" s="107"/>
      <c r="X24" s="176"/>
    </row>
    <row r="25" spans="1:24" ht="19.5" customHeight="1">
      <c r="A25" s="366">
        <v>9</v>
      </c>
      <c r="B25" s="260"/>
      <c r="C25" s="260"/>
      <c r="D25" s="623"/>
      <c r="E25" s="284"/>
      <c r="F25" s="132"/>
      <c r="G25" s="284"/>
      <c r="H25" s="424"/>
      <c r="I25" s="296"/>
      <c r="J25" s="522"/>
      <c r="K25" s="296"/>
      <c r="L25" s="416">
        <f t="shared" si="0"/>
        <v>0</v>
      </c>
      <c r="M25" s="111"/>
      <c r="N25" s="367"/>
      <c r="O25" s="111"/>
      <c r="P25" s="368"/>
      <c r="Q25" s="68"/>
      <c r="R25" s="488">
        <f t="shared" si="1"/>
        <v>0</v>
      </c>
      <c r="S25" s="489"/>
      <c r="T25" s="488">
        <f t="shared" si="2"/>
        <v>0</v>
      </c>
      <c r="U25" s="107"/>
      <c r="X25" s="176"/>
    </row>
    <row r="26" spans="1:24" ht="19.5" customHeight="1" thickBot="1">
      <c r="A26" s="366">
        <v>10</v>
      </c>
      <c r="B26" s="260"/>
      <c r="C26" s="260"/>
      <c r="D26" s="623"/>
      <c r="E26" s="284"/>
      <c r="F26" s="132"/>
      <c r="G26" s="284"/>
      <c r="H26" s="424"/>
      <c r="I26" s="296"/>
      <c r="J26" s="522"/>
      <c r="K26" s="296"/>
      <c r="L26" s="416">
        <f t="shared" si="0"/>
        <v>0</v>
      </c>
      <c r="M26" s="111"/>
      <c r="N26" s="367"/>
      <c r="O26" s="111"/>
      <c r="P26" s="368"/>
      <c r="Q26" s="68"/>
      <c r="R26" s="488">
        <f t="shared" si="1"/>
        <v>0</v>
      </c>
      <c r="S26" s="489"/>
      <c r="T26" s="488">
        <f t="shared" si="2"/>
        <v>0</v>
      </c>
      <c r="U26" s="107"/>
      <c r="X26" s="176"/>
    </row>
    <row r="27" spans="1:27" ht="16.5" customHeight="1">
      <c r="A27" s="369"/>
      <c r="B27" s="15"/>
      <c r="C27" s="7"/>
      <c r="D27" s="7" t="s">
        <v>311</v>
      </c>
      <c r="E27" s="59"/>
      <c r="F27" s="370"/>
      <c r="G27" s="370"/>
      <c r="H27" s="371"/>
      <c r="I27" s="370"/>
      <c r="J27" s="372"/>
      <c r="K27" s="370"/>
      <c r="L27" s="373"/>
      <c r="M27" s="370"/>
      <c r="N27" s="370"/>
      <c r="O27" s="370"/>
      <c r="P27" s="2"/>
      <c r="Q27" s="374"/>
      <c r="R27" s="490">
        <f>SUM(R17:R26)</f>
        <v>0</v>
      </c>
      <c r="S27" s="491"/>
      <c r="T27" s="492">
        <f>SUM(T17:T26)</f>
        <v>0</v>
      </c>
      <c r="U27" s="419"/>
      <c r="X27" s="176"/>
      <c r="AA27" s="359"/>
    </row>
    <row r="28" spans="1:27" ht="2.25" customHeight="1" thickBot="1">
      <c r="A28" s="375"/>
      <c r="B28" s="46"/>
      <c r="C28" s="46"/>
      <c r="D28" s="46"/>
      <c r="E28" s="376"/>
      <c r="F28" s="239"/>
      <c r="G28" s="239"/>
      <c r="H28" s="239"/>
      <c r="I28" s="239"/>
      <c r="J28" s="239"/>
      <c r="K28" s="239"/>
      <c r="L28" s="239"/>
      <c r="M28" s="239"/>
      <c r="N28" s="239"/>
      <c r="O28" s="239"/>
      <c r="P28" s="239"/>
      <c r="Q28" s="377"/>
      <c r="R28" s="378"/>
      <c r="S28" s="376"/>
      <c r="T28" s="420"/>
      <c r="U28" s="493"/>
      <c r="X28" s="176"/>
      <c r="AA28" s="359"/>
    </row>
    <row r="29" spans="1:27" ht="6.75" customHeight="1" thickTop="1">
      <c r="A29" s="17"/>
      <c r="B29" s="7"/>
      <c r="C29" s="7"/>
      <c r="D29" s="7"/>
      <c r="E29" s="7"/>
      <c r="F29" s="7"/>
      <c r="G29" s="7"/>
      <c r="H29" s="7"/>
      <c r="I29" s="7"/>
      <c r="J29" s="7"/>
      <c r="K29" s="7"/>
      <c r="L29" s="7"/>
      <c r="M29" s="7"/>
      <c r="N29" s="7"/>
      <c r="O29" s="7"/>
      <c r="P29" s="7"/>
      <c r="Q29" s="7"/>
      <c r="R29" s="7"/>
      <c r="S29" s="7"/>
      <c r="T29" s="7"/>
      <c r="U29" s="12"/>
      <c r="X29" s="176"/>
      <c r="AA29" s="359"/>
    </row>
    <row r="30" spans="1:27" ht="15" customHeight="1">
      <c r="A30" s="76" t="s">
        <v>312</v>
      </c>
      <c r="B30" s="7"/>
      <c r="C30" s="7"/>
      <c r="D30" s="7"/>
      <c r="E30" s="7"/>
      <c r="F30" s="7"/>
      <c r="G30" s="7"/>
      <c r="H30" s="7"/>
      <c r="I30" s="7"/>
      <c r="J30" s="7"/>
      <c r="K30" s="7"/>
      <c r="L30" s="7"/>
      <c r="M30" s="7"/>
      <c r="N30" s="7"/>
      <c r="O30" s="7"/>
      <c r="P30" s="7"/>
      <c r="Q30" s="7"/>
      <c r="R30" s="7"/>
      <c r="S30" s="7"/>
      <c r="T30" s="7"/>
      <c r="U30" s="12"/>
      <c r="X30" s="176"/>
      <c r="AA30" s="359"/>
    </row>
    <row r="31" spans="1:27" ht="3" customHeight="1">
      <c r="A31" s="25"/>
      <c r="B31" s="19"/>
      <c r="C31" s="19"/>
      <c r="D31" s="19"/>
      <c r="E31" s="19"/>
      <c r="F31" s="19"/>
      <c r="G31" s="19"/>
      <c r="H31" s="19"/>
      <c r="I31" s="19"/>
      <c r="J31" s="19"/>
      <c r="K31" s="19"/>
      <c r="L31" s="19"/>
      <c r="M31" s="19"/>
      <c r="N31" s="19"/>
      <c r="O31" s="19"/>
      <c r="P31" s="19"/>
      <c r="Q31" s="19"/>
      <c r="R31" s="19"/>
      <c r="S31" s="19"/>
      <c r="T31" s="19"/>
      <c r="U31" s="27"/>
      <c r="X31" s="176"/>
      <c r="AA31" s="359"/>
    </row>
    <row r="32" spans="1:24" ht="12.75" customHeight="1">
      <c r="A32" s="76"/>
      <c r="B32" s="357"/>
      <c r="C32" s="7"/>
      <c r="D32" s="7"/>
      <c r="E32" s="59"/>
      <c r="F32" s="60" t="s">
        <v>110</v>
      </c>
      <c r="G32" s="59"/>
      <c r="H32" s="66" t="s">
        <v>389</v>
      </c>
      <c r="I32" s="19"/>
      <c r="J32" s="19"/>
      <c r="K32" s="19"/>
      <c r="L32" s="67"/>
      <c r="M32" s="63"/>
      <c r="N32" s="98" t="s">
        <v>313</v>
      </c>
      <c r="O32" s="133"/>
      <c r="P32" s="15" t="s">
        <v>301</v>
      </c>
      <c r="Q32" s="59"/>
      <c r="R32" s="67" t="s">
        <v>314</v>
      </c>
      <c r="S32" s="67"/>
      <c r="T32" s="19"/>
      <c r="U32" s="27"/>
      <c r="X32" s="176"/>
    </row>
    <row r="33" spans="1:24" ht="14.25" customHeight="1">
      <c r="A33" s="47"/>
      <c r="B33" s="124" t="s">
        <v>315</v>
      </c>
      <c r="C33" s="7"/>
      <c r="D33" s="7"/>
      <c r="E33" s="59"/>
      <c r="F33" s="60" t="s">
        <v>316</v>
      </c>
      <c r="G33" s="59"/>
      <c r="H33" s="16" t="s">
        <v>109</v>
      </c>
      <c r="I33" s="59"/>
      <c r="J33" s="417" t="s">
        <v>329</v>
      </c>
      <c r="K33" s="59"/>
      <c r="L33" s="60" t="s">
        <v>317</v>
      </c>
      <c r="M33" s="59"/>
      <c r="N33" s="44" t="s">
        <v>305</v>
      </c>
      <c r="O33" s="379"/>
      <c r="P33" s="7" t="s">
        <v>306</v>
      </c>
      <c r="Q33" s="59"/>
      <c r="R33" s="41" t="s">
        <v>307</v>
      </c>
      <c r="S33" s="61"/>
      <c r="T33" s="41" t="s">
        <v>331</v>
      </c>
      <c r="U33" s="12"/>
      <c r="X33" s="176"/>
    </row>
    <row r="34" spans="1:24" ht="14.25" customHeight="1">
      <c r="A34" s="76"/>
      <c r="B34" s="360"/>
      <c r="C34" s="7"/>
      <c r="D34" s="7"/>
      <c r="E34" s="59"/>
      <c r="F34" s="60" t="s">
        <v>317</v>
      </c>
      <c r="G34" s="59"/>
      <c r="H34" s="361" t="s">
        <v>318</v>
      </c>
      <c r="I34" s="59"/>
      <c r="J34" s="361" t="s">
        <v>318</v>
      </c>
      <c r="K34" s="59"/>
      <c r="L34" s="361" t="s">
        <v>318</v>
      </c>
      <c r="M34" s="59"/>
      <c r="N34" s="494" t="s">
        <v>390</v>
      </c>
      <c r="O34" s="363"/>
      <c r="P34" s="362"/>
      <c r="Q34" s="59"/>
      <c r="R34" s="362"/>
      <c r="S34" s="363"/>
      <c r="T34" s="362"/>
      <c r="U34" s="12"/>
      <c r="X34" s="176"/>
    </row>
    <row r="35" spans="1:24" ht="12" customHeight="1">
      <c r="A35" s="364"/>
      <c r="B35" s="365">
        <v>14</v>
      </c>
      <c r="C35" s="19"/>
      <c r="D35" s="19"/>
      <c r="E35" s="63"/>
      <c r="F35" s="71">
        <v>15</v>
      </c>
      <c r="G35" s="72"/>
      <c r="H35" s="71">
        <v>16</v>
      </c>
      <c r="I35" s="63"/>
      <c r="J35" s="71">
        <v>17</v>
      </c>
      <c r="K35" s="63"/>
      <c r="L35" s="415" t="s">
        <v>330</v>
      </c>
      <c r="M35" s="111"/>
      <c r="N35" s="105">
        <v>19</v>
      </c>
      <c r="O35" s="72"/>
      <c r="P35" s="105">
        <v>20</v>
      </c>
      <c r="Q35" s="380"/>
      <c r="R35" s="105" t="s">
        <v>319</v>
      </c>
      <c r="S35" s="72"/>
      <c r="T35" s="105" t="s">
        <v>333</v>
      </c>
      <c r="U35" s="27"/>
      <c r="X35" s="176"/>
    </row>
    <row r="36" spans="1:24" ht="4.5" customHeight="1">
      <c r="A36" s="6"/>
      <c r="B36" s="7"/>
      <c r="C36" s="7"/>
      <c r="D36" s="7"/>
      <c r="E36" s="59"/>
      <c r="F36" s="7"/>
      <c r="G36" s="59"/>
      <c r="H36" s="7"/>
      <c r="I36" s="59"/>
      <c r="J36" s="7"/>
      <c r="K36" s="59"/>
      <c r="L36" s="7"/>
      <c r="M36" s="59"/>
      <c r="N36" s="381"/>
      <c r="O36" s="59"/>
      <c r="P36" s="7"/>
      <c r="Q36" s="59"/>
      <c r="R36" s="7"/>
      <c r="S36" s="59"/>
      <c r="T36" s="7"/>
      <c r="U36" s="12"/>
      <c r="X36" s="176"/>
    </row>
    <row r="37" spans="1:24" ht="12.75">
      <c r="A37" s="6"/>
      <c r="B37" s="15" t="s">
        <v>320</v>
      </c>
      <c r="C37" s="7"/>
      <c r="D37" s="7"/>
      <c r="E37" s="59"/>
      <c r="F37" s="7"/>
      <c r="G37" s="59"/>
      <c r="H37" s="7"/>
      <c r="I37" s="59"/>
      <c r="J37" s="7"/>
      <c r="K37" s="59"/>
      <c r="L37" s="7"/>
      <c r="M37" s="59"/>
      <c r="N37" s="381"/>
      <c r="O37" s="59"/>
      <c r="P37" s="7"/>
      <c r="Q37" s="59"/>
      <c r="R37" s="7"/>
      <c r="S37" s="59"/>
      <c r="T37" s="7"/>
      <c r="U37" s="12"/>
      <c r="X37" s="176"/>
    </row>
    <row r="38" spans="1:24" ht="3.75" customHeight="1">
      <c r="A38" s="6"/>
      <c r="B38" s="7"/>
      <c r="C38" s="7"/>
      <c r="D38" s="7"/>
      <c r="E38" s="59"/>
      <c r="F38" s="33"/>
      <c r="G38" s="59"/>
      <c r="H38" s="382"/>
      <c r="I38" s="383"/>
      <c r="J38" s="384"/>
      <c r="K38" s="383"/>
      <c r="L38" s="406"/>
      <c r="M38" s="59"/>
      <c r="N38" s="381"/>
      <c r="O38" s="59"/>
      <c r="P38" s="384"/>
      <c r="Q38" s="383"/>
      <c r="R38" s="384"/>
      <c r="S38" s="383"/>
      <c r="T38" s="384"/>
      <c r="U38" s="12"/>
      <c r="X38" s="176"/>
    </row>
    <row r="39" spans="1:24" ht="19.5" customHeight="1">
      <c r="A39" s="18">
        <v>1</v>
      </c>
      <c r="B39" s="260"/>
      <c r="C39" s="260"/>
      <c r="D39" s="260"/>
      <c r="E39" s="284"/>
      <c r="F39" s="385"/>
      <c r="G39" s="284"/>
      <c r="H39" s="386"/>
      <c r="I39" s="495"/>
      <c r="J39" s="390"/>
      <c r="K39" s="387"/>
      <c r="L39" s="418">
        <f aca="true" t="shared" si="3" ref="L39:L58">H39-J39</f>
        <v>0</v>
      </c>
      <c r="M39" s="63"/>
      <c r="N39" s="388"/>
      <c r="O39" s="63"/>
      <c r="P39" s="388"/>
      <c r="Q39" s="387"/>
      <c r="R39" s="488">
        <f>(H39*$T$7)*(N39+P39)</f>
        <v>0</v>
      </c>
      <c r="S39" s="489"/>
      <c r="T39" s="488">
        <f>(L39*$T$7)*(N39+P39)</f>
        <v>0</v>
      </c>
      <c r="U39" s="27"/>
      <c r="X39" s="176"/>
    </row>
    <row r="40" spans="1:24" ht="19.5" customHeight="1">
      <c r="A40" s="18">
        <v>2</v>
      </c>
      <c r="B40" s="260"/>
      <c r="C40" s="260"/>
      <c r="D40" s="260"/>
      <c r="E40" s="284"/>
      <c r="F40" s="385"/>
      <c r="G40" s="284"/>
      <c r="H40" s="386"/>
      <c r="I40" s="495"/>
      <c r="J40" s="390"/>
      <c r="K40" s="387"/>
      <c r="L40" s="418">
        <f t="shared" si="3"/>
        <v>0</v>
      </c>
      <c r="M40" s="63"/>
      <c r="N40" s="388"/>
      <c r="O40" s="63"/>
      <c r="P40" s="388"/>
      <c r="Q40" s="387"/>
      <c r="R40" s="488">
        <f aca="true" t="shared" si="4" ref="R40:R47">(H40*$T$7)*(N40+P40)</f>
        <v>0</v>
      </c>
      <c r="S40" s="489"/>
      <c r="T40" s="488">
        <f aca="true" t="shared" si="5" ref="T40:T47">(L40*$T$7)*(N40+P40)</f>
        <v>0</v>
      </c>
      <c r="U40" s="27"/>
      <c r="X40" s="176"/>
    </row>
    <row r="41" spans="1:24" ht="19.5" customHeight="1">
      <c r="A41" s="18">
        <v>3</v>
      </c>
      <c r="B41" s="260"/>
      <c r="C41" s="260"/>
      <c r="D41" s="260"/>
      <c r="E41" s="284"/>
      <c r="F41" s="385"/>
      <c r="G41" s="284"/>
      <c r="H41" s="386"/>
      <c r="I41" s="495"/>
      <c r="J41" s="390"/>
      <c r="K41" s="387"/>
      <c r="L41" s="418">
        <f t="shared" si="3"/>
        <v>0</v>
      </c>
      <c r="M41" s="63"/>
      <c r="N41" s="388"/>
      <c r="O41" s="63"/>
      <c r="P41" s="388"/>
      <c r="Q41" s="387"/>
      <c r="R41" s="488">
        <f t="shared" si="4"/>
        <v>0</v>
      </c>
      <c r="S41" s="489"/>
      <c r="T41" s="488">
        <f t="shared" si="5"/>
        <v>0</v>
      </c>
      <c r="U41" s="27"/>
      <c r="X41" s="176"/>
    </row>
    <row r="42" spans="1:24" ht="19.5" customHeight="1">
      <c r="A42" s="18">
        <v>4</v>
      </c>
      <c r="B42" s="622"/>
      <c r="C42" s="260"/>
      <c r="D42" s="260"/>
      <c r="E42" s="284"/>
      <c r="F42" s="385"/>
      <c r="G42" s="284"/>
      <c r="H42" s="386"/>
      <c r="I42" s="495"/>
      <c r="J42" s="390"/>
      <c r="K42" s="387"/>
      <c r="L42" s="418">
        <f t="shared" si="3"/>
        <v>0</v>
      </c>
      <c r="M42" s="63"/>
      <c r="N42" s="388"/>
      <c r="O42" s="63"/>
      <c r="P42" s="388"/>
      <c r="Q42" s="387"/>
      <c r="R42" s="488">
        <f t="shared" si="4"/>
        <v>0</v>
      </c>
      <c r="S42" s="489"/>
      <c r="T42" s="488">
        <f t="shared" si="5"/>
        <v>0</v>
      </c>
      <c r="U42" s="27"/>
      <c r="X42" s="176"/>
    </row>
    <row r="43" spans="1:24" ht="19.5" customHeight="1">
      <c r="A43" s="18">
        <v>5</v>
      </c>
      <c r="B43" s="622"/>
      <c r="C43" s="260"/>
      <c r="D43" s="260"/>
      <c r="E43" s="284"/>
      <c r="F43" s="385"/>
      <c r="G43" s="284"/>
      <c r="H43" s="386"/>
      <c r="I43" s="495"/>
      <c r="J43" s="390"/>
      <c r="K43" s="387"/>
      <c r="L43" s="418">
        <f t="shared" si="3"/>
        <v>0</v>
      </c>
      <c r="M43" s="63"/>
      <c r="N43" s="388"/>
      <c r="O43" s="63"/>
      <c r="P43" s="388"/>
      <c r="Q43" s="387"/>
      <c r="R43" s="488">
        <f t="shared" si="4"/>
        <v>0</v>
      </c>
      <c r="S43" s="489"/>
      <c r="T43" s="488">
        <f t="shared" si="5"/>
        <v>0</v>
      </c>
      <c r="U43" s="27"/>
      <c r="X43" s="176"/>
    </row>
    <row r="44" spans="1:24" ht="19.5" customHeight="1">
      <c r="A44" s="18">
        <v>6</v>
      </c>
      <c r="B44" s="260"/>
      <c r="C44" s="260"/>
      <c r="D44" s="260"/>
      <c r="E44" s="284"/>
      <c r="F44" s="385"/>
      <c r="G44" s="284"/>
      <c r="H44" s="389"/>
      <c r="I44" s="495"/>
      <c r="J44" s="390"/>
      <c r="K44" s="387"/>
      <c r="L44" s="418">
        <f t="shared" si="3"/>
        <v>0</v>
      </c>
      <c r="M44" s="63"/>
      <c r="N44" s="388"/>
      <c r="O44" s="63"/>
      <c r="P44" s="390"/>
      <c r="Q44" s="387"/>
      <c r="R44" s="488">
        <f t="shared" si="4"/>
        <v>0</v>
      </c>
      <c r="S44" s="489"/>
      <c r="T44" s="488">
        <f t="shared" si="5"/>
        <v>0</v>
      </c>
      <c r="U44" s="27"/>
      <c r="X44" s="176"/>
    </row>
    <row r="45" spans="1:24" ht="19.5" customHeight="1">
      <c r="A45" s="18">
        <v>7</v>
      </c>
      <c r="B45" s="260"/>
      <c r="C45" s="260"/>
      <c r="D45" s="260"/>
      <c r="E45" s="284"/>
      <c r="F45" s="385"/>
      <c r="G45" s="284"/>
      <c r="H45" s="386"/>
      <c r="I45" s="495"/>
      <c r="J45" s="390"/>
      <c r="K45" s="387"/>
      <c r="L45" s="418">
        <f t="shared" si="3"/>
        <v>0</v>
      </c>
      <c r="M45" s="63"/>
      <c r="N45" s="388"/>
      <c r="O45" s="63"/>
      <c r="P45" s="388"/>
      <c r="Q45" s="387"/>
      <c r="R45" s="488">
        <f t="shared" si="4"/>
        <v>0</v>
      </c>
      <c r="S45" s="489"/>
      <c r="T45" s="488">
        <f t="shared" si="5"/>
        <v>0</v>
      </c>
      <c r="U45" s="27"/>
      <c r="X45" s="176"/>
    </row>
    <row r="46" spans="1:24" ht="19.5" customHeight="1">
      <c r="A46" s="18">
        <v>8</v>
      </c>
      <c r="B46" s="260"/>
      <c r="C46" s="260"/>
      <c r="D46" s="260"/>
      <c r="E46" s="284"/>
      <c r="F46" s="385"/>
      <c r="G46" s="284"/>
      <c r="H46" s="386"/>
      <c r="I46" s="495"/>
      <c r="J46" s="390"/>
      <c r="K46" s="387"/>
      <c r="L46" s="418">
        <f t="shared" si="3"/>
        <v>0</v>
      </c>
      <c r="M46" s="63"/>
      <c r="N46" s="388"/>
      <c r="O46" s="63"/>
      <c r="P46" s="388"/>
      <c r="Q46" s="387"/>
      <c r="R46" s="488">
        <f t="shared" si="4"/>
        <v>0</v>
      </c>
      <c r="S46" s="489"/>
      <c r="T46" s="488">
        <f t="shared" si="5"/>
        <v>0</v>
      </c>
      <c r="U46" s="27"/>
      <c r="X46" s="176"/>
    </row>
    <row r="47" spans="1:24" ht="19.5" customHeight="1">
      <c r="A47" s="18">
        <v>9</v>
      </c>
      <c r="B47" s="622"/>
      <c r="C47" s="260"/>
      <c r="D47" s="260"/>
      <c r="E47" s="284"/>
      <c r="F47" s="385"/>
      <c r="G47" s="284"/>
      <c r="H47" s="386"/>
      <c r="I47" s="495"/>
      <c r="J47" s="390"/>
      <c r="K47" s="387"/>
      <c r="L47" s="418">
        <f t="shared" si="3"/>
        <v>0</v>
      </c>
      <c r="M47" s="63"/>
      <c r="N47" s="388"/>
      <c r="O47" s="63"/>
      <c r="P47" s="388"/>
      <c r="Q47" s="387"/>
      <c r="R47" s="488">
        <f t="shared" si="4"/>
        <v>0</v>
      </c>
      <c r="S47" s="489"/>
      <c r="T47" s="488">
        <f t="shared" si="5"/>
        <v>0</v>
      </c>
      <c r="U47" s="27"/>
      <c r="X47" s="176"/>
    </row>
    <row r="48" spans="1:24" ht="19.5" customHeight="1">
      <c r="A48" s="18">
        <v>10</v>
      </c>
      <c r="B48" s="260"/>
      <c r="C48" s="260"/>
      <c r="D48" s="260"/>
      <c r="E48" s="284"/>
      <c r="F48" s="385"/>
      <c r="G48" s="284"/>
      <c r="H48" s="386"/>
      <c r="I48" s="495"/>
      <c r="J48" s="390"/>
      <c r="K48" s="387"/>
      <c r="L48" s="418">
        <f>H48-J48</f>
        <v>0</v>
      </c>
      <c r="M48" s="63"/>
      <c r="N48" s="388"/>
      <c r="O48" s="63"/>
      <c r="P48" s="388"/>
      <c r="Q48" s="387"/>
      <c r="R48" s="488">
        <f>(H48*$T$7)*(N48+P48)</f>
        <v>0</v>
      </c>
      <c r="S48" s="489"/>
      <c r="T48" s="488">
        <f>(L48*$T$7)*(N48+P48)</f>
        <v>0</v>
      </c>
      <c r="U48" s="27"/>
      <c r="X48" s="176"/>
    </row>
    <row r="49" spans="1:24" ht="19.5" customHeight="1">
      <c r="A49" s="18">
        <v>11</v>
      </c>
      <c r="B49" s="260"/>
      <c r="C49" s="260"/>
      <c r="D49" s="260"/>
      <c r="E49" s="284"/>
      <c r="F49" s="385"/>
      <c r="G49" s="284"/>
      <c r="H49" s="386"/>
      <c r="I49" s="495"/>
      <c r="J49" s="390"/>
      <c r="K49" s="387"/>
      <c r="L49" s="418">
        <f>H49-J49</f>
        <v>0</v>
      </c>
      <c r="M49" s="63"/>
      <c r="N49" s="388"/>
      <c r="O49" s="63"/>
      <c r="P49" s="388"/>
      <c r="Q49" s="387"/>
      <c r="R49" s="488">
        <f>(H49*$T$7)*(N49+P49)</f>
        <v>0</v>
      </c>
      <c r="S49" s="489"/>
      <c r="T49" s="488">
        <f>(L49*$T$7)*(N49+P49)</f>
        <v>0</v>
      </c>
      <c r="U49" s="27"/>
      <c r="X49" s="176"/>
    </row>
    <row r="50" spans="1:24" ht="19.5" customHeight="1">
      <c r="A50" s="18">
        <v>12</v>
      </c>
      <c r="B50" s="622"/>
      <c r="C50" s="260"/>
      <c r="D50" s="260"/>
      <c r="E50" s="284"/>
      <c r="F50" s="385"/>
      <c r="G50" s="284"/>
      <c r="H50" s="386"/>
      <c r="I50" s="495"/>
      <c r="J50" s="390"/>
      <c r="K50" s="387"/>
      <c r="L50" s="418">
        <f>H50-J50</f>
        <v>0</v>
      </c>
      <c r="M50" s="63"/>
      <c r="N50" s="388"/>
      <c r="O50" s="63"/>
      <c r="P50" s="388"/>
      <c r="Q50" s="387"/>
      <c r="R50" s="488">
        <f>(H50*$T$7)*(N50+P50)</f>
        <v>0</v>
      </c>
      <c r="S50" s="489"/>
      <c r="T50" s="488">
        <f>(L50*$T$7)*(N50+P50)</f>
        <v>0</v>
      </c>
      <c r="U50" s="27"/>
      <c r="X50" s="176"/>
    </row>
    <row r="51" spans="1:24" ht="19.5" customHeight="1">
      <c r="A51" s="18">
        <v>13</v>
      </c>
      <c r="B51" s="260"/>
      <c r="C51" s="260"/>
      <c r="D51" s="260"/>
      <c r="E51" s="284"/>
      <c r="F51" s="385"/>
      <c r="G51" s="284"/>
      <c r="H51" s="386"/>
      <c r="I51" s="495"/>
      <c r="J51" s="390"/>
      <c r="K51" s="387"/>
      <c r="L51" s="418">
        <f>H51-J51</f>
        <v>0</v>
      </c>
      <c r="M51" s="63"/>
      <c r="N51" s="401"/>
      <c r="O51" s="63"/>
      <c r="P51" s="388"/>
      <c r="Q51" s="387"/>
      <c r="R51" s="488">
        <f>(H51*$T$7)*(N51+P51)</f>
        <v>0</v>
      </c>
      <c r="S51" s="489"/>
      <c r="T51" s="488">
        <f>(L51*$T$7)*(N51+P51)</f>
        <v>0</v>
      </c>
      <c r="U51" s="27"/>
      <c r="X51" s="176"/>
    </row>
    <row r="52" spans="1:24" ht="19.5" customHeight="1">
      <c r="A52" s="18">
        <v>14</v>
      </c>
      <c r="B52" s="260"/>
      <c r="C52" s="260"/>
      <c r="D52" s="260"/>
      <c r="E52" s="284"/>
      <c r="F52" s="385"/>
      <c r="G52" s="284"/>
      <c r="H52" s="389"/>
      <c r="I52" s="495"/>
      <c r="J52" s="390"/>
      <c r="K52" s="387"/>
      <c r="L52" s="418">
        <f>H52-J52</f>
        <v>0</v>
      </c>
      <c r="M52" s="63"/>
      <c r="N52" s="388"/>
      <c r="O52" s="63"/>
      <c r="P52" s="390"/>
      <c r="Q52" s="387"/>
      <c r="R52" s="488">
        <f>(H52*$T$7)*(N52+P52)</f>
        <v>0</v>
      </c>
      <c r="S52" s="489"/>
      <c r="T52" s="488">
        <f>(L52*$T$7)*(N52+P52)</f>
        <v>0</v>
      </c>
      <c r="U52" s="27"/>
      <c r="X52" s="176"/>
    </row>
    <row r="53" spans="1:24" ht="19.5" customHeight="1">
      <c r="A53" s="18">
        <v>15</v>
      </c>
      <c r="B53" s="260"/>
      <c r="C53" s="260"/>
      <c r="D53" s="260"/>
      <c r="E53" s="284"/>
      <c r="F53" s="385"/>
      <c r="G53" s="284"/>
      <c r="H53" s="386"/>
      <c r="I53" s="495"/>
      <c r="J53" s="390"/>
      <c r="K53" s="387"/>
      <c r="L53" s="418">
        <f t="shared" si="3"/>
        <v>0</v>
      </c>
      <c r="M53" s="63"/>
      <c r="N53" s="388"/>
      <c r="O53" s="63"/>
      <c r="P53" s="388"/>
      <c r="Q53" s="387"/>
      <c r="R53" s="488">
        <f aca="true" t="shared" si="6" ref="R53:R58">(H53*$T$7)*(N53+P53)</f>
        <v>0</v>
      </c>
      <c r="S53" s="489"/>
      <c r="T53" s="488">
        <f aca="true" t="shared" si="7" ref="T53:T58">(L53*$T$7)*(N53+P53)</f>
        <v>0</v>
      </c>
      <c r="U53" s="27"/>
      <c r="X53" s="176"/>
    </row>
    <row r="54" spans="1:24" ht="19.5" customHeight="1">
      <c r="A54" s="18">
        <v>16</v>
      </c>
      <c r="B54" s="260"/>
      <c r="C54" s="260"/>
      <c r="D54" s="260"/>
      <c r="E54" s="284"/>
      <c r="F54" s="385"/>
      <c r="G54" s="284"/>
      <c r="H54" s="386"/>
      <c r="I54" s="495"/>
      <c r="J54" s="390"/>
      <c r="K54" s="387"/>
      <c r="L54" s="418">
        <f t="shared" si="3"/>
        <v>0</v>
      </c>
      <c r="M54" s="63"/>
      <c r="N54" s="388"/>
      <c r="O54" s="63"/>
      <c r="P54" s="388"/>
      <c r="Q54" s="387"/>
      <c r="R54" s="488">
        <f t="shared" si="6"/>
        <v>0</v>
      </c>
      <c r="S54" s="489"/>
      <c r="T54" s="488">
        <f t="shared" si="7"/>
        <v>0</v>
      </c>
      <c r="U54" s="27"/>
      <c r="X54" s="176"/>
    </row>
    <row r="55" spans="1:24" ht="19.5" customHeight="1">
      <c r="A55" s="18">
        <v>17</v>
      </c>
      <c r="B55" s="622"/>
      <c r="C55" s="260"/>
      <c r="D55" s="260"/>
      <c r="E55" s="284"/>
      <c r="F55" s="385"/>
      <c r="G55" s="284"/>
      <c r="H55" s="386"/>
      <c r="I55" s="495"/>
      <c r="J55" s="390"/>
      <c r="K55" s="387"/>
      <c r="L55" s="418">
        <f t="shared" si="3"/>
        <v>0</v>
      </c>
      <c r="M55" s="63"/>
      <c r="N55" s="388"/>
      <c r="O55" s="63"/>
      <c r="P55" s="388"/>
      <c r="Q55" s="387"/>
      <c r="R55" s="488">
        <f t="shared" si="6"/>
        <v>0</v>
      </c>
      <c r="S55" s="489"/>
      <c r="T55" s="488">
        <f t="shared" si="7"/>
        <v>0</v>
      </c>
      <c r="U55" s="27"/>
      <c r="X55" s="176"/>
    </row>
    <row r="56" spans="1:24" ht="19.5" customHeight="1">
      <c r="A56" s="18">
        <v>18</v>
      </c>
      <c r="B56" s="260"/>
      <c r="C56" s="260"/>
      <c r="D56" s="260"/>
      <c r="E56" s="284"/>
      <c r="F56" s="385"/>
      <c r="G56" s="284"/>
      <c r="H56" s="386"/>
      <c r="I56" s="495"/>
      <c r="J56" s="390"/>
      <c r="K56" s="387"/>
      <c r="L56" s="418">
        <f t="shared" si="3"/>
        <v>0</v>
      </c>
      <c r="M56" s="63"/>
      <c r="N56" s="401"/>
      <c r="O56" s="63"/>
      <c r="P56" s="388"/>
      <c r="Q56" s="387"/>
      <c r="R56" s="488">
        <f t="shared" si="6"/>
        <v>0</v>
      </c>
      <c r="S56" s="489"/>
      <c r="T56" s="488">
        <f t="shared" si="7"/>
        <v>0</v>
      </c>
      <c r="U56" s="27"/>
      <c r="X56" s="176"/>
    </row>
    <row r="57" spans="1:24" ht="19.5" customHeight="1">
      <c r="A57" s="18">
        <v>19</v>
      </c>
      <c r="B57" s="260"/>
      <c r="C57" s="260"/>
      <c r="D57" s="260"/>
      <c r="E57" s="284"/>
      <c r="F57" s="385"/>
      <c r="G57" s="284"/>
      <c r="H57" s="389"/>
      <c r="I57" s="495"/>
      <c r="J57" s="390"/>
      <c r="K57" s="387"/>
      <c r="L57" s="418">
        <f t="shared" si="3"/>
        <v>0</v>
      </c>
      <c r="M57" s="63"/>
      <c r="N57" s="388"/>
      <c r="O57" s="63"/>
      <c r="P57" s="390"/>
      <c r="Q57" s="387"/>
      <c r="R57" s="488">
        <f t="shared" si="6"/>
        <v>0</v>
      </c>
      <c r="S57" s="489"/>
      <c r="T57" s="488">
        <f t="shared" si="7"/>
        <v>0</v>
      </c>
      <c r="U57" s="27"/>
      <c r="X57" s="176"/>
    </row>
    <row r="58" spans="1:24" ht="19.5" customHeight="1" thickBot="1">
      <c r="A58" s="18">
        <v>20</v>
      </c>
      <c r="B58" s="260"/>
      <c r="C58" s="260"/>
      <c r="D58" s="260"/>
      <c r="E58" s="284"/>
      <c r="F58" s="385"/>
      <c r="G58" s="284"/>
      <c r="H58" s="389"/>
      <c r="I58" s="495"/>
      <c r="J58" s="390"/>
      <c r="K58" s="387"/>
      <c r="L58" s="418">
        <f t="shared" si="3"/>
        <v>0</v>
      </c>
      <c r="M58" s="63"/>
      <c r="N58" s="388"/>
      <c r="O58" s="63"/>
      <c r="P58" s="390"/>
      <c r="Q58" s="387"/>
      <c r="R58" s="488">
        <f t="shared" si="6"/>
        <v>0</v>
      </c>
      <c r="S58" s="489"/>
      <c r="T58" s="488">
        <f t="shared" si="7"/>
        <v>0</v>
      </c>
      <c r="U58" s="27"/>
      <c r="X58" s="176"/>
    </row>
    <row r="59" spans="1:24" ht="21.75" customHeight="1" thickBot="1">
      <c r="A59" s="112"/>
      <c r="B59" s="113"/>
      <c r="C59" s="113"/>
      <c r="D59" s="113" t="s">
        <v>311</v>
      </c>
      <c r="E59" s="114"/>
      <c r="F59" s="391"/>
      <c r="G59" s="392"/>
      <c r="H59" s="393"/>
      <c r="I59" s="394"/>
      <c r="J59" s="393"/>
      <c r="K59" s="394"/>
      <c r="L59" s="393"/>
      <c r="M59" s="392"/>
      <c r="N59" s="395"/>
      <c r="O59" s="392"/>
      <c r="P59" s="396"/>
      <c r="Q59" s="397"/>
      <c r="R59" s="496">
        <f>SUM(R39:R58)</f>
        <v>0</v>
      </c>
      <c r="S59" s="497"/>
      <c r="T59" s="496">
        <f>SUM(T39:T58)</f>
        <v>0</v>
      </c>
      <c r="U59" s="498"/>
      <c r="X59" s="176"/>
    </row>
    <row r="60" spans="1:24" ht="6.75" customHeight="1">
      <c r="A60" s="6"/>
      <c r="B60" s="7"/>
      <c r="C60" s="7"/>
      <c r="D60" s="7"/>
      <c r="E60" s="59"/>
      <c r="F60" s="33"/>
      <c r="G60" s="59"/>
      <c r="H60" s="384"/>
      <c r="I60" s="383"/>
      <c r="J60" s="384"/>
      <c r="K60" s="383"/>
      <c r="L60" s="384"/>
      <c r="M60" s="59"/>
      <c r="N60" s="381"/>
      <c r="O60" s="59"/>
      <c r="P60" s="398"/>
      <c r="Q60" s="399"/>
      <c r="R60" s="398"/>
      <c r="S60" s="399"/>
      <c r="T60" s="398"/>
      <c r="U60" s="12"/>
      <c r="X60" s="176"/>
    </row>
    <row r="61" spans="1:24" ht="12.75" customHeight="1">
      <c r="A61" s="6"/>
      <c r="B61" s="15" t="s">
        <v>321</v>
      </c>
      <c r="C61" s="7"/>
      <c r="D61" s="7"/>
      <c r="E61" s="59"/>
      <c r="F61" s="33"/>
      <c r="G61" s="59"/>
      <c r="H61" s="384"/>
      <c r="I61" s="383"/>
      <c r="J61" s="384"/>
      <c r="K61" s="383"/>
      <c r="L61" s="421"/>
      <c r="M61" s="59"/>
      <c r="N61" s="400"/>
      <c r="O61" s="59"/>
      <c r="P61" s="398"/>
      <c r="Q61" s="399"/>
      <c r="R61" s="398"/>
      <c r="S61" s="399"/>
      <c r="T61" s="398"/>
      <c r="U61" s="12"/>
      <c r="X61" s="176"/>
    </row>
    <row r="62" spans="1:24" ht="3.75" customHeight="1">
      <c r="A62" s="6"/>
      <c r="B62" s="15"/>
      <c r="C62" s="7"/>
      <c r="D62" s="7"/>
      <c r="E62" s="59"/>
      <c r="F62" s="33"/>
      <c r="G62" s="59"/>
      <c r="H62" s="384"/>
      <c r="I62" s="383"/>
      <c r="J62" s="384"/>
      <c r="K62" s="383"/>
      <c r="L62" s="421"/>
      <c r="M62" s="59"/>
      <c r="N62" s="400"/>
      <c r="O62" s="59"/>
      <c r="P62" s="398"/>
      <c r="Q62" s="399"/>
      <c r="R62" s="398"/>
      <c r="S62" s="399"/>
      <c r="T62" s="398"/>
      <c r="U62" s="12"/>
      <c r="X62" s="176"/>
    </row>
    <row r="63" spans="1:24" ht="19.5" customHeight="1">
      <c r="A63" s="18">
        <v>1</v>
      </c>
      <c r="B63" s="260"/>
      <c r="C63" s="260"/>
      <c r="D63" s="260"/>
      <c r="E63" s="63"/>
      <c r="F63" s="297" t="s">
        <v>322</v>
      </c>
      <c r="G63" s="63"/>
      <c r="H63" s="386"/>
      <c r="I63" s="387"/>
      <c r="J63" s="390"/>
      <c r="K63" s="387"/>
      <c r="L63" s="418">
        <f aca="true" t="shared" si="8" ref="L63:L77">H63-J63</f>
        <v>0</v>
      </c>
      <c r="M63" s="63"/>
      <c r="N63" s="401"/>
      <c r="O63" s="63"/>
      <c r="P63" s="386"/>
      <c r="Q63" s="402"/>
      <c r="R63" s="488">
        <f aca="true" t="shared" si="9" ref="R63:R77">(H63*$T$7)*(N63+P63)</f>
        <v>0</v>
      </c>
      <c r="S63" s="489"/>
      <c r="T63" s="488">
        <f aca="true" t="shared" si="10" ref="T63:T77">(L63*$T$7)*(N63+P63)</f>
        <v>0</v>
      </c>
      <c r="U63" s="27"/>
      <c r="X63" s="176"/>
    </row>
    <row r="64" spans="1:24" ht="19.5" customHeight="1">
      <c r="A64" s="18">
        <v>2</v>
      </c>
      <c r="B64" s="260"/>
      <c r="C64" s="260"/>
      <c r="D64" s="260"/>
      <c r="E64" s="63"/>
      <c r="F64" s="297" t="s">
        <v>322</v>
      </c>
      <c r="G64" s="63"/>
      <c r="H64" s="390"/>
      <c r="I64" s="387"/>
      <c r="J64" s="390"/>
      <c r="K64" s="387"/>
      <c r="L64" s="418">
        <f t="shared" si="8"/>
        <v>0</v>
      </c>
      <c r="M64" s="63"/>
      <c r="N64" s="401"/>
      <c r="O64" s="63"/>
      <c r="P64" s="403"/>
      <c r="Q64" s="402"/>
      <c r="R64" s="488">
        <f t="shared" si="9"/>
        <v>0</v>
      </c>
      <c r="S64" s="489"/>
      <c r="T64" s="488">
        <f t="shared" si="10"/>
        <v>0</v>
      </c>
      <c r="U64" s="27"/>
      <c r="X64" s="176"/>
    </row>
    <row r="65" spans="1:24" ht="19.5" customHeight="1">
      <c r="A65" s="18">
        <v>3</v>
      </c>
      <c r="B65" s="260"/>
      <c r="C65" s="260"/>
      <c r="D65" s="260"/>
      <c r="E65" s="63"/>
      <c r="F65" s="297" t="s">
        <v>322</v>
      </c>
      <c r="G65" s="63"/>
      <c r="H65" s="390"/>
      <c r="I65" s="387"/>
      <c r="J65" s="390"/>
      <c r="K65" s="387"/>
      <c r="L65" s="418">
        <f t="shared" si="8"/>
        <v>0</v>
      </c>
      <c r="M65" s="63"/>
      <c r="N65" s="401"/>
      <c r="O65" s="63"/>
      <c r="P65" s="403"/>
      <c r="Q65" s="402"/>
      <c r="R65" s="488">
        <f t="shared" si="9"/>
        <v>0</v>
      </c>
      <c r="S65" s="489"/>
      <c r="T65" s="488">
        <f t="shared" si="10"/>
        <v>0</v>
      </c>
      <c r="U65" s="27"/>
      <c r="X65" s="176"/>
    </row>
    <row r="66" spans="1:24" ht="19.5" customHeight="1">
      <c r="A66" s="18">
        <v>4</v>
      </c>
      <c r="B66" s="260"/>
      <c r="C66" s="260"/>
      <c r="D66" s="260"/>
      <c r="E66" s="63"/>
      <c r="F66" s="297" t="s">
        <v>322</v>
      </c>
      <c r="G66" s="63"/>
      <c r="H66" s="390"/>
      <c r="I66" s="387"/>
      <c r="J66" s="390"/>
      <c r="K66" s="387"/>
      <c r="L66" s="418">
        <f t="shared" si="8"/>
        <v>0</v>
      </c>
      <c r="M66" s="63"/>
      <c r="N66" s="388"/>
      <c r="O66" s="63"/>
      <c r="P66" s="403"/>
      <c r="Q66" s="402"/>
      <c r="R66" s="488">
        <f t="shared" si="9"/>
        <v>0</v>
      </c>
      <c r="S66" s="489"/>
      <c r="T66" s="488">
        <f t="shared" si="10"/>
        <v>0</v>
      </c>
      <c r="U66" s="27"/>
      <c r="X66" s="176"/>
    </row>
    <row r="67" spans="1:24" ht="19.5" customHeight="1">
      <c r="A67" s="18">
        <v>5</v>
      </c>
      <c r="B67" s="260"/>
      <c r="C67" s="260"/>
      <c r="D67" s="260"/>
      <c r="E67" s="63"/>
      <c r="F67" s="297" t="s">
        <v>322</v>
      </c>
      <c r="G67" s="63"/>
      <c r="H67" s="390"/>
      <c r="I67" s="387"/>
      <c r="J67" s="390"/>
      <c r="K67" s="387"/>
      <c r="L67" s="418">
        <f t="shared" si="8"/>
        <v>0</v>
      </c>
      <c r="M67" s="63"/>
      <c r="N67" s="388"/>
      <c r="O67" s="63"/>
      <c r="P67" s="403"/>
      <c r="Q67" s="402"/>
      <c r="R67" s="488">
        <f t="shared" si="9"/>
        <v>0</v>
      </c>
      <c r="S67" s="489"/>
      <c r="T67" s="488">
        <f t="shared" si="10"/>
        <v>0</v>
      </c>
      <c r="U67" s="27"/>
      <c r="X67" s="176"/>
    </row>
    <row r="68" spans="1:24" ht="19.5" customHeight="1">
      <c r="A68" s="18">
        <v>6</v>
      </c>
      <c r="B68" s="260"/>
      <c r="C68" s="260"/>
      <c r="D68" s="260"/>
      <c r="E68" s="63"/>
      <c r="F68" s="297" t="s">
        <v>322</v>
      </c>
      <c r="G68" s="63"/>
      <c r="H68" s="390"/>
      <c r="I68" s="387"/>
      <c r="J68" s="390"/>
      <c r="K68" s="387"/>
      <c r="L68" s="418">
        <f t="shared" si="8"/>
        <v>0</v>
      </c>
      <c r="M68" s="63"/>
      <c r="N68" s="388"/>
      <c r="O68" s="63"/>
      <c r="P68" s="403"/>
      <c r="Q68" s="402"/>
      <c r="R68" s="488">
        <f t="shared" si="9"/>
        <v>0</v>
      </c>
      <c r="S68" s="489"/>
      <c r="T68" s="488">
        <f t="shared" si="10"/>
        <v>0</v>
      </c>
      <c r="U68" s="27"/>
      <c r="X68" s="176"/>
    </row>
    <row r="69" spans="1:24" ht="19.5" customHeight="1">
      <c r="A69" s="18">
        <v>7</v>
      </c>
      <c r="B69" s="260"/>
      <c r="C69" s="260"/>
      <c r="D69" s="260"/>
      <c r="E69" s="63"/>
      <c r="F69" s="297" t="s">
        <v>322</v>
      </c>
      <c r="G69" s="63"/>
      <c r="H69" s="390"/>
      <c r="I69" s="387"/>
      <c r="J69" s="390"/>
      <c r="K69" s="387"/>
      <c r="L69" s="418">
        <f t="shared" si="8"/>
        <v>0</v>
      </c>
      <c r="M69" s="63"/>
      <c r="N69" s="388"/>
      <c r="O69" s="63"/>
      <c r="P69" s="403"/>
      <c r="Q69" s="402"/>
      <c r="R69" s="488">
        <f t="shared" si="9"/>
        <v>0</v>
      </c>
      <c r="S69" s="489"/>
      <c r="T69" s="488">
        <f t="shared" si="10"/>
        <v>0</v>
      </c>
      <c r="U69" s="27"/>
      <c r="X69" s="176"/>
    </row>
    <row r="70" spans="1:24" ht="19.5" customHeight="1">
      <c r="A70" s="18">
        <v>8</v>
      </c>
      <c r="B70" s="260"/>
      <c r="C70" s="260"/>
      <c r="D70" s="260"/>
      <c r="E70" s="63"/>
      <c r="F70" s="297" t="s">
        <v>322</v>
      </c>
      <c r="G70" s="63"/>
      <c r="H70" s="390"/>
      <c r="I70" s="387"/>
      <c r="J70" s="390"/>
      <c r="K70" s="387"/>
      <c r="L70" s="418">
        <f t="shared" si="8"/>
        <v>0</v>
      </c>
      <c r="M70" s="63"/>
      <c r="N70" s="388"/>
      <c r="O70" s="63"/>
      <c r="P70" s="403"/>
      <c r="Q70" s="402"/>
      <c r="R70" s="488">
        <f t="shared" si="9"/>
        <v>0</v>
      </c>
      <c r="S70" s="489"/>
      <c r="T70" s="488">
        <f t="shared" si="10"/>
        <v>0</v>
      </c>
      <c r="U70" s="27"/>
      <c r="X70" s="176"/>
    </row>
    <row r="71" spans="1:24" ht="19.5" customHeight="1">
      <c r="A71" s="18">
        <v>9</v>
      </c>
      <c r="B71" s="260"/>
      <c r="C71" s="260"/>
      <c r="D71" s="260"/>
      <c r="E71" s="63"/>
      <c r="F71" s="297" t="s">
        <v>322</v>
      </c>
      <c r="G71" s="63"/>
      <c r="H71" s="390"/>
      <c r="I71" s="387"/>
      <c r="J71" s="390"/>
      <c r="K71" s="387"/>
      <c r="L71" s="418">
        <f t="shared" si="8"/>
        <v>0</v>
      </c>
      <c r="M71" s="63"/>
      <c r="N71" s="388"/>
      <c r="O71" s="63"/>
      <c r="P71" s="403"/>
      <c r="Q71" s="402"/>
      <c r="R71" s="488">
        <f t="shared" si="9"/>
        <v>0</v>
      </c>
      <c r="S71" s="489"/>
      <c r="T71" s="488">
        <f t="shared" si="10"/>
        <v>0</v>
      </c>
      <c r="U71" s="27"/>
      <c r="X71" s="176"/>
    </row>
    <row r="72" spans="1:24" ht="19.5" customHeight="1">
      <c r="A72" s="18">
        <v>10</v>
      </c>
      <c r="B72" s="260"/>
      <c r="C72" s="260"/>
      <c r="D72" s="260"/>
      <c r="E72" s="63"/>
      <c r="F72" s="297" t="s">
        <v>322</v>
      </c>
      <c r="G72" s="63"/>
      <c r="H72" s="390"/>
      <c r="I72" s="387"/>
      <c r="J72" s="390"/>
      <c r="K72" s="387"/>
      <c r="L72" s="418">
        <f t="shared" si="8"/>
        <v>0</v>
      </c>
      <c r="M72" s="63"/>
      <c r="N72" s="388"/>
      <c r="O72" s="63"/>
      <c r="P72" s="403"/>
      <c r="Q72" s="402"/>
      <c r="R72" s="488">
        <f t="shared" si="9"/>
        <v>0</v>
      </c>
      <c r="S72" s="489"/>
      <c r="T72" s="488">
        <f t="shared" si="10"/>
        <v>0</v>
      </c>
      <c r="U72" s="27"/>
      <c r="X72" s="176"/>
    </row>
    <row r="73" spans="1:24" ht="19.5" customHeight="1">
      <c r="A73" s="18">
        <v>11</v>
      </c>
      <c r="B73" s="260"/>
      <c r="C73" s="260"/>
      <c r="D73" s="260"/>
      <c r="E73" s="63"/>
      <c r="F73" s="297" t="s">
        <v>322</v>
      </c>
      <c r="G73" s="63"/>
      <c r="H73" s="390"/>
      <c r="I73" s="387"/>
      <c r="J73" s="390"/>
      <c r="K73" s="387"/>
      <c r="L73" s="418">
        <f t="shared" si="8"/>
        <v>0</v>
      </c>
      <c r="M73" s="63"/>
      <c r="N73" s="388"/>
      <c r="O73" s="63"/>
      <c r="P73" s="403"/>
      <c r="Q73" s="402"/>
      <c r="R73" s="488">
        <f t="shared" si="9"/>
        <v>0</v>
      </c>
      <c r="S73" s="489"/>
      <c r="T73" s="488">
        <f t="shared" si="10"/>
        <v>0</v>
      </c>
      <c r="U73" s="27"/>
      <c r="X73" s="176"/>
    </row>
    <row r="74" spans="1:24" ht="19.5" customHeight="1">
      <c r="A74" s="18">
        <v>12</v>
      </c>
      <c r="B74" s="260"/>
      <c r="C74" s="260"/>
      <c r="D74" s="260"/>
      <c r="E74" s="63"/>
      <c r="F74" s="297" t="s">
        <v>322</v>
      </c>
      <c r="G74" s="63"/>
      <c r="H74" s="390"/>
      <c r="I74" s="387"/>
      <c r="J74" s="390"/>
      <c r="K74" s="387"/>
      <c r="L74" s="418">
        <f t="shared" si="8"/>
        <v>0</v>
      </c>
      <c r="M74" s="63"/>
      <c r="N74" s="388"/>
      <c r="O74" s="63"/>
      <c r="P74" s="403"/>
      <c r="Q74" s="402"/>
      <c r="R74" s="488">
        <f t="shared" si="9"/>
        <v>0</v>
      </c>
      <c r="S74" s="489"/>
      <c r="T74" s="488">
        <f t="shared" si="10"/>
        <v>0</v>
      </c>
      <c r="U74" s="27"/>
      <c r="X74" s="176"/>
    </row>
    <row r="75" spans="1:24" ht="19.5" customHeight="1">
      <c r="A75" s="18">
        <v>13</v>
      </c>
      <c r="B75" s="260"/>
      <c r="C75" s="260"/>
      <c r="D75" s="260"/>
      <c r="E75" s="63"/>
      <c r="F75" s="297" t="s">
        <v>322</v>
      </c>
      <c r="G75" s="63"/>
      <c r="H75" s="390"/>
      <c r="I75" s="387"/>
      <c r="J75" s="390"/>
      <c r="K75" s="387"/>
      <c r="L75" s="418">
        <f t="shared" si="8"/>
        <v>0</v>
      </c>
      <c r="M75" s="63"/>
      <c r="N75" s="388"/>
      <c r="O75" s="63"/>
      <c r="P75" s="403"/>
      <c r="Q75" s="402"/>
      <c r="R75" s="488">
        <f t="shared" si="9"/>
        <v>0</v>
      </c>
      <c r="S75" s="489"/>
      <c r="T75" s="488">
        <f t="shared" si="10"/>
        <v>0</v>
      </c>
      <c r="U75" s="27"/>
      <c r="X75" s="176"/>
    </row>
    <row r="76" spans="1:24" ht="19.5" customHeight="1">
      <c r="A76" s="18">
        <v>14</v>
      </c>
      <c r="B76" s="260"/>
      <c r="C76" s="260"/>
      <c r="D76" s="260"/>
      <c r="E76" s="63"/>
      <c r="F76" s="297" t="s">
        <v>322</v>
      </c>
      <c r="G76" s="63"/>
      <c r="H76" s="390"/>
      <c r="I76" s="387"/>
      <c r="J76" s="390"/>
      <c r="K76" s="387"/>
      <c r="L76" s="418">
        <f t="shared" si="8"/>
        <v>0</v>
      </c>
      <c r="M76" s="63"/>
      <c r="N76" s="388"/>
      <c r="O76" s="63"/>
      <c r="P76" s="403"/>
      <c r="Q76" s="402"/>
      <c r="R76" s="488">
        <f t="shared" si="9"/>
        <v>0</v>
      </c>
      <c r="S76" s="489"/>
      <c r="T76" s="488">
        <f t="shared" si="10"/>
        <v>0</v>
      </c>
      <c r="U76" s="27"/>
      <c r="X76" s="176"/>
    </row>
    <row r="77" spans="1:24" ht="19.5" customHeight="1" thickBot="1">
      <c r="A77" s="18">
        <v>15</v>
      </c>
      <c r="B77" s="260"/>
      <c r="C77" s="260"/>
      <c r="D77" s="260"/>
      <c r="E77" s="63"/>
      <c r="F77" s="297" t="s">
        <v>322</v>
      </c>
      <c r="G77" s="63"/>
      <c r="H77" s="390"/>
      <c r="I77" s="387"/>
      <c r="J77" s="390"/>
      <c r="K77" s="387"/>
      <c r="L77" s="418">
        <f t="shared" si="8"/>
        <v>0</v>
      </c>
      <c r="M77" s="63"/>
      <c r="N77" s="388"/>
      <c r="O77" s="63"/>
      <c r="P77" s="390"/>
      <c r="Q77" s="387"/>
      <c r="R77" s="488">
        <f t="shared" si="9"/>
        <v>0</v>
      </c>
      <c r="S77" s="489"/>
      <c r="T77" s="488">
        <f t="shared" si="10"/>
        <v>0</v>
      </c>
      <c r="U77" s="27"/>
      <c r="X77" s="176"/>
    </row>
    <row r="78" spans="1:24" ht="21.75" customHeight="1" thickBot="1">
      <c r="A78" s="112"/>
      <c r="B78" s="113"/>
      <c r="C78" s="113"/>
      <c r="D78" s="113" t="s">
        <v>311</v>
      </c>
      <c r="E78" s="114"/>
      <c r="F78" s="391"/>
      <c r="G78" s="392"/>
      <c r="H78" s="404">
        <f>SUM(H63:H77)</f>
        <v>0</v>
      </c>
      <c r="I78" s="405"/>
      <c r="J78" s="393"/>
      <c r="K78" s="394"/>
      <c r="L78" s="499"/>
      <c r="M78" s="392"/>
      <c r="N78" s="395"/>
      <c r="O78" s="392"/>
      <c r="P78" s="393"/>
      <c r="Q78" s="394"/>
      <c r="R78" s="500">
        <f>SUM(R63:R77)</f>
        <v>0</v>
      </c>
      <c r="S78" s="501"/>
      <c r="T78" s="502">
        <f>SUM(T63:T77)</f>
        <v>0</v>
      </c>
      <c r="U78" s="498"/>
      <c r="X78" s="176"/>
    </row>
    <row r="79" spans="1:24" ht="3.75" customHeight="1">
      <c r="A79" s="6"/>
      <c r="B79" s="7"/>
      <c r="C79" s="7"/>
      <c r="D79" s="7"/>
      <c r="E79" s="7"/>
      <c r="F79" s="33"/>
      <c r="G79" s="7"/>
      <c r="H79" s="384"/>
      <c r="I79" s="384"/>
      <c r="J79" s="384"/>
      <c r="K79" s="384"/>
      <c r="L79" s="406"/>
      <c r="M79" s="7"/>
      <c r="N79" s="381"/>
      <c r="O79" s="7"/>
      <c r="P79" s="384"/>
      <c r="Q79" s="407"/>
      <c r="R79" s="381"/>
      <c r="S79" s="503"/>
      <c r="T79" s="381"/>
      <c r="U79" s="12"/>
      <c r="X79" s="176"/>
    </row>
    <row r="80" spans="1:24" ht="18" customHeight="1">
      <c r="A80" s="17" t="s">
        <v>323</v>
      </c>
      <c r="B80" s="8"/>
      <c r="C80" s="7"/>
      <c r="D80" s="7"/>
      <c r="E80" s="7"/>
      <c r="F80" s="33"/>
      <c r="G80" s="7"/>
      <c r="H80" s="406"/>
      <c r="I80" s="384"/>
      <c r="J80" s="384"/>
      <c r="K80" s="384"/>
      <c r="L80" s="406"/>
      <c r="M80" s="7"/>
      <c r="N80" s="381"/>
      <c r="O80" s="7"/>
      <c r="P80" s="384"/>
      <c r="Q80" s="407"/>
      <c r="R80" s="504">
        <f>+R59+R78</f>
        <v>0</v>
      </c>
      <c r="S80" s="503"/>
      <c r="T80" s="504">
        <f>+T59+T78</f>
        <v>0</v>
      </c>
      <c r="U80" s="12"/>
      <c r="X80" s="176"/>
    </row>
    <row r="81" spans="1:24" ht="4.5" customHeight="1" thickBot="1">
      <c r="A81" s="375"/>
      <c r="B81" s="46"/>
      <c r="C81" s="46"/>
      <c r="D81" s="46"/>
      <c r="E81" s="46"/>
      <c r="F81" s="408"/>
      <c r="G81" s="46"/>
      <c r="H81" s="409"/>
      <c r="I81" s="410"/>
      <c r="J81" s="410"/>
      <c r="K81" s="410"/>
      <c r="L81" s="409"/>
      <c r="M81" s="46"/>
      <c r="N81" s="411"/>
      <c r="O81" s="46"/>
      <c r="P81" s="410"/>
      <c r="Q81" s="412"/>
      <c r="R81" s="411"/>
      <c r="S81" s="505"/>
      <c r="T81" s="411"/>
      <c r="U81" s="53"/>
      <c r="X81" s="176"/>
    </row>
    <row r="82" spans="1:24" ht="5.25" customHeight="1" thickTop="1">
      <c r="A82" s="6"/>
      <c r="B82" s="7"/>
      <c r="C82" s="7"/>
      <c r="D82" s="7"/>
      <c r="E82" s="7"/>
      <c r="F82" s="33"/>
      <c r="G82" s="7"/>
      <c r="H82" s="384"/>
      <c r="I82" s="384"/>
      <c r="J82" s="384"/>
      <c r="K82" s="384"/>
      <c r="L82" s="406"/>
      <c r="M82" s="7"/>
      <c r="N82" s="381"/>
      <c r="O82" s="7"/>
      <c r="P82" s="398"/>
      <c r="Q82" s="413"/>
      <c r="R82" s="506"/>
      <c r="S82" s="507"/>
      <c r="T82" s="506"/>
      <c r="U82" s="12"/>
      <c r="X82" s="176"/>
    </row>
    <row r="83" spans="1:24" ht="18" customHeight="1">
      <c r="A83" s="47" t="s">
        <v>324</v>
      </c>
      <c r="B83" s="52" t="s">
        <v>325</v>
      </c>
      <c r="C83" s="7"/>
      <c r="D83" s="7"/>
      <c r="E83" s="7"/>
      <c r="F83" s="33"/>
      <c r="G83" s="7"/>
      <c r="H83" s="384"/>
      <c r="I83" s="384"/>
      <c r="J83" s="384"/>
      <c r="K83" s="384"/>
      <c r="L83" s="406"/>
      <c r="M83" s="7"/>
      <c r="N83" s="381"/>
      <c r="O83" s="7"/>
      <c r="P83" s="384"/>
      <c r="Q83" s="407"/>
      <c r="R83" s="414">
        <f>R27-R80</f>
        <v>0</v>
      </c>
      <c r="S83" s="503"/>
      <c r="T83" s="414">
        <f>T27-T80</f>
        <v>0</v>
      </c>
      <c r="U83" s="12"/>
      <c r="X83" s="176"/>
    </row>
    <row r="84" spans="1:24" ht="8.25" customHeight="1" thickBot="1">
      <c r="A84" s="508"/>
      <c r="B84" s="509"/>
      <c r="C84" s="113"/>
      <c r="D84" s="113"/>
      <c r="E84" s="113"/>
      <c r="F84" s="138"/>
      <c r="G84" s="113"/>
      <c r="H84" s="510"/>
      <c r="I84" s="510"/>
      <c r="J84" s="510"/>
      <c r="K84" s="510"/>
      <c r="L84" s="511"/>
      <c r="M84" s="113"/>
      <c r="N84" s="512"/>
      <c r="O84" s="113"/>
      <c r="P84" s="510"/>
      <c r="Q84" s="513"/>
      <c r="R84" s="514"/>
      <c r="S84" s="515"/>
      <c r="T84" s="514"/>
      <c r="U84" s="110"/>
      <c r="X84" s="176"/>
    </row>
    <row r="85" spans="1:24" ht="5.25" customHeight="1" thickBot="1">
      <c r="A85" s="47"/>
      <c r="B85" s="52"/>
      <c r="C85" s="7"/>
      <c r="D85" s="7"/>
      <c r="E85" s="7"/>
      <c r="F85" s="33"/>
      <c r="G85" s="7"/>
      <c r="H85" s="384"/>
      <c r="I85" s="384"/>
      <c r="J85" s="384"/>
      <c r="K85" s="384"/>
      <c r="L85" s="406"/>
      <c r="M85" s="7"/>
      <c r="N85" s="381"/>
      <c r="O85" s="7"/>
      <c r="P85" s="384"/>
      <c r="Q85" s="384"/>
      <c r="R85" s="414"/>
      <c r="S85" s="381"/>
      <c r="T85" s="414"/>
      <c r="U85" s="12"/>
      <c r="X85" s="176"/>
    </row>
    <row r="86" spans="1:24" ht="18" customHeight="1" thickBot="1">
      <c r="A86" s="47" t="s">
        <v>391</v>
      </c>
      <c r="B86" s="52"/>
      <c r="C86" s="7"/>
      <c r="D86" s="7"/>
      <c r="E86" s="7"/>
      <c r="F86" s="33"/>
      <c r="G86" s="7"/>
      <c r="H86" s="919">
        <f>(H78*T7)/275</f>
        <v>0</v>
      </c>
      <c r="I86" s="516"/>
      <c r="J86" s="516" t="s">
        <v>392</v>
      </c>
      <c r="K86" s="384"/>
      <c r="L86" s="406"/>
      <c r="M86" s="7"/>
      <c r="N86" s="381"/>
      <c r="O86" s="7"/>
      <c r="P86" s="384"/>
      <c r="Q86" s="384"/>
      <c r="R86" s="414"/>
      <c r="S86" s="381"/>
      <c r="T86" s="414"/>
      <c r="U86" s="12"/>
      <c r="X86" s="176"/>
    </row>
    <row r="87" spans="1:24" ht="6.75" customHeight="1" thickBot="1">
      <c r="A87" s="45"/>
      <c r="B87" s="46"/>
      <c r="C87" s="46"/>
      <c r="D87" s="46"/>
      <c r="E87" s="46"/>
      <c r="F87" s="408"/>
      <c r="G87" s="46"/>
      <c r="H87" s="517"/>
      <c r="I87" s="410"/>
      <c r="J87" s="410"/>
      <c r="K87" s="410"/>
      <c r="L87" s="409"/>
      <c r="M87" s="46"/>
      <c r="N87" s="409"/>
      <c r="O87" s="46"/>
      <c r="P87" s="410"/>
      <c r="Q87" s="410"/>
      <c r="R87" s="410"/>
      <c r="S87" s="410"/>
      <c r="T87" s="410"/>
      <c r="U87" s="53"/>
      <c r="X87" s="176"/>
    </row>
    <row r="88" spans="1:24" ht="13.5" thickTop="1">
      <c r="A88" s="176"/>
      <c r="B88" s="176"/>
      <c r="C88" s="176"/>
      <c r="D88" s="176"/>
      <c r="E88" s="176"/>
      <c r="F88" s="176"/>
      <c r="G88" s="176"/>
      <c r="H88" s="176"/>
      <c r="I88" s="176"/>
      <c r="V88" s="176"/>
      <c r="W88" s="176"/>
      <c r="X88" s="176"/>
    </row>
    <row r="89" spans="1:24" ht="12.7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row>
    <row r="90" spans="1:24" ht="12.7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row>
  </sheetData>
  <sheetProtection password="CB61" sheet="1" objects="1" scenarios="1"/>
  <mergeCells count="2">
    <mergeCell ref="J1:L1"/>
    <mergeCell ref="D7:G7"/>
  </mergeCells>
  <printOptions horizontalCentered="1"/>
  <pageMargins left="0.7480314960629921" right="0.7480314960629921" top="0.3937007874015748" bottom="0.3937007874015748" header="0.11811023622047245" footer="0.11811023622047245"/>
  <pageSetup fitToHeight="1" fitToWidth="1" horizontalDpi="300" verticalDpi="300" orientation="portrait" scale="53" r:id="rId3"/>
  <colBreaks count="1" manualBreakCount="1">
    <brk id="8" max="65535" man="1"/>
  </colBreaks>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AA90"/>
  <sheetViews>
    <sheetView showGridLines="0" zoomScale="75" zoomScaleNormal="75" workbookViewId="0" topLeftCell="A25">
      <selection activeCell="A1" sqref="A1"/>
    </sheetView>
  </sheetViews>
  <sheetFormatPr defaultColWidth="11.421875" defaultRowHeight="12.75"/>
  <cols>
    <col min="1" max="1" width="3.140625" style="0" customWidth="1"/>
    <col min="2" max="2" width="12.421875" style="0" customWidth="1"/>
    <col min="3" max="3" width="0.9921875" style="0" customWidth="1"/>
    <col min="4" max="4" width="15.28125" style="0" customWidth="1"/>
    <col min="5" max="5" width="0.9921875" style="0" customWidth="1"/>
    <col min="6" max="6" width="12.7109375" style="0" customWidth="1"/>
    <col min="7" max="7" width="0.9921875" style="0" customWidth="1"/>
    <col min="8" max="8" width="17.7109375" style="0" customWidth="1"/>
    <col min="9" max="9" width="0.9921875" style="0" customWidth="1"/>
    <col min="10" max="10" width="17.7109375" style="0" customWidth="1"/>
    <col min="11" max="11" width="0.9921875" style="0" customWidth="1"/>
    <col min="12" max="12" width="17.7109375" style="0" customWidth="1"/>
    <col min="13" max="13" width="0.9921875" style="0" customWidth="1"/>
    <col min="14" max="14" width="14.00390625" style="0" customWidth="1"/>
    <col min="15" max="15" width="0.9921875" style="0" customWidth="1"/>
    <col min="16" max="16" width="12.57421875" style="0" customWidth="1"/>
    <col min="17" max="17" width="0.9921875" style="0" customWidth="1"/>
    <col min="18" max="18" width="16.7109375" style="0" customWidth="1"/>
    <col min="19" max="19" width="0.9921875" style="0" customWidth="1"/>
    <col min="20" max="20" width="16.7109375" style="0" customWidth="1"/>
    <col min="21" max="21" width="1.57421875" style="0" customWidth="1"/>
    <col min="22" max="22" width="14.00390625" style="0" customWidth="1"/>
    <col min="23" max="23" width="2.00390625" style="0" customWidth="1"/>
    <col min="24" max="16384" width="9.140625" style="0" customWidth="1"/>
  </cols>
  <sheetData>
    <row r="1" spans="1:24" ht="24.75">
      <c r="A1" s="482"/>
      <c r="B1" s="483"/>
      <c r="C1" s="483"/>
      <c r="D1" s="484"/>
      <c r="E1" s="176"/>
      <c r="F1" s="176"/>
      <c r="G1" s="485"/>
      <c r="H1" s="485"/>
      <c r="I1" s="485"/>
      <c r="J1" s="983" t="s">
        <v>471</v>
      </c>
      <c r="K1" s="984"/>
      <c r="L1" s="985"/>
      <c r="M1" s="176"/>
      <c r="N1" s="176"/>
      <c r="O1" s="176"/>
      <c r="P1" s="176"/>
      <c r="Q1" s="176"/>
      <c r="R1" s="176"/>
      <c r="T1" s="176"/>
      <c r="U1" s="176"/>
      <c r="X1" s="176"/>
    </row>
    <row r="2" spans="1:24" ht="9.75" customHeight="1">
      <c r="A2" s="173"/>
      <c r="B2" s="173"/>
      <c r="C2" s="173"/>
      <c r="D2" s="173"/>
      <c r="E2" s="173"/>
      <c r="F2" s="173"/>
      <c r="G2" s="173"/>
      <c r="H2" s="173"/>
      <c r="I2" s="173"/>
      <c r="J2" s="173"/>
      <c r="K2" s="173"/>
      <c r="L2" s="176"/>
      <c r="M2" s="173"/>
      <c r="N2" s="173"/>
      <c r="O2" s="173"/>
      <c r="P2" s="173"/>
      <c r="Q2" s="173"/>
      <c r="R2" s="173"/>
      <c r="S2" s="173"/>
      <c r="T2" s="173"/>
      <c r="U2" s="173"/>
      <c r="V2" s="173"/>
      <c r="W2" s="173"/>
      <c r="X2" s="176"/>
    </row>
    <row r="3" spans="1:24" ht="20.25">
      <c r="A3" s="177"/>
      <c r="B3" s="173"/>
      <c r="C3" s="176"/>
      <c r="D3" s="176"/>
      <c r="E3" s="173"/>
      <c r="F3" s="176"/>
      <c r="G3" s="173"/>
      <c r="H3" s="176"/>
      <c r="I3" s="178"/>
      <c r="J3" s="346" t="s">
        <v>402</v>
      </c>
      <c r="K3" s="178"/>
      <c r="L3" s="176"/>
      <c r="M3" s="176"/>
      <c r="N3" s="176"/>
      <c r="O3" s="176"/>
      <c r="P3" s="176"/>
      <c r="Q3" s="176"/>
      <c r="R3" s="176"/>
      <c r="S3" s="176"/>
      <c r="T3" s="176"/>
      <c r="U3" s="176"/>
      <c r="V3" s="176"/>
      <c r="W3" s="173"/>
      <c r="X3" s="176"/>
    </row>
    <row r="4" spans="1:24" ht="7.5" customHeight="1">
      <c r="A4" s="177"/>
      <c r="B4" s="173"/>
      <c r="C4" s="486"/>
      <c r="D4" s="176"/>
      <c r="E4" s="173"/>
      <c r="F4" s="176"/>
      <c r="G4" s="173"/>
      <c r="H4" s="176"/>
      <c r="I4" s="178"/>
      <c r="J4" s="178"/>
      <c r="K4" s="178"/>
      <c r="L4" s="176"/>
      <c r="M4" s="176"/>
      <c r="N4" s="176"/>
      <c r="O4" s="176"/>
      <c r="P4" s="176"/>
      <c r="Q4" s="176"/>
      <c r="R4" s="176"/>
      <c r="S4" s="176"/>
      <c r="T4" s="176"/>
      <c r="U4" s="176"/>
      <c r="V4" s="176"/>
      <c r="W4" s="173"/>
      <c r="X4" s="176"/>
    </row>
    <row r="5" spans="1:24" ht="6" customHeight="1">
      <c r="A5" s="177"/>
      <c r="B5" s="173"/>
      <c r="C5" s="179"/>
      <c r="D5" s="347"/>
      <c r="E5" s="173"/>
      <c r="F5" s="176"/>
      <c r="G5" s="176"/>
      <c r="H5" s="176"/>
      <c r="I5" s="178"/>
      <c r="J5" s="178"/>
      <c r="K5" s="178"/>
      <c r="L5" s="176"/>
      <c r="M5" s="176"/>
      <c r="N5" s="176"/>
      <c r="O5" s="176"/>
      <c r="P5" s="176"/>
      <c r="Q5" s="176"/>
      <c r="R5" s="176"/>
      <c r="S5" s="176"/>
      <c r="T5" s="176"/>
      <c r="U5" s="176"/>
      <c r="V5" s="176"/>
      <c r="W5" s="173"/>
      <c r="X5" s="176"/>
    </row>
    <row r="6" spans="1:24" ht="3.75" customHeight="1">
      <c r="A6" s="177"/>
      <c r="B6" s="173"/>
      <c r="C6" s="179"/>
      <c r="D6" s="347"/>
      <c r="E6" s="173"/>
      <c r="F6" s="176"/>
      <c r="G6" s="176"/>
      <c r="H6" s="176"/>
      <c r="I6" s="178"/>
      <c r="J6" s="178"/>
      <c r="K6" s="178"/>
      <c r="L6" s="176"/>
      <c r="M6" s="176"/>
      <c r="N6" s="176"/>
      <c r="O6" s="176"/>
      <c r="P6" s="176"/>
      <c r="Q6" s="176"/>
      <c r="R6" s="176"/>
      <c r="S6" s="176"/>
      <c r="T6" s="176"/>
      <c r="U6" s="176"/>
      <c r="V6" s="176"/>
      <c r="W6" s="173"/>
      <c r="X6" s="176"/>
    </row>
    <row r="7" spans="1:24" ht="16.5" customHeight="1">
      <c r="A7" s="177"/>
      <c r="B7" s="351" t="s">
        <v>458</v>
      </c>
      <c r="C7" s="176"/>
      <c r="D7" s="986"/>
      <c r="E7" s="987"/>
      <c r="F7" s="987"/>
      <c r="G7" s="987"/>
      <c r="H7" s="230" t="s">
        <v>288</v>
      </c>
      <c r="I7" s="173"/>
      <c r="J7" s="487"/>
      <c r="K7" s="176"/>
      <c r="L7" s="176"/>
      <c r="M7" s="176"/>
      <c r="N7" s="348" t="s">
        <v>289</v>
      </c>
      <c r="O7" s="176"/>
      <c r="P7" s="349"/>
      <c r="Q7" s="176"/>
      <c r="R7" s="264" t="s">
        <v>290</v>
      </c>
      <c r="S7" s="176"/>
      <c r="T7" s="349"/>
      <c r="U7" s="176"/>
      <c r="V7" s="176"/>
      <c r="W7" s="173"/>
      <c r="X7" s="176"/>
    </row>
    <row r="8" spans="1:24" ht="12" customHeight="1">
      <c r="A8" s="177"/>
      <c r="B8" s="179"/>
      <c r="C8" s="176"/>
      <c r="D8" s="173"/>
      <c r="E8" s="350" t="s">
        <v>291</v>
      </c>
      <c r="F8" s="173"/>
      <c r="G8" s="177"/>
      <c r="H8" s="351" t="s">
        <v>292</v>
      </c>
      <c r="I8" s="173"/>
      <c r="J8" s="352" t="s">
        <v>293</v>
      </c>
      <c r="K8" s="176"/>
      <c r="L8" s="176"/>
      <c r="M8" s="176"/>
      <c r="N8" s="353" t="s">
        <v>294</v>
      </c>
      <c r="O8" s="354"/>
      <c r="P8" s="354" t="s">
        <v>295</v>
      </c>
      <c r="Q8" s="176"/>
      <c r="R8" s="355" t="s">
        <v>296</v>
      </c>
      <c r="S8" s="176"/>
      <c r="T8" s="354" t="s">
        <v>297</v>
      </c>
      <c r="U8" s="176"/>
      <c r="V8" s="176"/>
      <c r="W8" s="173"/>
      <c r="X8" s="176"/>
    </row>
    <row r="9" spans="1:24" ht="9" customHeight="1" thickBot="1">
      <c r="A9" s="180"/>
      <c r="B9" s="180"/>
      <c r="C9" s="180"/>
      <c r="D9" s="180"/>
      <c r="E9" s="180"/>
      <c r="F9" s="180"/>
      <c r="G9" s="180"/>
      <c r="H9" s="180"/>
      <c r="I9" s="180"/>
      <c r="J9" s="180"/>
      <c r="K9" s="180"/>
      <c r="L9" s="356"/>
      <c r="M9" s="180"/>
      <c r="N9" s="180"/>
      <c r="O9" s="180"/>
      <c r="P9" s="180"/>
      <c r="Q9" s="180"/>
      <c r="R9" s="180"/>
      <c r="S9" s="180"/>
      <c r="T9" s="180"/>
      <c r="U9" s="180"/>
      <c r="X9" s="176"/>
    </row>
    <row r="10" spans="1:24" ht="4.5" customHeight="1" thickTop="1">
      <c r="A10" s="6"/>
      <c r="B10" s="7"/>
      <c r="C10" s="7"/>
      <c r="D10" s="7"/>
      <c r="E10" s="7"/>
      <c r="F10" s="7"/>
      <c r="G10" s="7"/>
      <c r="H10" s="7"/>
      <c r="I10" s="7"/>
      <c r="J10" s="7"/>
      <c r="K10" s="7"/>
      <c r="L10" s="7"/>
      <c r="M10" s="7"/>
      <c r="N10" s="7"/>
      <c r="O10" s="7"/>
      <c r="P10" s="7"/>
      <c r="Q10" s="7"/>
      <c r="R10" s="7"/>
      <c r="S10" s="7"/>
      <c r="T10" s="7"/>
      <c r="U10" s="12"/>
      <c r="X10" s="176"/>
    </row>
    <row r="11" spans="1:24" ht="14.25" customHeight="1">
      <c r="A11" s="131" t="s">
        <v>298</v>
      </c>
      <c r="B11" s="7"/>
      <c r="C11" s="7"/>
      <c r="D11" s="7"/>
      <c r="E11" s="7"/>
      <c r="F11" s="7"/>
      <c r="G11" s="7"/>
      <c r="H11" s="7"/>
      <c r="I11" s="7"/>
      <c r="J11" s="7"/>
      <c r="K11" s="7"/>
      <c r="L11" s="7"/>
      <c r="M11" s="7"/>
      <c r="N11" s="7"/>
      <c r="O11" s="7"/>
      <c r="P11" s="7"/>
      <c r="Q11" s="7"/>
      <c r="R11" s="7"/>
      <c r="S11" s="7"/>
      <c r="T11" s="7"/>
      <c r="U11" s="12"/>
      <c r="X11" s="176"/>
    </row>
    <row r="12" spans="1:24" ht="4.5" customHeight="1">
      <c r="A12" s="18"/>
      <c r="B12" s="19"/>
      <c r="C12" s="19"/>
      <c r="D12" s="19"/>
      <c r="E12" s="19"/>
      <c r="F12" s="19"/>
      <c r="G12" s="19"/>
      <c r="H12" s="19"/>
      <c r="I12" s="19"/>
      <c r="J12" s="19"/>
      <c r="K12" s="19"/>
      <c r="L12" s="19"/>
      <c r="M12" s="19"/>
      <c r="N12" s="19"/>
      <c r="O12" s="19"/>
      <c r="P12" s="19"/>
      <c r="Q12" s="19"/>
      <c r="R12" s="19"/>
      <c r="S12" s="19"/>
      <c r="T12" s="19"/>
      <c r="U12" s="27"/>
      <c r="X12" s="176"/>
    </row>
    <row r="13" spans="1:24" ht="12.75" customHeight="1">
      <c r="A13" s="76"/>
      <c r="B13" s="357"/>
      <c r="C13" s="7"/>
      <c r="D13" s="7"/>
      <c r="E13" s="59"/>
      <c r="F13" s="60" t="s">
        <v>110</v>
      </c>
      <c r="G13" s="59"/>
      <c r="H13" s="66" t="s">
        <v>299</v>
      </c>
      <c r="I13" s="19"/>
      <c r="J13" s="19"/>
      <c r="K13" s="19"/>
      <c r="L13" s="67"/>
      <c r="M13" s="63"/>
      <c r="N13" s="60" t="s">
        <v>300</v>
      </c>
      <c r="O13" s="59" t="s">
        <v>74</v>
      </c>
      <c r="P13" s="125" t="s">
        <v>301</v>
      </c>
      <c r="Q13" s="59"/>
      <c r="R13" s="66" t="s">
        <v>302</v>
      </c>
      <c r="S13" s="66"/>
      <c r="T13" s="358"/>
      <c r="U13" s="27"/>
      <c r="X13" s="176"/>
    </row>
    <row r="14" spans="1:27" ht="15.75" customHeight="1">
      <c r="A14" s="47"/>
      <c r="B14" s="124" t="s">
        <v>303</v>
      </c>
      <c r="C14" s="7"/>
      <c r="D14" s="7"/>
      <c r="E14" s="59"/>
      <c r="F14" s="60" t="s">
        <v>304</v>
      </c>
      <c r="G14" s="59"/>
      <c r="H14" s="16" t="s">
        <v>109</v>
      </c>
      <c r="I14" s="59"/>
      <c r="J14" s="40" t="s">
        <v>326</v>
      </c>
      <c r="K14" s="59"/>
      <c r="L14" s="60" t="s">
        <v>327</v>
      </c>
      <c r="M14" s="59"/>
      <c r="N14" s="44" t="s">
        <v>305</v>
      </c>
      <c r="O14" s="59"/>
      <c r="P14" s="7" t="s">
        <v>306</v>
      </c>
      <c r="Q14" s="59"/>
      <c r="R14" s="41" t="s">
        <v>307</v>
      </c>
      <c r="S14" s="61"/>
      <c r="T14" s="41" t="s">
        <v>331</v>
      </c>
      <c r="U14" s="12"/>
      <c r="X14" s="176"/>
      <c r="AA14" s="359"/>
    </row>
    <row r="15" spans="1:27" ht="12.75" customHeight="1">
      <c r="A15" s="76"/>
      <c r="B15" s="360"/>
      <c r="C15" s="7"/>
      <c r="D15" s="7"/>
      <c r="E15" s="59"/>
      <c r="F15" s="14" t="s">
        <v>308</v>
      </c>
      <c r="G15" s="59"/>
      <c r="H15" s="361" t="s">
        <v>309</v>
      </c>
      <c r="I15" s="59"/>
      <c r="J15" s="361" t="s">
        <v>309</v>
      </c>
      <c r="K15" s="59"/>
      <c r="L15" s="361" t="s">
        <v>309</v>
      </c>
      <c r="M15" s="59"/>
      <c r="N15" s="33" t="s">
        <v>388</v>
      </c>
      <c r="O15" s="59"/>
      <c r="P15" s="362"/>
      <c r="Q15" s="59"/>
      <c r="R15" s="362"/>
      <c r="S15" s="363"/>
      <c r="T15" s="362"/>
      <c r="U15" s="12"/>
      <c r="X15" s="176"/>
      <c r="AA15" s="359"/>
    </row>
    <row r="16" spans="1:27" ht="12.75" customHeight="1">
      <c r="A16" s="364"/>
      <c r="B16" s="365">
        <v>5</v>
      </c>
      <c r="C16" s="19"/>
      <c r="D16" s="19"/>
      <c r="E16" s="63"/>
      <c r="F16" s="71">
        <v>6</v>
      </c>
      <c r="G16" s="72">
        <v>1</v>
      </c>
      <c r="H16" s="71">
        <v>7</v>
      </c>
      <c r="I16" s="63"/>
      <c r="J16" s="71">
        <v>8</v>
      </c>
      <c r="K16" s="63"/>
      <c r="L16" s="415" t="s">
        <v>328</v>
      </c>
      <c r="M16" s="111"/>
      <c r="N16" s="71">
        <v>10</v>
      </c>
      <c r="O16" s="111"/>
      <c r="P16" s="71">
        <v>11</v>
      </c>
      <c r="Q16" s="68"/>
      <c r="R16" s="105" t="s">
        <v>310</v>
      </c>
      <c r="S16" s="72"/>
      <c r="T16" s="105" t="s">
        <v>332</v>
      </c>
      <c r="U16" s="27"/>
      <c r="X16" s="176"/>
      <c r="AA16" s="359"/>
    </row>
    <row r="17" spans="1:27" ht="19.5" customHeight="1">
      <c r="A17" s="366">
        <v>1</v>
      </c>
      <c r="B17" s="260"/>
      <c r="C17" s="260"/>
      <c r="D17" s="623"/>
      <c r="E17" s="284"/>
      <c r="F17" s="132"/>
      <c r="G17" s="284"/>
      <c r="H17" s="424"/>
      <c r="I17" s="296"/>
      <c r="J17" s="522"/>
      <c r="K17" s="296"/>
      <c r="L17" s="416">
        <f aca="true" t="shared" si="0" ref="L17:L26">H17-J17</f>
        <v>0</v>
      </c>
      <c r="M17" s="111"/>
      <c r="N17" s="367"/>
      <c r="O17" s="111"/>
      <c r="P17" s="368"/>
      <c r="Q17" s="68"/>
      <c r="R17" s="488">
        <f aca="true" t="shared" si="1" ref="R17:R26">(H17*$T$7)*(N17-P17)</f>
        <v>0</v>
      </c>
      <c r="S17" s="489"/>
      <c r="T17" s="488">
        <f aca="true" t="shared" si="2" ref="T17:T26">(L17*$T$7)*(N17-P17)</f>
        <v>0</v>
      </c>
      <c r="U17" s="27"/>
      <c r="X17" s="176"/>
      <c r="AA17" s="359"/>
    </row>
    <row r="18" spans="1:24" ht="19.5" customHeight="1">
      <c r="A18" s="366">
        <v>2</v>
      </c>
      <c r="B18" s="260"/>
      <c r="C18" s="260"/>
      <c r="D18" s="623"/>
      <c r="E18" s="284"/>
      <c r="F18" s="132"/>
      <c r="G18" s="284"/>
      <c r="H18" s="424"/>
      <c r="I18" s="296"/>
      <c r="J18" s="522"/>
      <c r="K18" s="296"/>
      <c r="L18" s="416">
        <f t="shared" si="0"/>
        <v>0</v>
      </c>
      <c r="M18" s="111"/>
      <c r="N18" s="367"/>
      <c r="O18" s="111"/>
      <c r="P18" s="368"/>
      <c r="Q18" s="68"/>
      <c r="R18" s="488">
        <f t="shared" si="1"/>
        <v>0</v>
      </c>
      <c r="S18" s="489"/>
      <c r="T18" s="488">
        <f t="shared" si="2"/>
        <v>0</v>
      </c>
      <c r="U18" s="107"/>
      <c r="X18" s="176"/>
    </row>
    <row r="19" spans="1:24" ht="19.5" customHeight="1">
      <c r="A19" s="366">
        <v>3</v>
      </c>
      <c r="B19" s="260"/>
      <c r="C19" s="260"/>
      <c r="D19" s="623"/>
      <c r="E19" s="284"/>
      <c r="F19" s="132"/>
      <c r="G19" s="284"/>
      <c r="H19" s="424"/>
      <c r="I19" s="296"/>
      <c r="J19" s="522"/>
      <c r="K19" s="296"/>
      <c r="L19" s="416">
        <f t="shared" si="0"/>
        <v>0</v>
      </c>
      <c r="M19" s="111"/>
      <c r="N19" s="367"/>
      <c r="O19" s="111"/>
      <c r="P19" s="368"/>
      <c r="Q19" s="68"/>
      <c r="R19" s="488">
        <f t="shared" si="1"/>
        <v>0</v>
      </c>
      <c r="S19" s="489"/>
      <c r="T19" s="488">
        <f t="shared" si="2"/>
        <v>0</v>
      </c>
      <c r="U19" s="107"/>
      <c r="X19" s="176"/>
    </row>
    <row r="20" spans="1:24" ht="19.5" customHeight="1">
      <c r="A20" s="366">
        <v>4</v>
      </c>
      <c r="B20" s="260"/>
      <c r="C20" s="260"/>
      <c r="D20" s="623"/>
      <c r="E20" s="284"/>
      <c r="F20" s="132"/>
      <c r="G20" s="284"/>
      <c r="H20" s="424"/>
      <c r="I20" s="296"/>
      <c r="J20" s="522"/>
      <c r="K20" s="296"/>
      <c r="L20" s="416">
        <f t="shared" si="0"/>
        <v>0</v>
      </c>
      <c r="M20" s="111"/>
      <c r="N20" s="367"/>
      <c r="O20" s="111"/>
      <c r="P20" s="368"/>
      <c r="Q20" s="68"/>
      <c r="R20" s="488">
        <f t="shared" si="1"/>
        <v>0</v>
      </c>
      <c r="S20" s="489"/>
      <c r="T20" s="488">
        <f t="shared" si="2"/>
        <v>0</v>
      </c>
      <c r="U20" s="107"/>
      <c r="X20" s="176"/>
    </row>
    <row r="21" spans="1:24" ht="19.5" customHeight="1">
      <c r="A21" s="366">
        <v>5</v>
      </c>
      <c r="B21" s="260"/>
      <c r="C21" s="260"/>
      <c r="D21" s="623"/>
      <c r="E21" s="284"/>
      <c r="F21" s="132"/>
      <c r="G21" s="284"/>
      <c r="H21" s="424"/>
      <c r="I21" s="296"/>
      <c r="J21" s="522"/>
      <c r="K21" s="296"/>
      <c r="L21" s="416">
        <f t="shared" si="0"/>
        <v>0</v>
      </c>
      <c r="M21" s="111"/>
      <c r="N21" s="367"/>
      <c r="O21" s="111"/>
      <c r="P21" s="368"/>
      <c r="Q21" s="68"/>
      <c r="R21" s="488">
        <f t="shared" si="1"/>
        <v>0</v>
      </c>
      <c r="S21" s="489"/>
      <c r="T21" s="488">
        <f t="shared" si="2"/>
        <v>0</v>
      </c>
      <c r="U21" s="107"/>
      <c r="X21" s="176"/>
    </row>
    <row r="22" spans="1:24" ht="19.5" customHeight="1">
      <c r="A22" s="366">
        <v>6</v>
      </c>
      <c r="B22" s="260"/>
      <c r="C22" s="260"/>
      <c r="D22" s="623"/>
      <c r="E22" s="284"/>
      <c r="F22" s="132"/>
      <c r="G22" s="284"/>
      <c r="H22" s="424"/>
      <c r="I22" s="296"/>
      <c r="J22" s="522"/>
      <c r="K22" s="296"/>
      <c r="L22" s="416">
        <f t="shared" si="0"/>
        <v>0</v>
      </c>
      <c r="M22" s="111"/>
      <c r="N22" s="367"/>
      <c r="O22" s="111"/>
      <c r="P22" s="368"/>
      <c r="Q22" s="68"/>
      <c r="R22" s="488">
        <f t="shared" si="1"/>
        <v>0</v>
      </c>
      <c r="S22" s="489"/>
      <c r="T22" s="488">
        <f t="shared" si="2"/>
        <v>0</v>
      </c>
      <c r="U22" s="107"/>
      <c r="X22" s="176"/>
    </row>
    <row r="23" spans="1:24" ht="19.5" customHeight="1">
      <c r="A23" s="366">
        <v>7</v>
      </c>
      <c r="B23" s="260"/>
      <c r="C23" s="260"/>
      <c r="D23" s="623"/>
      <c r="E23" s="284"/>
      <c r="F23" s="132"/>
      <c r="G23" s="284"/>
      <c r="H23" s="424"/>
      <c r="I23" s="296"/>
      <c r="J23" s="522"/>
      <c r="K23" s="296"/>
      <c r="L23" s="416">
        <f t="shared" si="0"/>
        <v>0</v>
      </c>
      <c r="M23" s="111"/>
      <c r="N23" s="367"/>
      <c r="O23" s="111"/>
      <c r="P23" s="368"/>
      <c r="Q23" s="68"/>
      <c r="R23" s="488">
        <f t="shared" si="1"/>
        <v>0</v>
      </c>
      <c r="S23" s="489"/>
      <c r="T23" s="488">
        <f t="shared" si="2"/>
        <v>0</v>
      </c>
      <c r="U23" s="107"/>
      <c r="X23" s="176"/>
    </row>
    <row r="24" spans="1:24" ht="19.5" customHeight="1">
      <c r="A24" s="366">
        <v>8</v>
      </c>
      <c r="B24" s="260"/>
      <c r="C24" s="260"/>
      <c r="D24" s="623"/>
      <c r="E24" s="284"/>
      <c r="F24" s="132"/>
      <c r="G24" s="284"/>
      <c r="H24" s="424"/>
      <c r="I24" s="296"/>
      <c r="J24" s="522"/>
      <c r="K24" s="296"/>
      <c r="L24" s="416">
        <f t="shared" si="0"/>
        <v>0</v>
      </c>
      <c r="M24" s="111"/>
      <c r="N24" s="367"/>
      <c r="O24" s="111"/>
      <c r="P24" s="368"/>
      <c r="Q24" s="68"/>
      <c r="R24" s="488">
        <f t="shared" si="1"/>
        <v>0</v>
      </c>
      <c r="S24" s="489"/>
      <c r="T24" s="488">
        <f t="shared" si="2"/>
        <v>0</v>
      </c>
      <c r="U24" s="107"/>
      <c r="X24" s="176"/>
    </row>
    <row r="25" spans="1:24" ht="19.5" customHeight="1">
      <c r="A25" s="366">
        <v>9</v>
      </c>
      <c r="B25" s="260"/>
      <c r="C25" s="260"/>
      <c r="D25" s="623"/>
      <c r="E25" s="284"/>
      <c r="F25" s="132"/>
      <c r="G25" s="284"/>
      <c r="H25" s="424"/>
      <c r="I25" s="296"/>
      <c r="J25" s="522"/>
      <c r="K25" s="296"/>
      <c r="L25" s="416">
        <f t="shared" si="0"/>
        <v>0</v>
      </c>
      <c r="M25" s="111"/>
      <c r="N25" s="367"/>
      <c r="O25" s="111"/>
      <c r="P25" s="368"/>
      <c r="Q25" s="68"/>
      <c r="R25" s="488">
        <f t="shared" si="1"/>
        <v>0</v>
      </c>
      <c r="S25" s="489"/>
      <c r="T25" s="488">
        <f t="shared" si="2"/>
        <v>0</v>
      </c>
      <c r="U25" s="107"/>
      <c r="X25" s="176"/>
    </row>
    <row r="26" spans="1:24" ht="19.5" customHeight="1" thickBot="1">
      <c r="A26" s="366">
        <v>10</v>
      </c>
      <c r="B26" s="260"/>
      <c r="C26" s="260"/>
      <c r="D26" s="623"/>
      <c r="E26" s="284"/>
      <c r="F26" s="132"/>
      <c r="G26" s="284"/>
      <c r="H26" s="424"/>
      <c r="I26" s="296"/>
      <c r="J26" s="522"/>
      <c r="K26" s="296"/>
      <c r="L26" s="416">
        <f t="shared" si="0"/>
        <v>0</v>
      </c>
      <c r="M26" s="111"/>
      <c r="N26" s="367"/>
      <c r="O26" s="111"/>
      <c r="P26" s="368"/>
      <c r="Q26" s="68"/>
      <c r="R26" s="488">
        <f t="shared" si="1"/>
        <v>0</v>
      </c>
      <c r="S26" s="489"/>
      <c r="T26" s="488">
        <f t="shared" si="2"/>
        <v>0</v>
      </c>
      <c r="U26" s="107"/>
      <c r="X26" s="176"/>
    </row>
    <row r="27" spans="1:27" ht="16.5" customHeight="1">
      <c r="A27" s="369"/>
      <c r="B27" s="15"/>
      <c r="C27" s="7"/>
      <c r="D27" s="7" t="s">
        <v>311</v>
      </c>
      <c r="E27" s="59"/>
      <c r="F27" s="370"/>
      <c r="G27" s="370"/>
      <c r="H27" s="371"/>
      <c r="I27" s="370"/>
      <c r="J27" s="372"/>
      <c r="K27" s="370"/>
      <c r="L27" s="373"/>
      <c r="M27" s="370"/>
      <c r="N27" s="370"/>
      <c r="O27" s="370"/>
      <c r="P27" s="2"/>
      <c r="Q27" s="374"/>
      <c r="R27" s="490">
        <f>SUM(R17:R26)</f>
        <v>0</v>
      </c>
      <c r="S27" s="491"/>
      <c r="T27" s="492">
        <f>SUM(T17:T26)</f>
        <v>0</v>
      </c>
      <c r="U27" s="419"/>
      <c r="X27" s="176"/>
      <c r="AA27" s="359"/>
    </row>
    <row r="28" spans="1:27" ht="2.25" customHeight="1" thickBot="1">
      <c r="A28" s="375"/>
      <c r="B28" s="46"/>
      <c r="C28" s="46"/>
      <c r="D28" s="46"/>
      <c r="E28" s="376"/>
      <c r="F28" s="239"/>
      <c r="G28" s="239"/>
      <c r="H28" s="239"/>
      <c r="I28" s="239"/>
      <c r="J28" s="239"/>
      <c r="K28" s="239"/>
      <c r="L28" s="239"/>
      <c r="M28" s="239"/>
      <c r="N28" s="239"/>
      <c r="O28" s="239"/>
      <c r="P28" s="239"/>
      <c r="Q28" s="377"/>
      <c r="R28" s="378"/>
      <c r="S28" s="376"/>
      <c r="T28" s="420"/>
      <c r="U28" s="493"/>
      <c r="X28" s="176"/>
      <c r="AA28" s="359"/>
    </row>
    <row r="29" spans="1:27" ht="6.75" customHeight="1" thickTop="1">
      <c r="A29" s="17"/>
      <c r="B29" s="7"/>
      <c r="C29" s="7"/>
      <c r="D29" s="7"/>
      <c r="E29" s="7"/>
      <c r="F29" s="7"/>
      <c r="G29" s="7"/>
      <c r="H29" s="7"/>
      <c r="I29" s="7"/>
      <c r="J29" s="7"/>
      <c r="K29" s="7"/>
      <c r="L29" s="7"/>
      <c r="M29" s="7"/>
      <c r="N29" s="7"/>
      <c r="O29" s="7"/>
      <c r="P29" s="7"/>
      <c r="Q29" s="7"/>
      <c r="R29" s="7"/>
      <c r="S29" s="7"/>
      <c r="T29" s="7"/>
      <c r="U29" s="12"/>
      <c r="X29" s="176"/>
      <c r="AA29" s="359"/>
    </row>
    <row r="30" spans="1:27" ht="15" customHeight="1">
      <c r="A30" s="76" t="s">
        <v>312</v>
      </c>
      <c r="B30" s="7"/>
      <c r="C30" s="7"/>
      <c r="D30" s="7"/>
      <c r="E30" s="7"/>
      <c r="F30" s="7"/>
      <c r="G30" s="7"/>
      <c r="H30" s="7"/>
      <c r="I30" s="7"/>
      <c r="J30" s="7"/>
      <c r="K30" s="7"/>
      <c r="L30" s="7"/>
      <c r="M30" s="7"/>
      <c r="N30" s="7"/>
      <c r="O30" s="7"/>
      <c r="P30" s="7"/>
      <c r="Q30" s="7"/>
      <c r="R30" s="7"/>
      <c r="S30" s="7"/>
      <c r="T30" s="7"/>
      <c r="U30" s="12"/>
      <c r="X30" s="176"/>
      <c r="AA30" s="359"/>
    </row>
    <row r="31" spans="1:27" ht="3" customHeight="1">
      <c r="A31" s="25"/>
      <c r="B31" s="19"/>
      <c r="C31" s="19"/>
      <c r="D31" s="19"/>
      <c r="E31" s="19"/>
      <c r="F31" s="19"/>
      <c r="G31" s="19"/>
      <c r="H31" s="19"/>
      <c r="I31" s="19"/>
      <c r="J31" s="19"/>
      <c r="K31" s="19"/>
      <c r="L31" s="19"/>
      <c r="M31" s="19"/>
      <c r="N31" s="19"/>
      <c r="O31" s="19"/>
      <c r="P31" s="19"/>
      <c r="Q31" s="19"/>
      <c r="R31" s="19"/>
      <c r="S31" s="19"/>
      <c r="T31" s="19"/>
      <c r="U31" s="27"/>
      <c r="X31" s="176"/>
      <c r="AA31" s="359"/>
    </row>
    <row r="32" spans="1:24" ht="12.75" customHeight="1">
      <c r="A32" s="76"/>
      <c r="B32" s="357"/>
      <c r="C32" s="7"/>
      <c r="D32" s="7"/>
      <c r="E32" s="59"/>
      <c r="F32" s="60" t="s">
        <v>110</v>
      </c>
      <c r="G32" s="59"/>
      <c r="H32" s="66" t="s">
        <v>389</v>
      </c>
      <c r="I32" s="19"/>
      <c r="J32" s="19"/>
      <c r="K32" s="19"/>
      <c r="L32" s="67"/>
      <c r="M32" s="63"/>
      <c r="N32" s="98" t="s">
        <v>313</v>
      </c>
      <c r="O32" s="133"/>
      <c r="P32" s="15" t="s">
        <v>301</v>
      </c>
      <c r="Q32" s="59"/>
      <c r="R32" s="67" t="s">
        <v>314</v>
      </c>
      <c r="S32" s="67"/>
      <c r="T32" s="19"/>
      <c r="U32" s="27"/>
      <c r="X32" s="176"/>
    </row>
    <row r="33" spans="1:24" ht="14.25" customHeight="1">
      <c r="A33" s="47"/>
      <c r="B33" s="124" t="s">
        <v>315</v>
      </c>
      <c r="C33" s="7"/>
      <c r="D33" s="7"/>
      <c r="E33" s="59"/>
      <c r="F33" s="60" t="s">
        <v>316</v>
      </c>
      <c r="G33" s="59"/>
      <c r="H33" s="16" t="s">
        <v>109</v>
      </c>
      <c r="I33" s="59"/>
      <c r="J33" s="417" t="s">
        <v>329</v>
      </c>
      <c r="K33" s="59"/>
      <c r="L33" s="60" t="s">
        <v>317</v>
      </c>
      <c r="M33" s="59"/>
      <c r="N33" s="44" t="s">
        <v>305</v>
      </c>
      <c r="O33" s="379"/>
      <c r="P33" s="7" t="s">
        <v>306</v>
      </c>
      <c r="Q33" s="59"/>
      <c r="R33" s="41" t="s">
        <v>307</v>
      </c>
      <c r="S33" s="61"/>
      <c r="T33" s="41" t="s">
        <v>331</v>
      </c>
      <c r="U33" s="12"/>
      <c r="X33" s="176"/>
    </row>
    <row r="34" spans="1:24" ht="14.25" customHeight="1">
      <c r="A34" s="76"/>
      <c r="B34" s="360"/>
      <c r="C34" s="7"/>
      <c r="D34" s="7"/>
      <c r="E34" s="59"/>
      <c r="F34" s="60" t="s">
        <v>317</v>
      </c>
      <c r="G34" s="59"/>
      <c r="H34" s="361" t="s">
        <v>318</v>
      </c>
      <c r="I34" s="59"/>
      <c r="J34" s="361" t="s">
        <v>318</v>
      </c>
      <c r="K34" s="59"/>
      <c r="L34" s="361" t="s">
        <v>318</v>
      </c>
      <c r="M34" s="59"/>
      <c r="N34" s="494" t="s">
        <v>390</v>
      </c>
      <c r="O34" s="363"/>
      <c r="P34" s="362"/>
      <c r="Q34" s="59"/>
      <c r="R34" s="362"/>
      <c r="S34" s="363"/>
      <c r="T34" s="362"/>
      <c r="U34" s="12"/>
      <c r="X34" s="176"/>
    </row>
    <row r="35" spans="1:24" ht="12" customHeight="1">
      <c r="A35" s="364"/>
      <c r="B35" s="365">
        <v>14</v>
      </c>
      <c r="C35" s="19"/>
      <c r="D35" s="19"/>
      <c r="E35" s="63"/>
      <c r="F35" s="71">
        <v>15</v>
      </c>
      <c r="G35" s="72"/>
      <c r="H35" s="71">
        <v>16</v>
      </c>
      <c r="I35" s="63"/>
      <c r="J35" s="71">
        <v>17</v>
      </c>
      <c r="K35" s="63"/>
      <c r="L35" s="415" t="s">
        <v>330</v>
      </c>
      <c r="M35" s="111"/>
      <c r="N35" s="105">
        <v>19</v>
      </c>
      <c r="O35" s="72"/>
      <c r="P35" s="105">
        <v>20</v>
      </c>
      <c r="Q35" s="380"/>
      <c r="R35" s="105" t="s">
        <v>319</v>
      </c>
      <c r="S35" s="72"/>
      <c r="T35" s="105" t="s">
        <v>333</v>
      </c>
      <c r="U35" s="27"/>
      <c r="X35" s="176"/>
    </row>
    <row r="36" spans="1:24" ht="4.5" customHeight="1">
      <c r="A36" s="6"/>
      <c r="B36" s="7"/>
      <c r="C36" s="7"/>
      <c r="D36" s="7"/>
      <c r="E36" s="59"/>
      <c r="F36" s="7"/>
      <c r="G36" s="59"/>
      <c r="H36" s="7"/>
      <c r="I36" s="59"/>
      <c r="J36" s="7"/>
      <c r="K36" s="59"/>
      <c r="L36" s="7"/>
      <c r="M36" s="59"/>
      <c r="N36" s="381"/>
      <c r="O36" s="59"/>
      <c r="P36" s="7"/>
      <c r="Q36" s="59"/>
      <c r="R36" s="7"/>
      <c r="S36" s="59"/>
      <c r="T36" s="7"/>
      <c r="U36" s="12"/>
      <c r="X36" s="176"/>
    </row>
    <row r="37" spans="1:24" ht="12.75">
      <c r="A37" s="6"/>
      <c r="B37" s="15" t="s">
        <v>320</v>
      </c>
      <c r="C37" s="7"/>
      <c r="D37" s="7"/>
      <c r="E37" s="59"/>
      <c r="F37" s="7"/>
      <c r="G37" s="59"/>
      <c r="H37" s="7"/>
      <c r="I37" s="59"/>
      <c r="J37" s="7"/>
      <c r="K37" s="59"/>
      <c r="L37" s="7"/>
      <c r="M37" s="59"/>
      <c r="N37" s="381"/>
      <c r="O37" s="59"/>
      <c r="P37" s="7"/>
      <c r="Q37" s="59"/>
      <c r="R37" s="7"/>
      <c r="S37" s="59"/>
      <c r="T37" s="7"/>
      <c r="U37" s="12"/>
      <c r="X37" s="176"/>
    </row>
    <row r="38" spans="1:24" ht="3.75" customHeight="1">
      <c r="A38" s="6"/>
      <c r="B38" s="7"/>
      <c r="C38" s="7"/>
      <c r="D38" s="7"/>
      <c r="E38" s="59"/>
      <c r="F38" s="33"/>
      <c r="G38" s="59"/>
      <c r="H38" s="382"/>
      <c r="I38" s="383"/>
      <c r="J38" s="384"/>
      <c r="K38" s="383"/>
      <c r="L38" s="406"/>
      <c r="M38" s="59"/>
      <c r="N38" s="381"/>
      <c r="O38" s="59"/>
      <c r="P38" s="384"/>
      <c r="Q38" s="383"/>
      <c r="R38" s="384"/>
      <c r="S38" s="383"/>
      <c r="T38" s="384"/>
      <c r="U38" s="12"/>
      <c r="X38" s="176"/>
    </row>
    <row r="39" spans="1:24" ht="19.5" customHeight="1">
      <c r="A39" s="18">
        <v>1</v>
      </c>
      <c r="B39" s="260"/>
      <c r="C39" s="260"/>
      <c r="D39" s="260"/>
      <c r="E39" s="284"/>
      <c r="F39" s="385"/>
      <c r="G39" s="284"/>
      <c r="H39" s="386"/>
      <c r="I39" s="495"/>
      <c r="J39" s="390"/>
      <c r="K39" s="387"/>
      <c r="L39" s="418">
        <f aca="true" t="shared" si="3" ref="L39:L58">H39-J39</f>
        <v>0</v>
      </c>
      <c r="M39" s="63"/>
      <c r="N39" s="388"/>
      <c r="O39" s="63"/>
      <c r="P39" s="388"/>
      <c r="Q39" s="387"/>
      <c r="R39" s="488">
        <f>(H39*$T$7)*(N39+P39)</f>
        <v>0</v>
      </c>
      <c r="S39" s="489"/>
      <c r="T39" s="488">
        <f>(L39*$T$7)*(N39+P39)</f>
        <v>0</v>
      </c>
      <c r="U39" s="27"/>
      <c r="X39" s="176"/>
    </row>
    <row r="40" spans="1:24" ht="19.5" customHeight="1">
      <c r="A40" s="18">
        <v>2</v>
      </c>
      <c r="B40" s="260"/>
      <c r="C40" s="260"/>
      <c r="D40" s="260"/>
      <c r="E40" s="284"/>
      <c r="F40" s="385"/>
      <c r="G40" s="284"/>
      <c r="H40" s="386"/>
      <c r="I40" s="495"/>
      <c r="J40" s="390"/>
      <c r="K40" s="387"/>
      <c r="L40" s="418">
        <f t="shared" si="3"/>
        <v>0</v>
      </c>
      <c r="M40" s="63"/>
      <c r="N40" s="388"/>
      <c r="O40" s="63"/>
      <c r="P40" s="388"/>
      <c r="Q40" s="387"/>
      <c r="R40" s="488">
        <f aca="true" t="shared" si="4" ref="R40:R47">(H40*$T$7)*(N40+P40)</f>
        <v>0</v>
      </c>
      <c r="S40" s="489"/>
      <c r="T40" s="488">
        <f aca="true" t="shared" si="5" ref="T40:T47">(L40*$T$7)*(N40+P40)</f>
        <v>0</v>
      </c>
      <c r="U40" s="27"/>
      <c r="X40" s="176"/>
    </row>
    <row r="41" spans="1:24" ht="19.5" customHeight="1">
      <c r="A41" s="18">
        <v>3</v>
      </c>
      <c r="B41" s="260"/>
      <c r="C41" s="260"/>
      <c r="D41" s="260"/>
      <c r="E41" s="284"/>
      <c r="F41" s="385"/>
      <c r="G41" s="284"/>
      <c r="H41" s="386"/>
      <c r="I41" s="495"/>
      <c r="J41" s="390"/>
      <c r="K41" s="387"/>
      <c r="L41" s="418">
        <f t="shared" si="3"/>
        <v>0</v>
      </c>
      <c r="M41" s="63"/>
      <c r="N41" s="388"/>
      <c r="O41" s="63"/>
      <c r="P41" s="388"/>
      <c r="Q41" s="387"/>
      <c r="R41" s="488">
        <f t="shared" si="4"/>
        <v>0</v>
      </c>
      <c r="S41" s="489"/>
      <c r="T41" s="488">
        <f t="shared" si="5"/>
        <v>0</v>
      </c>
      <c r="U41" s="27"/>
      <c r="X41" s="176"/>
    </row>
    <row r="42" spans="1:24" ht="19.5" customHeight="1">
      <c r="A42" s="18">
        <v>4</v>
      </c>
      <c r="B42" s="622"/>
      <c r="C42" s="260"/>
      <c r="D42" s="260"/>
      <c r="E42" s="284"/>
      <c r="F42" s="385"/>
      <c r="G42" s="284"/>
      <c r="H42" s="386"/>
      <c r="I42" s="495"/>
      <c r="J42" s="390"/>
      <c r="K42" s="387"/>
      <c r="L42" s="418">
        <f t="shared" si="3"/>
        <v>0</v>
      </c>
      <c r="M42" s="63"/>
      <c r="N42" s="388"/>
      <c r="O42" s="63"/>
      <c r="P42" s="388"/>
      <c r="Q42" s="387"/>
      <c r="R42" s="488">
        <f t="shared" si="4"/>
        <v>0</v>
      </c>
      <c r="S42" s="489"/>
      <c r="T42" s="488">
        <f t="shared" si="5"/>
        <v>0</v>
      </c>
      <c r="U42" s="27"/>
      <c r="X42" s="176"/>
    </row>
    <row r="43" spans="1:24" ht="19.5" customHeight="1">
      <c r="A43" s="18">
        <v>5</v>
      </c>
      <c r="B43" s="260"/>
      <c r="C43" s="260"/>
      <c r="D43" s="260"/>
      <c r="E43" s="284"/>
      <c r="F43" s="385"/>
      <c r="G43" s="284"/>
      <c r="H43" s="386"/>
      <c r="I43" s="495"/>
      <c r="J43" s="390"/>
      <c r="K43" s="387"/>
      <c r="L43" s="418">
        <f t="shared" si="3"/>
        <v>0</v>
      </c>
      <c r="M43" s="63"/>
      <c r="N43" s="401"/>
      <c r="O43" s="63"/>
      <c r="P43" s="388"/>
      <c r="Q43" s="387"/>
      <c r="R43" s="488">
        <f t="shared" si="4"/>
        <v>0</v>
      </c>
      <c r="S43" s="489"/>
      <c r="T43" s="488">
        <f t="shared" si="5"/>
        <v>0</v>
      </c>
      <c r="U43" s="27"/>
      <c r="X43" s="176"/>
    </row>
    <row r="44" spans="1:24" ht="19.5" customHeight="1">
      <c r="A44" s="18">
        <v>6</v>
      </c>
      <c r="B44" s="260"/>
      <c r="C44" s="260"/>
      <c r="D44" s="260"/>
      <c r="E44" s="284"/>
      <c r="F44" s="385"/>
      <c r="G44" s="284"/>
      <c r="H44" s="389"/>
      <c r="I44" s="495"/>
      <c r="J44" s="390"/>
      <c r="K44" s="387"/>
      <c r="L44" s="418">
        <f t="shared" si="3"/>
        <v>0</v>
      </c>
      <c r="M44" s="63"/>
      <c r="N44" s="388"/>
      <c r="O44" s="63"/>
      <c r="P44" s="390"/>
      <c r="Q44" s="387"/>
      <c r="R44" s="488">
        <f t="shared" si="4"/>
        <v>0</v>
      </c>
      <c r="S44" s="489"/>
      <c r="T44" s="488">
        <f t="shared" si="5"/>
        <v>0</v>
      </c>
      <c r="U44" s="27"/>
      <c r="X44" s="176"/>
    </row>
    <row r="45" spans="1:24" ht="19.5" customHeight="1">
      <c r="A45" s="18">
        <v>7</v>
      </c>
      <c r="B45" s="260"/>
      <c r="C45" s="260"/>
      <c r="D45" s="260"/>
      <c r="E45" s="284"/>
      <c r="F45" s="385"/>
      <c r="G45" s="284"/>
      <c r="H45" s="386"/>
      <c r="I45" s="495"/>
      <c r="J45" s="390"/>
      <c r="K45" s="387"/>
      <c r="L45" s="418">
        <f t="shared" si="3"/>
        <v>0</v>
      </c>
      <c r="M45" s="63"/>
      <c r="N45" s="388"/>
      <c r="O45" s="63"/>
      <c r="P45" s="388"/>
      <c r="Q45" s="387"/>
      <c r="R45" s="488">
        <f t="shared" si="4"/>
        <v>0</v>
      </c>
      <c r="S45" s="489"/>
      <c r="T45" s="488">
        <f t="shared" si="5"/>
        <v>0</v>
      </c>
      <c r="U45" s="27"/>
      <c r="X45" s="176"/>
    </row>
    <row r="46" spans="1:24" ht="19.5" customHeight="1">
      <c r="A46" s="18">
        <v>8</v>
      </c>
      <c r="B46" s="260"/>
      <c r="C46" s="260"/>
      <c r="D46" s="260"/>
      <c r="E46" s="284"/>
      <c r="F46" s="385"/>
      <c r="G46" s="284"/>
      <c r="H46" s="386"/>
      <c r="I46" s="495"/>
      <c r="J46" s="390"/>
      <c r="K46" s="387"/>
      <c r="L46" s="418">
        <f t="shared" si="3"/>
        <v>0</v>
      </c>
      <c r="M46" s="63"/>
      <c r="N46" s="388"/>
      <c r="O46" s="63"/>
      <c r="P46" s="388"/>
      <c r="Q46" s="387"/>
      <c r="R46" s="488">
        <f t="shared" si="4"/>
        <v>0</v>
      </c>
      <c r="S46" s="489"/>
      <c r="T46" s="488">
        <f t="shared" si="5"/>
        <v>0</v>
      </c>
      <c r="U46" s="27"/>
      <c r="X46" s="176"/>
    </row>
    <row r="47" spans="1:24" ht="19.5" customHeight="1">
      <c r="A47" s="18">
        <v>9</v>
      </c>
      <c r="B47" s="622"/>
      <c r="C47" s="260"/>
      <c r="D47" s="260"/>
      <c r="E47" s="284"/>
      <c r="F47" s="385"/>
      <c r="G47" s="284"/>
      <c r="H47" s="386"/>
      <c r="I47" s="495"/>
      <c r="J47" s="390"/>
      <c r="K47" s="387"/>
      <c r="L47" s="418">
        <f t="shared" si="3"/>
        <v>0</v>
      </c>
      <c r="M47" s="63"/>
      <c r="N47" s="388"/>
      <c r="O47" s="63"/>
      <c r="P47" s="388"/>
      <c r="Q47" s="387"/>
      <c r="R47" s="488">
        <f t="shared" si="4"/>
        <v>0</v>
      </c>
      <c r="S47" s="489"/>
      <c r="T47" s="488">
        <f t="shared" si="5"/>
        <v>0</v>
      </c>
      <c r="U47" s="27"/>
      <c r="X47" s="176"/>
    </row>
    <row r="48" spans="1:24" ht="19.5" customHeight="1">
      <c r="A48" s="18">
        <v>10</v>
      </c>
      <c r="B48" s="260"/>
      <c r="C48" s="260"/>
      <c r="D48" s="260"/>
      <c r="E48" s="284"/>
      <c r="F48" s="385"/>
      <c r="G48" s="284"/>
      <c r="H48" s="386"/>
      <c r="I48" s="495"/>
      <c r="J48" s="390"/>
      <c r="K48" s="387"/>
      <c r="L48" s="418">
        <f>H48-J48</f>
        <v>0</v>
      </c>
      <c r="M48" s="63"/>
      <c r="N48" s="388"/>
      <c r="O48" s="63"/>
      <c r="P48" s="388"/>
      <c r="Q48" s="387"/>
      <c r="R48" s="488">
        <f>(H48*$T$7)*(N48+P48)</f>
        <v>0</v>
      </c>
      <c r="S48" s="489"/>
      <c r="T48" s="488">
        <f>(L48*$T$7)*(N48+P48)</f>
        <v>0</v>
      </c>
      <c r="U48" s="27"/>
      <c r="X48" s="176"/>
    </row>
    <row r="49" spans="1:24" ht="19.5" customHeight="1">
      <c r="A49" s="18">
        <v>11</v>
      </c>
      <c r="B49" s="260"/>
      <c r="C49" s="260"/>
      <c r="D49" s="260"/>
      <c r="E49" s="284"/>
      <c r="F49" s="385"/>
      <c r="G49" s="284"/>
      <c r="H49" s="386"/>
      <c r="I49" s="495"/>
      <c r="J49" s="390"/>
      <c r="K49" s="387"/>
      <c r="L49" s="418">
        <f>H49-J49</f>
        <v>0</v>
      </c>
      <c r="M49" s="63"/>
      <c r="N49" s="388"/>
      <c r="O49" s="63"/>
      <c r="P49" s="388"/>
      <c r="Q49" s="387"/>
      <c r="R49" s="488">
        <f>(H49*$T$7)*(N49+P49)</f>
        <v>0</v>
      </c>
      <c r="S49" s="489"/>
      <c r="T49" s="488">
        <f>(L49*$T$7)*(N49+P49)</f>
        <v>0</v>
      </c>
      <c r="U49" s="27"/>
      <c r="X49" s="176"/>
    </row>
    <row r="50" spans="1:24" ht="19.5" customHeight="1">
      <c r="A50" s="18">
        <v>12</v>
      </c>
      <c r="B50" s="622"/>
      <c r="C50" s="260"/>
      <c r="D50" s="260"/>
      <c r="E50" s="284"/>
      <c r="F50" s="385"/>
      <c r="G50" s="284"/>
      <c r="H50" s="386"/>
      <c r="I50" s="495"/>
      <c r="J50" s="390"/>
      <c r="K50" s="387"/>
      <c r="L50" s="418">
        <f>H50-J50</f>
        <v>0</v>
      </c>
      <c r="M50" s="63"/>
      <c r="N50" s="388"/>
      <c r="O50" s="63"/>
      <c r="P50" s="388"/>
      <c r="Q50" s="387"/>
      <c r="R50" s="488">
        <f>(H50*$T$7)*(N50+P50)</f>
        <v>0</v>
      </c>
      <c r="S50" s="489"/>
      <c r="T50" s="488">
        <f>(L50*$T$7)*(N50+P50)</f>
        <v>0</v>
      </c>
      <c r="U50" s="27"/>
      <c r="X50" s="176"/>
    </row>
    <row r="51" spans="1:24" ht="19.5" customHeight="1">
      <c r="A51" s="18">
        <v>13</v>
      </c>
      <c r="B51" s="260"/>
      <c r="C51" s="260"/>
      <c r="D51" s="260"/>
      <c r="E51" s="284"/>
      <c r="F51" s="385"/>
      <c r="G51" s="284"/>
      <c r="H51" s="386"/>
      <c r="I51" s="495"/>
      <c r="J51" s="390"/>
      <c r="K51" s="387"/>
      <c r="L51" s="418">
        <f>H51-J51</f>
        <v>0</v>
      </c>
      <c r="M51" s="63"/>
      <c r="N51" s="401"/>
      <c r="O51" s="63"/>
      <c r="P51" s="388"/>
      <c r="Q51" s="387"/>
      <c r="R51" s="488">
        <f>(H51*$T$7)*(N51+P51)</f>
        <v>0</v>
      </c>
      <c r="S51" s="489"/>
      <c r="T51" s="488">
        <f>(L51*$T$7)*(N51+P51)</f>
        <v>0</v>
      </c>
      <c r="U51" s="27"/>
      <c r="X51" s="176"/>
    </row>
    <row r="52" spans="1:24" ht="19.5" customHeight="1">
      <c r="A52" s="18">
        <v>14</v>
      </c>
      <c r="B52" s="260"/>
      <c r="C52" s="260"/>
      <c r="D52" s="260"/>
      <c r="E52" s="284"/>
      <c r="F52" s="385"/>
      <c r="G52" s="284"/>
      <c r="H52" s="389"/>
      <c r="I52" s="495"/>
      <c r="J52" s="390"/>
      <c r="K52" s="387"/>
      <c r="L52" s="418">
        <f>H52-J52</f>
        <v>0</v>
      </c>
      <c r="M52" s="63"/>
      <c r="N52" s="388"/>
      <c r="O52" s="63"/>
      <c r="P52" s="390"/>
      <c r="Q52" s="387"/>
      <c r="R52" s="488">
        <f>(H52*$T$7)*(N52+P52)</f>
        <v>0</v>
      </c>
      <c r="S52" s="489"/>
      <c r="T52" s="488">
        <f>(L52*$T$7)*(N52+P52)</f>
        <v>0</v>
      </c>
      <c r="U52" s="27"/>
      <c r="X52" s="176"/>
    </row>
    <row r="53" spans="1:24" ht="19.5" customHeight="1">
      <c r="A53" s="18">
        <v>15</v>
      </c>
      <c r="B53" s="260"/>
      <c r="C53" s="260"/>
      <c r="D53" s="260"/>
      <c r="E53" s="284"/>
      <c r="F53" s="385"/>
      <c r="G53" s="284"/>
      <c r="H53" s="386"/>
      <c r="I53" s="495"/>
      <c r="J53" s="390"/>
      <c r="K53" s="387"/>
      <c r="L53" s="418">
        <f t="shared" si="3"/>
        <v>0</v>
      </c>
      <c r="M53" s="63"/>
      <c r="N53" s="388"/>
      <c r="O53" s="63"/>
      <c r="P53" s="388"/>
      <c r="Q53" s="387"/>
      <c r="R53" s="488">
        <f aca="true" t="shared" si="6" ref="R53:R58">(H53*$T$7)*(N53+P53)</f>
        <v>0</v>
      </c>
      <c r="S53" s="489"/>
      <c r="T53" s="488">
        <f aca="true" t="shared" si="7" ref="T53:T58">(L53*$T$7)*(N53+P53)</f>
        <v>0</v>
      </c>
      <c r="U53" s="27"/>
      <c r="X53" s="176"/>
    </row>
    <row r="54" spans="1:24" ht="19.5" customHeight="1">
      <c r="A54" s="18">
        <v>16</v>
      </c>
      <c r="B54" s="260"/>
      <c r="C54" s="260"/>
      <c r="D54" s="260"/>
      <c r="E54" s="284"/>
      <c r="F54" s="385"/>
      <c r="G54" s="284"/>
      <c r="H54" s="386"/>
      <c r="I54" s="495"/>
      <c r="J54" s="390"/>
      <c r="K54" s="387"/>
      <c r="L54" s="418">
        <f t="shared" si="3"/>
        <v>0</v>
      </c>
      <c r="M54" s="63"/>
      <c r="N54" s="388"/>
      <c r="O54" s="63"/>
      <c r="P54" s="388"/>
      <c r="Q54" s="387"/>
      <c r="R54" s="488">
        <f t="shared" si="6"/>
        <v>0</v>
      </c>
      <c r="S54" s="489"/>
      <c r="T54" s="488">
        <f t="shared" si="7"/>
        <v>0</v>
      </c>
      <c r="U54" s="27"/>
      <c r="X54" s="176"/>
    </row>
    <row r="55" spans="1:24" ht="19.5" customHeight="1">
      <c r="A55" s="18">
        <v>17</v>
      </c>
      <c r="B55" s="622"/>
      <c r="C55" s="260"/>
      <c r="D55" s="260"/>
      <c r="E55" s="284"/>
      <c r="F55" s="385"/>
      <c r="G55" s="284"/>
      <c r="H55" s="386"/>
      <c r="I55" s="495"/>
      <c r="J55" s="390"/>
      <c r="K55" s="387"/>
      <c r="L55" s="418">
        <f t="shared" si="3"/>
        <v>0</v>
      </c>
      <c r="M55" s="63"/>
      <c r="N55" s="388"/>
      <c r="O55" s="63"/>
      <c r="P55" s="388"/>
      <c r="Q55" s="387"/>
      <c r="R55" s="488">
        <f t="shared" si="6"/>
        <v>0</v>
      </c>
      <c r="S55" s="489"/>
      <c r="T55" s="488">
        <f t="shared" si="7"/>
        <v>0</v>
      </c>
      <c r="U55" s="27"/>
      <c r="X55" s="176"/>
    </row>
    <row r="56" spans="1:24" ht="19.5" customHeight="1">
      <c r="A56" s="18">
        <v>18</v>
      </c>
      <c r="B56" s="260"/>
      <c r="C56" s="260"/>
      <c r="D56" s="260"/>
      <c r="E56" s="284"/>
      <c r="F56" s="385"/>
      <c r="G56" s="284"/>
      <c r="H56" s="386"/>
      <c r="I56" s="495"/>
      <c r="J56" s="390"/>
      <c r="K56" s="387"/>
      <c r="L56" s="418">
        <f t="shared" si="3"/>
        <v>0</v>
      </c>
      <c r="M56" s="63"/>
      <c r="N56" s="401"/>
      <c r="O56" s="63"/>
      <c r="P56" s="388"/>
      <c r="Q56" s="387"/>
      <c r="R56" s="488">
        <f t="shared" si="6"/>
        <v>0</v>
      </c>
      <c r="S56" s="489"/>
      <c r="T56" s="488">
        <f t="shared" si="7"/>
        <v>0</v>
      </c>
      <c r="U56" s="27"/>
      <c r="X56" s="176"/>
    </row>
    <row r="57" spans="1:24" ht="19.5" customHeight="1">
      <c r="A57" s="18">
        <v>19</v>
      </c>
      <c r="B57" s="260"/>
      <c r="C57" s="260"/>
      <c r="D57" s="260"/>
      <c r="E57" s="284"/>
      <c r="F57" s="385"/>
      <c r="G57" s="284"/>
      <c r="H57" s="389"/>
      <c r="I57" s="495"/>
      <c r="J57" s="390"/>
      <c r="K57" s="387"/>
      <c r="L57" s="418">
        <f t="shared" si="3"/>
        <v>0</v>
      </c>
      <c r="M57" s="63"/>
      <c r="N57" s="388"/>
      <c r="O57" s="63"/>
      <c r="P57" s="390"/>
      <c r="Q57" s="387"/>
      <c r="R57" s="488">
        <f t="shared" si="6"/>
        <v>0</v>
      </c>
      <c r="S57" s="489"/>
      <c r="T57" s="488">
        <f t="shared" si="7"/>
        <v>0</v>
      </c>
      <c r="U57" s="27"/>
      <c r="X57" s="176"/>
    </row>
    <row r="58" spans="1:24" ht="19.5" customHeight="1" thickBot="1">
      <c r="A58" s="18">
        <v>20</v>
      </c>
      <c r="B58" s="260"/>
      <c r="C58" s="260"/>
      <c r="D58" s="260"/>
      <c r="E58" s="284"/>
      <c r="F58" s="385"/>
      <c r="G58" s="284"/>
      <c r="H58" s="389"/>
      <c r="I58" s="495"/>
      <c r="J58" s="390"/>
      <c r="K58" s="387"/>
      <c r="L58" s="418">
        <f t="shared" si="3"/>
        <v>0</v>
      </c>
      <c r="M58" s="63"/>
      <c r="N58" s="388"/>
      <c r="O58" s="63"/>
      <c r="P58" s="390"/>
      <c r="Q58" s="387"/>
      <c r="R58" s="488">
        <f t="shared" si="6"/>
        <v>0</v>
      </c>
      <c r="S58" s="489"/>
      <c r="T58" s="488">
        <f t="shared" si="7"/>
        <v>0</v>
      </c>
      <c r="U58" s="27"/>
      <c r="X58" s="176"/>
    </row>
    <row r="59" spans="1:24" ht="21.75" customHeight="1" thickBot="1">
      <c r="A59" s="112"/>
      <c r="B59" s="113"/>
      <c r="C59" s="113"/>
      <c r="D59" s="113" t="s">
        <v>311</v>
      </c>
      <c r="E59" s="114"/>
      <c r="F59" s="391"/>
      <c r="G59" s="392"/>
      <c r="H59" s="393"/>
      <c r="I59" s="394"/>
      <c r="J59" s="393"/>
      <c r="K59" s="394"/>
      <c r="L59" s="393"/>
      <c r="M59" s="392"/>
      <c r="N59" s="395"/>
      <c r="O59" s="392"/>
      <c r="P59" s="396"/>
      <c r="Q59" s="397"/>
      <c r="R59" s="496">
        <f>SUM(R39:R58)</f>
        <v>0</v>
      </c>
      <c r="S59" s="497"/>
      <c r="T59" s="496">
        <f>SUM(T39:T58)</f>
        <v>0</v>
      </c>
      <c r="U59" s="498"/>
      <c r="X59" s="176"/>
    </row>
    <row r="60" spans="1:24" ht="6.75" customHeight="1">
      <c r="A60" s="6"/>
      <c r="B60" s="7"/>
      <c r="C60" s="7"/>
      <c r="D60" s="7"/>
      <c r="E60" s="59"/>
      <c r="F60" s="33"/>
      <c r="G60" s="59"/>
      <c r="H60" s="384"/>
      <c r="I60" s="383"/>
      <c r="J60" s="384"/>
      <c r="K60" s="383"/>
      <c r="L60" s="384"/>
      <c r="M60" s="59"/>
      <c r="N60" s="381"/>
      <c r="O60" s="59"/>
      <c r="P60" s="398"/>
      <c r="Q60" s="399"/>
      <c r="R60" s="398"/>
      <c r="S60" s="399"/>
      <c r="T60" s="398"/>
      <c r="U60" s="12"/>
      <c r="X60" s="176"/>
    </row>
    <row r="61" spans="1:24" ht="12.75" customHeight="1">
      <c r="A61" s="6"/>
      <c r="B61" s="15" t="s">
        <v>321</v>
      </c>
      <c r="C61" s="7"/>
      <c r="D61" s="7"/>
      <c r="E61" s="59"/>
      <c r="F61" s="33"/>
      <c r="G61" s="59"/>
      <c r="H61" s="384"/>
      <c r="I61" s="383"/>
      <c r="J61" s="384"/>
      <c r="K61" s="383"/>
      <c r="L61" s="421"/>
      <c r="M61" s="59"/>
      <c r="N61" s="400"/>
      <c r="O61" s="59"/>
      <c r="P61" s="398"/>
      <c r="Q61" s="399"/>
      <c r="R61" s="398"/>
      <c r="S61" s="399"/>
      <c r="T61" s="398"/>
      <c r="U61" s="12"/>
      <c r="X61" s="176"/>
    </row>
    <row r="62" spans="1:24" ht="3.75" customHeight="1">
      <c r="A62" s="6"/>
      <c r="B62" s="15"/>
      <c r="C62" s="7"/>
      <c r="D62" s="7"/>
      <c r="E62" s="59"/>
      <c r="F62" s="33"/>
      <c r="G62" s="59"/>
      <c r="H62" s="384"/>
      <c r="I62" s="383"/>
      <c r="J62" s="384"/>
      <c r="K62" s="383"/>
      <c r="L62" s="421"/>
      <c r="M62" s="59"/>
      <c r="N62" s="400"/>
      <c r="O62" s="59"/>
      <c r="P62" s="398"/>
      <c r="Q62" s="399"/>
      <c r="R62" s="398"/>
      <c r="S62" s="399"/>
      <c r="T62" s="398"/>
      <c r="U62" s="12"/>
      <c r="X62" s="176"/>
    </row>
    <row r="63" spans="1:24" ht="19.5" customHeight="1">
      <c r="A63" s="18">
        <v>1</v>
      </c>
      <c r="B63" s="260"/>
      <c r="C63" s="260"/>
      <c r="D63" s="260"/>
      <c r="E63" s="63"/>
      <c r="F63" s="297" t="s">
        <v>322</v>
      </c>
      <c r="G63" s="63"/>
      <c r="H63" s="523"/>
      <c r="I63" s="524"/>
      <c r="J63" s="523"/>
      <c r="K63" s="524"/>
      <c r="L63" s="525">
        <f aca="true" t="shared" si="8" ref="L63:L77">H63-J63</f>
        <v>0</v>
      </c>
      <c r="M63" s="526"/>
      <c r="N63" s="527"/>
      <c r="O63" s="526"/>
      <c r="P63" s="523"/>
      <c r="Q63" s="528"/>
      <c r="R63" s="529">
        <f aca="true" t="shared" si="9" ref="R63:R77">(H63*$T$7)*(N63+P63)</f>
        <v>0</v>
      </c>
      <c r="S63" s="530"/>
      <c r="T63" s="529">
        <f aca="true" t="shared" si="10" ref="T63:T77">(L63*$T$7)*(N63+P63)</f>
        <v>0</v>
      </c>
      <c r="U63" s="27"/>
      <c r="X63" s="176"/>
    </row>
    <row r="64" spans="1:24" ht="19.5" customHeight="1">
      <c r="A64" s="18">
        <v>2</v>
      </c>
      <c r="B64" s="260"/>
      <c r="C64" s="260"/>
      <c r="D64" s="260"/>
      <c r="E64" s="63"/>
      <c r="F64" s="297" t="s">
        <v>322</v>
      </c>
      <c r="G64" s="63"/>
      <c r="H64" s="523"/>
      <c r="I64" s="524"/>
      <c r="J64" s="523"/>
      <c r="K64" s="524"/>
      <c r="L64" s="525">
        <f t="shared" si="8"/>
        <v>0</v>
      </c>
      <c r="M64" s="526"/>
      <c r="N64" s="527"/>
      <c r="O64" s="526"/>
      <c r="P64" s="531"/>
      <c r="Q64" s="528"/>
      <c r="R64" s="529">
        <f t="shared" si="9"/>
        <v>0</v>
      </c>
      <c r="S64" s="530"/>
      <c r="T64" s="529">
        <f t="shared" si="10"/>
        <v>0</v>
      </c>
      <c r="U64" s="27"/>
      <c r="X64" s="176"/>
    </row>
    <row r="65" spans="1:24" ht="19.5" customHeight="1">
      <c r="A65" s="18">
        <v>3</v>
      </c>
      <c r="B65" s="260"/>
      <c r="C65" s="260"/>
      <c r="D65" s="260"/>
      <c r="E65" s="63"/>
      <c r="F65" s="297" t="s">
        <v>322</v>
      </c>
      <c r="G65" s="63"/>
      <c r="H65" s="523"/>
      <c r="I65" s="524"/>
      <c r="J65" s="523"/>
      <c r="K65" s="524"/>
      <c r="L65" s="525">
        <f t="shared" si="8"/>
        <v>0</v>
      </c>
      <c r="M65" s="526"/>
      <c r="N65" s="527"/>
      <c r="O65" s="526"/>
      <c r="P65" s="531"/>
      <c r="Q65" s="528"/>
      <c r="R65" s="529">
        <f t="shared" si="9"/>
        <v>0</v>
      </c>
      <c r="S65" s="530"/>
      <c r="T65" s="529">
        <f t="shared" si="10"/>
        <v>0</v>
      </c>
      <c r="U65" s="27"/>
      <c r="X65" s="176"/>
    </row>
    <row r="66" spans="1:24" ht="19.5" customHeight="1">
      <c r="A66" s="18">
        <v>4</v>
      </c>
      <c r="B66" s="260"/>
      <c r="C66" s="260"/>
      <c r="D66" s="260"/>
      <c r="E66" s="63"/>
      <c r="F66" s="297" t="s">
        <v>322</v>
      </c>
      <c r="G66" s="63"/>
      <c r="H66" s="523"/>
      <c r="I66" s="524"/>
      <c r="J66" s="523"/>
      <c r="K66" s="524"/>
      <c r="L66" s="525">
        <f t="shared" si="8"/>
        <v>0</v>
      </c>
      <c r="M66" s="526"/>
      <c r="N66" s="527"/>
      <c r="O66" s="526"/>
      <c r="P66" s="531"/>
      <c r="Q66" s="528"/>
      <c r="R66" s="529">
        <f t="shared" si="9"/>
        <v>0</v>
      </c>
      <c r="S66" s="530"/>
      <c r="T66" s="529">
        <f t="shared" si="10"/>
        <v>0</v>
      </c>
      <c r="U66" s="27"/>
      <c r="X66" s="176"/>
    </row>
    <row r="67" spans="1:24" ht="19.5" customHeight="1">
      <c r="A67" s="18">
        <v>5</v>
      </c>
      <c r="B67" s="260"/>
      <c r="C67" s="260"/>
      <c r="D67" s="260"/>
      <c r="E67" s="63"/>
      <c r="F67" s="297" t="s">
        <v>322</v>
      </c>
      <c r="G67" s="63"/>
      <c r="H67" s="523"/>
      <c r="I67" s="524"/>
      <c r="J67" s="523"/>
      <c r="K67" s="524"/>
      <c r="L67" s="525">
        <f t="shared" si="8"/>
        <v>0</v>
      </c>
      <c r="M67" s="526"/>
      <c r="N67" s="527"/>
      <c r="O67" s="526"/>
      <c r="P67" s="531"/>
      <c r="Q67" s="528"/>
      <c r="R67" s="529">
        <f t="shared" si="9"/>
        <v>0</v>
      </c>
      <c r="S67" s="530"/>
      <c r="T67" s="529">
        <f t="shared" si="10"/>
        <v>0</v>
      </c>
      <c r="U67" s="27"/>
      <c r="X67" s="176"/>
    </row>
    <row r="68" spans="1:24" ht="19.5" customHeight="1">
      <c r="A68" s="18">
        <v>6</v>
      </c>
      <c r="B68" s="260"/>
      <c r="C68" s="260"/>
      <c r="D68" s="260"/>
      <c r="E68" s="63"/>
      <c r="F68" s="297" t="s">
        <v>322</v>
      </c>
      <c r="G68" s="63"/>
      <c r="H68" s="523"/>
      <c r="I68" s="524"/>
      <c r="J68" s="523"/>
      <c r="K68" s="524"/>
      <c r="L68" s="525">
        <f t="shared" si="8"/>
        <v>0</v>
      </c>
      <c r="M68" s="526"/>
      <c r="N68" s="527"/>
      <c r="O68" s="526"/>
      <c r="P68" s="531"/>
      <c r="Q68" s="528"/>
      <c r="R68" s="529">
        <f t="shared" si="9"/>
        <v>0</v>
      </c>
      <c r="S68" s="530"/>
      <c r="T68" s="529">
        <f t="shared" si="10"/>
        <v>0</v>
      </c>
      <c r="U68" s="27"/>
      <c r="X68" s="176"/>
    </row>
    <row r="69" spans="1:24" ht="19.5" customHeight="1">
      <c r="A69" s="18">
        <v>7</v>
      </c>
      <c r="B69" s="260"/>
      <c r="C69" s="260"/>
      <c r="D69" s="260"/>
      <c r="E69" s="63"/>
      <c r="F69" s="297" t="s">
        <v>322</v>
      </c>
      <c r="G69" s="63"/>
      <c r="H69" s="523"/>
      <c r="I69" s="524"/>
      <c r="J69" s="523"/>
      <c r="K69" s="524"/>
      <c r="L69" s="525">
        <f t="shared" si="8"/>
        <v>0</v>
      </c>
      <c r="M69" s="526"/>
      <c r="N69" s="527"/>
      <c r="O69" s="526"/>
      <c r="P69" s="531"/>
      <c r="Q69" s="528"/>
      <c r="R69" s="529">
        <f t="shared" si="9"/>
        <v>0</v>
      </c>
      <c r="S69" s="530"/>
      <c r="T69" s="529">
        <f t="shared" si="10"/>
        <v>0</v>
      </c>
      <c r="U69" s="27"/>
      <c r="X69" s="176"/>
    </row>
    <row r="70" spans="1:24" ht="19.5" customHeight="1">
      <c r="A70" s="18">
        <v>8</v>
      </c>
      <c r="B70" s="260"/>
      <c r="C70" s="260"/>
      <c r="D70" s="260"/>
      <c r="E70" s="63"/>
      <c r="F70" s="297" t="s">
        <v>322</v>
      </c>
      <c r="G70" s="63"/>
      <c r="H70" s="523"/>
      <c r="I70" s="524"/>
      <c r="J70" s="523"/>
      <c r="K70" s="524"/>
      <c r="L70" s="525">
        <f t="shared" si="8"/>
        <v>0</v>
      </c>
      <c r="M70" s="526"/>
      <c r="N70" s="527"/>
      <c r="O70" s="526"/>
      <c r="P70" s="531"/>
      <c r="Q70" s="528"/>
      <c r="R70" s="529">
        <f t="shared" si="9"/>
        <v>0</v>
      </c>
      <c r="S70" s="530"/>
      <c r="T70" s="529">
        <f t="shared" si="10"/>
        <v>0</v>
      </c>
      <c r="U70" s="27"/>
      <c r="X70" s="176"/>
    </row>
    <row r="71" spans="1:24" ht="19.5" customHeight="1">
      <c r="A71" s="18">
        <v>9</v>
      </c>
      <c r="B71" s="260"/>
      <c r="C71" s="260"/>
      <c r="D71" s="260"/>
      <c r="E71" s="63"/>
      <c r="F71" s="297" t="s">
        <v>322</v>
      </c>
      <c r="G71" s="63"/>
      <c r="H71" s="523"/>
      <c r="I71" s="524"/>
      <c r="J71" s="523"/>
      <c r="K71" s="524"/>
      <c r="L71" s="525">
        <f t="shared" si="8"/>
        <v>0</v>
      </c>
      <c r="M71" s="526"/>
      <c r="N71" s="527"/>
      <c r="O71" s="526"/>
      <c r="P71" s="531"/>
      <c r="Q71" s="528"/>
      <c r="R71" s="529">
        <f t="shared" si="9"/>
        <v>0</v>
      </c>
      <c r="S71" s="530"/>
      <c r="T71" s="529">
        <f t="shared" si="10"/>
        <v>0</v>
      </c>
      <c r="U71" s="27"/>
      <c r="X71" s="176"/>
    </row>
    <row r="72" spans="1:24" ht="19.5" customHeight="1">
      <c r="A72" s="18">
        <v>10</v>
      </c>
      <c r="B72" s="260"/>
      <c r="C72" s="260"/>
      <c r="D72" s="260"/>
      <c r="E72" s="63"/>
      <c r="F72" s="297" t="s">
        <v>322</v>
      </c>
      <c r="G72" s="63"/>
      <c r="H72" s="523"/>
      <c r="I72" s="524"/>
      <c r="J72" s="523"/>
      <c r="K72" s="524"/>
      <c r="L72" s="525">
        <f t="shared" si="8"/>
        <v>0</v>
      </c>
      <c r="M72" s="526"/>
      <c r="N72" s="527"/>
      <c r="O72" s="526"/>
      <c r="P72" s="531"/>
      <c r="Q72" s="528"/>
      <c r="R72" s="529">
        <f t="shared" si="9"/>
        <v>0</v>
      </c>
      <c r="S72" s="530"/>
      <c r="T72" s="529">
        <f t="shared" si="10"/>
        <v>0</v>
      </c>
      <c r="U72" s="27"/>
      <c r="X72" s="176"/>
    </row>
    <row r="73" spans="1:24" ht="19.5" customHeight="1">
      <c r="A73" s="18">
        <v>11</v>
      </c>
      <c r="B73" s="260"/>
      <c r="C73" s="260"/>
      <c r="D73" s="260"/>
      <c r="E73" s="63"/>
      <c r="F73" s="297" t="s">
        <v>322</v>
      </c>
      <c r="G73" s="63"/>
      <c r="H73" s="523"/>
      <c r="I73" s="524"/>
      <c r="J73" s="523"/>
      <c r="K73" s="524"/>
      <c r="L73" s="525">
        <f t="shared" si="8"/>
        <v>0</v>
      </c>
      <c r="M73" s="526"/>
      <c r="N73" s="527"/>
      <c r="O73" s="526"/>
      <c r="P73" s="531"/>
      <c r="Q73" s="528"/>
      <c r="R73" s="529">
        <f t="shared" si="9"/>
        <v>0</v>
      </c>
      <c r="S73" s="530"/>
      <c r="T73" s="529">
        <f t="shared" si="10"/>
        <v>0</v>
      </c>
      <c r="U73" s="27"/>
      <c r="X73" s="176"/>
    </row>
    <row r="74" spans="1:24" ht="19.5" customHeight="1">
      <c r="A74" s="18">
        <v>12</v>
      </c>
      <c r="B74" s="260"/>
      <c r="C74" s="260"/>
      <c r="D74" s="260"/>
      <c r="E74" s="63"/>
      <c r="F74" s="297" t="s">
        <v>322</v>
      </c>
      <c r="G74" s="63"/>
      <c r="H74" s="523"/>
      <c r="I74" s="524"/>
      <c r="J74" s="523"/>
      <c r="K74" s="524"/>
      <c r="L74" s="525">
        <f t="shared" si="8"/>
        <v>0</v>
      </c>
      <c r="M74" s="526"/>
      <c r="N74" s="527"/>
      <c r="O74" s="526"/>
      <c r="P74" s="531"/>
      <c r="Q74" s="528"/>
      <c r="R74" s="529">
        <f t="shared" si="9"/>
        <v>0</v>
      </c>
      <c r="S74" s="530"/>
      <c r="T74" s="529">
        <f t="shared" si="10"/>
        <v>0</v>
      </c>
      <c r="U74" s="27"/>
      <c r="X74" s="176"/>
    </row>
    <row r="75" spans="1:24" ht="19.5" customHeight="1">
      <c r="A75" s="18">
        <v>13</v>
      </c>
      <c r="B75" s="260"/>
      <c r="C75" s="260"/>
      <c r="D75" s="260"/>
      <c r="E75" s="63"/>
      <c r="F75" s="297" t="s">
        <v>322</v>
      </c>
      <c r="G75" s="63"/>
      <c r="H75" s="523"/>
      <c r="I75" s="524"/>
      <c r="J75" s="523"/>
      <c r="K75" s="524"/>
      <c r="L75" s="525">
        <f t="shared" si="8"/>
        <v>0</v>
      </c>
      <c r="M75" s="526"/>
      <c r="N75" s="527"/>
      <c r="O75" s="526"/>
      <c r="P75" s="531"/>
      <c r="Q75" s="528"/>
      <c r="R75" s="529">
        <f t="shared" si="9"/>
        <v>0</v>
      </c>
      <c r="S75" s="530"/>
      <c r="T75" s="529">
        <f t="shared" si="10"/>
        <v>0</v>
      </c>
      <c r="U75" s="27"/>
      <c r="X75" s="176"/>
    </row>
    <row r="76" spans="1:24" ht="19.5" customHeight="1">
      <c r="A76" s="18">
        <v>14</v>
      </c>
      <c r="B76" s="260"/>
      <c r="C76" s="260"/>
      <c r="D76" s="260"/>
      <c r="E76" s="63"/>
      <c r="F76" s="297" t="s">
        <v>322</v>
      </c>
      <c r="G76" s="63"/>
      <c r="H76" s="523"/>
      <c r="I76" s="524"/>
      <c r="J76" s="523"/>
      <c r="K76" s="524"/>
      <c r="L76" s="525">
        <f t="shared" si="8"/>
        <v>0</v>
      </c>
      <c r="M76" s="526"/>
      <c r="N76" s="527"/>
      <c r="O76" s="526"/>
      <c r="P76" s="531"/>
      <c r="Q76" s="528"/>
      <c r="R76" s="529">
        <f t="shared" si="9"/>
        <v>0</v>
      </c>
      <c r="S76" s="530"/>
      <c r="T76" s="529">
        <f t="shared" si="10"/>
        <v>0</v>
      </c>
      <c r="U76" s="27"/>
      <c r="X76" s="176"/>
    </row>
    <row r="77" spans="1:24" ht="19.5" customHeight="1" thickBot="1">
      <c r="A77" s="18">
        <v>15</v>
      </c>
      <c r="B77" s="260"/>
      <c r="C77" s="260"/>
      <c r="D77" s="260"/>
      <c r="E77" s="63"/>
      <c r="F77" s="297" t="s">
        <v>322</v>
      </c>
      <c r="G77" s="63"/>
      <c r="H77" s="523"/>
      <c r="I77" s="524"/>
      <c r="J77" s="523"/>
      <c r="K77" s="524"/>
      <c r="L77" s="525">
        <f t="shared" si="8"/>
        <v>0</v>
      </c>
      <c r="M77" s="526"/>
      <c r="N77" s="527"/>
      <c r="O77" s="526"/>
      <c r="P77" s="523"/>
      <c r="Q77" s="524"/>
      <c r="R77" s="529">
        <f t="shared" si="9"/>
        <v>0</v>
      </c>
      <c r="S77" s="530"/>
      <c r="T77" s="529">
        <f t="shared" si="10"/>
        <v>0</v>
      </c>
      <c r="U77" s="27"/>
      <c r="X77" s="176"/>
    </row>
    <row r="78" spans="1:24" ht="21.75" customHeight="1" thickBot="1">
      <c r="A78" s="112"/>
      <c r="B78" s="113"/>
      <c r="C78" s="113"/>
      <c r="D78" s="113" t="s">
        <v>311</v>
      </c>
      <c r="E78" s="114"/>
      <c r="F78" s="391"/>
      <c r="G78" s="392"/>
      <c r="H78" s="404">
        <f>SUM(H63:H77)</f>
        <v>0</v>
      </c>
      <c r="I78" s="405"/>
      <c r="J78" s="393"/>
      <c r="K78" s="394"/>
      <c r="L78" s="499"/>
      <c r="M78" s="392"/>
      <c r="N78" s="395"/>
      <c r="O78" s="392"/>
      <c r="P78" s="393"/>
      <c r="Q78" s="394"/>
      <c r="R78" s="500">
        <f>SUM(R63:R77)</f>
        <v>0</v>
      </c>
      <c r="S78" s="501"/>
      <c r="T78" s="502">
        <f>SUM(T63:T77)</f>
        <v>0</v>
      </c>
      <c r="U78" s="498"/>
      <c r="X78" s="176"/>
    </row>
    <row r="79" spans="1:24" ht="3.75" customHeight="1">
      <c r="A79" s="6"/>
      <c r="B79" s="7"/>
      <c r="C79" s="7"/>
      <c r="D79" s="7"/>
      <c r="E79" s="7"/>
      <c r="F79" s="33"/>
      <c r="G79" s="7"/>
      <c r="H79" s="384"/>
      <c r="I79" s="384"/>
      <c r="J79" s="384"/>
      <c r="K79" s="384"/>
      <c r="L79" s="406"/>
      <c r="M79" s="7"/>
      <c r="N79" s="381"/>
      <c r="O79" s="7"/>
      <c r="P79" s="384"/>
      <c r="Q79" s="407"/>
      <c r="R79" s="381"/>
      <c r="S79" s="503"/>
      <c r="T79" s="381"/>
      <c r="U79" s="12"/>
      <c r="X79" s="176"/>
    </row>
    <row r="80" spans="1:24" ht="18" customHeight="1">
      <c r="A80" s="17" t="s">
        <v>323</v>
      </c>
      <c r="B80" s="8"/>
      <c r="C80" s="7"/>
      <c r="D80" s="7"/>
      <c r="E80" s="7"/>
      <c r="F80" s="33"/>
      <c r="G80" s="7"/>
      <c r="H80" s="406"/>
      <c r="I80" s="384"/>
      <c r="J80" s="384"/>
      <c r="K80" s="384"/>
      <c r="L80" s="406"/>
      <c r="M80" s="7"/>
      <c r="N80" s="381"/>
      <c r="O80" s="7"/>
      <c r="P80" s="384"/>
      <c r="Q80" s="407"/>
      <c r="R80" s="504">
        <f>+R59+R78</f>
        <v>0</v>
      </c>
      <c r="S80" s="503"/>
      <c r="T80" s="504">
        <f>+T59+T78</f>
        <v>0</v>
      </c>
      <c r="U80" s="12"/>
      <c r="X80" s="176"/>
    </row>
    <row r="81" spans="1:24" ht="4.5" customHeight="1" thickBot="1">
      <c r="A81" s="375"/>
      <c r="B81" s="46"/>
      <c r="C81" s="46"/>
      <c r="D81" s="46"/>
      <c r="E81" s="46"/>
      <c r="F81" s="408"/>
      <c r="G81" s="46"/>
      <c r="H81" s="409"/>
      <c r="I81" s="410"/>
      <c r="J81" s="410"/>
      <c r="K81" s="410"/>
      <c r="L81" s="409"/>
      <c r="M81" s="46"/>
      <c r="N81" s="411"/>
      <c r="O81" s="46"/>
      <c r="P81" s="410"/>
      <c r="Q81" s="412"/>
      <c r="R81" s="411"/>
      <c r="S81" s="505"/>
      <c r="T81" s="411"/>
      <c r="U81" s="53"/>
      <c r="X81" s="176"/>
    </row>
    <row r="82" spans="1:24" ht="5.25" customHeight="1" thickTop="1">
      <c r="A82" s="6"/>
      <c r="B82" s="7"/>
      <c r="C82" s="7"/>
      <c r="D82" s="7"/>
      <c r="E82" s="7"/>
      <c r="F82" s="33"/>
      <c r="G82" s="7"/>
      <c r="H82" s="384"/>
      <c r="I82" s="384"/>
      <c r="J82" s="384"/>
      <c r="K82" s="384"/>
      <c r="L82" s="406"/>
      <c r="M82" s="7"/>
      <c r="N82" s="381"/>
      <c r="O82" s="7"/>
      <c r="P82" s="398"/>
      <c r="Q82" s="413"/>
      <c r="R82" s="506"/>
      <c r="S82" s="507"/>
      <c r="T82" s="506"/>
      <c r="U82" s="12"/>
      <c r="X82" s="176"/>
    </row>
    <row r="83" spans="1:24" ht="18" customHeight="1">
      <c r="A83" s="47" t="s">
        <v>324</v>
      </c>
      <c r="B83" s="52" t="s">
        <v>325</v>
      </c>
      <c r="C83" s="7"/>
      <c r="D83" s="7"/>
      <c r="E83" s="7"/>
      <c r="F83" s="33"/>
      <c r="G83" s="7"/>
      <c r="H83" s="384"/>
      <c r="I83" s="384"/>
      <c r="J83" s="384"/>
      <c r="K83" s="384"/>
      <c r="L83" s="406"/>
      <c r="M83" s="7"/>
      <c r="N83" s="381"/>
      <c r="O83" s="7"/>
      <c r="P83" s="384"/>
      <c r="Q83" s="407"/>
      <c r="R83" s="414">
        <f>R27-R80</f>
        <v>0</v>
      </c>
      <c r="S83" s="503"/>
      <c r="T83" s="414">
        <f>T27-T80</f>
        <v>0</v>
      </c>
      <c r="U83" s="12"/>
      <c r="X83" s="176"/>
    </row>
    <row r="84" spans="1:24" ht="8.25" customHeight="1" thickBot="1">
      <c r="A84" s="508"/>
      <c r="B84" s="509"/>
      <c r="C84" s="113"/>
      <c r="D84" s="113"/>
      <c r="E84" s="113"/>
      <c r="F84" s="138"/>
      <c r="G84" s="113"/>
      <c r="H84" s="510"/>
      <c r="I84" s="510"/>
      <c r="J84" s="510"/>
      <c r="K84" s="510"/>
      <c r="L84" s="511"/>
      <c r="M84" s="113"/>
      <c r="N84" s="512"/>
      <c r="O84" s="113"/>
      <c r="P84" s="510"/>
      <c r="Q84" s="513"/>
      <c r="R84" s="514"/>
      <c r="S84" s="515"/>
      <c r="T84" s="514"/>
      <c r="U84" s="110"/>
      <c r="X84" s="176"/>
    </row>
    <row r="85" spans="1:24" ht="5.25" customHeight="1" thickBot="1">
      <c r="A85" s="47"/>
      <c r="B85" s="52"/>
      <c r="C85" s="7"/>
      <c r="D85" s="7"/>
      <c r="E85" s="7"/>
      <c r="F85" s="33"/>
      <c r="G85" s="7"/>
      <c r="H85" s="384"/>
      <c r="I85" s="384"/>
      <c r="J85" s="384"/>
      <c r="K85" s="384"/>
      <c r="L85" s="406"/>
      <c r="M85" s="7"/>
      <c r="N85" s="381"/>
      <c r="O85" s="7"/>
      <c r="P85" s="384"/>
      <c r="Q85" s="384"/>
      <c r="R85" s="414"/>
      <c r="S85" s="381"/>
      <c r="T85" s="414"/>
      <c r="U85" s="12"/>
      <c r="X85" s="176"/>
    </row>
    <row r="86" spans="1:24" ht="18" customHeight="1" thickBot="1">
      <c r="A86" s="47" t="s">
        <v>391</v>
      </c>
      <c r="B86" s="52"/>
      <c r="C86" s="7"/>
      <c r="D86" s="7"/>
      <c r="E86" s="7"/>
      <c r="F86" s="33"/>
      <c r="G86" s="7"/>
      <c r="H86" s="919">
        <f>(H78*T7)/275</f>
        <v>0</v>
      </c>
      <c r="I86" s="516"/>
      <c r="J86" s="516" t="s">
        <v>392</v>
      </c>
      <c r="K86" s="384"/>
      <c r="L86" s="406"/>
      <c r="M86" s="7"/>
      <c r="N86" s="381"/>
      <c r="O86" s="7"/>
      <c r="P86" s="384"/>
      <c r="Q86" s="384"/>
      <c r="R86" s="414"/>
      <c r="S86" s="381"/>
      <c r="T86" s="414"/>
      <c r="U86" s="12"/>
      <c r="X86" s="176"/>
    </row>
    <row r="87" spans="1:24" ht="6.75" customHeight="1" thickBot="1">
      <c r="A87" s="45"/>
      <c r="B87" s="46"/>
      <c r="C87" s="46"/>
      <c r="D87" s="46"/>
      <c r="E87" s="46"/>
      <c r="F87" s="408"/>
      <c r="G87" s="46"/>
      <c r="H87" s="517"/>
      <c r="I87" s="410"/>
      <c r="J87" s="410"/>
      <c r="K87" s="410"/>
      <c r="L87" s="409"/>
      <c r="M87" s="46"/>
      <c r="N87" s="409"/>
      <c r="O87" s="46"/>
      <c r="P87" s="410"/>
      <c r="Q87" s="410"/>
      <c r="R87" s="410"/>
      <c r="S87" s="410"/>
      <c r="T87" s="410"/>
      <c r="U87" s="53"/>
      <c r="X87" s="176"/>
    </row>
    <row r="88" spans="1:24" ht="13.5" thickTop="1">
      <c r="A88" s="176"/>
      <c r="B88" s="176"/>
      <c r="C88" s="176"/>
      <c r="D88" s="176"/>
      <c r="E88" s="176"/>
      <c r="F88" s="176"/>
      <c r="G88" s="176"/>
      <c r="H88" s="176"/>
      <c r="I88" s="176"/>
      <c r="V88" s="176"/>
      <c r="W88" s="176"/>
      <c r="X88" s="176"/>
    </row>
    <row r="89" spans="1:24" ht="12.7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row>
    <row r="90" spans="1:24" ht="12.7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row>
  </sheetData>
  <sheetProtection sheet="1" objects="1" scenarios="1"/>
  <mergeCells count="2">
    <mergeCell ref="J1:L1"/>
    <mergeCell ref="D7:G7"/>
  </mergeCells>
  <printOptions horizontalCentered="1"/>
  <pageMargins left="0.7480314960629921" right="0.7480314960629921" top="0.3937007874015748" bottom="0.3937007874015748" header="0.11811023622047245" footer="0.11811023622047245"/>
  <pageSetup fitToHeight="1" fitToWidth="1" horizontalDpi="300" verticalDpi="300" orientation="portrait" scale="53" r:id="rId3"/>
  <colBreaks count="1" manualBreakCount="1">
    <brk id="8"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71"/>
  <sheetViews>
    <sheetView showGridLines="0" zoomScale="75" zoomScaleNormal="75" workbookViewId="0" topLeftCell="A24">
      <selection activeCell="N64" sqref="N64"/>
    </sheetView>
  </sheetViews>
  <sheetFormatPr defaultColWidth="11.421875" defaultRowHeight="12.75"/>
  <cols>
    <col min="1" max="1" width="7.421875" style="0" customWidth="1"/>
    <col min="2" max="2" width="3.8515625" style="0" customWidth="1"/>
    <col min="3" max="3" width="15.7109375" style="0" customWidth="1"/>
    <col min="4" max="4" width="12.8515625" style="0" customWidth="1"/>
    <col min="5" max="5" width="4.140625" style="0" customWidth="1"/>
    <col min="6" max="6" width="7.28125" style="0" customWidth="1"/>
    <col min="7" max="7" width="5.00390625" style="0" customWidth="1"/>
    <col min="8" max="8" width="16.8515625" style="0" customWidth="1"/>
    <col min="9" max="9" width="5.57421875" style="0" customWidth="1"/>
    <col min="10" max="10" width="6.7109375" style="0" customWidth="1"/>
    <col min="11" max="11" width="7.28125" style="0" customWidth="1"/>
    <col min="12" max="12" width="8.7109375" style="0" customWidth="1"/>
    <col min="13" max="13" width="7.57421875" style="0" customWidth="1"/>
    <col min="14" max="14" width="7.140625" style="0" customWidth="1"/>
    <col min="15" max="15" width="7.8515625" style="0" customWidth="1"/>
    <col min="16" max="16" width="6.57421875" style="0" customWidth="1"/>
    <col min="17" max="17" width="3.421875" style="0" customWidth="1"/>
    <col min="18" max="16384" width="8.8515625" style="0" customWidth="1"/>
  </cols>
  <sheetData>
    <row r="1" spans="1:17" ht="18.75" thickBot="1">
      <c r="A1" s="920" t="s">
        <v>541</v>
      </c>
      <c r="B1" s="1"/>
      <c r="C1" s="1"/>
      <c r="D1" s="331"/>
      <c r="G1" s="433"/>
      <c r="H1" s="434" t="s">
        <v>648</v>
      </c>
      <c r="I1" s="11"/>
      <c r="P1" s="1" t="s">
        <v>66</v>
      </c>
      <c r="Q1" s="1"/>
    </row>
    <row r="2" spans="2:3" ht="18" customHeight="1" thickBot="1">
      <c r="B2" s="332"/>
      <c r="C2" s="332"/>
    </row>
    <row r="3" spans="1:17" ht="17.25" customHeight="1" thickBot="1" thickTop="1">
      <c r="A3" s="3"/>
      <c r="B3" s="4"/>
      <c r="C3" s="4"/>
      <c r="D3" s="4"/>
      <c r="E3" s="4"/>
      <c r="F3" s="4"/>
      <c r="G3" s="4"/>
      <c r="H3" s="4"/>
      <c r="I3" s="4"/>
      <c r="J3" s="4"/>
      <c r="K3" s="4"/>
      <c r="L3" s="4"/>
      <c r="M3" s="4"/>
      <c r="N3" s="4"/>
      <c r="O3" s="4"/>
      <c r="P3" s="4"/>
      <c r="Q3" s="5"/>
    </row>
    <row r="4" spans="1:17" ht="18.75" customHeight="1" thickBot="1">
      <c r="A4" s="6"/>
      <c r="B4" s="7"/>
      <c r="C4" s="7"/>
      <c r="D4" s="9" t="s">
        <v>283</v>
      </c>
      <c r="E4" s="10"/>
      <c r="F4" s="10"/>
      <c r="G4" s="10"/>
      <c r="H4" s="10"/>
      <c r="I4" s="10"/>
      <c r="J4" s="10"/>
      <c r="K4" s="10"/>
      <c r="L4" s="11"/>
      <c r="M4" s="8"/>
      <c r="N4" s="7"/>
      <c r="O4" s="7"/>
      <c r="P4" s="7"/>
      <c r="Q4" s="12"/>
    </row>
    <row r="5" spans="1:17" ht="6" customHeight="1">
      <c r="A5" s="6"/>
      <c r="B5" s="7"/>
      <c r="C5" s="7"/>
      <c r="D5" s="7"/>
      <c r="E5" s="7"/>
      <c r="F5" s="13"/>
      <c r="G5" s="7"/>
      <c r="H5" s="7"/>
      <c r="I5" s="7"/>
      <c r="J5" s="7"/>
      <c r="K5" s="7"/>
      <c r="L5" s="7"/>
      <c r="M5" s="7"/>
      <c r="N5" s="7"/>
      <c r="O5" s="7"/>
      <c r="P5" s="7"/>
      <c r="Q5" s="12"/>
    </row>
    <row r="6" spans="1:17" ht="16.5" customHeight="1">
      <c r="A6" s="6"/>
      <c r="B6" s="7"/>
      <c r="C6" s="14"/>
      <c r="D6" s="15"/>
      <c r="E6" s="7"/>
      <c r="F6" s="13"/>
      <c r="G6" s="7"/>
      <c r="H6" s="16" t="s">
        <v>343</v>
      </c>
      <c r="I6" s="7"/>
      <c r="J6" s="7"/>
      <c r="K6" s="7"/>
      <c r="L6" s="7"/>
      <c r="M6" s="7"/>
      <c r="N6" s="7"/>
      <c r="O6" s="7"/>
      <c r="P6" s="7"/>
      <c r="Q6" s="12"/>
    </row>
    <row r="7" spans="1:17" ht="12.75" customHeight="1" thickBot="1">
      <c r="A7" s="6"/>
      <c r="B7" s="7"/>
      <c r="C7" s="14"/>
      <c r="D7" s="15"/>
      <c r="E7" s="7"/>
      <c r="F7" s="13"/>
      <c r="G7" s="7"/>
      <c r="H7" s="16"/>
      <c r="I7" s="7"/>
      <c r="J7" s="7"/>
      <c r="K7" s="7"/>
      <c r="L7" s="7"/>
      <c r="M7" s="7"/>
      <c r="N7" s="7"/>
      <c r="O7" s="7"/>
      <c r="P7" s="7"/>
      <c r="Q7" s="12"/>
    </row>
    <row r="8" spans="1:17" ht="18" customHeight="1" thickBot="1">
      <c r="A8" s="17" t="s">
        <v>509</v>
      </c>
      <c r="B8" s="7"/>
      <c r="C8" s="14"/>
      <c r="D8" s="262" t="s">
        <v>646</v>
      </c>
      <c r="E8" s="435"/>
      <c r="F8" s="436"/>
      <c r="G8" s="435"/>
      <c r="H8" s="437"/>
      <c r="I8" s="435"/>
      <c r="J8" s="174"/>
      <c r="K8" s="7"/>
      <c r="L8" s="15" t="s">
        <v>439</v>
      </c>
      <c r="M8" s="687" t="s">
        <v>572</v>
      </c>
      <c r="N8" s="435"/>
      <c r="O8" s="174"/>
      <c r="P8" s="7"/>
      <c r="Q8" s="12"/>
    </row>
    <row r="9" spans="1:17" ht="9" customHeight="1">
      <c r="A9" s="18"/>
      <c r="B9" s="19"/>
      <c r="C9" s="19"/>
      <c r="D9" s="19"/>
      <c r="E9" s="19"/>
      <c r="F9" s="19"/>
      <c r="G9" s="19"/>
      <c r="H9" s="19"/>
      <c r="I9" s="19"/>
      <c r="J9" s="19"/>
      <c r="K9" s="19"/>
      <c r="L9" s="19"/>
      <c r="M9" s="19"/>
      <c r="N9" s="19"/>
      <c r="O9" s="19"/>
      <c r="P9" s="19"/>
      <c r="Q9" s="27"/>
    </row>
    <row r="10" spans="1:17" ht="10.5" customHeight="1">
      <c r="A10" s="6"/>
      <c r="B10" s="8"/>
      <c r="C10" s="8"/>
      <c r="D10" s="8"/>
      <c r="E10" s="8"/>
      <c r="F10" s="8"/>
      <c r="G10" s="8"/>
      <c r="H10" s="7"/>
      <c r="I10" s="7"/>
      <c r="J10" s="7"/>
      <c r="K10" s="7"/>
      <c r="L10" s="7"/>
      <c r="M10" s="7"/>
      <c r="N10" s="7"/>
      <c r="O10" s="7"/>
      <c r="P10" s="8"/>
      <c r="Q10" s="12"/>
    </row>
    <row r="11" spans="1:17" ht="12.75" customHeight="1">
      <c r="A11" s="20" t="s">
        <v>510</v>
      </c>
      <c r="B11" s="7"/>
      <c r="C11" s="7"/>
      <c r="D11" s="8" t="s">
        <v>344</v>
      </c>
      <c r="E11" s="8"/>
      <c r="F11" s="8"/>
      <c r="G11" s="8" t="s">
        <v>345</v>
      </c>
      <c r="H11" s="8"/>
      <c r="I11" s="8"/>
      <c r="J11" s="8"/>
      <c r="K11" s="8"/>
      <c r="L11" s="28" t="s">
        <v>67</v>
      </c>
      <c r="M11" s="8"/>
      <c r="N11" s="8"/>
      <c r="O11" s="8"/>
      <c r="P11" s="8"/>
      <c r="Q11" s="12"/>
    </row>
    <row r="12" spans="1:17" ht="9" customHeight="1">
      <c r="A12" s="6"/>
      <c r="B12" s="8"/>
      <c r="C12" s="8"/>
      <c r="D12" s="8"/>
      <c r="E12" s="8"/>
      <c r="F12" s="8"/>
      <c r="G12" s="8"/>
      <c r="H12" s="8"/>
      <c r="I12" s="8"/>
      <c r="J12" s="8"/>
      <c r="K12" s="8"/>
      <c r="L12" s="8"/>
      <c r="M12" s="8"/>
      <c r="N12" s="8"/>
      <c r="O12" s="8"/>
      <c r="P12" s="8"/>
      <c r="Q12" s="12"/>
    </row>
    <row r="13" spans="1:17" ht="18" customHeight="1">
      <c r="A13" s="6"/>
      <c r="B13" s="8"/>
      <c r="C13" s="8"/>
      <c r="D13" s="29" t="s">
        <v>346</v>
      </c>
      <c r="E13" s="8"/>
      <c r="F13" s="333" t="s">
        <v>545</v>
      </c>
      <c r="G13" s="8"/>
      <c r="H13" s="8" t="s">
        <v>347</v>
      </c>
      <c r="I13" s="29"/>
      <c r="J13" s="333"/>
      <c r="K13" s="8"/>
      <c r="L13" s="32" t="s">
        <v>348</v>
      </c>
      <c r="M13" s="8"/>
      <c r="N13" s="8"/>
      <c r="O13" s="333"/>
      <c r="P13" s="8"/>
      <c r="Q13" s="12"/>
    </row>
    <row r="14" spans="1:17" ht="6" customHeight="1">
      <c r="A14" s="6"/>
      <c r="B14" s="8"/>
      <c r="C14" s="8"/>
      <c r="D14" s="8"/>
      <c r="E14" s="8"/>
      <c r="F14" s="8"/>
      <c r="G14" s="8"/>
      <c r="H14" s="8"/>
      <c r="I14" s="8"/>
      <c r="J14" s="8"/>
      <c r="K14" s="8"/>
      <c r="L14" s="8"/>
      <c r="M14" s="8"/>
      <c r="N14" s="8"/>
      <c r="O14" s="8"/>
      <c r="P14" s="8"/>
      <c r="Q14" s="12"/>
    </row>
    <row r="15" spans="1:17" ht="18" customHeight="1">
      <c r="A15" s="6"/>
      <c r="B15" s="8"/>
      <c r="C15" s="8"/>
      <c r="D15" s="29" t="s">
        <v>349</v>
      </c>
      <c r="E15" s="8"/>
      <c r="F15" s="333" t="s">
        <v>545</v>
      </c>
      <c r="G15" s="8"/>
      <c r="H15" s="8" t="s">
        <v>350</v>
      </c>
      <c r="I15" s="29"/>
      <c r="J15" s="333"/>
      <c r="K15" s="8"/>
      <c r="L15" s="8" t="s">
        <v>351</v>
      </c>
      <c r="M15" s="8"/>
      <c r="N15" s="8"/>
      <c r="O15" s="333"/>
      <c r="P15" s="8"/>
      <c r="Q15" s="12"/>
    </row>
    <row r="16" spans="1:17" ht="6" customHeight="1">
      <c r="A16" s="6"/>
      <c r="B16" s="8"/>
      <c r="C16" s="8"/>
      <c r="D16" s="8"/>
      <c r="E16" s="8"/>
      <c r="F16" s="8"/>
      <c r="G16" s="8"/>
      <c r="H16" s="8"/>
      <c r="I16" s="8"/>
      <c r="J16" s="8"/>
      <c r="K16" s="8"/>
      <c r="L16" s="8"/>
      <c r="M16" s="8"/>
      <c r="N16" s="8"/>
      <c r="O16" s="8"/>
      <c r="P16" s="8"/>
      <c r="Q16" s="12"/>
    </row>
    <row r="17" spans="1:17" ht="18" customHeight="1">
      <c r="A17" s="6"/>
      <c r="B17" s="8"/>
      <c r="C17" s="8"/>
      <c r="D17" s="29" t="s">
        <v>352</v>
      </c>
      <c r="E17" s="8"/>
      <c r="F17" s="333" t="s">
        <v>545</v>
      </c>
      <c r="G17" s="8"/>
      <c r="H17" s="8" t="s">
        <v>353</v>
      </c>
      <c r="I17" s="8"/>
      <c r="J17" s="333"/>
      <c r="K17" s="8"/>
      <c r="L17" s="8" t="s">
        <v>354</v>
      </c>
      <c r="M17" s="8"/>
      <c r="N17" s="8"/>
      <c r="O17" s="333"/>
      <c r="P17" s="8"/>
      <c r="Q17" s="12"/>
    </row>
    <row r="18" spans="1:17" ht="6" customHeight="1">
      <c r="A18" s="6"/>
      <c r="B18" s="8"/>
      <c r="C18" s="8"/>
      <c r="D18" s="8"/>
      <c r="E18" s="8"/>
      <c r="F18" s="8"/>
      <c r="G18" s="8"/>
      <c r="H18" s="8"/>
      <c r="I18" s="8"/>
      <c r="J18" s="8"/>
      <c r="K18" s="8"/>
      <c r="L18" s="8"/>
      <c r="M18" s="8"/>
      <c r="N18" s="8"/>
      <c r="O18" s="8"/>
      <c r="P18" s="8"/>
      <c r="Q18" s="12"/>
    </row>
    <row r="19" spans="1:17" ht="18" customHeight="1">
      <c r="A19" s="6"/>
      <c r="B19" s="8"/>
      <c r="C19" s="8"/>
      <c r="D19" s="29" t="s">
        <v>355</v>
      </c>
      <c r="E19" s="8"/>
      <c r="F19" s="333"/>
      <c r="G19" s="8"/>
      <c r="H19" s="8" t="s">
        <v>356</v>
      </c>
      <c r="I19" s="8"/>
      <c r="J19" s="333"/>
      <c r="K19" s="8"/>
      <c r="L19" s="8" t="s">
        <v>518</v>
      </c>
      <c r="M19" s="8"/>
      <c r="N19" s="8"/>
      <c r="O19" s="333"/>
      <c r="P19" s="8"/>
      <c r="Q19" s="12"/>
    </row>
    <row r="20" spans="1:17" ht="6.75" customHeight="1">
      <c r="A20" s="6"/>
      <c r="B20" s="8"/>
      <c r="C20" s="8"/>
      <c r="D20" s="29"/>
      <c r="E20" s="8"/>
      <c r="F20" s="7"/>
      <c r="G20" s="7"/>
      <c r="H20" s="7"/>
      <c r="I20" s="7"/>
      <c r="J20" s="7"/>
      <c r="K20" s="7"/>
      <c r="L20" s="7"/>
      <c r="M20" s="7"/>
      <c r="N20" s="7"/>
      <c r="O20" s="33"/>
      <c r="P20" s="8"/>
      <c r="Q20" s="12"/>
    </row>
    <row r="21" spans="1:17" ht="18" customHeight="1">
      <c r="A21" s="6"/>
      <c r="B21" s="8"/>
      <c r="C21" s="8"/>
      <c r="D21" s="29" t="s">
        <v>68</v>
      </c>
      <c r="E21" s="8"/>
      <c r="F21" s="333"/>
      <c r="G21" s="8"/>
      <c r="H21" s="29" t="s">
        <v>357</v>
      </c>
      <c r="I21" s="8"/>
      <c r="J21" s="333"/>
      <c r="K21" s="7"/>
      <c r="L21" s="441"/>
      <c r="M21" s="442"/>
      <c r="N21" s="442"/>
      <c r="O21" s="443"/>
      <c r="P21" s="175"/>
      <c r="Q21" s="12"/>
    </row>
    <row r="22" spans="1:17" ht="6.75" customHeight="1">
      <c r="A22" s="18"/>
      <c r="B22" s="19"/>
      <c r="C22" s="19"/>
      <c r="D22" s="30"/>
      <c r="E22" s="19"/>
      <c r="F22" s="19"/>
      <c r="G22" s="19"/>
      <c r="H22" s="19"/>
      <c r="I22" s="19"/>
      <c r="J22" s="19"/>
      <c r="K22" s="19"/>
      <c r="L22" s="19"/>
      <c r="M22" s="19"/>
      <c r="N22" s="19"/>
      <c r="O22" s="19"/>
      <c r="P22" s="19"/>
      <c r="Q22" s="27"/>
    </row>
    <row r="23" spans="1:17" ht="9.75" customHeight="1">
      <c r="A23" s="6"/>
      <c r="B23" s="8"/>
      <c r="C23" s="8"/>
      <c r="D23" s="29"/>
      <c r="E23" s="8"/>
      <c r="F23" s="7"/>
      <c r="G23" s="8"/>
      <c r="H23" s="8"/>
      <c r="I23" s="8"/>
      <c r="J23" s="7"/>
      <c r="K23" s="8"/>
      <c r="L23" s="8"/>
      <c r="M23" s="8"/>
      <c r="N23" s="8"/>
      <c r="O23" s="7"/>
      <c r="P23" s="8"/>
      <c r="Q23" s="12"/>
    </row>
    <row r="24" spans="1:17" ht="18" customHeight="1">
      <c r="A24" s="17" t="s">
        <v>511</v>
      </c>
      <c r="B24" s="8"/>
      <c r="C24" s="8"/>
      <c r="D24" s="29"/>
      <c r="E24" s="8" t="s">
        <v>358</v>
      </c>
      <c r="F24" s="7"/>
      <c r="G24" s="8"/>
      <c r="H24" s="8"/>
      <c r="I24" s="8"/>
      <c r="J24" s="7"/>
      <c r="K24" s="333"/>
      <c r="L24" s="8" t="s">
        <v>284</v>
      </c>
      <c r="M24" s="8"/>
      <c r="N24" s="8"/>
      <c r="O24" s="333" t="s">
        <v>545</v>
      </c>
      <c r="P24" s="8"/>
      <c r="Q24" s="12"/>
    </row>
    <row r="25" spans="1:17" ht="6.75" customHeight="1">
      <c r="A25" s="18"/>
      <c r="B25" s="19"/>
      <c r="C25" s="19"/>
      <c r="D25" s="30"/>
      <c r="E25" s="19"/>
      <c r="F25" s="19"/>
      <c r="G25" s="19"/>
      <c r="H25" s="19"/>
      <c r="I25" s="19"/>
      <c r="J25" s="19"/>
      <c r="K25" s="19"/>
      <c r="L25" s="19"/>
      <c r="M25" s="19"/>
      <c r="N25" s="19"/>
      <c r="O25" s="19"/>
      <c r="P25" s="19"/>
      <c r="Q25" s="27"/>
    </row>
    <row r="26" spans="1:17" ht="11.25" customHeight="1">
      <c r="A26" s="6"/>
      <c r="B26" s="8"/>
      <c r="C26" s="8"/>
      <c r="D26" s="8"/>
      <c r="E26" s="8"/>
      <c r="F26" s="8"/>
      <c r="G26" s="8"/>
      <c r="H26" s="7"/>
      <c r="I26" s="7"/>
      <c r="J26" s="7"/>
      <c r="K26" s="7"/>
      <c r="L26" s="7"/>
      <c r="M26" s="7"/>
      <c r="N26" s="7"/>
      <c r="O26" s="7"/>
      <c r="P26" s="8"/>
      <c r="Q26" s="12"/>
    </row>
    <row r="27" spans="1:17" ht="15" customHeight="1">
      <c r="A27" s="17" t="s">
        <v>512</v>
      </c>
      <c r="B27" s="8"/>
      <c r="C27" s="8"/>
      <c r="D27" s="8"/>
      <c r="E27" s="8"/>
      <c r="F27" s="8"/>
      <c r="G27" s="8"/>
      <c r="H27" s="8"/>
      <c r="I27" s="8"/>
      <c r="J27" s="8" t="s">
        <v>285</v>
      </c>
      <c r="K27" s="8"/>
      <c r="L27" s="8"/>
      <c r="M27" s="8"/>
      <c r="N27" s="617" t="str">
        <f>'C1-PRODN'!F17</f>
        <v>has</v>
      </c>
      <c r="O27" s="334">
        <v>1</v>
      </c>
      <c r="P27" s="7" t="s">
        <v>69</v>
      </c>
      <c r="Q27" s="12"/>
    </row>
    <row r="28" spans="1:17" ht="10.5" customHeight="1">
      <c r="A28" s="6"/>
      <c r="B28" s="8"/>
      <c r="C28" s="8"/>
      <c r="D28" s="8"/>
      <c r="E28" s="8"/>
      <c r="F28" s="8"/>
      <c r="G28" s="8"/>
      <c r="H28" s="8"/>
      <c r="I28" s="8"/>
      <c r="J28" s="7"/>
      <c r="K28" s="7"/>
      <c r="L28" s="8"/>
      <c r="M28" s="8"/>
      <c r="N28" s="8"/>
      <c r="O28" s="8"/>
      <c r="P28" s="8"/>
      <c r="Q28" s="12"/>
    </row>
    <row r="29" spans="1:17" ht="16.5" customHeight="1">
      <c r="A29" s="335" t="s">
        <v>359</v>
      </c>
      <c r="B29" s="21"/>
      <c r="C29" s="8"/>
      <c r="D29" s="336">
        <f>'C2-INV'!L34</f>
        <v>173726.97999999998</v>
      </c>
      <c r="E29" s="8"/>
      <c r="F29" s="616" t="str">
        <f>'C1-PRODN'!F17</f>
        <v>has</v>
      </c>
      <c r="G29" s="8"/>
      <c r="H29" s="154">
        <f>IF($O$27=0," ",(D29/$O$27))</f>
        <v>173726.97999999998</v>
      </c>
      <c r="I29" s="29" t="s">
        <v>70</v>
      </c>
      <c r="J29" s="624" t="s">
        <v>503</v>
      </c>
      <c r="K29" s="8"/>
      <c r="L29" s="8"/>
      <c r="M29" s="8"/>
      <c r="N29" s="962">
        <f>'C2-INV'!N70*O27</f>
        <v>155779.184</v>
      </c>
      <c r="O29" s="963"/>
      <c r="P29" s="32" t="s">
        <v>70</v>
      </c>
      <c r="Q29" s="12"/>
    </row>
    <row r="30" spans="1:17" ht="5.25" customHeight="1">
      <c r="A30" s="22"/>
      <c r="B30" s="21"/>
      <c r="C30" s="8"/>
      <c r="D30" s="337"/>
      <c r="E30" s="8"/>
      <c r="F30" s="8"/>
      <c r="G30" s="8"/>
      <c r="H30" s="229"/>
      <c r="I30" s="29"/>
      <c r="J30" s="624"/>
      <c r="K30" s="8"/>
      <c r="L30" s="8"/>
      <c r="M30" s="8"/>
      <c r="N30" s="8"/>
      <c r="O30" s="8"/>
      <c r="P30" s="32"/>
      <c r="Q30" s="12"/>
    </row>
    <row r="31" spans="1:17" ht="16.5" customHeight="1">
      <c r="A31" s="335" t="s">
        <v>468</v>
      </c>
      <c r="B31" s="21"/>
      <c r="C31" s="8"/>
      <c r="D31" s="336">
        <f>'C2-INV'!L50</f>
        <v>15544</v>
      </c>
      <c r="E31" s="8"/>
      <c r="F31" s="618" t="str">
        <f>F29</f>
        <v>has</v>
      </c>
      <c r="G31" s="8"/>
      <c r="H31" s="154">
        <f>IF($O$27=0," ",(D31/$O$27))</f>
        <v>15544</v>
      </c>
      <c r="I31" s="29" t="s">
        <v>70</v>
      </c>
      <c r="J31" s="624" t="s">
        <v>504</v>
      </c>
      <c r="K31" s="8"/>
      <c r="L31" s="8"/>
      <c r="M31" s="8"/>
      <c r="N31" s="962">
        <f>'C2-INV'!P70*O27</f>
        <v>0</v>
      </c>
      <c r="O31" s="963"/>
      <c r="P31" s="32" t="s">
        <v>70</v>
      </c>
      <c r="Q31" s="12"/>
    </row>
    <row r="32" spans="1:17" ht="5.25" customHeight="1">
      <c r="A32" s="22"/>
      <c r="B32" s="21"/>
      <c r="C32" s="8"/>
      <c r="D32" s="337"/>
      <c r="E32" s="8"/>
      <c r="F32" s="8"/>
      <c r="G32" s="8"/>
      <c r="H32" s="338"/>
      <c r="I32" s="29"/>
      <c r="J32" s="624"/>
      <c r="K32" s="8"/>
      <c r="L32" s="8"/>
      <c r="M32" s="8"/>
      <c r="N32" s="8"/>
      <c r="O32" s="8"/>
      <c r="P32" s="32"/>
      <c r="Q32" s="12"/>
    </row>
    <row r="33" spans="1:17" ht="16.5" customHeight="1">
      <c r="A33" s="335" t="s">
        <v>469</v>
      </c>
      <c r="B33" s="21"/>
      <c r="C33" s="8"/>
      <c r="D33" s="336">
        <f>'C2-INV'!L67</f>
        <v>34700</v>
      </c>
      <c r="E33" s="8"/>
      <c r="F33" s="618" t="str">
        <f>F31</f>
        <v>has</v>
      </c>
      <c r="G33" s="8"/>
      <c r="H33" s="154">
        <f>IF($O$27=0," ",(D33/$O$27))</f>
        <v>34700</v>
      </c>
      <c r="I33" s="29" t="s">
        <v>70</v>
      </c>
      <c r="J33" s="624" t="s">
        <v>505</v>
      </c>
      <c r="K33" s="8"/>
      <c r="L33" s="8"/>
      <c r="M33" s="8"/>
      <c r="N33" s="962">
        <f>N29+N31</f>
        <v>155779.184</v>
      </c>
      <c r="O33" s="963"/>
      <c r="P33" s="32" t="s">
        <v>70</v>
      </c>
      <c r="Q33" s="12"/>
    </row>
    <row r="34" spans="1:17" ht="5.25" customHeight="1">
      <c r="A34" s="22"/>
      <c r="B34" s="21"/>
      <c r="C34" s="8"/>
      <c r="D34" s="337"/>
      <c r="E34" s="8"/>
      <c r="F34" s="8"/>
      <c r="G34" s="8"/>
      <c r="H34" s="338"/>
      <c r="I34" s="29"/>
      <c r="J34" s="624"/>
      <c r="K34" s="8"/>
      <c r="L34" s="8"/>
      <c r="M34" s="8"/>
      <c r="N34" s="8"/>
      <c r="O34" s="8"/>
      <c r="P34" s="32"/>
      <c r="Q34" s="12"/>
    </row>
    <row r="35" spans="1:17" ht="16.5" customHeight="1">
      <c r="A35" s="335" t="s">
        <v>470</v>
      </c>
      <c r="B35" s="21"/>
      <c r="C35" s="8"/>
      <c r="D35" s="336">
        <f>'C5-FLJO'!J61</f>
        <v>51814.48348999999</v>
      </c>
      <c r="E35" s="8"/>
      <c r="F35" s="618" t="str">
        <f>F33</f>
        <v>has</v>
      </c>
      <c r="G35" s="8"/>
      <c r="H35" s="154">
        <f>IF($O$27=0," ",(D35/$O$27))</f>
        <v>51814.48348999999</v>
      </c>
      <c r="I35" s="29" t="s">
        <v>70</v>
      </c>
      <c r="J35" s="624" t="s">
        <v>506</v>
      </c>
      <c r="K35" s="8"/>
      <c r="L35" s="8"/>
      <c r="M35" s="8"/>
      <c r="N35" s="962">
        <f>'C2-INV'!O70*O27</f>
        <v>68191.796</v>
      </c>
      <c r="O35" s="963"/>
      <c r="P35" s="32" t="s">
        <v>70</v>
      </c>
      <c r="Q35" s="12"/>
    </row>
    <row r="36" spans="1:17" ht="5.25" customHeight="1">
      <c r="A36" s="22"/>
      <c r="B36" s="21"/>
      <c r="C36" s="8"/>
      <c r="D36" s="337"/>
      <c r="E36" s="8"/>
      <c r="F36" s="8"/>
      <c r="G36" s="8"/>
      <c r="H36" s="229"/>
      <c r="I36" s="29"/>
      <c r="J36" s="8"/>
      <c r="K36" s="8"/>
      <c r="L36" s="8"/>
      <c r="M36" s="8"/>
      <c r="N36" s="8"/>
      <c r="O36" s="8"/>
      <c r="P36" s="8"/>
      <c r="Q36" s="12"/>
    </row>
    <row r="37" spans="1:17" ht="16.5" customHeight="1">
      <c r="A37" s="17" t="s">
        <v>286</v>
      </c>
      <c r="B37" s="21"/>
      <c r="C37" s="8"/>
      <c r="D37" s="336">
        <f>SUM(D29:D35)</f>
        <v>275785.46349</v>
      </c>
      <c r="E37" s="8"/>
      <c r="F37" s="618" t="str">
        <f>F35</f>
        <v>has</v>
      </c>
      <c r="G37" s="8"/>
      <c r="H37" s="154">
        <f>IF($O$27=0," ",(D37/$O$27))</f>
        <v>275785.46349</v>
      </c>
      <c r="I37" s="29" t="s">
        <v>70</v>
      </c>
      <c r="J37" s="8"/>
      <c r="K37" s="8"/>
      <c r="L37" s="8"/>
      <c r="M37" s="8"/>
      <c r="N37" s="8"/>
      <c r="O37" s="8"/>
      <c r="P37" s="8"/>
      <c r="Q37" s="12"/>
    </row>
    <row r="38" spans="1:17" ht="18" customHeight="1">
      <c r="A38" s="23"/>
      <c r="B38" s="24"/>
      <c r="C38" s="19"/>
      <c r="D38" s="19"/>
      <c r="E38" s="19"/>
      <c r="F38" s="19"/>
      <c r="G38" s="19"/>
      <c r="H38" s="19"/>
      <c r="I38" s="19"/>
      <c r="J38" s="19"/>
      <c r="K38" s="19"/>
      <c r="L38" s="19"/>
      <c r="M38" s="19"/>
      <c r="N38" s="19"/>
      <c r="O38" s="19"/>
      <c r="P38" s="19"/>
      <c r="Q38" s="27"/>
    </row>
    <row r="39" spans="1:17" ht="5.25" customHeight="1">
      <c r="A39" s="6"/>
      <c r="B39" s="8"/>
      <c r="C39" s="8"/>
      <c r="D39" s="8"/>
      <c r="E39" s="8"/>
      <c r="F39" s="8"/>
      <c r="G39" s="8"/>
      <c r="H39" s="8"/>
      <c r="I39" s="7"/>
      <c r="J39" s="8"/>
      <c r="K39" s="8"/>
      <c r="L39" s="8"/>
      <c r="M39" s="8"/>
      <c r="N39" s="8"/>
      <c r="O39" s="8"/>
      <c r="P39" s="8"/>
      <c r="Q39" s="12"/>
    </row>
    <row r="40" spans="1:17" ht="18" customHeight="1">
      <c r="A40" s="17" t="s">
        <v>72</v>
      </c>
      <c r="B40" s="8"/>
      <c r="C40" s="8"/>
      <c r="D40" s="8"/>
      <c r="E40" s="29" t="s">
        <v>430</v>
      </c>
      <c r="F40" s="663">
        <f>IF('C2-INV'!$L$70&gt;0,('C2-INV'!$P$70/'C2-INV'!$L$70)*100," ")</f>
        <v>0</v>
      </c>
      <c r="G40" s="8" t="s">
        <v>440</v>
      </c>
      <c r="H40" s="339" t="s">
        <v>431</v>
      </c>
      <c r="I40" s="7"/>
      <c r="J40" s="7"/>
      <c r="K40" s="663">
        <f>IF('C2-INV'!$L$70&gt;0,('C2-INV'!$N$70/'C2-INV'!$L$70)*100," ")</f>
        <v>69.55328944848124</v>
      </c>
      <c r="L40" s="7" t="s">
        <v>441</v>
      </c>
      <c r="M40" s="8"/>
      <c r="N40" s="8"/>
      <c r="O40" s="663">
        <f>IF('C2-INV'!$L$70&gt;0,('C2-INV'!$O$70/'C2-INV'!$L$70)*100," ")</f>
        <v>30.446710551518773</v>
      </c>
      <c r="P40" s="8" t="s">
        <v>440</v>
      </c>
      <c r="Q40" s="12"/>
    </row>
    <row r="41" spans="1:17" ht="12.75" customHeight="1">
      <c r="A41" s="17" t="s">
        <v>73</v>
      </c>
      <c r="B41" s="8"/>
      <c r="C41" s="8"/>
      <c r="D41" s="8"/>
      <c r="E41" s="8"/>
      <c r="F41" s="8"/>
      <c r="G41" s="8"/>
      <c r="H41" s="35"/>
      <c r="I41" s="7"/>
      <c r="J41" s="7"/>
      <c r="K41" s="7"/>
      <c r="L41" s="7"/>
      <c r="M41" s="8"/>
      <c r="N41" s="8"/>
      <c r="O41" s="7"/>
      <c r="P41" s="8"/>
      <c r="Q41" s="12"/>
    </row>
    <row r="42" spans="1:17" ht="9.75" customHeight="1">
      <c r="A42" s="25"/>
      <c r="B42" s="19"/>
      <c r="C42" s="26" t="s">
        <v>74</v>
      </c>
      <c r="D42" s="19"/>
      <c r="E42" s="19"/>
      <c r="F42" s="26"/>
      <c r="G42" s="19"/>
      <c r="H42" s="36"/>
      <c r="I42" s="19"/>
      <c r="J42" s="19"/>
      <c r="K42" s="19"/>
      <c r="L42" s="19"/>
      <c r="M42" s="19"/>
      <c r="N42" s="19"/>
      <c r="O42" s="19"/>
      <c r="P42" s="19"/>
      <c r="Q42" s="27"/>
    </row>
    <row r="43" spans="1:17" ht="6.75" customHeight="1">
      <c r="A43" s="17"/>
      <c r="B43" s="7"/>
      <c r="C43" s="96"/>
      <c r="D43" s="7"/>
      <c r="E43" s="7"/>
      <c r="F43" s="96"/>
      <c r="G43" s="7"/>
      <c r="H43" s="438"/>
      <c r="I43" s="7"/>
      <c r="J43" s="7"/>
      <c r="K43" s="7"/>
      <c r="L43" s="7"/>
      <c r="M43" s="7"/>
      <c r="N43" s="7"/>
      <c r="O43" s="7"/>
      <c r="P43" s="7"/>
      <c r="Q43" s="12"/>
    </row>
    <row r="44" spans="1:17" ht="17.25" customHeight="1">
      <c r="A44" s="17" t="s">
        <v>360</v>
      </c>
      <c r="B44" s="8"/>
      <c r="C44" s="8"/>
      <c r="D44" s="8"/>
      <c r="E44" s="8" t="s">
        <v>361</v>
      </c>
      <c r="F44" s="8"/>
      <c r="G44" s="439">
        <v>100</v>
      </c>
      <c r="H44" s="35" t="s">
        <v>362</v>
      </c>
      <c r="I44" s="439">
        <v>137</v>
      </c>
      <c r="J44" s="8" t="s">
        <v>363</v>
      </c>
      <c r="K44" s="8"/>
      <c r="L44" s="8"/>
      <c r="M44" s="439"/>
      <c r="N44" s="7" t="s">
        <v>463</v>
      </c>
      <c r="O44" s="7"/>
      <c r="P44" s="333"/>
      <c r="Q44" s="12"/>
    </row>
    <row r="45" spans="1:17" ht="6.75" customHeight="1">
      <c r="A45" s="25"/>
      <c r="B45" s="19"/>
      <c r="C45" s="26"/>
      <c r="D45" s="19"/>
      <c r="E45" s="19"/>
      <c r="F45" s="26"/>
      <c r="G45" s="19"/>
      <c r="H45" s="36"/>
      <c r="I45" s="19"/>
      <c r="J45" s="19"/>
      <c r="K45" s="19"/>
      <c r="L45" s="19"/>
      <c r="M45" s="19"/>
      <c r="N45" s="19"/>
      <c r="O45" s="19"/>
      <c r="P45" s="19"/>
      <c r="Q45" s="27"/>
    </row>
    <row r="46" spans="1:17" ht="6.75" customHeight="1">
      <c r="A46" s="6"/>
      <c r="B46" s="7"/>
      <c r="C46" s="7"/>
      <c r="D46" s="7"/>
      <c r="E46" s="7"/>
      <c r="F46" s="7"/>
      <c r="G46" s="7"/>
      <c r="H46" s="7"/>
      <c r="I46" s="7"/>
      <c r="J46" s="7"/>
      <c r="K46" s="7"/>
      <c r="L46" s="7"/>
      <c r="M46" s="7"/>
      <c r="N46" s="7"/>
      <c r="O46" s="7"/>
      <c r="P46" s="7"/>
      <c r="Q46" s="12"/>
    </row>
    <row r="47" spans="1:17" ht="18" customHeight="1">
      <c r="A47" s="55" t="s">
        <v>364</v>
      </c>
      <c r="B47" s="7"/>
      <c r="C47" s="7"/>
      <c r="D47" s="7" t="s">
        <v>365</v>
      </c>
      <c r="E47" s="31"/>
      <c r="F47" s="7"/>
      <c r="G47" s="7"/>
      <c r="H47" s="7"/>
      <c r="I47" s="7"/>
      <c r="J47" s="7"/>
      <c r="K47" s="7"/>
      <c r="L47" s="7"/>
      <c r="M47" s="7"/>
      <c r="N47" s="7"/>
      <c r="O47" s="340">
        <f>'C1-PRODN'!Q39+'C3-COST'!I44</f>
        <v>23.067272727272726</v>
      </c>
      <c r="P47" s="7"/>
      <c r="Q47" s="12"/>
    </row>
    <row r="48" spans="1:17" ht="14.25" customHeight="1">
      <c r="A48" s="18"/>
      <c r="B48" s="19"/>
      <c r="C48" s="19"/>
      <c r="D48" s="19"/>
      <c r="E48" s="19"/>
      <c r="F48" s="19"/>
      <c r="G48" s="19"/>
      <c r="H48" s="19"/>
      <c r="I48" s="19"/>
      <c r="J48" s="19"/>
      <c r="K48" s="19"/>
      <c r="L48" s="19"/>
      <c r="M48" s="19"/>
      <c r="N48" s="19"/>
      <c r="O48" s="19"/>
      <c r="P48" s="19"/>
      <c r="Q48" s="27"/>
    </row>
    <row r="49" spans="1:17" ht="6" customHeight="1">
      <c r="A49" s="6"/>
      <c r="B49" s="7"/>
      <c r="C49" s="7"/>
      <c r="D49" s="7"/>
      <c r="E49" s="7"/>
      <c r="F49" s="7"/>
      <c r="G49" s="7"/>
      <c r="H49" s="7"/>
      <c r="I49" s="7"/>
      <c r="J49" s="7"/>
      <c r="K49" s="7"/>
      <c r="L49" s="7"/>
      <c r="M49" s="7"/>
      <c r="N49" s="7"/>
      <c r="O49" s="7"/>
      <c r="P49" s="7"/>
      <c r="Q49" s="12"/>
    </row>
    <row r="50" spans="1:17" ht="17.25" customHeight="1">
      <c r="A50" s="17" t="s">
        <v>513</v>
      </c>
      <c r="B50" s="7"/>
      <c r="C50" s="7"/>
      <c r="D50" s="7"/>
      <c r="E50" s="8"/>
      <c r="F50" s="8"/>
      <c r="G50" s="8"/>
      <c r="H50" s="619"/>
      <c r="I50" s="8"/>
      <c r="J50" s="8"/>
      <c r="K50" s="8"/>
      <c r="L50" s="619"/>
      <c r="M50" s="8"/>
      <c r="N50" s="8"/>
      <c r="O50" s="8"/>
      <c r="P50" s="7"/>
      <c r="Q50" s="12"/>
    </row>
    <row r="51" spans="1:17" ht="7.5" customHeight="1">
      <c r="A51" s="17"/>
      <c r="B51" s="7"/>
      <c r="C51" s="7"/>
      <c r="D51" s="7"/>
      <c r="E51" s="15"/>
      <c r="F51" s="7"/>
      <c r="G51" s="8"/>
      <c r="H51" s="8"/>
      <c r="I51" s="125"/>
      <c r="J51" s="7"/>
      <c r="K51" s="126"/>
      <c r="L51" s="44"/>
      <c r="M51" s="7"/>
      <c r="N51" s="38"/>
      <c r="O51" s="235"/>
      <c r="P51" s="7"/>
      <c r="Q51" s="12"/>
    </row>
    <row r="52" spans="1:17" ht="17.25" customHeight="1">
      <c r="A52" s="17"/>
      <c r="B52" s="124" t="s">
        <v>287</v>
      </c>
      <c r="C52" s="7"/>
      <c r="D52" s="7"/>
      <c r="E52" s="15"/>
      <c r="F52" s="7"/>
      <c r="G52" s="8"/>
      <c r="H52" s="8"/>
      <c r="I52" s="125"/>
      <c r="J52" s="341" t="e">
        <f>IF('C7-UTIL'!E25&gt;0,'C7-UTIL'!E62," ")</f>
        <v>#DIV/0!</v>
      </c>
      <c r="K52" s="620" t="s">
        <v>433</v>
      </c>
      <c r="L52" s="44"/>
      <c r="M52" s="7"/>
      <c r="N52" s="38"/>
      <c r="O52" s="235"/>
      <c r="P52" s="7"/>
      <c r="Q52" s="12"/>
    </row>
    <row r="53" spans="1:17" ht="5.25" customHeight="1">
      <c r="A53" s="17"/>
      <c r="B53" s="7"/>
      <c r="C53" s="7"/>
      <c r="D53" s="7"/>
      <c r="E53" s="15"/>
      <c r="F53" s="7"/>
      <c r="G53" s="8"/>
      <c r="H53" s="8"/>
      <c r="I53" s="125"/>
      <c r="J53" s="7"/>
      <c r="K53" s="126"/>
      <c r="L53" s="44"/>
      <c r="M53" s="7"/>
      <c r="N53" s="38"/>
      <c r="O53" s="235"/>
      <c r="P53" s="7"/>
      <c r="Q53" s="12"/>
    </row>
    <row r="54" spans="1:17" ht="17.25" customHeight="1">
      <c r="A54" s="17"/>
      <c r="B54" s="15" t="s">
        <v>75</v>
      </c>
      <c r="C54" s="7"/>
      <c r="D54" s="8"/>
      <c r="E54" s="8"/>
      <c r="F54" s="8"/>
      <c r="G54" s="619" t="s">
        <v>435</v>
      </c>
      <c r="H54" s="342">
        <f>'C8-RENTA'!I57</f>
        <v>199140.44394016385</v>
      </c>
      <c r="I54" s="32" t="s">
        <v>442</v>
      </c>
      <c r="J54" s="8"/>
      <c r="K54" s="619" t="s">
        <v>432</v>
      </c>
      <c r="L54" s="39">
        <f>'C8-RENTA'!I55</f>
        <v>0.589458987328029</v>
      </c>
      <c r="M54" s="8"/>
      <c r="N54" s="8"/>
      <c r="O54" s="8"/>
      <c r="P54" s="7"/>
      <c r="Q54" s="12"/>
    </row>
    <row r="55" spans="1:17" ht="5.25" customHeight="1">
      <c r="A55" s="17"/>
      <c r="B55" s="15"/>
      <c r="C55" s="7"/>
      <c r="D55" s="8"/>
      <c r="E55" s="8"/>
      <c r="F55" s="125"/>
      <c r="G55" s="7"/>
      <c r="H55" s="343"/>
      <c r="I55" s="44"/>
      <c r="J55" s="7"/>
      <c r="K55" s="38"/>
      <c r="L55" s="235"/>
      <c r="M55" s="8"/>
      <c r="N55" s="8"/>
      <c r="O55" s="8"/>
      <c r="P55" s="7"/>
      <c r="Q55" s="12"/>
    </row>
    <row r="56" spans="1:17" ht="16.5" customHeight="1">
      <c r="A56" s="17"/>
      <c r="B56" s="15" t="s">
        <v>76</v>
      </c>
      <c r="C56" s="7"/>
      <c r="D56" s="37"/>
      <c r="E56" s="8"/>
      <c r="F56" s="8"/>
      <c r="G56" s="621" t="s">
        <v>434</v>
      </c>
      <c r="H56" s="342">
        <f>'C8-RENTA'!M57</f>
        <v>57523.00394016391</v>
      </c>
      <c r="I56" s="32" t="s">
        <v>442</v>
      </c>
      <c r="J56" s="8"/>
      <c r="K56" s="619" t="s">
        <v>432</v>
      </c>
      <c r="L56" s="39">
        <v>0.14</v>
      </c>
      <c r="M56" s="8"/>
      <c r="N56" s="8"/>
      <c r="O56" s="8"/>
      <c r="P56" s="7"/>
      <c r="Q56" s="12"/>
    </row>
    <row r="57" spans="1:17" ht="6" customHeight="1">
      <c r="A57" s="18"/>
      <c r="B57" s="19"/>
      <c r="C57" s="19"/>
      <c r="D57" s="19"/>
      <c r="E57" s="19"/>
      <c r="F57" s="62"/>
      <c r="G57" s="19"/>
      <c r="H57" s="19"/>
      <c r="I57" s="19"/>
      <c r="J57" s="19"/>
      <c r="K57" s="19"/>
      <c r="L57" s="19"/>
      <c r="M57" s="19"/>
      <c r="N57" s="19"/>
      <c r="O57" s="19"/>
      <c r="P57" s="19"/>
      <c r="Q57" s="27"/>
    </row>
    <row r="58" spans="1:17" ht="7.5" customHeight="1">
      <c r="A58" s="6"/>
      <c r="B58" s="7"/>
      <c r="C58" s="7"/>
      <c r="D58" s="7"/>
      <c r="E58" s="7"/>
      <c r="F58" s="7"/>
      <c r="G58" s="7"/>
      <c r="H58" s="7"/>
      <c r="I58" s="7"/>
      <c r="J58" s="7"/>
      <c r="K58" s="7"/>
      <c r="L58" s="7"/>
      <c r="M58" s="7"/>
      <c r="N58" s="7"/>
      <c r="O58" s="7"/>
      <c r="P58" s="7"/>
      <c r="Q58" s="12"/>
    </row>
    <row r="59" spans="1:17" ht="16.5" customHeight="1">
      <c r="A59" s="17" t="s">
        <v>544</v>
      </c>
      <c r="B59" s="8"/>
      <c r="C59" s="8"/>
      <c r="D59" s="8"/>
      <c r="E59" s="8"/>
      <c r="F59" s="8" t="s">
        <v>366</v>
      </c>
      <c r="G59" s="8"/>
      <c r="H59" s="8"/>
      <c r="I59" s="422">
        <v>135</v>
      </c>
      <c r="J59" s="8"/>
      <c r="K59" s="8" t="s">
        <v>367</v>
      </c>
      <c r="L59" s="8"/>
      <c r="M59" s="8"/>
      <c r="N59" s="8"/>
      <c r="O59" s="440">
        <v>700</v>
      </c>
      <c r="P59" s="8"/>
      <c r="Q59" s="12"/>
    </row>
    <row r="60" spans="1:17" ht="7.5" customHeight="1">
      <c r="A60" s="6"/>
      <c r="B60" s="8"/>
      <c r="C60" s="8"/>
      <c r="D60" s="8"/>
      <c r="E60" s="8"/>
      <c r="F60" s="8"/>
      <c r="G60" s="8"/>
      <c r="H60" s="8"/>
      <c r="I60" s="8"/>
      <c r="J60" s="8"/>
      <c r="K60" s="8"/>
      <c r="L60" s="8"/>
      <c r="M60" s="8"/>
      <c r="N60" s="8"/>
      <c r="O60" s="8"/>
      <c r="P60" s="8"/>
      <c r="Q60" s="12"/>
    </row>
    <row r="61" spans="1:17" ht="12.75" customHeight="1">
      <c r="A61" s="6"/>
      <c r="B61" s="8"/>
      <c r="C61" s="8"/>
      <c r="D61" s="8"/>
      <c r="E61" s="8"/>
      <c r="F61" s="8" t="s">
        <v>542</v>
      </c>
      <c r="G61" s="8"/>
      <c r="H61" s="8"/>
      <c r="I61" s="8"/>
      <c r="J61" s="8"/>
      <c r="K61" s="8"/>
      <c r="L61" s="8" t="s">
        <v>543</v>
      </c>
      <c r="M61" s="8"/>
      <c r="N61" s="8"/>
      <c r="O61" s="8"/>
      <c r="P61" s="8"/>
      <c r="Q61" s="12"/>
    </row>
    <row r="62" spans="1:17" ht="5.25" customHeight="1">
      <c r="A62" s="18"/>
      <c r="B62" s="19"/>
      <c r="C62" s="19"/>
      <c r="D62" s="19"/>
      <c r="E62" s="19"/>
      <c r="F62" s="19"/>
      <c r="G62" s="19"/>
      <c r="H62" s="19"/>
      <c r="I62" s="19"/>
      <c r="J62" s="19"/>
      <c r="K62" s="19"/>
      <c r="L62" s="19"/>
      <c r="M62" s="19"/>
      <c r="N62" s="19"/>
      <c r="O62" s="19"/>
      <c r="P62" s="19"/>
      <c r="Q62" s="27"/>
    </row>
    <row r="63" spans="1:17" ht="10.5" customHeight="1">
      <c r="A63" s="17"/>
      <c r="B63" s="8"/>
      <c r="C63" s="8"/>
      <c r="D63" s="28"/>
      <c r="E63" s="8"/>
      <c r="F63" s="8"/>
      <c r="G63" s="8"/>
      <c r="H63" s="32"/>
      <c r="I63" s="8"/>
      <c r="J63" s="7"/>
      <c r="K63" s="8"/>
      <c r="L63" s="8"/>
      <c r="M63" s="7"/>
      <c r="N63" s="8"/>
      <c r="O63" s="8"/>
      <c r="P63" s="7"/>
      <c r="Q63" s="12"/>
    </row>
    <row r="64" spans="1:17" ht="15.75">
      <c r="A64" s="17" t="s">
        <v>368</v>
      </c>
      <c r="B64" s="8"/>
      <c r="C64" s="8"/>
      <c r="D64" s="28"/>
      <c r="E64" s="8"/>
      <c r="F64" s="8"/>
      <c r="G64" s="8"/>
      <c r="H64" s="40" t="s">
        <v>77</v>
      </c>
      <c r="I64" s="7" t="s">
        <v>78</v>
      </c>
      <c r="J64" s="333"/>
      <c r="K64" s="8" t="s">
        <v>79</v>
      </c>
      <c r="L64" s="333" t="s">
        <v>545</v>
      </c>
      <c r="M64" s="7" t="s">
        <v>80</v>
      </c>
      <c r="N64" s="333"/>
      <c r="O64" s="8" t="s">
        <v>81</v>
      </c>
      <c r="P64" s="333"/>
      <c r="Q64" s="12"/>
    </row>
    <row r="65" spans="1:17" ht="6.75" customHeight="1">
      <c r="A65" s="17"/>
      <c r="B65" s="8"/>
      <c r="C65" s="8"/>
      <c r="D65" s="28"/>
      <c r="E65" s="8"/>
      <c r="F65" s="8"/>
      <c r="G65" s="8"/>
      <c r="H65" s="40"/>
      <c r="I65" s="7"/>
      <c r="J65" s="7"/>
      <c r="K65" s="8"/>
      <c r="L65" s="7"/>
      <c r="M65" s="7"/>
      <c r="N65" s="7"/>
      <c r="O65" s="8"/>
      <c r="P65" s="7"/>
      <c r="Q65" s="12"/>
    </row>
    <row r="66" spans="1:17" ht="15" customHeight="1">
      <c r="A66" s="17" t="s">
        <v>514</v>
      </c>
      <c r="B66" s="8"/>
      <c r="C66" s="8"/>
      <c r="D66" s="28"/>
      <c r="E66" s="8"/>
      <c r="F66" s="8"/>
      <c r="G66" s="8"/>
      <c r="H66" s="40"/>
      <c r="I66" s="7"/>
      <c r="J66" s="7"/>
      <c r="K66" s="8"/>
      <c r="L66" s="7"/>
      <c r="M66" s="7"/>
      <c r="N66" s="7"/>
      <c r="O66" s="8"/>
      <c r="P66" s="7"/>
      <c r="Q66" s="12"/>
    </row>
    <row r="67" spans="1:17" ht="11.25" customHeight="1">
      <c r="A67" s="17"/>
      <c r="B67" s="8"/>
      <c r="C67" s="8"/>
      <c r="D67" s="28"/>
      <c r="E67" s="8"/>
      <c r="F67" s="8"/>
      <c r="G67" s="8"/>
      <c r="H67" s="40"/>
      <c r="I67" s="7"/>
      <c r="J67" s="7"/>
      <c r="K67" s="8"/>
      <c r="L67" s="7"/>
      <c r="M67" s="7"/>
      <c r="N67" s="7"/>
      <c r="O67" s="8"/>
      <c r="P67" s="7"/>
      <c r="Q67" s="12"/>
    </row>
    <row r="68" spans="1:17" ht="19.5" customHeight="1">
      <c r="A68" s="664" t="s">
        <v>611</v>
      </c>
      <c r="B68" s="260"/>
      <c r="C68" s="260"/>
      <c r="D68" s="260"/>
      <c r="E68" s="260"/>
      <c r="F68" s="260"/>
      <c r="G68" s="260"/>
      <c r="H68" s="622"/>
      <c r="I68" s="260"/>
      <c r="J68" s="260"/>
      <c r="K68" s="260"/>
      <c r="L68" s="260"/>
      <c r="M68" s="260"/>
      <c r="N68" s="260"/>
      <c r="O68" s="260"/>
      <c r="P68" s="260"/>
      <c r="Q68" s="665"/>
    </row>
    <row r="69" spans="1:17" ht="19.5" customHeight="1">
      <c r="A69" s="664"/>
      <c r="B69" s="260"/>
      <c r="C69" s="260"/>
      <c r="D69" s="260"/>
      <c r="E69" s="260"/>
      <c r="F69" s="260"/>
      <c r="G69" s="260"/>
      <c r="H69" s="622"/>
      <c r="I69" s="260"/>
      <c r="J69" s="260"/>
      <c r="K69" s="260"/>
      <c r="L69" s="260"/>
      <c r="M69" s="260"/>
      <c r="N69" s="260"/>
      <c r="O69" s="260"/>
      <c r="P69" s="260"/>
      <c r="Q69" s="665"/>
    </row>
    <row r="70" spans="1:17" ht="19.5" customHeight="1">
      <c r="A70" s="664"/>
      <c r="B70" s="260"/>
      <c r="C70" s="260"/>
      <c r="D70" s="260"/>
      <c r="E70" s="260"/>
      <c r="F70" s="260"/>
      <c r="G70" s="260"/>
      <c r="H70" s="622"/>
      <c r="I70" s="260"/>
      <c r="J70" s="260"/>
      <c r="K70" s="260"/>
      <c r="L70" s="260"/>
      <c r="M70" s="260"/>
      <c r="N70" s="260"/>
      <c r="O70" s="260"/>
      <c r="P70" s="260"/>
      <c r="Q70" s="665"/>
    </row>
    <row r="71" spans="1:17" ht="19.5" customHeight="1" thickBot="1">
      <c r="A71" s="666"/>
      <c r="B71" s="667"/>
      <c r="C71" s="667"/>
      <c r="D71" s="667"/>
      <c r="E71" s="667"/>
      <c r="F71" s="667"/>
      <c r="G71" s="667"/>
      <c r="H71" s="668"/>
      <c r="I71" s="667"/>
      <c r="J71" s="667"/>
      <c r="K71" s="667"/>
      <c r="L71" s="667"/>
      <c r="M71" s="667"/>
      <c r="N71" s="667"/>
      <c r="O71" s="667"/>
      <c r="P71" s="667"/>
      <c r="Q71" s="669"/>
    </row>
    <row r="72" ht="13.5" thickTop="1"/>
  </sheetData>
  <sheetProtection/>
  <mergeCells count="4">
    <mergeCell ref="N29:O29"/>
    <mergeCell ref="N31:O31"/>
    <mergeCell ref="N33:O33"/>
    <mergeCell ref="N35:O35"/>
  </mergeCells>
  <printOptions horizontalCentered="1"/>
  <pageMargins left="0.3937007874015748" right="0.3937007874015748" top="0.3937007874015748" bottom="0.3937007874015748" header="0.2362204724409449" footer="0.2362204724409449"/>
  <pageSetup fitToHeight="1" fitToWidth="1" horizontalDpi="300" verticalDpi="300" orientation="portrait" scale="7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61"/>
  <sheetViews>
    <sheetView showGridLines="0" zoomScale="75" zoomScaleNormal="75" workbookViewId="0" topLeftCell="A24">
      <selection activeCell="A48" sqref="A48"/>
    </sheetView>
  </sheetViews>
  <sheetFormatPr defaultColWidth="11.421875" defaultRowHeight="12.75"/>
  <cols>
    <col min="1" max="1" width="8.8515625" style="0" customWidth="1"/>
    <col min="2" max="2" width="7.7109375" style="0" customWidth="1"/>
    <col min="3" max="5" width="8.8515625" style="0" customWidth="1"/>
    <col min="6" max="6" width="3.00390625" style="0" customWidth="1"/>
    <col min="7" max="7" width="8.8515625" style="0" customWidth="1"/>
    <col min="8" max="8" width="5.8515625" style="0" customWidth="1"/>
    <col min="10" max="12" width="8.8515625" style="0" customWidth="1"/>
    <col min="13" max="13" width="5.421875" style="0" customWidth="1"/>
    <col min="14" max="14" width="8.421875" style="0" customWidth="1"/>
    <col min="15" max="15" width="8.140625" style="0" customWidth="1"/>
    <col min="16" max="16" width="14.140625" style="0" customWidth="1"/>
    <col min="17" max="17" width="10.7109375" style="0" customWidth="1"/>
    <col min="18" max="18" width="2.28125" style="0" customWidth="1"/>
    <col min="19" max="16384" width="8.8515625" style="0" customWidth="1"/>
  </cols>
  <sheetData>
    <row r="1" spans="1:19" ht="17.25" thickBot="1" thickTop="1">
      <c r="A1" s="920" t="s">
        <v>541</v>
      </c>
      <c r="B1" s="173"/>
      <c r="C1" s="173"/>
      <c r="D1" s="173"/>
      <c r="E1" s="183"/>
      <c r="F1" s="176"/>
      <c r="G1" s="964" t="s">
        <v>471</v>
      </c>
      <c r="H1" s="965"/>
      <c r="I1" s="966"/>
      <c r="J1" s="176"/>
      <c r="K1" s="176"/>
      <c r="L1" s="176"/>
      <c r="M1" s="186" t="s">
        <v>342</v>
      </c>
      <c r="N1" s="176"/>
      <c r="O1" s="176"/>
      <c r="P1" s="176"/>
      <c r="Q1" s="176"/>
      <c r="R1" s="185" t="s">
        <v>82</v>
      </c>
      <c r="S1" s="176"/>
    </row>
    <row r="2" spans="1:19" ht="14.25" thickBot="1" thickTop="1">
      <c r="A2" s="176"/>
      <c r="B2" s="182"/>
      <c r="C2" s="182"/>
      <c r="D2" s="182"/>
      <c r="E2" s="176"/>
      <c r="F2" s="176"/>
      <c r="G2" s="176"/>
      <c r="H2" s="176"/>
      <c r="I2" s="176"/>
      <c r="J2" s="176"/>
      <c r="K2" s="176"/>
      <c r="L2" s="176"/>
      <c r="M2" s="176"/>
      <c r="N2" s="176"/>
      <c r="O2" s="176"/>
      <c r="P2" s="176"/>
      <c r="Q2" s="176"/>
      <c r="R2" s="176"/>
      <c r="S2" s="176"/>
    </row>
    <row r="3" spans="1:19" ht="9" customHeight="1" thickTop="1">
      <c r="A3" s="3"/>
      <c r="B3" s="4"/>
      <c r="C3" s="4"/>
      <c r="D3" s="4"/>
      <c r="E3" s="4"/>
      <c r="F3" s="4"/>
      <c r="G3" s="4"/>
      <c r="H3" s="4"/>
      <c r="I3" s="4"/>
      <c r="J3" s="4"/>
      <c r="K3" s="4"/>
      <c r="L3" s="4"/>
      <c r="M3" s="4"/>
      <c r="N3" s="4"/>
      <c r="O3" s="4"/>
      <c r="P3" s="4"/>
      <c r="Q3" s="4"/>
      <c r="R3" s="5"/>
      <c r="S3" s="176"/>
    </row>
    <row r="4" spans="1:19" ht="18">
      <c r="A4" s="6"/>
      <c r="B4" s="8"/>
      <c r="C4" s="8"/>
      <c r="D4" s="42" t="s">
        <v>83</v>
      </c>
      <c r="E4" s="42"/>
      <c r="F4" s="8"/>
      <c r="G4" s="8"/>
      <c r="H4" s="49"/>
      <c r="I4" s="8"/>
      <c r="J4" s="7"/>
      <c r="K4" s="8"/>
      <c r="L4" s="8"/>
      <c r="M4" s="8"/>
      <c r="N4" s="7"/>
      <c r="O4" s="50" t="s">
        <v>84</v>
      </c>
      <c r="P4" s="260" t="s">
        <v>609</v>
      </c>
      <c r="Q4" s="156"/>
      <c r="R4" s="12"/>
      <c r="S4" s="176"/>
    </row>
    <row r="5" spans="1:19" ht="10.5" customHeight="1">
      <c r="A5" s="6"/>
      <c r="B5" s="43"/>
      <c r="C5" s="43"/>
      <c r="D5" s="43"/>
      <c r="E5" s="7"/>
      <c r="F5" s="42"/>
      <c r="G5" s="51"/>
      <c r="H5" s="52"/>
      <c r="I5" s="8"/>
      <c r="J5" s="7"/>
      <c r="K5" s="7"/>
      <c r="L5" s="7"/>
      <c r="M5" s="34"/>
      <c r="N5" s="8"/>
      <c r="O5" s="8"/>
      <c r="P5" s="8"/>
      <c r="Q5" s="8"/>
      <c r="R5" s="12"/>
      <c r="S5" s="176"/>
    </row>
    <row r="6" spans="1:19" ht="18" customHeight="1">
      <c r="A6" s="6"/>
      <c r="B6" s="44" t="s">
        <v>515</v>
      </c>
      <c r="C6" s="7"/>
      <c r="D6" s="262" t="s">
        <v>570</v>
      </c>
      <c r="E6" s="263"/>
      <c r="F6" s="263"/>
      <c r="G6" s="262"/>
      <c r="H6" s="262"/>
      <c r="I6" s="262"/>
      <c r="J6" s="8" t="s">
        <v>85</v>
      </c>
      <c r="K6" s="7"/>
      <c r="L6" s="7"/>
      <c r="M6" s="34"/>
      <c r="N6" s="7"/>
      <c r="O6" s="156" t="s">
        <v>569</v>
      </c>
      <c r="P6" s="156"/>
      <c r="Q6" s="156"/>
      <c r="R6" s="12"/>
      <c r="S6" s="176"/>
    </row>
    <row r="7" spans="1:19" ht="8.25" customHeight="1">
      <c r="A7" s="6"/>
      <c r="B7" s="43"/>
      <c r="C7" s="43"/>
      <c r="D7" s="43"/>
      <c r="E7" s="7"/>
      <c r="F7" s="42"/>
      <c r="G7" s="51"/>
      <c r="H7" s="52"/>
      <c r="I7" s="8"/>
      <c r="J7" s="7"/>
      <c r="K7" s="7"/>
      <c r="L7" s="7"/>
      <c r="M7" s="34"/>
      <c r="N7" s="8"/>
      <c r="O7" s="7"/>
      <c r="P7" s="7"/>
      <c r="Q7" s="7"/>
      <c r="R7" s="12"/>
      <c r="S7" s="176"/>
    </row>
    <row r="8" spans="1:19" ht="18" customHeight="1">
      <c r="A8" s="6"/>
      <c r="B8" s="44" t="s">
        <v>516</v>
      </c>
      <c r="C8" s="43"/>
      <c r="D8" s="43"/>
      <c r="E8" s="7" t="s">
        <v>86</v>
      </c>
      <c r="F8" s="42"/>
      <c r="G8" s="922" t="s">
        <v>571</v>
      </c>
      <c r="H8" s="261"/>
      <c r="I8" s="260"/>
      <c r="J8" s="260"/>
      <c r="K8" s="260"/>
      <c r="L8" s="260"/>
      <c r="M8" s="159"/>
      <c r="N8" s="156"/>
      <c r="O8" s="156"/>
      <c r="P8" s="156"/>
      <c r="Q8" s="156"/>
      <c r="R8" s="12"/>
      <c r="S8" s="176"/>
    </row>
    <row r="9" spans="1:19" ht="18" customHeight="1">
      <c r="A9" s="6"/>
      <c r="B9" s="43"/>
      <c r="C9" s="43"/>
      <c r="D9" s="43"/>
      <c r="E9" s="7" t="s">
        <v>87</v>
      </c>
      <c r="F9" s="42"/>
      <c r="G9" s="922" t="s">
        <v>572</v>
      </c>
      <c r="H9" s="261"/>
      <c r="I9" s="260"/>
      <c r="J9" s="260"/>
      <c r="K9" s="260"/>
      <c r="L9" s="260"/>
      <c r="M9" s="159"/>
      <c r="N9" s="156"/>
      <c r="O9" s="156"/>
      <c r="P9" s="156"/>
      <c r="Q9" s="156"/>
      <c r="R9" s="12"/>
      <c r="S9" s="176"/>
    </row>
    <row r="10" spans="1:19" ht="18" customHeight="1">
      <c r="A10" s="6"/>
      <c r="B10" s="43"/>
      <c r="C10" s="43"/>
      <c r="D10" s="43"/>
      <c r="E10" s="7" t="s">
        <v>88</v>
      </c>
      <c r="F10" s="42"/>
      <c r="G10" s="922" t="s">
        <v>572</v>
      </c>
      <c r="H10" s="261"/>
      <c r="I10" s="260"/>
      <c r="J10" s="260"/>
      <c r="K10" s="260"/>
      <c r="L10" s="260"/>
      <c r="M10" s="159"/>
      <c r="N10" s="156"/>
      <c r="O10" s="156"/>
      <c r="P10" s="156"/>
      <c r="Q10" s="156"/>
      <c r="R10" s="12"/>
      <c r="S10" s="176"/>
    </row>
    <row r="11" spans="1:19" ht="18" customHeight="1">
      <c r="A11" s="6"/>
      <c r="B11" s="43"/>
      <c r="C11" s="43"/>
      <c r="D11" s="43"/>
      <c r="E11" s="7"/>
      <c r="F11" s="42"/>
      <c r="G11" s="51"/>
      <c r="H11" s="52"/>
      <c r="I11" s="8"/>
      <c r="J11" s="7"/>
      <c r="K11" s="7"/>
      <c r="L11" s="7"/>
      <c r="M11" s="34"/>
      <c r="N11" s="8"/>
      <c r="O11" s="7"/>
      <c r="P11" s="7"/>
      <c r="Q11" s="7"/>
      <c r="R11" s="12"/>
      <c r="S11" s="176"/>
    </row>
    <row r="12" spans="1:19" ht="18" customHeight="1">
      <c r="A12" s="6"/>
      <c r="B12" s="44" t="s">
        <v>89</v>
      </c>
      <c r="C12" s="43"/>
      <c r="D12" s="622" t="s">
        <v>610</v>
      </c>
      <c r="E12" s="260"/>
      <c r="F12" s="157"/>
      <c r="G12" s="158"/>
      <c r="H12" s="8" t="s">
        <v>90</v>
      </c>
      <c r="I12" s="8"/>
      <c r="J12" s="260"/>
      <c r="K12" s="260"/>
      <c r="L12" s="260"/>
      <c r="M12" s="159"/>
      <c r="N12" s="156"/>
      <c r="O12" s="34" t="s">
        <v>91</v>
      </c>
      <c r="P12" s="934"/>
      <c r="Q12" s="156"/>
      <c r="R12" s="12"/>
      <c r="S12" s="176"/>
    </row>
    <row r="13" spans="1:19" ht="13.5" thickBot="1">
      <c r="A13" s="45"/>
      <c r="B13" s="46"/>
      <c r="C13" s="46"/>
      <c r="D13" s="46"/>
      <c r="E13" s="46"/>
      <c r="F13" s="46"/>
      <c r="G13" s="46"/>
      <c r="H13" s="46"/>
      <c r="I13" s="46"/>
      <c r="J13" s="46"/>
      <c r="K13" s="46"/>
      <c r="L13" s="46"/>
      <c r="M13" s="46"/>
      <c r="N13" s="46"/>
      <c r="O13" s="46"/>
      <c r="P13" s="46"/>
      <c r="Q13" s="46"/>
      <c r="R13" s="53"/>
      <c r="S13" s="176"/>
    </row>
    <row r="14" spans="1:19" ht="6.75" customHeight="1" thickTop="1">
      <c r="A14" s="6"/>
      <c r="B14" s="7"/>
      <c r="C14" s="7"/>
      <c r="D14" s="7"/>
      <c r="E14" s="7"/>
      <c r="F14" s="7"/>
      <c r="G14" s="7"/>
      <c r="H14" s="7"/>
      <c r="I14" s="7"/>
      <c r="J14" s="7"/>
      <c r="K14" s="7"/>
      <c r="L14" s="7"/>
      <c r="M14" s="7"/>
      <c r="N14" s="7"/>
      <c r="O14" s="7"/>
      <c r="P14" s="7"/>
      <c r="Q14" s="7"/>
      <c r="R14" s="12"/>
      <c r="S14" s="176"/>
    </row>
    <row r="15" spans="1:19" ht="17.25" customHeight="1">
      <c r="A15" s="47" t="s">
        <v>529</v>
      </c>
      <c r="B15" s="7"/>
      <c r="C15" s="7"/>
      <c r="D15" s="7"/>
      <c r="E15" s="7"/>
      <c r="F15" s="7"/>
      <c r="G15" s="7"/>
      <c r="H15" s="7"/>
      <c r="I15" s="7"/>
      <c r="J15" s="7"/>
      <c r="K15" s="7"/>
      <c r="L15" s="7"/>
      <c r="M15" s="7"/>
      <c r="N15" s="7"/>
      <c r="O15" s="7"/>
      <c r="P15" s="7"/>
      <c r="Q15" s="7"/>
      <c r="R15" s="12"/>
      <c r="S15" s="176"/>
    </row>
    <row r="16" spans="1:19" ht="6.75" customHeight="1">
      <c r="A16" s="6"/>
      <c r="B16" s="7"/>
      <c r="C16" s="7"/>
      <c r="D16" s="7"/>
      <c r="E16" s="7"/>
      <c r="F16" s="7"/>
      <c r="G16" s="7"/>
      <c r="H16" s="7"/>
      <c r="I16" s="7"/>
      <c r="J16" s="7"/>
      <c r="K16" s="7"/>
      <c r="L16" s="7"/>
      <c r="M16" s="7"/>
      <c r="N16" s="7"/>
      <c r="O16" s="7"/>
      <c r="P16" s="7"/>
      <c r="Q16" s="7"/>
      <c r="R16" s="12"/>
      <c r="S16" s="176"/>
    </row>
    <row r="17" spans="1:19" ht="13.5" customHeight="1">
      <c r="A17" s="345" t="s">
        <v>530</v>
      </c>
      <c r="B17" s="7"/>
      <c r="C17" s="7"/>
      <c r="D17" s="7"/>
      <c r="E17" s="7"/>
      <c r="F17" s="7"/>
      <c r="G17" s="7"/>
      <c r="H17" s="7"/>
      <c r="I17" s="7"/>
      <c r="J17" s="7"/>
      <c r="K17" s="7"/>
      <c r="L17" s="7"/>
      <c r="M17" s="7"/>
      <c r="N17" s="7"/>
      <c r="O17" s="7"/>
      <c r="P17" s="7"/>
      <c r="Q17" s="7"/>
      <c r="R17" s="12"/>
      <c r="S17" s="176"/>
    </row>
    <row r="18" spans="1:19" ht="13.5" customHeight="1">
      <c r="A18" s="48" t="s">
        <v>531</v>
      </c>
      <c r="B18" s="7"/>
      <c r="C18" s="7"/>
      <c r="D18" s="7"/>
      <c r="E18" s="7"/>
      <c r="F18" s="7"/>
      <c r="G18" s="7"/>
      <c r="H18" s="7"/>
      <c r="I18" s="7"/>
      <c r="J18" s="7"/>
      <c r="K18" s="7"/>
      <c r="L18" s="7"/>
      <c r="M18" s="7"/>
      <c r="N18" s="7"/>
      <c r="O18" s="7"/>
      <c r="P18" s="7"/>
      <c r="Q18" s="7"/>
      <c r="R18" s="12"/>
      <c r="S18" s="176"/>
    </row>
    <row r="19" spans="1:19" ht="26.25" customHeight="1">
      <c r="A19" s="160" t="s">
        <v>573</v>
      </c>
      <c r="B19" s="156"/>
      <c r="C19" s="156"/>
      <c r="D19" s="156"/>
      <c r="E19" s="156"/>
      <c r="F19" s="156"/>
      <c r="G19" s="156"/>
      <c r="H19" s="156"/>
      <c r="I19" s="156"/>
      <c r="J19" s="156"/>
      <c r="K19" s="156"/>
      <c r="L19" s="156"/>
      <c r="M19" s="156"/>
      <c r="N19" s="156"/>
      <c r="O19" s="156"/>
      <c r="P19" s="156"/>
      <c r="Q19" s="156"/>
      <c r="R19" s="161"/>
      <c r="S19" s="176"/>
    </row>
    <row r="20" spans="1:19" ht="19.5" customHeight="1">
      <c r="A20" s="160" t="s">
        <v>574</v>
      </c>
      <c r="B20" s="156"/>
      <c r="C20" s="156"/>
      <c r="D20" s="156"/>
      <c r="E20" s="156"/>
      <c r="F20" s="156"/>
      <c r="G20" s="156"/>
      <c r="H20" s="156"/>
      <c r="I20" s="156"/>
      <c r="J20" s="156"/>
      <c r="K20" s="156"/>
      <c r="L20" s="156"/>
      <c r="M20" s="156"/>
      <c r="N20" s="156"/>
      <c r="O20" s="156"/>
      <c r="P20" s="156"/>
      <c r="Q20" s="156"/>
      <c r="R20" s="161"/>
      <c r="S20" s="176"/>
    </row>
    <row r="21" spans="1:19" ht="19.5" customHeight="1">
      <c r="A21" s="935" t="s">
        <v>576</v>
      </c>
      <c r="B21" s="935"/>
      <c r="C21" s="935"/>
      <c r="D21" s="935"/>
      <c r="E21" s="935"/>
      <c r="F21" s="935"/>
      <c r="G21" s="935"/>
      <c r="H21" s="935"/>
      <c r="I21" s="935"/>
      <c r="J21" s="935"/>
      <c r="K21" s="935"/>
      <c r="L21" s="935"/>
      <c r="M21" s="935"/>
      <c r="N21" s="935"/>
      <c r="O21" s="935"/>
      <c r="P21" s="935"/>
      <c r="Q21" s="442"/>
      <c r="R21" s="936"/>
      <c r="S21" s="176"/>
    </row>
    <row r="22" spans="1:19" ht="19.5" customHeight="1">
      <c r="A22" s="160" t="s">
        <v>575</v>
      </c>
      <c r="B22" s="156"/>
      <c r="C22" s="156"/>
      <c r="D22" s="156"/>
      <c r="E22" s="156"/>
      <c r="F22" s="156"/>
      <c r="G22" s="156"/>
      <c r="H22" s="156"/>
      <c r="I22" s="156"/>
      <c r="J22" s="156"/>
      <c r="K22" s="156"/>
      <c r="L22" s="156"/>
      <c r="M22" s="156"/>
      <c r="N22" s="156"/>
      <c r="O22" s="156"/>
      <c r="P22" s="156"/>
      <c r="Q22" s="156"/>
      <c r="R22" s="161"/>
      <c r="S22" s="176"/>
    </row>
    <row r="23" spans="1:19" ht="19.5" customHeight="1">
      <c r="A23" s="160" t="s">
        <v>577</v>
      </c>
      <c r="B23" s="156"/>
      <c r="C23" s="156"/>
      <c r="D23" s="156"/>
      <c r="E23" s="156"/>
      <c r="F23" s="156"/>
      <c r="G23" s="156"/>
      <c r="H23" s="156"/>
      <c r="I23" s="156"/>
      <c r="J23" s="156"/>
      <c r="K23" s="156"/>
      <c r="L23" s="156"/>
      <c r="M23" s="156"/>
      <c r="N23" s="156"/>
      <c r="O23" s="156"/>
      <c r="P23" s="156"/>
      <c r="Q23" s="156"/>
      <c r="R23" s="161"/>
      <c r="S23" s="176"/>
    </row>
    <row r="24" spans="1:19" ht="19.5" customHeight="1">
      <c r="A24" s="160" t="s">
        <v>578</v>
      </c>
      <c r="B24" s="156"/>
      <c r="C24" s="156"/>
      <c r="D24" s="156"/>
      <c r="E24" s="156"/>
      <c r="F24" s="156"/>
      <c r="G24" s="156"/>
      <c r="H24" s="156"/>
      <c r="I24" s="156"/>
      <c r="J24" s="156"/>
      <c r="K24" s="156"/>
      <c r="L24" s="156"/>
      <c r="M24" s="156"/>
      <c r="N24" s="156"/>
      <c r="O24" s="156"/>
      <c r="P24" s="156"/>
      <c r="Q24" s="156"/>
      <c r="R24" s="161"/>
      <c r="S24" s="176"/>
    </row>
    <row r="25" spans="1:19" ht="19.5" customHeight="1">
      <c r="A25" s="160" t="s">
        <v>579</v>
      </c>
      <c r="B25" s="156"/>
      <c r="C25" s="156"/>
      <c r="D25" s="156"/>
      <c r="E25" s="156"/>
      <c r="F25" s="156"/>
      <c r="G25" s="156"/>
      <c r="H25" s="156"/>
      <c r="I25" s="156"/>
      <c r="J25" s="156"/>
      <c r="K25" s="156"/>
      <c r="L25" s="156"/>
      <c r="M25" s="156"/>
      <c r="N25" s="156"/>
      <c r="O25" s="156"/>
      <c r="P25" s="156"/>
      <c r="Q25" s="156"/>
      <c r="R25" s="161"/>
      <c r="S25" s="176"/>
    </row>
    <row r="26" spans="1:19" ht="19.5" customHeight="1">
      <c r="A26" s="160" t="s">
        <v>580</v>
      </c>
      <c r="B26" s="156"/>
      <c r="C26" s="156"/>
      <c r="D26" s="156"/>
      <c r="E26" s="156"/>
      <c r="F26" s="156"/>
      <c r="G26" s="156"/>
      <c r="H26" s="156"/>
      <c r="I26" s="156"/>
      <c r="J26" s="156"/>
      <c r="K26" s="156"/>
      <c r="L26" s="156"/>
      <c r="M26" s="156"/>
      <c r="N26" s="156"/>
      <c r="O26" s="156"/>
      <c r="P26" s="156"/>
      <c r="Q26" s="156"/>
      <c r="R26" s="161"/>
      <c r="S26" s="176"/>
    </row>
    <row r="27" spans="1:19" ht="19.5" customHeight="1">
      <c r="A27" s="160" t="s">
        <v>581</v>
      </c>
      <c r="B27" s="156"/>
      <c r="C27" s="156"/>
      <c r="D27" s="156"/>
      <c r="E27" s="156"/>
      <c r="F27" s="156"/>
      <c r="G27" s="156"/>
      <c r="H27" s="156"/>
      <c r="I27" s="156"/>
      <c r="J27" s="156"/>
      <c r="K27" s="156"/>
      <c r="L27" s="156"/>
      <c r="M27" s="156"/>
      <c r="N27" s="156"/>
      <c r="O27" s="156"/>
      <c r="P27" s="156"/>
      <c r="Q27" s="156"/>
      <c r="R27" s="161"/>
      <c r="S27" s="176"/>
    </row>
    <row r="28" spans="1:19" ht="19.5" customHeight="1">
      <c r="A28" s="160" t="s">
        <v>582</v>
      </c>
      <c r="B28" s="156"/>
      <c r="C28" s="156"/>
      <c r="D28" s="156"/>
      <c r="E28" s="156"/>
      <c r="F28" s="156"/>
      <c r="G28" s="156"/>
      <c r="H28" s="156"/>
      <c r="I28" s="156"/>
      <c r="J28" s="156"/>
      <c r="K28" s="156"/>
      <c r="L28" s="156"/>
      <c r="M28" s="156"/>
      <c r="N28" s="156"/>
      <c r="O28" s="156"/>
      <c r="P28" s="156"/>
      <c r="Q28" s="156"/>
      <c r="R28" s="161"/>
      <c r="S28" s="176"/>
    </row>
    <row r="29" spans="1:19" ht="19.5" customHeight="1">
      <c r="A29" s="160" t="s">
        <v>583</v>
      </c>
      <c r="B29" s="156"/>
      <c r="C29" s="156"/>
      <c r="D29" s="156"/>
      <c r="E29" s="156"/>
      <c r="F29" s="156"/>
      <c r="G29" s="156"/>
      <c r="H29" s="156"/>
      <c r="I29" s="156"/>
      <c r="J29" s="156"/>
      <c r="K29" s="156"/>
      <c r="L29" s="156"/>
      <c r="M29" s="156"/>
      <c r="N29" s="156"/>
      <c r="O29" s="156"/>
      <c r="P29" s="156"/>
      <c r="Q29" s="156"/>
      <c r="R29" s="161"/>
      <c r="S29" s="176"/>
    </row>
    <row r="30" spans="1:19" ht="19.5" customHeight="1">
      <c r="A30" s="160" t="s">
        <v>584</v>
      </c>
      <c r="B30" s="156"/>
      <c r="C30" s="156"/>
      <c r="D30" s="156"/>
      <c r="E30" s="156"/>
      <c r="F30" s="156"/>
      <c r="G30" s="156"/>
      <c r="H30" s="156"/>
      <c r="I30" s="156"/>
      <c r="J30" s="156"/>
      <c r="K30" s="156"/>
      <c r="L30" s="156"/>
      <c r="M30" s="156"/>
      <c r="N30" s="156"/>
      <c r="O30" s="156"/>
      <c r="P30" s="156"/>
      <c r="Q30" s="156"/>
      <c r="R30" s="161"/>
      <c r="S30" s="176"/>
    </row>
    <row r="31" spans="1:19" ht="19.5" customHeight="1">
      <c r="A31" s="160" t="s">
        <v>585</v>
      </c>
      <c r="B31" s="156"/>
      <c r="C31" s="156"/>
      <c r="D31" s="156"/>
      <c r="E31" s="156"/>
      <c r="F31" s="156"/>
      <c r="G31" s="156"/>
      <c r="H31" s="156"/>
      <c r="I31" s="156"/>
      <c r="J31" s="156"/>
      <c r="K31" s="156"/>
      <c r="L31" s="156"/>
      <c r="M31" s="156"/>
      <c r="N31" s="156"/>
      <c r="O31" s="156"/>
      <c r="P31" s="156"/>
      <c r="Q31" s="156"/>
      <c r="R31" s="161"/>
      <c r="S31" s="176"/>
    </row>
    <row r="32" spans="1:19" ht="19.5" customHeight="1">
      <c r="A32" s="160" t="s">
        <v>586</v>
      </c>
      <c r="B32" s="156"/>
      <c r="C32" s="156"/>
      <c r="D32" s="156"/>
      <c r="E32" s="156"/>
      <c r="F32" s="156"/>
      <c r="G32" s="156"/>
      <c r="H32" s="156"/>
      <c r="I32" s="156"/>
      <c r="J32" s="156"/>
      <c r="K32" s="156"/>
      <c r="L32" s="156"/>
      <c r="M32" s="156"/>
      <c r="N32" s="156"/>
      <c r="O32" s="156"/>
      <c r="P32" s="156"/>
      <c r="Q32" s="156"/>
      <c r="R32" s="161"/>
      <c r="S32" s="176"/>
    </row>
    <row r="33" spans="1:19" ht="19.5" customHeight="1">
      <c r="A33" s="160" t="s">
        <v>587</v>
      </c>
      <c r="B33" s="156"/>
      <c r="C33" s="156"/>
      <c r="D33" s="156"/>
      <c r="E33" s="156"/>
      <c r="F33" s="156"/>
      <c r="G33" s="156"/>
      <c r="H33" s="156"/>
      <c r="I33" s="156"/>
      <c r="J33" s="156"/>
      <c r="K33" s="156"/>
      <c r="L33" s="156"/>
      <c r="M33" s="156"/>
      <c r="N33" s="156"/>
      <c r="O33" s="156"/>
      <c r="P33" s="156"/>
      <c r="Q33" s="156"/>
      <c r="R33" s="161"/>
      <c r="S33" s="176"/>
    </row>
    <row r="34" spans="1:19" ht="19.5" customHeight="1">
      <c r="A34" s="160" t="s">
        <v>588</v>
      </c>
      <c r="B34" s="156"/>
      <c r="C34" s="156"/>
      <c r="D34" s="156"/>
      <c r="E34" s="156"/>
      <c r="F34" s="156"/>
      <c r="G34" s="156"/>
      <c r="H34" s="156"/>
      <c r="I34" s="156"/>
      <c r="J34" s="156"/>
      <c r="K34" s="156"/>
      <c r="L34" s="156"/>
      <c r="M34" s="156"/>
      <c r="N34" s="156"/>
      <c r="O34" s="156"/>
      <c r="P34" s="156"/>
      <c r="Q34" s="156"/>
      <c r="R34" s="161"/>
      <c r="S34" s="176"/>
    </row>
    <row r="35" spans="1:19" ht="19.5" customHeight="1" thickBot="1">
      <c r="A35" s="162" t="s">
        <v>589</v>
      </c>
      <c r="B35" s="155"/>
      <c r="C35" s="155"/>
      <c r="D35" s="155"/>
      <c r="E35" s="155"/>
      <c r="F35" s="155"/>
      <c r="G35" s="155"/>
      <c r="H35" s="155"/>
      <c r="I35" s="155"/>
      <c r="J35" s="155"/>
      <c r="K35" s="155"/>
      <c r="L35" s="155"/>
      <c r="M35" s="155"/>
      <c r="N35" s="155"/>
      <c r="O35" s="155"/>
      <c r="P35" s="155"/>
      <c r="Q35" s="155"/>
      <c r="R35" s="163"/>
      <c r="S35" s="176"/>
    </row>
    <row r="36" spans="1:19" ht="6.75" customHeight="1">
      <c r="A36" s="6"/>
      <c r="B36" s="7"/>
      <c r="C36" s="7"/>
      <c r="D36" s="7"/>
      <c r="E36" s="7"/>
      <c r="F36" s="7"/>
      <c r="G36" s="7"/>
      <c r="H36" s="7"/>
      <c r="I36" s="7"/>
      <c r="J36" s="7"/>
      <c r="K36" s="7"/>
      <c r="L36" s="7"/>
      <c r="M36" s="7"/>
      <c r="N36" s="7"/>
      <c r="O36" s="7"/>
      <c r="P36" s="7"/>
      <c r="Q36" s="7"/>
      <c r="R36" s="12"/>
      <c r="S36" s="176"/>
    </row>
    <row r="37" spans="1:19" ht="17.25" customHeight="1">
      <c r="A37" s="47" t="s">
        <v>519</v>
      </c>
      <c r="B37" s="7"/>
      <c r="C37" s="7"/>
      <c r="D37" s="7"/>
      <c r="E37" s="7"/>
      <c r="F37" s="7"/>
      <c r="G37" s="7"/>
      <c r="H37" s="7"/>
      <c r="I37" s="7"/>
      <c r="J37" s="7"/>
      <c r="K37" s="7"/>
      <c r="L37" s="7"/>
      <c r="M37" s="7"/>
      <c r="N37" s="7"/>
      <c r="O37" s="7"/>
      <c r="P37" s="7"/>
      <c r="Q37" s="7"/>
      <c r="R37" s="12"/>
      <c r="S37" s="176"/>
    </row>
    <row r="38" spans="1:19" ht="6.75" customHeight="1">
      <c r="A38" s="6"/>
      <c r="B38" s="7"/>
      <c r="C38" s="7"/>
      <c r="D38" s="7"/>
      <c r="E38" s="7"/>
      <c r="F38" s="7"/>
      <c r="G38" s="7"/>
      <c r="H38" s="7"/>
      <c r="I38" s="7"/>
      <c r="J38" s="7"/>
      <c r="K38" s="7"/>
      <c r="L38" s="7"/>
      <c r="M38" s="7"/>
      <c r="N38" s="7"/>
      <c r="O38" s="7"/>
      <c r="P38" s="7"/>
      <c r="Q38" s="7"/>
      <c r="R38" s="12"/>
      <c r="S38" s="176"/>
    </row>
    <row r="39" spans="1:19" ht="13.5" customHeight="1">
      <c r="A39" s="345" t="s">
        <v>520</v>
      </c>
      <c r="B39" s="7"/>
      <c r="C39" s="7"/>
      <c r="D39" s="7"/>
      <c r="E39" s="7"/>
      <c r="F39" s="7"/>
      <c r="G39" s="7"/>
      <c r="H39" s="7"/>
      <c r="I39" s="7"/>
      <c r="J39" s="7"/>
      <c r="K39" s="7"/>
      <c r="L39" s="7"/>
      <c r="M39" s="7"/>
      <c r="N39" s="7"/>
      <c r="O39" s="7"/>
      <c r="P39" s="7"/>
      <c r="Q39" s="7"/>
      <c r="R39" s="12"/>
      <c r="S39" s="176"/>
    </row>
    <row r="40" spans="1:19" ht="13.5" customHeight="1">
      <c r="A40" s="48" t="s">
        <v>521</v>
      </c>
      <c r="B40" s="7"/>
      <c r="C40" s="7"/>
      <c r="D40" s="7"/>
      <c r="E40" s="7"/>
      <c r="F40" s="7"/>
      <c r="G40" s="7"/>
      <c r="H40" s="7"/>
      <c r="I40" s="7"/>
      <c r="J40" s="7"/>
      <c r="K40" s="7"/>
      <c r="L40" s="7"/>
      <c r="M40" s="7"/>
      <c r="N40" s="7"/>
      <c r="O40" s="7"/>
      <c r="P40" s="7"/>
      <c r="Q40" s="7"/>
      <c r="R40" s="12"/>
      <c r="S40" s="176"/>
    </row>
    <row r="41" spans="1:19" ht="24" customHeight="1">
      <c r="A41" s="160" t="s">
        <v>590</v>
      </c>
      <c r="B41" s="156"/>
      <c r="C41" s="156"/>
      <c r="D41" s="156"/>
      <c r="E41" s="156"/>
      <c r="F41" s="156"/>
      <c r="G41" s="156"/>
      <c r="H41" s="156"/>
      <c r="I41" s="156"/>
      <c r="J41" s="156"/>
      <c r="K41" s="156"/>
      <c r="L41" s="156"/>
      <c r="M41" s="156"/>
      <c r="N41" s="156"/>
      <c r="O41" s="156"/>
      <c r="P41" s="156"/>
      <c r="Q41" s="156"/>
      <c r="R41" s="161"/>
      <c r="S41" s="176"/>
    </row>
    <row r="42" spans="1:19" ht="19.5" customHeight="1">
      <c r="A42" s="160" t="s">
        <v>591</v>
      </c>
      <c r="B42" s="156"/>
      <c r="C42" s="156"/>
      <c r="D42" s="156"/>
      <c r="E42" s="156"/>
      <c r="F42" s="156"/>
      <c r="G42" s="156"/>
      <c r="H42" s="156"/>
      <c r="I42" s="156"/>
      <c r="J42" s="156"/>
      <c r="K42" s="156"/>
      <c r="L42" s="156"/>
      <c r="M42" s="156"/>
      <c r="N42" s="156"/>
      <c r="O42" s="156"/>
      <c r="P42" s="156"/>
      <c r="Q42" s="156"/>
      <c r="R42" s="161"/>
      <c r="S42" s="176"/>
    </row>
    <row r="43" spans="1:19" ht="19.5" customHeight="1">
      <c r="A43" s="160" t="s">
        <v>592</v>
      </c>
      <c r="B43" s="156"/>
      <c r="C43" s="156"/>
      <c r="D43" s="156"/>
      <c r="E43" s="156"/>
      <c r="F43" s="156"/>
      <c r="G43" s="156"/>
      <c r="H43" s="156"/>
      <c r="I43" s="156"/>
      <c r="J43" s="156"/>
      <c r="K43" s="156"/>
      <c r="L43" s="156"/>
      <c r="M43" s="156"/>
      <c r="N43" s="156"/>
      <c r="O43" s="156"/>
      <c r="P43" s="156"/>
      <c r="Q43" s="156"/>
      <c r="R43" s="161"/>
      <c r="S43" s="176"/>
    </row>
    <row r="44" spans="1:19" ht="19.5" customHeight="1">
      <c r="A44" s="160" t="s">
        <v>593</v>
      </c>
      <c r="B44" s="156"/>
      <c r="C44" s="156"/>
      <c r="D44" s="156"/>
      <c r="E44" s="156"/>
      <c r="F44" s="156"/>
      <c r="G44" s="156"/>
      <c r="H44" s="156"/>
      <c r="I44" s="156"/>
      <c r="J44" s="156"/>
      <c r="K44" s="156"/>
      <c r="L44" s="156"/>
      <c r="M44" s="156"/>
      <c r="N44" s="156"/>
      <c r="O44" s="156"/>
      <c r="P44" s="156"/>
      <c r="Q44" s="156"/>
      <c r="R44" s="161"/>
      <c r="S44" s="176"/>
    </row>
    <row r="45" spans="1:19" ht="19.5" customHeight="1">
      <c r="A45" s="160" t="s">
        <v>49</v>
      </c>
      <c r="B45" s="156"/>
      <c r="C45" s="156"/>
      <c r="D45" s="156"/>
      <c r="E45" s="156"/>
      <c r="F45" s="156"/>
      <c r="G45" s="156"/>
      <c r="H45" s="156"/>
      <c r="I45" s="156"/>
      <c r="J45" s="156"/>
      <c r="K45" s="156"/>
      <c r="L45" s="156"/>
      <c r="M45" s="156"/>
      <c r="N45" s="156"/>
      <c r="O45" s="156"/>
      <c r="P45" s="156"/>
      <c r="Q45" s="156"/>
      <c r="R45" s="161"/>
      <c r="S45" s="176"/>
    </row>
    <row r="46" spans="1:19" ht="19.5" customHeight="1">
      <c r="A46" s="160" t="s">
        <v>594</v>
      </c>
      <c r="B46" s="156"/>
      <c r="C46" s="156"/>
      <c r="D46" s="156"/>
      <c r="E46" s="156"/>
      <c r="F46" s="156"/>
      <c r="G46" s="156"/>
      <c r="H46" s="156"/>
      <c r="I46" s="156"/>
      <c r="J46" s="156"/>
      <c r="K46" s="156"/>
      <c r="L46" s="156"/>
      <c r="M46" s="156"/>
      <c r="N46" s="156"/>
      <c r="O46" s="156"/>
      <c r="P46" s="156"/>
      <c r="Q46" s="156"/>
      <c r="R46" s="161"/>
      <c r="S46" s="176"/>
    </row>
    <row r="47" spans="1:19" ht="19.5" customHeight="1">
      <c r="A47" s="160" t="s">
        <v>15</v>
      </c>
      <c r="B47" s="156"/>
      <c r="C47" s="156"/>
      <c r="D47" s="156"/>
      <c r="E47" s="156"/>
      <c r="F47" s="156"/>
      <c r="G47" s="156"/>
      <c r="H47" s="156"/>
      <c r="I47" s="156"/>
      <c r="J47" s="156"/>
      <c r="K47" s="156"/>
      <c r="L47" s="156"/>
      <c r="M47" s="156"/>
      <c r="N47" s="156"/>
      <c r="O47" s="156"/>
      <c r="P47" s="156"/>
      <c r="Q47" s="156"/>
      <c r="R47" s="161"/>
      <c r="S47" s="176"/>
    </row>
    <row r="48" spans="1:19" ht="19.5" customHeight="1">
      <c r="A48" s="160" t="s">
        <v>595</v>
      </c>
      <c r="B48" s="156"/>
      <c r="C48" s="156"/>
      <c r="D48" s="156"/>
      <c r="E48" s="156"/>
      <c r="F48" s="156"/>
      <c r="G48" s="156"/>
      <c r="H48" s="156"/>
      <c r="I48" s="156"/>
      <c r="J48" s="156"/>
      <c r="K48" s="156"/>
      <c r="L48" s="156"/>
      <c r="M48" s="156"/>
      <c r="N48" s="156"/>
      <c r="O48" s="156"/>
      <c r="P48" s="156"/>
      <c r="Q48" s="156"/>
      <c r="R48" s="161"/>
      <c r="S48" s="176"/>
    </row>
    <row r="49" spans="1:19" ht="19.5" customHeight="1">
      <c r="A49" s="160"/>
      <c r="B49" s="156"/>
      <c r="C49" s="156"/>
      <c r="D49" s="156"/>
      <c r="E49" s="156"/>
      <c r="F49" s="156"/>
      <c r="G49" s="156"/>
      <c r="H49" s="156"/>
      <c r="I49" s="156"/>
      <c r="J49" s="156"/>
      <c r="K49" s="156"/>
      <c r="L49" s="156"/>
      <c r="M49" s="156"/>
      <c r="N49" s="156"/>
      <c r="O49" s="156"/>
      <c r="P49" s="156"/>
      <c r="Q49" s="156"/>
      <c r="R49" s="161"/>
      <c r="S49" s="176"/>
    </row>
    <row r="50" spans="1:19" ht="19.5" customHeight="1">
      <c r="A50" s="160"/>
      <c r="B50" s="156"/>
      <c r="C50" s="156"/>
      <c r="D50" s="156"/>
      <c r="E50" s="156"/>
      <c r="F50" s="156"/>
      <c r="G50" s="156"/>
      <c r="H50" s="156"/>
      <c r="I50" s="156"/>
      <c r="J50" s="156"/>
      <c r="K50" s="156"/>
      <c r="L50" s="156"/>
      <c r="M50" s="156"/>
      <c r="N50" s="156"/>
      <c r="O50" s="156"/>
      <c r="P50" s="156"/>
      <c r="Q50" s="156"/>
      <c r="R50" s="161"/>
      <c r="S50" s="176"/>
    </row>
    <row r="51" spans="1:19" ht="19.5" customHeight="1">
      <c r="A51" s="160"/>
      <c r="B51" s="156"/>
      <c r="C51" s="156"/>
      <c r="D51" s="156"/>
      <c r="E51" s="156"/>
      <c r="F51" s="156"/>
      <c r="G51" s="156"/>
      <c r="H51" s="156"/>
      <c r="I51" s="156"/>
      <c r="J51" s="156"/>
      <c r="K51" s="156"/>
      <c r="L51" s="156"/>
      <c r="M51" s="156"/>
      <c r="N51" s="156"/>
      <c r="O51" s="156"/>
      <c r="P51" s="156"/>
      <c r="Q51" s="156"/>
      <c r="R51" s="161"/>
      <c r="S51" s="176"/>
    </row>
    <row r="52" spans="1:19" ht="19.5" customHeight="1">
      <c r="A52" s="160"/>
      <c r="B52" s="156"/>
      <c r="C52" s="156"/>
      <c r="D52" s="156"/>
      <c r="E52" s="156"/>
      <c r="F52" s="156"/>
      <c r="G52" s="156"/>
      <c r="H52" s="156"/>
      <c r="I52" s="156"/>
      <c r="J52" s="156"/>
      <c r="K52" s="156"/>
      <c r="L52" s="156"/>
      <c r="M52" s="156"/>
      <c r="N52" s="156"/>
      <c r="O52" s="156"/>
      <c r="P52" s="156"/>
      <c r="Q52" s="156"/>
      <c r="R52" s="161"/>
      <c r="S52" s="176"/>
    </row>
    <row r="53" spans="1:19" ht="19.5" customHeight="1">
      <c r="A53" s="160"/>
      <c r="B53" s="156"/>
      <c r="C53" s="156"/>
      <c r="D53" s="156"/>
      <c r="E53" s="156"/>
      <c r="F53" s="156"/>
      <c r="G53" s="156"/>
      <c r="H53" s="156"/>
      <c r="I53" s="156"/>
      <c r="J53" s="156"/>
      <c r="K53" s="156"/>
      <c r="L53" s="156"/>
      <c r="M53" s="156"/>
      <c r="N53" s="156"/>
      <c r="O53" s="156"/>
      <c r="P53" s="156"/>
      <c r="Q53" s="156"/>
      <c r="R53" s="161"/>
      <c r="S53" s="176"/>
    </row>
    <row r="54" spans="1:19" ht="19.5" customHeight="1">
      <c r="A54" s="160"/>
      <c r="B54" s="156"/>
      <c r="C54" s="156"/>
      <c r="D54" s="156"/>
      <c r="E54" s="156"/>
      <c r="F54" s="156"/>
      <c r="G54" s="156"/>
      <c r="H54" s="156"/>
      <c r="I54" s="156"/>
      <c r="J54" s="156"/>
      <c r="K54" s="156"/>
      <c r="L54" s="156"/>
      <c r="M54" s="156"/>
      <c r="N54" s="156"/>
      <c r="O54" s="156"/>
      <c r="P54" s="156"/>
      <c r="Q54" s="156"/>
      <c r="R54" s="161"/>
      <c r="S54" s="176"/>
    </row>
    <row r="55" spans="1:19" ht="19.5" customHeight="1">
      <c r="A55" s="160"/>
      <c r="B55" s="156"/>
      <c r="C55" s="156"/>
      <c r="D55" s="156"/>
      <c r="E55" s="156"/>
      <c r="F55" s="156"/>
      <c r="G55" s="156"/>
      <c r="H55" s="156"/>
      <c r="I55" s="156"/>
      <c r="J55" s="156"/>
      <c r="K55" s="156"/>
      <c r="L55" s="156"/>
      <c r="M55" s="156"/>
      <c r="N55" s="156"/>
      <c r="O55" s="156"/>
      <c r="P55" s="156"/>
      <c r="Q55" s="156"/>
      <c r="R55" s="161"/>
      <c r="S55" s="176"/>
    </row>
    <row r="56" spans="1:19" ht="19.5" customHeight="1">
      <c r="A56" s="160"/>
      <c r="B56" s="156"/>
      <c r="C56" s="156"/>
      <c r="D56" s="156"/>
      <c r="E56" s="156"/>
      <c r="F56" s="156"/>
      <c r="G56" s="156"/>
      <c r="H56" s="156"/>
      <c r="I56" s="156"/>
      <c r="J56" s="156"/>
      <c r="K56" s="156"/>
      <c r="L56" s="156"/>
      <c r="M56" s="156"/>
      <c r="N56" s="156"/>
      <c r="O56" s="156"/>
      <c r="P56" s="156"/>
      <c r="Q56" s="156"/>
      <c r="R56" s="161"/>
      <c r="S56" s="176"/>
    </row>
    <row r="57" spans="1:19" ht="19.5" customHeight="1" thickBot="1">
      <c r="A57" s="164"/>
      <c r="B57" s="165"/>
      <c r="C57" s="165"/>
      <c r="D57" s="165"/>
      <c r="E57" s="165"/>
      <c r="F57" s="165"/>
      <c r="G57" s="165"/>
      <c r="H57" s="165"/>
      <c r="I57" s="165"/>
      <c r="J57" s="165"/>
      <c r="K57" s="165"/>
      <c r="L57" s="165"/>
      <c r="M57" s="165"/>
      <c r="N57" s="165"/>
      <c r="O57" s="165"/>
      <c r="P57" s="165"/>
      <c r="Q57" s="165"/>
      <c r="R57" s="166"/>
      <c r="S57" s="176"/>
    </row>
    <row r="58" spans="1:19" ht="13.5" thickTop="1">
      <c r="A58" s="176"/>
      <c r="B58" s="176"/>
      <c r="C58" s="176"/>
      <c r="D58" s="176"/>
      <c r="E58" s="176"/>
      <c r="F58" s="176"/>
      <c r="G58" s="176"/>
      <c r="H58" s="176"/>
      <c r="I58" s="176"/>
      <c r="J58" s="176"/>
      <c r="K58" s="176"/>
      <c r="L58" s="176"/>
      <c r="M58" s="176"/>
      <c r="N58" s="176"/>
      <c r="O58" s="176"/>
      <c r="P58" s="176"/>
      <c r="Q58" s="176"/>
      <c r="R58" s="176"/>
      <c r="S58" s="176"/>
    </row>
    <row r="59" spans="1:19" ht="12.75">
      <c r="A59" s="176"/>
      <c r="B59" s="176"/>
      <c r="C59" s="176"/>
      <c r="D59" s="176"/>
      <c r="E59" s="176"/>
      <c r="F59" s="176"/>
      <c r="G59" s="176"/>
      <c r="H59" s="176"/>
      <c r="I59" s="176"/>
      <c r="J59" s="176"/>
      <c r="K59" s="176"/>
      <c r="L59" s="176"/>
      <c r="M59" s="176"/>
      <c r="N59" s="176"/>
      <c r="O59" s="176"/>
      <c r="P59" s="176"/>
      <c r="Q59" s="176"/>
      <c r="R59" s="176"/>
      <c r="S59" s="176"/>
    </row>
    <row r="60" spans="1:19" ht="12.75">
      <c r="A60" s="176"/>
      <c r="B60" s="176"/>
      <c r="C60" s="176"/>
      <c r="D60" s="176"/>
      <c r="E60" s="176"/>
      <c r="F60" s="176"/>
      <c r="G60" s="176"/>
      <c r="H60" s="176"/>
      <c r="I60" s="176"/>
      <c r="J60" s="176"/>
      <c r="K60" s="176"/>
      <c r="L60" s="176"/>
      <c r="M60" s="176"/>
      <c r="N60" s="176"/>
      <c r="O60" s="176"/>
      <c r="P60" s="176"/>
      <c r="Q60" s="176"/>
      <c r="R60" s="176"/>
      <c r="S60" s="176"/>
    </row>
    <row r="61" spans="1:19" ht="12.75">
      <c r="A61" s="176"/>
      <c r="B61" s="176"/>
      <c r="C61" s="176"/>
      <c r="D61" s="176"/>
      <c r="E61" s="176"/>
      <c r="F61" s="176"/>
      <c r="G61" s="176"/>
      <c r="H61" s="176"/>
      <c r="I61" s="176"/>
      <c r="J61" s="176"/>
      <c r="K61" s="176"/>
      <c r="L61" s="176"/>
      <c r="M61" s="176"/>
      <c r="N61" s="176"/>
      <c r="O61" s="176"/>
      <c r="P61" s="176"/>
      <c r="Q61" s="176"/>
      <c r="R61" s="176"/>
      <c r="S61" s="176"/>
    </row>
  </sheetData>
  <sheetProtection/>
  <mergeCells count="1">
    <mergeCell ref="G1:I1"/>
  </mergeCells>
  <printOptions horizontalCentered="1"/>
  <pageMargins left="0.3937007874015748" right="0.3937007874015748" top="0.3937007874015748" bottom="0.3937007874015748" header="0" footer="0"/>
  <pageSetup fitToHeight="1" fitToWidth="1" horizontalDpi="600" verticalDpi="600" orientation="portrait" scale="6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57"/>
  <sheetViews>
    <sheetView showGridLines="0" zoomScale="75" zoomScaleNormal="75" workbookViewId="0" topLeftCell="A14">
      <selection activeCell="A36" sqref="A36"/>
    </sheetView>
  </sheetViews>
  <sheetFormatPr defaultColWidth="11.421875" defaultRowHeight="12.75"/>
  <cols>
    <col min="1" max="1" width="8.8515625" style="0" customWidth="1"/>
    <col min="2" max="2" width="7.7109375" style="0" customWidth="1"/>
    <col min="3" max="5" width="8.8515625" style="0" customWidth="1"/>
    <col min="6" max="6" width="3.00390625" style="0" customWidth="1"/>
    <col min="7" max="7" width="8.8515625" style="0" customWidth="1"/>
    <col min="8" max="8" width="3.140625" style="0" customWidth="1"/>
    <col min="10" max="12" width="8.8515625" style="0" customWidth="1"/>
    <col min="13" max="13" width="3.7109375" style="0" customWidth="1"/>
    <col min="14" max="14" width="8.421875" style="0" customWidth="1"/>
    <col min="15" max="15" width="8.140625" style="0" customWidth="1"/>
    <col min="16" max="17" width="8.8515625" style="0" customWidth="1"/>
    <col min="18" max="18" width="2.28125" style="0" customWidth="1"/>
    <col min="19" max="16384" width="8.8515625" style="0" customWidth="1"/>
  </cols>
  <sheetData>
    <row r="1" spans="1:19" ht="17.25" thickBot="1" thickTop="1">
      <c r="A1" s="920" t="s">
        <v>541</v>
      </c>
      <c r="B1" s="177"/>
      <c r="C1" s="173"/>
      <c r="D1" s="173"/>
      <c r="E1" s="183"/>
      <c r="F1" s="176"/>
      <c r="G1" s="184"/>
      <c r="H1" s="176"/>
      <c r="I1" s="964" t="s">
        <v>471</v>
      </c>
      <c r="J1" s="965"/>
      <c r="K1" s="966"/>
      <c r="L1" s="176"/>
      <c r="M1" s="176"/>
      <c r="N1" s="176"/>
      <c r="O1" s="176"/>
      <c r="P1" s="176"/>
      <c r="Q1" s="186" t="s">
        <v>92</v>
      </c>
      <c r="R1" s="176"/>
      <c r="S1" s="176"/>
    </row>
    <row r="2" spans="1:19" ht="14.25" thickBot="1" thickTop="1">
      <c r="A2" s="176"/>
      <c r="B2" s="182"/>
      <c r="C2" s="182"/>
      <c r="D2" s="182"/>
      <c r="E2" s="176"/>
      <c r="F2" s="176"/>
      <c r="G2" s="176"/>
      <c r="H2" s="176"/>
      <c r="I2" s="176"/>
      <c r="J2" s="176"/>
      <c r="K2" s="176"/>
      <c r="L2" s="176"/>
      <c r="M2" s="176"/>
      <c r="N2" s="176"/>
      <c r="O2" s="176"/>
      <c r="P2" s="176"/>
      <c r="Q2" s="176"/>
      <c r="R2" s="176"/>
      <c r="S2" s="176"/>
    </row>
    <row r="3" spans="1:19" ht="9" customHeight="1" thickTop="1">
      <c r="A3" s="3"/>
      <c r="B3" s="4"/>
      <c r="C3" s="4"/>
      <c r="D3" s="4"/>
      <c r="E3" s="4"/>
      <c r="F3" s="4"/>
      <c r="G3" s="4"/>
      <c r="H3" s="4"/>
      <c r="I3" s="4"/>
      <c r="J3" s="4"/>
      <c r="K3" s="4"/>
      <c r="L3" s="4"/>
      <c r="M3" s="4"/>
      <c r="N3" s="4"/>
      <c r="O3" s="4"/>
      <c r="P3" s="4"/>
      <c r="Q3" s="4"/>
      <c r="R3" s="5"/>
      <c r="S3" s="176"/>
    </row>
    <row r="4" spans="1:19" ht="18">
      <c r="A4" s="6"/>
      <c r="B4" s="8"/>
      <c r="C4" s="8"/>
      <c r="D4" s="8"/>
      <c r="E4" s="42" t="s">
        <v>83</v>
      </c>
      <c r="F4" s="8"/>
      <c r="G4" s="8"/>
      <c r="H4" s="49"/>
      <c r="I4" s="8"/>
      <c r="J4" s="7"/>
      <c r="K4" s="8"/>
      <c r="L4" s="8"/>
      <c r="M4" s="8"/>
      <c r="N4" s="7"/>
      <c r="O4" s="8"/>
      <c r="P4" s="8"/>
      <c r="Q4" s="8"/>
      <c r="R4" s="12"/>
      <c r="S4" s="176"/>
    </row>
    <row r="5" spans="1:19" ht="13.5" thickBot="1">
      <c r="A5" s="45"/>
      <c r="B5" s="46"/>
      <c r="C5" s="46"/>
      <c r="D5" s="46"/>
      <c r="E5" s="46"/>
      <c r="F5" s="46"/>
      <c r="G5" s="46"/>
      <c r="H5" s="46"/>
      <c r="I5" s="46"/>
      <c r="J5" s="46"/>
      <c r="K5" s="46"/>
      <c r="L5" s="46"/>
      <c r="M5" s="46"/>
      <c r="N5" s="46"/>
      <c r="O5" s="46"/>
      <c r="P5" s="46"/>
      <c r="Q5" s="46"/>
      <c r="R5" s="53"/>
      <c r="S5" s="176"/>
    </row>
    <row r="6" spans="1:19" ht="6.75" customHeight="1" thickTop="1">
      <c r="A6" s="6"/>
      <c r="B6" s="7"/>
      <c r="C6" s="7"/>
      <c r="D6" s="7"/>
      <c r="E6" s="7"/>
      <c r="F6" s="7"/>
      <c r="G6" s="7"/>
      <c r="H6" s="7"/>
      <c r="I6" s="7"/>
      <c r="J6" s="7"/>
      <c r="K6" s="7"/>
      <c r="L6" s="7"/>
      <c r="M6" s="7"/>
      <c r="N6" s="7"/>
      <c r="O6" s="7"/>
      <c r="P6" s="7"/>
      <c r="Q6" s="7"/>
      <c r="R6" s="12"/>
      <c r="S6" s="176"/>
    </row>
    <row r="7" spans="1:19" ht="15.75" customHeight="1">
      <c r="A7" s="47" t="s">
        <v>526</v>
      </c>
      <c r="B7" s="7"/>
      <c r="C7" s="7"/>
      <c r="D7" s="7"/>
      <c r="E7" s="7"/>
      <c r="F7" s="7"/>
      <c r="G7" s="7"/>
      <c r="H7" s="7"/>
      <c r="I7" s="7"/>
      <c r="J7" s="7"/>
      <c r="K7" s="7"/>
      <c r="L7" s="7"/>
      <c r="M7" s="7"/>
      <c r="N7" s="7"/>
      <c r="O7" s="7"/>
      <c r="P7" s="7"/>
      <c r="Q7" s="7"/>
      <c r="R7" s="12"/>
      <c r="S7" s="176"/>
    </row>
    <row r="8" spans="1:19" ht="6.75" customHeight="1">
      <c r="A8" s="6"/>
      <c r="B8" s="7"/>
      <c r="C8" s="7"/>
      <c r="D8" s="7"/>
      <c r="E8" s="7"/>
      <c r="F8" s="7"/>
      <c r="G8" s="7"/>
      <c r="H8" s="7"/>
      <c r="I8" s="7"/>
      <c r="J8" s="7"/>
      <c r="K8" s="7"/>
      <c r="L8" s="7"/>
      <c r="M8" s="7"/>
      <c r="N8" s="7"/>
      <c r="O8" s="7"/>
      <c r="P8" s="7"/>
      <c r="Q8" s="7"/>
      <c r="R8" s="12"/>
      <c r="S8" s="176"/>
    </row>
    <row r="9" spans="1:19" ht="13.5" customHeight="1">
      <c r="A9" s="54" t="s">
        <v>527</v>
      </c>
      <c r="B9" s="7"/>
      <c r="C9" s="7"/>
      <c r="D9" s="7"/>
      <c r="E9" s="7"/>
      <c r="F9" s="7"/>
      <c r="G9" s="7"/>
      <c r="H9" s="7"/>
      <c r="I9" s="7"/>
      <c r="J9" s="7"/>
      <c r="K9" s="7"/>
      <c r="L9" s="7"/>
      <c r="M9" s="7"/>
      <c r="N9" s="7"/>
      <c r="O9" s="7"/>
      <c r="P9" s="7"/>
      <c r="Q9" s="7"/>
      <c r="R9" s="12"/>
      <c r="S9" s="176"/>
    </row>
    <row r="10" spans="1:19" ht="13.5" customHeight="1">
      <c r="A10" s="54" t="s">
        <v>528</v>
      </c>
      <c r="B10" s="7"/>
      <c r="C10" s="7"/>
      <c r="D10" s="7"/>
      <c r="E10" s="7"/>
      <c r="F10" s="7"/>
      <c r="G10" s="7"/>
      <c r="H10" s="7"/>
      <c r="I10" s="7"/>
      <c r="J10" s="7"/>
      <c r="K10" s="7"/>
      <c r="L10" s="7"/>
      <c r="M10" s="7"/>
      <c r="N10" s="7"/>
      <c r="O10" s="7"/>
      <c r="P10" s="7"/>
      <c r="Q10" s="7"/>
      <c r="R10" s="12"/>
      <c r="S10" s="176"/>
    </row>
    <row r="11" spans="1:19" ht="26.25" customHeight="1">
      <c r="A11" s="160" t="s">
        <v>25</v>
      </c>
      <c r="B11" s="156"/>
      <c r="C11" s="156"/>
      <c r="D11" s="156"/>
      <c r="E11" s="156"/>
      <c r="F11" s="156"/>
      <c r="G11" s="156"/>
      <c r="H11" s="156"/>
      <c r="I11" s="156"/>
      <c r="J11" s="156"/>
      <c r="K11" s="156"/>
      <c r="L11" s="156"/>
      <c r="M11" s="156"/>
      <c r="N11" s="156"/>
      <c r="O11" s="156"/>
      <c r="P11" s="156"/>
      <c r="Q11" s="156"/>
      <c r="R11" s="161"/>
      <c r="S11" s="176"/>
    </row>
    <row r="12" spans="1:19" ht="19.5" customHeight="1">
      <c r="A12" s="160" t="s">
        <v>17</v>
      </c>
      <c r="B12" s="156"/>
      <c r="C12" s="156"/>
      <c r="D12" s="156"/>
      <c r="E12" s="156"/>
      <c r="F12" s="156"/>
      <c r="G12" s="156"/>
      <c r="H12" s="156"/>
      <c r="I12" s="156"/>
      <c r="J12" s="156"/>
      <c r="K12" s="156"/>
      <c r="L12" s="156"/>
      <c r="M12" s="156"/>
      <c r="N12" s="156"/>
      <c r="O12" s="156"/>
      <c r="P12" s="156"/>
      <c r="Q12" s="156"/>
      <c r="R12" s="161"/>
      <c r="S12" s="176"/>
    </row>
    <row r="13" spans="1:19" ht="19.5" customHeight="1">
      <c r="A13" s="160" t="s">
        <v>16</v>
      </c>
      <c r="B13" s="156"/>
      <c r="C13" s="156"/>
      <c r="D13" s="156"/>
      <c r="E13" s="156"/>
      <c r="F13" s="156"/>
      <c r="G13" s="156"/>
      <c r="H13" s="156"/>
      <c r="I13" s="156"/>
      <c r="J13" s="156"/>
      <c r="K13" s="156"/>
      <c r="L13" s="156"/>
      <c r="M13" s="156"/>
      <c r="N13" s="156"/>
      <c r="O13" s="156"/>
      <c r="P13" s="156"/>
      <c r="Q13" s="156"/>
      <c r="R13" s="161"/>
      <c r="S13" s="176"/>
    </row>
    <row r="14" spans="1:19" ht="19.5" customHeight="1">
      <c r="A14" s="160" t="s">
        <v>18</v>
      </c>
      <c r="B14" s="156"/>
      <c r="C14" s="156"/>
      <c r="D14" s="156"/>
      <c r="E14" s="156"/>
      <c r="F14" s="156"/>
      <c r="G14" s="156"/>
      <c r="H14" s="156"/>
      <c r="I14" s="156"/>
      <c r="J14" s="156"/>
      <c r="K14" s="156"/>
      <c r="L14" s="156"/>
      <c r="M14" s="156"/>
      <c r="N14" s="156"/>
      <c r="O14" s="156"/>
      <c r="P14" s="156"/>
      <c r="Q14" s="156"/>
      <c r="R14" s="161"/>
      <c r="S14" s="176"/>
    </row>
    <row r="15" spans="1:19" ht="19.5" customHeight="1">
      <c r="A15" s="160" t="s">
        <v>596</v>
      </c>
      <c r="B15" s="156"/>
      <c r="C15" s="156"/>
      <c r="D15" s="156"/>
      <c r="E15" s="156"/>
      <c r="F15" s="156"/>
      <c r="G15" s="156"/>
      <c r="H15" s="156"/>
      <c r="I15" s="156"/>
      <c r="J15" s="156"/>
      <c r="K15" s="156"/>
      <c r="L15" s="156"/>
      <c r="M15" s="156"/>
      <c r="N15" s="156"/>
      <c r="O15" s="156"/>
      <c r="P15" s="156"/>
      <c r="Q15" s="156"/>
      <c r="R15" s="161"/>
      <c r="S15" s="176"/>
    </row>
    <row r="16" spans="1:19" ht="19.5" customHeight="1">
      <c r="A16" s="160" t="s">
        <v>50</v>
      </c>
      <c r="B16" s="156"/>
      <c r="C16" s="156"/>
      <c r="D16" s="156"/>
      <c r="E16" s="156"/>
      <c r="F16" s="156"/>
      <c r="G16" s="156"/>
      <c r="H16" s="156"/>
      <c r="I16" s="156"/>
      <c r="J16" s="156"/>
      <c r="K16" s="156"/>
      <c r="L16" s="156"/>
      <c r="M16" s="156"/>
      <c r="N16" s="156"/>
      <c r="O16" s="156"/>
      <c r="P16" s="156"/>
      <c r="Q16" s="156"/>
      <c r="R16" s="161"/>
      <c r="S16" s="176"/>
    </row>
    <row r="17" spans="1:19" ht="19.5" customHeight="1">
      <c r="A17" s="160" t="s">
        <v>597</v>
      </c>
      <c r="B17" s="156"/>
      <c r="C17" s="156"/>
      <c r="D17" s="156"/>
      <c r="E17" s="156"/>
      <c r="F17" s="156"/>
      <c r="G17" s="156"/>
      <c r="H17" s="156"/>
      <c r="I17" s="156"/>
      <c r="J17" s="156"/>
      <c r="K17" s="156"/>
      <c r="L17" s="156"/>
      <c r="M17" s="156"/>
      <c r="N17" s="156"/>
      <c r="O17" s="156"/>
      <c r="P17" s="156"/>
      <c r="Q17" s="156"/>
      <c r="R17" s="161"/>
      <c r="S17" s="176"/>
    </row>
    <row r="18" spans="1:19" ht="19.5" customHeight="1">
      <c r="A18" s="160" t="s">
        <v>20</v>
      </c>
      <c r="B18" s="156"/>
      <c r="C18" s="156"/>
      <c r="D18" s="156"/>
      <c r="E18" s="156"/>
      <c r="F18" s="156"/>
      <c r="G18" s="156"/>
      <c r="H18" s="156"/>
      <c r="I18" s="156"/>
      <c r="J18" s="156"/>
      <c r="K18" s="156"/>
      <c r="L18" s="156"/>
      <c r="M18" s="156"/>
      <c r="N18" s="156"/>
      <c r="O18" s="156"/>
      <c r="P18" s="156"/>
      <c r="Q18" s="156"/>
      <c r="R18" s="161"/>
      <c r="S18" s="176"/>
    </row>
    <row r="19" spans="1:19" ht="19.5" customHeight="1">
      <c r="A19" s="160" t="s">
        <v>21</v>
      </c>
      <c r="B19" s="156"/>
      <c r="C19" s="156"/>
      <c r="D19" s="156"/>
      <c r="E19" s="156"/>
      <c r="F19" s="156"/>
      <c r="G19" s="156"/>
      <c r="H19" s="156"/>
      <c r="I19" s="156"/>
      <c r="J19" s="156"/>
      <c r="K19" s="156"/>
      <c r="L19" s="156"/>
      <c r="M19" s="156"/>
      <c r="N19" s="156"/>
      <c r="O19" s="156"/>
      <c r="P19" s="156"/>
      <c r="Q19" s="156"/>
      <c r="R19" s="161"/>
      <c r="S19" s="176"/>
    </row>
    <row r="20" spans="1:19" ht="19.5" customHeight="1">
      <c r="A20" s="160" t="s">
        <v>22</v>
      </c>
      <c r="B20" s="156"/>
      <c r="C20" s="156"/>
      <c r="D20" s="156"/>
      <c r="E20" s="156"/>
      <c r="F20" s="156"/>
      <c r="G20" s="156"/>
      <c r="H20" s="156"/>
      <c r="I20" s="156"/>
      <c r="J20" s="156"/>
      <c r="K20" s="156"/>
      <c r="L20" s="156"/>
      <c r="M20" s="156"/>
      <c r="N20" s="156"/>
      <c r="O20" s="156"/>
      <c r="P20" s="156"/>
      <c r="Q20" s="156"/>
      <c r="R20" s="161"/>
      <c r="S20" s="176"/>
    </row>
    <row r="21" spans="1:19" ht="19.5" customHeight="1">
      <c r="A21" s="160" t="s">
        <v>23</v>
      </c>
      <c r="B21" s="156"/>
      <c r="C21" s="156"/>
      <c r="D21" s="156"/>
      <c r="E21" s="156"/>
      <c r="F21" s="156"/>
      <c r="G21" s="156"/>
      <c r="H21" s="156"/>
      <c r="I21" s="156"/>
      <c r="J21" s="156"/>
      <c r="K21" s="156"/>
      <c r="L21" s="156"/>
      <c r="M21" s="156"/>
      <c r="N21" s="156"/>
      <c r="O21" s="156"/>
      <c r="P21" s="156"/>
      <c r="Q21" s="156"/>
      <c r="R21" s="161"/>
      <c r="S21" s="176"/>
    </row>
    <row r="22" spans="1:19" ht="19.5" customHeight="1">
      <c r="A22" s="160" t="s">
        <v>24</v>
      </c>
      <c r="B22" s="156"/>
      <c r="C22" s="156"/>
      <c r="D22" s="156"/>
      <c r="E22" s="156"/>
      <c r="F22" s="156"/>
      <c r="G22" s="156"/>
      <c r="H22" s="156"/>
      <c r="I22" s="156"/>
      <c r="J22" s="156"/>
      <c r="K22" s="156"/>
      <c r="L22" s="156"/>
      <c r="M22" s="156"/>
      <c r="N22" s="156"/>
      <c r="O22" s="156"/>
      <c r="P22" s="156"/>
      <c r="Q22" s="156"/>
      <c r="R22" s="161"/>
      <c r="S22" s="176"/>
    </row>
    <row r="23" spans="1:19" ht="19.5" customHeight="1">
      <c r="A23" s="160" t="s">
        <v>26</v>
      </c>
      <c r="B23" s="156"/>
      <c r="C23" s="156"/>
      <c r="D23" s="156"/>
      <c r="E23" s="156"/>
      <c r="F23" s="156"/>
      <c r="G23" s="156"/>
      <c r="H23" s="156"/>
      <c r="I23" s="156"/>
      <c r="J23" s="156"/>
      <c r="K23" s="156"/>
      <c r="L23" s="156"/>
      <c r="M23" s="156"/>
      <c r="N23" s="156"/>
      <c r="O23" s="156"/>
      <c r="P23" s="156"/>
      <c r="Q23" s="156"/>
      <c r="R23" s="161"/>
      <c r="S23" s="176"/>
    </row>
    <row r="24" spans="1:19" ht="19.5" customHeight="1">
      <c r="A24" s="160" t="s">
        <v>52</v>
      </c>
      <c r="B24" s="156"/>
      <c r="C24" s="156"/>
      <c r="D24" s="156"/>
      <c r="E24" s="156"/>
      <c r="F24" s="156"/>
      <c r="G24" s="156"/>
      <c r="H24" s="156"/>
      <c r="I24" s="156"/>
      <c r="J24" s="156"/>
      <c r="K24" s="156"/>
      <c r="L24" s="156"/>
      <c r="M24" s="156"/>
      <c r="N24" s="156"/>
      <c r="O24" s="156"/>
      <c r="P24" s="156"/>
      <c r="Q24" s="156"/>
      <c r="R24" s="161"/>
      <c r="S24" s="176"/>
    </row>
    <row r="25" spans="1:19" ht="19.5" customHeight="1">
      <c r="A25" s="160" t="s">
        <v>53</v>
      </c>
      <c r="B25" s="156"/>
      <c r="C25" s="156"/>
      <c r="D25" s="156"/>
      <c r="E25" s="156"/>
      <c r="F25" s="156"/>
      <c r="G25" s="156"/>
      <c r="H25" s="156"/>
      <c r="I25" s="156"/>
      <c r="J25" s="156"/>
      <c r="K25" s="156"/>
      <c r="L25" s="156"/>
      <c r="M25" s="156"/>
      <c r="N25" s="156"/>
      <c r="O25" s="156"/>
      <c r="P25" s="156"/>
      <c r="Q25" s="156"/>
      <c r="R25" s="161"/>
      <c r="S25" s="176"/>
    </row>
    <row r="26" spans="1:19" ht="19.5" customHeight="1">
      <c r="A26" s="160"/>
      <c r="B26" s="156"/>
      <c r="C26" s="156"/>
      <c r="D26" s="156"/>
      <c r="E26" s="156"/>
      <c r="F26" s="156"/>
      <c r="G26" s="156"/>
      <c r="H26" s="156"/>
      <c r="I26" s="156"/>
      <c r="J26" s="156"/>
      <c r="K26" s="156"/>
      <c r="L26" s="156"/>
      <c r="M26" s="156"/>
      <c r="N26" s="156"/>
      <c r="O26" s="156"/>
      <c r="P26" s="156"/>
      <c r="Q26" s="156"/>
      <c r="R26" s="161"/>
      <c r="S26" s="176"/>
    </row>
    <row r="27" spans="1:19" ht="19.5" customHeight="1">
      <c r="A27" s="160"/>
      <c r="B27" s="156"/>
      <c r="C27" s="156"/>
      <c r="D27" s="156"/>
      <c r="E27" s="156"/>
      <c r="F27" s="156"/>
      <c r="G27" s="156"/>
      <c r="H27" s="156"/>
      <c r="I27" s="156"/>
      <c r="J27" s="156"/>
      <c r="K27" s="156"/>
      <c r="L27" s="156"/>
      <c r="M27" s="156"/>
      <c r="N27" s="156"/>
      <c r="O27" s="156"/>
      <c r="P27" s="156"/>
      <c r="Q27" s="156"/>
      <c r="R27" s="161"/>
      <c r="S27" s="176"/>
    </row>
    <row r="28" spans="1:19" ht="19.5" customHeight="1">
      <c r="A28" s="160"/>
      <c r="B28" s="156"/>
      <c r="C28" s="156"/>
      <c r="D28" s="156"/>
      <c r="E28" s="156"/>
      <c r="F28" s="156"/>
      <c r="G28" s="156"/>
      <c r="H28" s="156"/>
      <c r="I28" s="156"/>
      <c r="J28" s="156"/>
      <c r="K28" s="156"/>
      <c r="L28" s="156"/>
      <c r="M28" s="156"/>
      <c r="N28" s="156"/>
      <c r="O28" s="156"/>
      <c r="P28" s="156"/>
      <c r="Q28" s="156"/>
      <c r="R28" s="161"/>
      <c r="S28" s="176"/>
    </row>
    <row r="29" spans="1:19" ht="19.5" customHeight="1" thickBot="1">
      <c r="A29" s="162"/>
      <c r="B29" s="155"/>
      <c r="C29" s="155"/>
      <c r="D29" s="155"/>
      <c r="E29" s="155"/>
      <c r="F29" s="155"/>
      <c r="G29" s="155"/>
      <c r="H29" s="155"/>
      <c r="I29" s="155"/>
      <c r="J29" s="155"/>
      <c r="K29" s="155"/>
      <c r="L29" s="155"/>
      <c r="M29" s="155"/>
      <c r="N29" s="155"/>
      <c r="O29" s="155"/>
      <c r="P29" s="155"/>
      <c r="Q29" s="155"/>
      <c r="R29" s="163"/>
      <c r="S29" s="176"/>
    </row>
    <row r="30" spans="1:19" ht="6" customHeight="1">
      <c r="A30" s="6"/>
      <c r="B30" s="7"/>
      <c r="C30" s="7"/>
      <c r="D30" s="7"/>
      <c r="E30" s="7"/>
      <c r="F30" s="7"/>
      <c r="G30" s="7"/>
      <c r="H30" s="7"/>
      <c r="I30" s="7"/>
      <c r="J30" s="7"/>
      <c r="K30" s="7"/>
      <c r="L30" s="7"/>
      <c r="M30" s="7"/>
      <c r="N30" s="7"/>
      <c r="O30" s="7"/>
      <c r="P30" s="7"/>
      <c r="Q30" s="7"/>
      <c r="R30" s="12"/>
      <c r="S30" s="176"/>
    </row>
    <row r="31" spans="1:19" ht="19.5" customHeight="1">
      <c r="A31" s="47" t="s">
        <v>93</v>
      </c>
      <c r="B31" s="7"/>
      <c r="C31" s="7"/>
      <c r="D31" s="7"/>
      <c r="E31" s="7"/>
      <c r="F31" s="7"/>
      <c r="G31" s="7"/>
      <c r="H31" s="7"/>
      <c r="I31" s="7"/>
      <c r="J31" s="7"/>
      <c r="K31" s="7"/>
      <c r="L31" s="7"/>
      <c r="M31" s="7"/>
      <c r="N31" s="7"/>
      <c r="O31" s="7"/>
      <c r="P31" s="7"/>
      <c r="Q31" s="7"/>
      <c r="R31" s="12"/>
      <c r="S31" s="176"/>
    </row>
    <row r="32" spans="1:19" ht="7.5" customHeight="1">
      <c r="A32" s="6"/>
      <c r="B32" s="7"/>
      <c r="C32" s="7"/>
      <c r="D32" s="7"/>
      <c r="E32" s="7"/>
      <c r="F32" s="7"/>
      <c r="G32" s="7"/>
      <c r="H32" s="7"/>
      <c r="I32" s="7"/>
      <c r="J32" s="7"/>
      <c r="K32" s="7"/>
      <c r="L32" s="7"/>
      <c r="M32" s="7"/>
      <c r="N32" s="7"/>
      <c r="O32" s="7"/>
      <c r="P32" s="7"/>
      <c r="Q32" s="7"/>
      <c r="R32" s="12"/>
      <c r="S32" s="176"/>
    </row>
    <row r="33" spans="1:19" ht="17.25" customHeight="1">
      <c r="A33" s="48" t="s">
        <v>94</v>
      </c>
      <c r="B33" s="7"/>
      <c r="C33" s="7"/>
      <c r="D33" s="7"/>
      <c r="E33" s="7"/>
      <c r="F33" s="7"/>
      <c r="G33" s="7"/>
      <c r="H33" s="7"/>
      <c r="I33" s="7"/>
      <c r="J33" s="7"/>
      <c r="K33" s="7"/>
      <c r="L33" s="7"/>
      <c r="M33" s="7"/>
      <c r="N33" s="7"/>
      <c r="O33" s="7"/>
      <c r="P33" s="7"/>
      <c r="Q33" s="7"/>
      <c r="R33" s="12"/>
      <c r="S33" s="176"/>
    </row>
    <row r="34" spans="1:19" ht="15.75" customHeight="1">
      <c r="A34" s="48" t="s">
        <v>423</v>
      </c>
      <c r="B34" s="7"/>
      <c r="C34" s="7"/>
      <c r="D34" s="7"/>
      <c r="E34" s="7"/>
      <c r="F34" s="7"/>
      <c r="G34" s="7"/>
      <c r="H34" s="7"/>
      <c r="I34" s="7"/>
      <c r="J34" s="7"/>
      <c r="K34" s="7"/>
      <c r="L34" s="7"/>
      <c r="M34" s="7"/>
      <c r="N34" s="7"/>
      <c r="O34" s="7"/>
      <c r="P34" s="7"/>
      <c r="Q34" s="7"/>
      <c r="R34" s="12"/>
      <c r="S34" s="176"/>
    </row>
    <row r="35" spans="1:19" ht="24" customHeight="1">
      <c r="A35" s="160" t="s">
        <v>19</v>
      </c>
      <c r="B35" s="156"/>
      <c r="C35" s="156"/>
      <c r="D35" s="156"/>
      <c r="E35" s="156"/>
      <c r="F35" s="156"/>
      <c r="G35" s="156"/>
      <c r="H35" s="156"/>
      <c r="I35" s="156"/>
      <c r="J35" s="156"/>
      <c r="K35" s="156"/>
      <c r="L35" s="156"/>
      <c r="M35" s="156"/>
      <c r="N35" s="156"/>
      <c r="O35" s="156"/>
      <c r="P35" s="156"/>
      <c r="Q35" s="156"/>
      <c r="R35" s="161"/>
      <c r="S35" s="176"/>
    </row>
    <row r="36" spans="1:19" ht="19.5" customHeight="1">
      <c r="A36" s="160" t="s">
        <v>27</v>
      </c>
      <c r="B36" s="156"/>
      <c r="C36" s="156"/>
      <c r="D36" s="156"/>
      <c r="E36" s="156"/>
      <c r="F36" s="156"/>
      <c r="G36" s="156"/>
      <c r="H36" s="156"/>
      <c r="I36" s="156"/>
      <c r="J36" s="156"/>
      <c r="K36" s="156"/>
      <c r="L36" s="156"/>
      <c r="M36" s="156"/>
      <c r="N36" s="156"/>
      <c r="O36" s="156"/>
      <c r="P36" s="156"/>
      <c r="Q36" s="156"/>
      <c r="R36" s="161"/>
      <c r="S36" s="176"/>
    </row>
    <row r="37" spans="1:19" ht="19.5" customHeight="1">
      <c r="A37" s="160" t="s">
        <v>28</v>
      </c>
      <c r="B37" s="156"/>
      <c r="C37" s="156"/>
      <c r="D37" s="156"/>
      <c r="E37" s="156"/>
      <c r="F37" s="156"/>
      <c r="G37" s="156"/>
      <c r="H37" s="156"/>
      <c r="I37" s="156"/>
      <c r="J37" s="156"/>
      <c r="K37" s="156"/>
      <c r="L37" s="156"/>
      <c r="M37" s="156"/>
      <c r="N37" s="156"/>
      <c r="O37" s="156"/>
      <c r="P37" s="156"/>
      <c r="Q37" s="156"/>
      <c r="R37" s="161"/>
      <c r="S37" s="176"/>
    </row>
    <row r="38" spans="1:19" ht="19.5" customHeight="1">
      <c r="A38" s="160" t="s">
        <v>29</v>
      </c>
      <c r="B38" s="156"/>
      <c r="C38" s="156"/>
      <c r="D38" s="156"/>
      <c r="E38" s="156"/>
      <c r="F38" s="156"/>
      <c r="G38" s="156"/>
      <c r="H38" s="156"/>
      <c r="I38" s="156"/>
      <c r="J38" s="156"/>
      <c r="K38" s="156"/>
      <c r="L38" s="156"/>
      <c r="M38" s="156"/>
      <c r="N38" s="156"/>
      <c r="O38" s="156"/>
      <c r="P38" s="156"/>
      <c r="Q38" s="156"/>
      <c r="R38" s="161"/>
      <c r="S38" s="176"/>
    </row>
    <row r="39" spans="1:19" ht="19.5" customHeight="1">
      <c r="A39" s="160" t="s">
        <v>30</v>
      </c>
      <c r="B39" s="156"/>
      <c r="C39" s="156"/>
      <c r="D39" s="156"/>
      <c r="E39" s="156"/>
      <c r="F39" s="156"/>
      <c r="G39" s="156"/>
      <c r="H39" s="156"/>
      <c r="I39" s="156"/>
      <c r="J39" s="156"/>
      <c r="K39" s="156"/>
      <c r="L39" s="156"/>
      <c r="M39" s="156"/>
      <c r="N39" s="156"/>
      <c r="O39" s="156"/>
      <c r="P39" s="156"/>
      <c r="Q39" s="156"/>
      <c r="R39" s="161"/>
      <c r="S39" s="176"/>
    </row>
    <row r="40" spans="1:19" ht="19.5" customHeight="1">
      <c r="A40" s="160"/>
      <c r="B40" s="156"/>
      <c r="C40" s="156"/>
      <c r="D40" s="156"/>
      <c r="E40" s="156"/>
      <c r="F40" s="156"/>
      <c r="G40" s="156"/>
      <c r="H40" s="156"/>
      <c r="I40" s="156"/>
      <c r="J40" s="156"/>
      <c r="K40" s="156"/>
      <c r="L40" s="156"/>
      <c r="M40" s="156"/>
      <c r="N40" s="156"/>
      <c r="O40" s="156"/>
      <c r="P40" s="156"/>
      <c r="Q40" s="156"/>
      <c r="R40" s="161"/>
      <c r="S40" s="176"/>
    </row>
    <row r="41" spans="1:19" ht="19.5" customHeight="1">
      <c r="A41" s="160"/>
      <c r="B41" s="156"/>
      <c r="C41" s="156"/>
      <c r="D41" s="156"/>
      <c r="E41" s="156"/>
      <c r="F41" s="156"/>
      <c r="G41" s="156"/>
      <c r="H41" s="156"/>
      <c r="I41" s="156"/>
      <c r="J41" s="156"/>
      <c r="K41" s="156"/>
      <c r="L41" s="156"/>
      <c r="M41" s="156"/>
      <c r="N41" s="156"/>
      <c r="O41" s="156"/>
      <c r="P41" s="156"/>
      <c r="Q41" s="156"/>
      <c r="R41" s="161"/>
      <c r="S41" s="176"/>
    </row>
    <row r="42" spans="1:19" ht="19.5" customHeight="1">
      <c r="A42" s="160"/>
      <c r="B42" s="156"/>
      <c r="C42" s="156"/>
      <c r="D42" s="156"/>
      <c r="E42" s="156"/>
      <c r="F42" s="156"/>
      <c r="G42" s="156"/>
      <c r="H42" s="156"/>
      <c r="I42" s="156"/>
      <c r="J42" s="156"/>
      <c r="K42" s="156"/>
      <c r="L42" s="156"/>
      <c r="M42" s="156"/>
      <c r="N42" s="156"/>
      <c r="O42" s="156"/>
      <c r="P42" s="156"/>
      <c r="Q42" s="156"/>
      <c r="R42" s="161"/>
      <c r="S42" s="176"/>
    </row>
    <row r="43" spans="1:19" ht="19.5" customHeight="1">
      <c r="A43" s="160"/>
      <c r="B43" s="156"/>
      <c r="C43" s="156"/>
      <c r="D43" s="156"/>
      <c r="E43" s="156"/>
      <c r="F43" s="156"/>
      <c r="G43" s="156"/>
      <c r="H43" s="156"/>
      <c r="I43" s="156"/>
      <c r="J43" s="156"/>
      <c r="K43" s="156"/>
      <c r="L43" s="156"/>
      <c r="M43" s="156"/>
      <c r="N43" s="156"/>
      <c r="O43" s="156"/>
      <c r="P43" s="156"/>
      <c r="Q43" s="156"/>
      <c r="R43" s="161"/>
      <c r="S43" s="176"/>
    </row>
    <row r="44" spans="1:19" ht="19.5" customHeight="1">
      <c r="A44" s="160"/>
      <c r="B44" s="156"/>
      <c r="C44" s="156"/>
      <c r="D44" s="156"/>
      <c r="E44" s="156"/>
      <c r="F44" s="156"/>
      <c r="G44" s="156"/>
      <c r="H44" s="156"/>
      <c r="I44" s="156"/>
      <c r="J44" s="156"/>
      <c r="K44" s="156"/>
      <c r="L44" s="156"/>
      <c r="M44" s="156"/>
      <c r="N44" s="156"/>
      <c r="O44" s="156"/>
      <c r="P44" s="156"/>
      <c r="Q44" s="156"/>
      <c r="R44" s="161"/>
      <c r="S44" s="176"/>
    </row>
    <row r="45" spans="1:19" ht="19.5" customHeight="1">
      <c r="A45" s="160"/>
      <c r="B45" s="156"/>
      <c r="C45" s="156"/>
      <c r="D45" s="156"/>
      <c r="E45" s="156"/>
      <c r="F45" s="156"/>
      <c r="G45" s="156"/>
      <c r="H45" s="156"/>
      <c r="I45" s="156"/>
      <c r="J45" s="156"/>
      <c r="K45" s="156"/>
      <c r="L45" s="156"/>
      <c r="M45" s="156"/>
      <c r="N45" s="156"/>
      <c r="O45" s="156"/>
      <c r="P45" s="156"/>
      <c r="Q45" s="156"/>
      <c r="R45" s="161"/>
      <c r="S45" s="176"/>
    </row>
    <row r="46" spans="1:19" ht="19.5" customHeight="1">
      <c r="A46" s="160"/>
      <c r="B46" s="156"/>
      <c r="C46" s="156"/>
      <c r="D46" s="156"/>
      <c r="E46" s="156"/>
      <c r="F46" s="156"/>
      <c r="G46" s="156"/>
      <c r="H46" s="156"/>
      <c r="I46" s="156"/>
      <c r="J46" s="156"/>
      <c r="K46" s="156"/>
      <c r="L46" s="156"/>
      <c r="M46" s="156"/>
      <c r="N46" s="156"/>
      <c r="O46" s="156"/>
      <c r="P46" s="156"/>
      <c r="Q46" s="156"/>
      <c r="R46" s="161"/>
      <c r="S46" s="176"/>
    </row>
    <row r="47" spans="1:19" ht="19.5" customHeight="1">
      <c r="A47" s="160"/>
      <c r="B47" s="156"/>
      <c r="C47" s="156"/>
      <c r="D47" s="156"/>
      <c r="E47" s="156"/>
      <c r="F47" s="156"/>
      <c r="G47" s="156"/>
      <c r="H47" s="156"/>
      <c r="I47" s="156"/>
      <c r="J47" s="156"/>
      <c r="K47" s="156"/>
      <c r="L47" s="156"/>
      <c r="M47" s="156"/>
      <c r="N47" s="156"/>
      <c r="O47" s="156"/>
      <c r="P47" s="156"/>
      <c r="Q47" s="156"/>
      <c r="R47" s="161"/>
      <c r="S47" s="176"/>
    </row>
    <row r="48" spans="1:19" ht="19.5" customHeight="1">
      <c r="A48" s="160"/>
      <c r="B48" s="156"/>
      <c r="C48" s="156"/>
      <c r="D48" s="156"/>
      <c r="E48" s="156"/>
      <c r="F48" s="156"/>
      <c r="G48" s="156"/>
      <c r="H48" s="156"/>
      <c r="I48" s="156"/>
      <c r="J48" s="156"/>
      <c r="K48" s="156"/>
      <c r="L48" s="156"/>
      <c r="M48" s="156"/>
      <c r="N48" s="156"/>
      <c r="O48" s="156"/>
      <c r="P48" s="156"/>
      <c r="Q48" s="156"/>
      <c r="R48" s="161"/>
      <c r="S48" s="176"/>
    </row>
    <row r="49" spans="1:19" ht="19.5" customHeight="1">
      <c r="A49" s="160"/>
      <c r="B49" s="156"/>
      <c r="C49" s="156"/>
      <c r="D49" s="156"/>
      <c r="E49" s="156"/>
      <c r="F49" s="156"/>
      <c r="G49" s="156"/>
      <c r="H49" s="156"/>
      <c r="I49" s="156"/>
      <c r="J49" s="156"/>
      <c r="K49" s="156"/>
      <c r="L49" s="156"/>
      <c r="M49" s="156"/>
      <c r="N49" s="156"/>
      <c r="O49" s="156"/>
      <c r="P49" s="156"/>
      <c r="Q49" s="156"/>
      <c r="R49" s="161"/>
      <c r="S49" s="176"/>
    </row>
    <row r="50" spans="1:19" ht="19.5" customHeight="1">
      <c r="A50" s="160"/>
      <c r="B50" s="156"/>
      <c r="C50" s="156"/>
      <c r="D50" s="156"/>
      <c r="E50" s="156"/>
      <c r="F50" s="156"/>
      <c r="G50" s="156"/>
      <c r="H50" s="156"/>
      <c r="I50" s="156"/>
      <c r="J50" s="156"/>
      <c r="K50" s="156"/>
      <c r="L50" s="156"/>
      <c r="M50" s="156"/>
      <c r="N50" s="156"/>
      <c r="O50" s="156"/>
      <c r="P50" s="156"/>
      <c r="Q50" s="156"/>
      <c r="R50" s="161"/>
      <c r="S50" s="176"/>
    </row>
    <row r="51" spans="1:19" ht="19.5" customHeight="1">
      <c r="A51" s="160"/>
      <c r="B51" s="156"/>
      <c r="C51" s="156"/>
      <c r="D51" s="156"/>
      <c r="E51" s="156"/>
      <c r="F51" s="156"/>
      <c r="G51" s="156"/>
      <c r="H51" s="156"/>
      <c r="I51" s="156"/>
      <c r="J51" s="156"/>
      <c r="K51" s="156"/>
      <c r="L51" s="156"/>
      <c r="M51" s="156"/>
      <c r="N51" s="156"/>
      <c r="O51" s="156"/>
      <c r="P51" s="156"/>
      <c r="Q51" s="156"/>
      <c r="R51" s="161"/>
      <c r="S51" s="176"/>
    </row>
    <row r="52" spans="1:19" ht="19.5" customHeight="1">
      <c r="A52" s="160"/>
      <c r="B52" s="156"/>
      <c r="C52" s="156"/>
      <c r="D52" s="156"/>
      <c r="E52" s="156"/>
      <c r="F52" s="156"/>
      <c r="G52" s="156"/>
      <c r="H52" s="156"/>
      <c r="I52" s="156"/>
      <c r="J52" s="156"/>
      <c r="K52" s="156"/>
      <c r="L52" s="156"/>
      <c r="M52" s="156"/>
      <c r="N52" s="156"/>
      <c r="O52" s="156"/>
      <c r="P52" s="156"/>
      <c r="Q52" s="156"/>
      <c r="R52" s="161"/>
      <c r="S52" s="176"/>
    </row>
    <row r="53" spans="1:19" ht="19.5" customHeight="1" thickBot="1">
      <c r="A53" s="164"/>
      <c r="B53" s="165"/>
      <c r="C53" s="165"/>
      <c r="D53" s="165"/>
      <c r="E53" s="165"/>
      <c r="F53" s="165"/>
      <c r="G53" s="165"/>
      <c r="H53" s="165"/>
      <c r="I53" s="165"/>
      <c r="J53" s="165"/>
      <c r="K53" s="165"/>
      <c r="L53" s="165"/>
      <c r="M53" s="165"/>
      <c r="N53" s="165"/>
      <c r="O53" s="165"/>
      <c r="P53" s="165"/>
      <c r="Q53" s="165"/>
      <c r="R53" s="166"/>
      <c r="S53" s="176"/>
    </row>
    <row r="54" spans="1:19" ht="13.5" thickTop="1">
      <c r="A54" s="176"/>
      <c r="B54" s="176"/>
      <c r="C54" s="176"/>
      <c r="D54" s="176"/>
      <c r="E54" s="176"/>
      <c r="F54" s="176"/>
      <c r="G54" s="176"/>
      <c r="H54" s="176"/>
      <c r="I54" s="176"/>
      <c r="J54" s="176"/>
      <c r="K54" s="176"/>
      <c r="L54" s="176"/>
      <c r="M54" s="176"/>
      <c r="N54" s="176"/>
      <c r="O54" s="176"/>
      <c r="P54" s="176"/>
      <c r="Q54" s="176"/>
      <c r="R54" s="176"/>
      <c r="S54" s="176"/>
    </row>
    <row r="55" spans="1:19" ht="12.75">
      <c r="A55" s="176"/>
      <c r="B55" s="176"/>
      <c r="C55" s="176"/>
      <c r="D55" s="176"/>
      <c r="E55" s="176"/>
      <c r="F55" s="176"/>
      <c r="G55" s="176"/>
      <c r="H55" s="176"/>
      <c r="I55" s="176"/>
      <c r="J55" s="176"/>
      <c r="K55" s="176"/>
      <c r="L55" s="176"/>
      <c r="M55" s="176"/>
      <c r="N55" s="176"/>
      <c r="O55" s="176"/>
      <c r="P55" s="176"/>
      <c r="Q55" s="176"/>
      <c r="R55" s="176"/>
      <c r="S55" s="176"/>
    </row>
    <row r="56" spans="1:19" ht="12.75">
      <c r="A56" s="176"/>
      <c r="B56" s="176"/>
      <c r="C56" s="176"/>
      <c r="D56" s="176"/>
      <c r="E56" s="176"/>
      <c r="F56" s="176"/>
      <c r="G56" s="176"/>
      <c r="H56" s="176"/>
      <c r="I56" s="176"/>
      <c r="J56" s="176"/>
      <c r="K56" s="176"/>
      <c r="L56" s="176"/>
      <c r="M56" s="176"/>
      <c r="N56" s="176"/>
      <c r="O56" s="176"/>
      <c r="P56" s="176"/>
      <c r="Q56" s="176"/>
      <c r="R56" s="176"/>
      <c r="S56" s="176"/>
    </row>
    <row r="57" spans="1:19" ht="12.75">
      <c r="A57" s="176"/>
      <c r="B57" s="176"/>
      <c r="C57" s="176"/>
      <c r="D57" s="176"/>
      <c r="E57" s="176"/>
      <c r="F57" s="176"/>
      <c r="G57" s="176"/>
      <c r="H57" s="176"/>
      <c r="I57" s="176"/>
      <c r="J57" s="176"/>
      <c r="K57" s="176"/>
      <c r="L57" s="176"/>
      <c r="M57" s="176"/>
      <c r="N57" s="176"/>
      <c r="O57" s="176"/>
      <c r="P57" s="176"/>
      <c r="Q57" s="176"/>
      <c r="R57" s="176"/>
      <c r="S57" s="176"/>
    </row>
  </sheetData>
  <sheetProtection sheet="1" objects="1" scenarios="1"/>
  <mergeCells count="1">
    <mergeCell ref="I1:K1"/>
  </mergeCells>
  <printOptions horizontalCentered="1"/>
  <pageMargins left="0.3937007874015748" right="0.3937007874015748" top="0.3937007874015748" bottom="0.3937007874015748" header="0" footer="0"/>
  <pageSetup fitToHeight="1" fitToWidth="1" horizontalDpi="600" verticalDpi="600" orientation="portrait" scale="73" r:id="rId1"/>
</worksheet>
</file>

<file path=xl/worksheets/sheet6.xml><?xml version="1.0" encoding="utf-8"?>
<worksheet xmlns="http://schemas.openxmlformats.org/spreadsheetml/2006/main" xmlns:r="http://schemas.openxmlformats.org/officeDocument/2006/relationships">
  <sheetPr>
    <pageSetUpPr fitToPage="1"/>
  </sheetPr>
  <dimension ref="A1:S58"/>
  <sheetViews>
    <sheetView showGridLines="0" zoomScale="75" zoomScaleNormal="75" workbookViewId="0" topLeftCell="A15">
      <selection activeCell="A19" sqref="A19"/>
    </sheetView>
  </sheetViews>
  <sheetFormatPr defaultColWidth="11.421875" defaultRowHeight="12.75"/>
  <cols>
    <col min="1" max="1" width="8.8515625" style="0" customWidth="1"/>
    <col min="2" max="2" width="7.7109375" style="0" customWidth="1"/>
    <col min="3" max="5" width="8.8515625" style="0" customWidth="1"/>
    <col min="6" max="6" width="3.00390625" style="0" customWidth="1"/>
    <col min="7" max="7" width="8.8515625" style="0" customWidth="1"/>
    <col min="8" max="8" width="3.140625" style="0" customWidth="1"/>
    <col min="10" max="12" width="8.8515625" style="0" customWidth="1"/>
    <col min="13" max="13" width="3.7109375" style="0" customWidth="1"/>
    <col min="14" max="14" width="8.421875" style="0" customWidth="1"/>
    <col min="15" max="15" width="8.140625" style="0" customWidth="1"/>
    <col min="16" max="17" width="8.8515625" style="0" customWidth="1"/>
    <col min="18" max="18" width="2.28125" style="0" customWidth="1"/>
    <col min="19" max="16384" width="8.8515625" style="0" customWidth="1"/>
  </cols>
  <sheetData>
    <row r="1" spans="1:19" ht="17.25" thickBot="1" thickTop="1">
      <c r="A1" s="920" t="s">
        <v>541</v>
      </c>
      <c r="B1" s="177"/>
      <c r="C1" s="173"/>
      <c r="D1" s="173"/>
      <c r="E1" s="183"/>
      <c r="F1" s="176"/>
      <c r="G1" s="964" t="s">
        <v>471</v>
      </c>
      <c r="H1" s="965"/>
      <c r="I1" s="966"/>
      <c r="J1" s="176"/>
      <c r="K1" s="176"/>
      <c r="L1" s="176"/>
      <c r="M1" s="176"/>
      <c r="N1" s="176"/>
      <c r="O1" s="176"/>
      <c r="P1" s="176"/>
      <c r="Q1" s="186" t="s">
        <v>95</v>
      </c>
      <c r="R1" s="176"/>
      <c r="S1" s="176"/>
    </row>
    <row r="2" spans="1:19" ht="14.25" thickBot="1" thickTop="1">
      <c r="A2" s="176"/>
      <c r="B2" s="182"/>
      <c r="C2" s="182"/>
      <c r="D2" s="182"/>
      <c r="E2" s="176"/>
      <c r="F2" s="176"/>
      <c r="G2" s="176"/>
      <c r="H2" s="176"/>
      <c r="I2" s="176"/>
      <c r="J2" s="176"/>
      <c r="K2" s="176"/>
      <c r="L2" s="176"/>
      <c r="M2" s="176"/>
      <c r="N2" s="176"/>
      <c r="O2" s="176"/>
      <c r="P2" s="176"/>
      <c r="Q2" s="176"/>
      <c r="R2" s="176"/>
      <c r="S2" s="176"/>
    </row>
    <row r="3" spans="1:19" ht="9" customHeight="1" thickTop="1">
      <c r="A3" s="3"/>
      <c r="B3" s="4"/>
      <c r="C3" s="4"/>
      <c r="D3" s="4"/>
      <c r="E3" s="4"/>
      <c r="F3" s="4"/>
      <c r="G3" s="4"/>
      <c r="H3" s="4"/>
      <c r="I3" s="4"/>
      <c r="J3" s="4"/>
      <c r="K3" s="4"/>
      <c r="L3" s="4"/>
      <c r="M3" s="4"/>
      <c r="N3" s="4"/>
      <c r="O3" s="4"/>
      <c r="P3" s="4"/>
      <c r="Q3" s="4"/>
      <c r="R3" s="5"/>
      <c r="S3" s="176"/>
    </row>
    <row r="4" spans="1:19" ht="18">
      <c r="A4" s="6"/>
      <c r="B4" s="8"/>
      <c r="C4" s="8"/>
      <c r="D4" s="8"/>
      <c r="E4" s="42" t="s">
        <v>83</v>
      </c>
      <c r="F4" s="8"/>
      <c r="G4" s="8"/>
      <c r="H4" s="49"/>
      <c r="I4" s="8"/>
      <c r="J4" s="7"/>
      <c r="K4" s="8"/>
      <c r="L4" s="8"/>
      <c r="M4" s="8"/>
      <c r="N4" s="7"/>
      <c r="O4" s="50"/>
      <c r="P4" s="7"/>
      <c r="Q4" s="7"/>
      <c r="R4" s="12"/>
      <c r="S4" s="176"/>
    </row>
    <row r="5" spans="1:19" ht="13.5" thickBot="1">
      <c r="A5" s="45"/>
      <c r="B5" s="46"/>
      <c r="C5" s="46"/>
      <c r="D5" s="46"/>
      <c r="E5" s="46"/>
      <c r="F5" s="46"/>
      <c r="G5" s="46"/>
      <c r="H5" s="46"/>
      <c r="I5" s="46"/>
      <c r="J5" s="46"/>
      <c r="K5" s="46"/>
      <c r="L5" s="46"/>
      <c r="M5" s="46"/>
      <c r="N5" s="46"/>
      <c r="O5" s="46"/>
      <c r="P5" s="46"/>
      <c r="Q5" s="46"/>
      <c r="R5" s="53"/>
      <c r="S5" s="176"/>
    </row>
    <row r="6" spans="1:19" ht="6.75" customHeight="1" thickTop="1">
      <c r="A6" s="6"/>
      <c r="B6" s="7"/>
      <c r="C6" s="7"/>
      <c r="D6" s="7"/>
      <c r="E6" s="7"/>
      <c r="F6" s="7"/>
      <c r="G6" s="7"/>
      <c r="H6" s="7"/>
      <c r="I6" s="7"/>
      <c r="J6" s="7"/>
      <c r="K6" s="7"/>
      <c r="L6" s="7"/>
      <c r="M6" s="7"/>
      <c r="N6" s="7"/>
      <c r="O6" s="7"/>
      <c r="P6" s="7"/>
      <c r="Q6" s="7"/>
      <c r="R6" s="12"/>
      <c r="S6" s="176"/>
    </row>
    <row r="7" spans="1:19" ht="15.75" customHeight="1">
      <c r="A7" s="47" t="s">
        <v>96</v>
      </c>
      <c r="B7" s="7"/>
      <c r="C7" s="7"/>
      <c r="D7" s="7"/>
      <c r="E7" s="7"/>
      <c r="F7" s="7"/>
      <c r="G7" s="7"/>
      <c r="H7" s="7"/>
      <c r="I7" s="7"/>
      <c r="J7" s="7"/>
      <c r="K7" s="7"/>
      <c r="L7" s="7"/>
      <c r="M7" s="7"/>
      <c r="N7" s="7"/>
      <c r="O7" s="7"/>
      <c r="P7" s="7"/>
      <c r="Q7" s="7"/>
      <c r="R7" s="12"/>
      <c r="S7" s="176"/>
    </row>
    <row r="8" spans="1:19" ht="6.75" customHeight="1">
      <c r="A8" s="6"/>
      <c r="B8" s="7"/>
      <c r="C8" s="7"/>
      <c r="D8" s="7"/>
      <c r="E8" s="7"/>
      <c r="F8" s="7"/>
      <c r="G8" s="7"/>
      <c r="H8" s="7"/>
      <c r="I8" s="7"/>
      <c r="J8" s="7"/>
      <c r="K8" s="7"/>
      <c r="L8" s="7"/>
      <c r="M8" s="7"/>
      <c r="N8" s="7"/>
      <c r="O8" s="7"/>
      <c r="P8" s="7"/>
      <c r="Q8" s="7"/>
      <c r="R8" s="12"/>
      <c r="S8" s="176"/>
    </row>
    <row r="9" spans="1:19" ht="13.5" customHeight="1">
      <c r="A9" s="54" t="s">
        <v>97</v>
      </c>
      <c r="B9" s="7"/>
      <c r="C9" s="7"/>
      <c r="D9" s="7"/>
      <c r="E9" s="7"/>
      <c r="F9" s="7"/>
      <c r="G9" s="7"/>
      <c r="H9" s="7"/>
      <c r="I9" s="7"/>
      <c r="J9" s="7"/>
      <c r="K9" s="7"/>
      <c r="L9" s="7"/>
      <c r="M9" s="7"/>
      <c r="N9" s="7"/>
      <c r="O9" s="7"/>
      <c r="P9" s="7"/>
      <c r="Q9" s="7"/>
      <c r="R9" s="12"/>
      <c r="S9" s="176"/>
    </row>
    <row r="10" spans="1:19" ht="13.5" customHeight="1">
      <c r="A10" s="54" t="s">
        <v>98</v>
      </c>
      <c r="B10" s="7"/>
      <c r="C10" s="7"/>
      <c r="D10" s="7"/>
      <c r="E10" s="7"/>
      <c r="F10" s="7"/>
      <c r="G10" s="7"/>
      <c r="H10" s="7"/>
      <c r="I10" s="7"/>
      <c r="J10" s="7"/>
      <c r="K10" s="7"/>
      <c r="L10" s="7"/>
      <c r="M10" s="7"/>
      <c r="N10" s="7"/>
      <c r="O10" s="7"/>
      <c r="P10" s="7"/>
      <c r="Q10" s="7"/>
      <c r="R10" s="12"/>
      <c r="S10" s="176"/>
    </row>
    <row r="11" spans="1:19" ht="13.5" customHeight="1">
      <c r="A11" s="54" t="s">
        <v>99</v>
      </c>
      <c r="B11" s="7"/>
      <c r="C11" s="7"/>
      <c r="D11" s="7"/>
      <c r="E11" s="7"/>
      <c r="F11" s="7"/>
      <c r="G11" s="7"/>
      <c r="H11" s="7"/>
      <c r="I11" s="7"/>
      <c r="J11" s="7"/>
      <c r="K11" s="7"/>
      <c r="L11" s="7"/>
      <c r="M11" s="7"/>
      <c r="N11" s="7"/>
      <c r="O11" s="7"/>
      <c r="P11" s="7"/>
      <c r="Q11" s="7"/>
      <c r="R11" s="12"/>
      <c r="S11" s="176"/>
    </row>
    <row r="12" spans="1:19" ht="26.25" customHeight="1">
      <c r="A12" s="160" t="s">
        <v>598</v>
      </c>
      <c r="B12" s="156"/>
      <c r="C12" s="156"/>
      <c r="D12" s="156"/>
      <c r="E12" s="156"/>
      <c r="F12" s="156"/>
      <c r="G12" s="156"/>
      <c r="H12" s="156"/>
      <c r="I12" s="156"/>
      <c r="J12" s="156"/>
      <c r="K12" s="156"/>
      <c r="L12" s="156"/>
      <c r="M12" s="156"/>
      <c r="N12" s="156"/>
      <c r="O12" s="156"/>
      <c r="P12" s="156"/>
      <c r="Q12" s="156"/>
      <c r="R12" s="161"/>
      <c r="S12" s="176"/>
    </row>
    <row r="13" spans="1:19" ht="19.5" customHeight="1">
      <c r="A13" s="160" t="s">
        <v>599</v>
      </c>
      <c r="B13" s="156"/>
      <c r="C13" s="156"/>
      <c r="D13" s="156"/>
      <c r="E13" s="156"/>
      <c r="F13" s="156"/>
      <c r="G13" s="156"/>
      <c r="H13" s="156"/>
      <c r="I13" s="156"/>
      <c r="J13" s="156"/>
      <c r="K13" s="156"/>
      <c r="L13" s="156"/>
      <c r="M13" s="156"/>
      <c r="N13" s="156"/>
      <c r="O13" s="156"/>
      <c r="P13" s="156"/>
      <c r="Q13" s="156"/>
      <c r="R13" s="161"/>
      <c r="S13" s="176"/>
    </row>
    <row r="14" spans="1:19" ht="19.5" customHeight="1">
      <c r="A14" s="160" t="s">
        <v>600</v>
      </c>
      <c r="B14" s="156"/>
      <c r="C14" s="156"/>
      <c r="D14" s="156"/>
      <c r="E14" s="156"/>
      <c r="F14" s="156"/>
      <c r="G14" s="156"/>
      <c r="H14" s="156"/>
      <c r="I14" s="156"/>
      <c r="J14" s="156"/>
      <c r="K14" s="156"/>
      <c r="L14" s="156"/>
      <c r="M14" s="156"/>
      <c r="N14" s="156"/>
      <c r="O14" s="156"/>
      <c r="P14" s="156"/>
      <c r="Q14" s="156"/>
      <c r="R14" s="161"/>
      <c r="S14" s="176"/>
    </row>
    <row r="15" spans="1:19" ht="19.5" customHeight="1">
      <c r="A15" s="160" t="s">
        <v>601</v>
      </c>
      <c r="B15" s="156"/>
      <c r="C15" s="156"/>
      <c r="D15" s="156"/>
      <c r="E15" s="156"/>
      <c r="F15" s="156"/>
      <c r="G15" s="156"/>
      <c r="H15" s="156"/>
      <c r="I15" s="156"/>
      <c r="J15" s="156"/>
      <c r="K15" s="156"/>
      <c r="L15" s="156"/>
      <c r="M15" s="156"/>
      <c r="N15" s="156"/>
      <c r="O15" s="156"/>
      <c r="P15" s="156"/>
      <c r="Q15" s="156"/>
      <c r="R15" s="161"/>
      <c r="S15" s="176"/>
    </row>
    <row r="16" spans="1:19" ht="19.5" customHeight="1">
      <c r="A16" s="160" t="s">
        <v>602</v>
      </c>
      <c r="B16" s="156"/>
      <c r="C16" s="156"/>
      <c r="D16" s="156"/>
      <c r="E16" s="156"/>
      <c r="F16" s="156"/>
      <c r="G16" s="156"/>
      <c r="H16" s="156"/>
      <c r="I16" s="156"/>
      <c r="J16" s="156"/>
      <c r="K16" s="156"/>
      <c r="L16" s="156"/>
      <c r="M16" s="156"/>
      <c r="N16" s="156"/>
      <c r="O16" s="156"/>
      <c r="P16" s="156"/>
      <c r="Q16" s="156"/>
      <c r="R16" s="161"/>
      <c r="S16" s="176"/>
    </row>
    <row r="17" spans="1:19" ht="19.5" customHeight="1">
      <c r="A17" s="160" t="s">
        <v>603</v>
      </c>
      <c r="B17" s="156"/>
      <c r="C17" s="156"/>
      <c r="D17" s="156"/>
      <c r="E17" s="156"/>
      <c r="F17" s="156"/>
      <c r="G17" s="156"/>
      <c r="H17" s="156"/>
      <c r="I17" s="156"/>
      <c r="J17" s="156"/>
      <c r="K17" s="156"/>
      <c r="L17" s="156"/>
      <c r="M17" s="156"/>
      <c r="N17" s="156"/>
      <c r="O17" s="156"/>
      <c r="P17" s="156"/>
      <c r="Q17" s="156"/>
      <c r="R17" s="161"/>
      <c r="S17" s="176"/>
    </row>
    <row r="18" spans="1:19" ht="19.5" customHeight="1">
      <c r="A18" s="160" t="s">
        <v>604</v>
      </c>
      <c r="B18" s="156"/>
      <c r="C18" s="156"/>
      <c r="D18" s="156"/>
      <c r="E18" s="156"/>
      <c r="F18" s="156"/>
      <c r="G18" s="156"/>
      <c r="H18" s="156"/>
      <c r="I18" s="156"/>
      <c r="J18" s="156"/>
      <c r="K18" s="156"/>
      <c r="L18" s="156"/>
      <c r="M18" s="156"/>
      <c r="N18" s="156"/>
      <c r="O18" s="156"/>
      <c r="P18" s="156"/>
      <c r="Q18" s="156"/>
      <c r="R18" s="161"/>
      <c r="S18" s="176"/>
    </row>
    <row r="19" spans="1:19" ht="19.5" customHeight="1">
      <c r="A19" s="160" t="s">
        <v>605</v>
      </c>
      <c r="B19" s="156"/>
      <c r="C19" s="156"/>
      <c r="D19" s="156"/>
      <c r="E19" s="156"/>
      <c r="F19" s="156"/>
      <c r="G19" s="156"/>
      <c r="H19" s="156"/>
      <c r="I19" s="156"/>
      <c r="J19" s="156"/>
      <c r="K19" s="156"/>
      <c r="L19" s="156"/>
      <c r="M19" s="156"/>
      <c r="N19" s="156"/>
      <c r="O19" s="156"/>
      <c r="P19" s="156"/>
      <c r="Q19" s="156"/>
      <c r="R19" s="161"/>
      <c r="S19" s="176"/>
    </row>
    <row r="20" spans="1:19" ht="19.5" customHeight="1">
      <c r="A20" s="160"/>
      <c r="B20" s="156"/>
      <c r="C20" s="156"/>
      <c r="D20" s="156"/>
      <c r="E20" s="156"/>
      <c r="F20" s="156"/>
      <c r="G20" s="156"/>
      <c r="H20" s="156"/>
      <c r="I20" s="156"/>
      <c r="J20" s="156"/>
      <c r="K20" s="156"/>
      <c r="L20" s="156"/>
      <c r="M20" s="156"/>
      <c r="N20" s="156"/>
      <c r="O20" s="156"/>
      <c r="P20" s="156"/>
      <c r="Q20" s="156"/>
      <c r="R20" s="161"/>
      <c r="S20" s="176"/>
    </row>
    <row r="21" spans="1:19" ht="19.5" customHeight="1">
      <c r="A21" s="160"/>
      <c r="B21" s="156"/>
      <c r="C21" s="156"/>
      <c r="D21" s="156"/>
      <c r="E21" s="156"/>
      <c r="F21" s="156"/>
      <c r="G21" s="156"/>
      <c r="H21" s="156"/>
      <c r="I21" s="156"/>
      <c r="J21" s="156"/>
      <c r="K21" s="156"/>
      <c r="L21" s="156"/>
      <c r="M21" s="156"/>
      <c r="N21" s="156"/>
      <c r="O21" s="156"/>
      <c r="P21" s="156"/>
      <c r="Q21" s="156"/>
      <c r="R21" s="161"/>
      <c r="S21" s="176"/>
    </row>
    <row r="22" spans="1:19" ht="19.5" customHeight="1">
      <c r="A22" s="160"/>
      <c r="B22" s="156"/>
      <c r="C22" s="156"/>
      <c r="D22" s="156"/>
      <c r="E22" s="156"/>
      <c r="F22" s="156"/>
      <c r="G22" s="156"/>
      <c r="H22" s="156"/>
      <c r="I22" s="156"/>
      <c r="J22" s="156"/>
      <c r="K22" s="156"/>
      <c r="L22" s="156"/>
      <c r="M22" s="156"/>
      <c r="N22" s="156"/>
      <c r="O22" s="156"/>
      <c r="P22" s="156"/>
      <c r="Q22" s="156"/>
      <c r="R22" s="161"/>
      <c r="S22" s="176"/>
    </row>
    <row r="23" spans="1:19" ht="19.5" customHeight="1">
      <c r="A23" s="160"/>
      <c r="B23" s="156"/>
      <c r="C23" s="156"/>
      <c r="D23" s="156"/>
      <c r="E23" s="156"/>
      <c r="F23" s="156"/>
      <c r="G23" s="156"/>
      <c r="H23" s="156"/>
      <c r="I23" s="156"/>
      <c r="J23" s="156"/>
      <c r="K23" s="156"/>
      <c r="L23" s="156"/>
      <c r="M23" s="156"/>
      <c r="N23" s="156"/>
      <c r="O23" s="156"/>
      <c r="P23" s="156"/>
      <c r="Q23" s="156"/>
      <c r="R23" s="161"/>
      <c r="S23" s="176"/>
    </row>
    <row r="24" spans="1:19" ht="19.5" customHeight="1">
      <c r="A24" s="160"/>
      <c r="B24" s="156"/>
      <c r="C24" s="156"/>
      <c r="D24" s="156"/>
      <c r="E24" s="156"/>
      <c r="F24" s="156"/>
      <c r="G24" s="156"/>
      <c r="H24" s="156"/>
      <c r="I24" s="156"/>
      <c r="J24" s="156"/>
      <c r="K24" s="156"/>
      <c r="L24" s="156"/>
      <c r="M24" s="156"/>
      <c r="N24" s="156"/>
      <c r="O24" s="156"/>
      <c r="P24" s="156"/>
      <c r="Q24" s="156"/>
      <c r="R24" s="161"/>
      <c r="S24" s="176"/>
    </row>
    <row r="25" spans="1:19" ht="19.5" customHeight="1">
      <c r="A25" s="160"/>
      <c r="B25" s="156"/>
      <c r="C25" s="156"/>
      <c r="D25" s="156"/>
      <c r="E25" s="156"/>
      <c r="F25" s="156"/>
      <c r="G25" s="156"/>
      <c r="H25" s="156"/>
      <c r="I25" s="156"/>
      <c r="J25" s="156"/>
      <c r="K25" s="156"/>
      <c r="L25" s="156"/>
      <c r="M25" s="156"/>
      <c r="N25" s="156"/>
      <c r="O25" s="156"/>
      <c r="P25" s="156"/>
      <c r="Q25" s="156"/>
      <c r="R25" s="161"/>
      <c r="S25" s="176"/>
    </row>
    <row r="26" spans="1:19" ht="19.5" customHeight="1">
      <c r="A26" s="160"/>
      <c r="B26" s="156"/>
      <c r="C26" s="156"/>
      <c r="D26" s="156"/>
      <c r="E26" s="156"/>
      <c r="F26" s="156"/>
      <c r="G26" s="156"/>
      <c r="H26" s="156"/>
      <c r="I26" s="156"/>
      <c r="J26" s="156"/>
      <c r="K26" s="156"/>
      <c r="L26" s="156"/>
      <c r="M26" s="156"/>
      <c r="N26" s="156"/>
      <c r="O26" s="156"/>
      <c r="P26" s="156"/>
      <c r="Q26" s="156"/>
      <c r="R26" s="161"/>
      <c r="S26" s="176"/>
    </row>
    <row r="27" spans="1:19" ht="19.5" customHeight="1">
      <c r="A27" s="160"/>
      <c r="B27" s="156"/>
      <c r="C27" s="156"/>
      <c r="D27" s="156"/>
      <c r="E27" s="156"/>
      <c r="F27" s="156"/>
      <c r="G27" s="156"/>
      <c r="H27" s="156"/>
      <c r="I27" s="156"/>
      <c r="J27" s="156"/>
      <c r="K27" s="156"/>
      <c r="L27" s="156"/>
      <c r="M27" s="156"/>
      <c r="N27" s="156"/>
      <c r="O27" s="156"/>
      <c r="P27" s="156"/>
      <c r="Q27" s="156"/>
      <c r="R27" s="161"/>
      <c r="S27" s="176"/>
    </row>
    <row r="28" spans="1:19" ht="19.5" customHeight="1">
      <c r="A28" s="160"/>
      <c r="B28" s="156"/>
      <c r="C28" s="156"/>
      <c r="D28" s="156"/>
      <c r="E28" s="156"/>
      <c r="F28" s="156"/>
      <c r="G28" s="156"/>
      <c r="H28" s="156"/>
      <c r="I28" s="156"/>
      <c r="J28" s="156"/>
      <c r="K28" s="156"/>
      <c r="L28" s="156"/>
      <c r="M28" s="156"/>
      <c r="N28" s="156"/>
      <c r="O28" s="156"/>
      <c r="P28" s="156"/>
      <c r="Q28" s="156"/>
      <c r="R28" s="161"/>
      <c r="S28" s="176"/>
    </row>
    <row r="29" spans="1:19" ht="19.5" customHeight="1">
      <c r="A29" s="160"/>
      <c r="B29" s="156"/>
      <c r="C29" s="156"/>
      <c r="D29" s="156"/>
      <c r="E29" s="156"/>
      <c r="F29" s="156"/>
      <c r="G29" s="156"/>
      <c r="H29" s="156"/>
      <c r="I29" s="156"/>
      <c r="J29" s="156"/>
      <c r="K29" s="156"/>
      <c r="L29" s="156"/>
      <c r="M29" s="156"/>
      <c r="N29" s="156"/>
      <c r="O29" s="156"/>
      <c r="P29" s="156"/>
      <c r="Q29" s="156"/>
      <c r="R29" s="161"/>
      <c r="S29" s="176"/>
    </row>
    <row r="30" spans="1:19" ht="19.5" customHeight="1" thickBot="1">
      <c r="A30" s="162"/>
      <c r="B30" s="155"/>
      <c r="C30" s="155"/>
      <c r="D30" s="155"/>
      <c r="E30" s="155"/>
      <c r="F30" s="155"/>
      <c r="G30" s="155"/>
      <c r="H30" s="155"/>
      <c r="I30" s="155"/>
      <c r="J30" s="155"/>
      <c r="K30" s="155"/>
      <c r="L30" s="155"/>
      <c r="M30" s="155"/>
      <c r="N30" s="155"/>
      <c r="O30" s="155"/>
      <c r="P30" s="155"/>
      <c r="Q30" s="155"/>
      <c r="R30" s="163"/>
      <c r="S30" s="176"/>
    </row>
    <row r="31" spans="1:19" ht="6" customHeight="1">
      <c r="A31" s="6"/>
      <c r="B31" s="7"/>
      <c r="C31" s="7"/>
      <c r="D31" s="7"/>
      <c r="E31" s="7"/>
      <c r="F31" s="7"/>
      <c r="G31" s="7"/>
      <c r="H31" s="7"/>
      <c r="I31" s="7"/>
      <c r="J31" s="7"/>
      <c r="K31" s="7"/>
      <c r="L31" s="7"/>
      <c r="M31" s="7"/>
      <c r="N31" s="7"/>
      <c r="O31" s="7"/>
      <c r="P31" s="7"/>
      <c r="Q31" s="7"/>
      <c r="R31" s="12"/>
      <c r="S31" s="176"/>
    </row>
    <row r="32" spans="1:19" ht="19.5" customHeight="1">
      <c r="A32" s="47" t="s">
        <v>424</v>
      </c>
      <c r="B32" s="7"/>
      <c r="C32" s="7"/>
      <c r="D32" s="7"/>
      <c r="E32" s="7"/>
      <c r="F32" s="7"/>
      <c r="G32" s="7"/>
      <c r="H32" s="7"/>
      <c r="I32" s="7"/>
      <c r="J32" s="7"/>
      <c r="K32" s="7"/>
      <c r="L32" s="7"/>
      <c r="M32" s="7"/>
      <c r="N32" s="7"/>
      <c r="O32" s="7"/>
      <c r="P32" s="7"/>
      <c r="Q32" s="7"/>
      <c r="R32" s="12"/>
      <c r="S32" s="176"/>
    </row>
    <row r="33" spans="1:19" ht="7.5" customHeight="1">
      <c r="A33" s="6"/>
      <c r="B33" s="7"/>
      <c r="C33" s="7"/>
      <c r="D33" s="7"/>
      <c r="E33" s="7"/>
      <c r="F33" s="7"/>
      <c r="G33" s="7"/>
      <c r="H33" s="7"/>
      <c r="I33" s="7"/>
      <c r="J33" s="7"/>
      <c r="K33" s="7"/>
      <c r="L33" s="7"/>
      <c r="M33" s="7"/>
      <c r="N33" s="7"/>
      <c r="O33" s="7"/>
      <c r="P33" s="7"/>
      <c r="Q33" s="7"/>
      <c r="R33" s="12"/>
      <c r="S33" s="176"/>
    </row>
    <row r="34" spans="1:19" ht="17.25" customHeight="1">
      <c r="A34" s="48" t="s">
        <v>426</v>
      </c>
      <c r="B34" s="7"/>
      <c r="C34" s="7"/>
      <c r="D34" s="7"/>
      <c r="E34" s="7"/>
      <c r="F34" s="7"/>
      <c r="G34" s="7"/>
      <c r="H34" s="7"/>
      <c r="I34" s="7"/>
      <c r="J34" s="7"/>
      <c r="K34" s="7"/>
      <c r="L34" s="7"/>
      <c r="M34" s="7"/>
      <c r="N34" s="7"/>
      <c r="O34" s="7"/>
      <c r="P34" s="7"/>
      <c r="Q34" s="7"/>
      <c r="R34" s="12"/>
      <c r="S34" s="176"/>
    </row>
    <row r="35" spans="1:19" ht="15.75" customHeight="1">
      <c r="A35" s="48" t="s">
        <v>425</v>
      </c>
      <c r="B35" s="7"/>
      <c r="C35" s="7"/>
      <c r="D35" s="7"/>
      <c r="E35" s="7"/>
      <c r="F35" s="7"/>
      <c r="G35" s="7"/>
      <c r="H35" s="7"/>
      <c r="I35" s="7"/>
      <c r="J35" s="7"/>
      <c r="K35" s="7"/>
      <c r="L35" s="7"/>
      <c r="M35" s="7"/>
      <c r="N35" s="7"/>
      <c r="O35" s="7"/>
      <c r="P35" s="7"/>
      <c r="Q35" s="7"/>
      <c r="R35" s="12"/>
      <c r="S35" s="176"/>
    </row>
    <row r="36" spans="1:19" ht="24" customHeight="1">
      <c r="A36" s="160" t="s">
        <v>31</v>
      </c>
      <c r="B36" s="156"/>
      <c r="C36" s="156"/>
      <c r="D36" s="156"/>
      <c r="E36" s="156"/>
      <c r="F36" s="156"/>
      <c r="G36" s="156"/>
      <c r="H36" s="156"/>
      <c r="I36" s="156"/>
      <c r="J36" s="156"/>
      <c r="K36" s="156"/>
      <c r="L36" s="156"/>
      <c r="M36" s="156"/>
      <c r="N36" s="156"/>
      <c r="O36" s="156"/>
      <c r="P36" s="156"/>
      <c r="Q36" s="156"/>
      <c r="R36" s="161"/>
      <c r="S36" s="176"/>
    </row>
    <row r="37" spans="1:19" ht="19.5" customHeight="1">
      <c r="A37" s="160" t="s">
        <v>32</v>
      </c>
      <c r="B37" s="156"/>
      <c r="C37" s="156"/>
      <c r="D37" s="156"/>
      <c r="E37" s="156"/>
      <c r="F37" s="156"/>
      <c r="G37" s="156"/>
      <c r="H37" s="156"/>
      <c r="I37" s="156"/>
      <c r="J37" s="156"/>
      <c r="K37" s="156"/>
      <c r="L37" s="156"/>
      <c r="M37" s="156"/>
      <c r="N37" s="156"/>
      <c r="O37" s="156"/>
      <c r="P37" s="156"/>
      <c r="Q37" s="156"/>
      <c r="R37" s="161"/>
      <c r="S37" s="176"/>
    </row>
    <row r="38" spans="1:19" ht="19.5" customHeight="1">
      <c r="A38" s="160" t="s">
        <v>33</v>
      </c>
      <c r="B38" s="156"/>
      <c r="C38" s="156"/>
      <c r="D38" s="156"/>
      <c r="E38" s="156"/>
      <c r="F38" s="156"/>
      <c r="G38" s="156"/>
      <c r="H38" s="156"/>
      <c r="I38" s="156"/>
      <c r="J38" s="156"/>
      <c r="K38" s="156"/>
      <c r="L38" s="156"/>
      <c r="M38" s="156"/>
      <c r="N38" s="156"/>
      <c r="O38" s="156"/>
      <c r="P38" s="156"/>
      <c r="Q38" s="156"/>
      <c r="R38" s="161"/>
      <c r="S38" s="176"/>
    </row>
    <row r="39" spans="1:19" ht="19.5" customHeight="1">
      <c r="A39" s="160"/>
      <c r="B39" s="156"/>
      <c r="C39" s="156"/>
      <c r="D39" s="156"/>
      <c r="E39" s="156"/>
      <c r="F39" s="156"/>
      <c r="G39" s="156"/>
      <c r="H39" s="156"/>
      <c r="I39" s="156"/>
      <c r="J39" s="156"/>
      <c r="K39" s="156"/>
      <c r="L39" s="156"/>
      <c r="M39" s="156"/>
      <c r="N39" s="156"/>
      <c r="O39" s="156"/>
      <c r="P39" s="156"/>
      <c r="Q39" s="156"/>
      <c r="R39" s="161"/>
      <c r="S39" s="176"/>
    </row>
    <row r="40" spans="1:19" ht="19.5" customHeight="1">
      <c r="A40" s="160"/>
      <c r="B40" s="156"/>
      <c r="C40" s="156"/>
      <c r="D40" s="156"/>
      <c r="E40" s="156"/>
      <c r="F40" s="156"/>
      <c r="G40" s="156"/>
      <c r="H40" s="156"/>
      <c r="I40" s="156"/>
      <c r="J40" s="156"/>
      <c r="K40" s="156"/>
      <c r="L40" s="156"/>
      <c r="M40" s="156"/>
      <c r="N40" s="156"/>
      <c r="O40" s="156"/>
      <c r="P40" s="156"/>
      <c r="Q40" s="156"/>
      <c r="R40" s="161"/>
      <c r="S40" s="176"/>
    </row>
    <row r="41" spans="1:19" ht="19.5" customHeight="1">
      <c r="A41" s="160"/>
      <c r="B41" s="156"/>
      <c r="C41" s="156"/>
      <c r="D41" s="156"/>
      <c r="E41" s="156"/>
      <c r="F41" s="156"/>
      <c r="G41" s="156"/>
      <c r="H41" s="156"/>
      <c r="I41" s="156"/>
      <c r="J41" s="156"/>
      <c r="K41" s="156"/>
      <c r="L41" s="156"/>
      <c r="M41" s="156"/>
      <c r="N41" s="156"/>
      <c r="O41" s="156"/>
      <c r="P41" s="156"/>
      <c r="Q41" s="156"/>
      <c r="R41" s="161"/>
      <c r="S41" s="176"/>
    </row>
    <row r="42" spans="1:19" ht="19.5" customHeight="1">
      <c r="A42" s="160"/>
      <c r="B42" s="156"/>
      <c r="C42" s="156"/>
      <c r="D42" s="156"/>
      <c r="E42" s="156"/>
      <c r="F42" s="156"/>
      <c r="G42" s="156"/>
      <c r="H42" s="156"/>
      <c r="I42" s="156"/>
      <c r="J42" s="156"/>
      <c r="K42" s="156"/>
      <c r="L42" s="156"/>
      <c r="M42" s="156"/>
      <c r="N42" s="156"/>
      <c r="O42" s="156"/>
      <c r="P42" s="156"/>
      <c r="Q42" s="156"/>
      <c r="R42" s="161"/>
      <c r="S42" s="176"/>
    </row>
    <row r="43" spans="1:19" ht="19.5" customHeight="1">
      <c r="A43" s="160"/>
      <c r="B43" s="156"/>
      <c r="C43" s="156"/>
      <c r="D43" s="156"/>
      <c r="E43" s="156"/>
      <c r="F43" s="156"/>
      <c r="G43" s="156"/>
      <c r="H43" s="156"/>
      <c r="I43" s="156"/>
      <c r="J43" s="156"/>
      <c r="K43" s="156"/>
      <c r="L43" s="156"/>
      <c r="M43" s="156"/>
      <c r="N43" s="156"/>
      <c r="O43" s="156"/>
      <c r="P43" s="156"/>
      <c r="Q43" s="156"/>
      <c r="R43" s="161"/>
      <c r="S43" s="176"/>
    </row>
    <row r="44" spans="1:19" ht="19.5" customHeight="1">
      <c r="A44" s="160"/>
      <c r="B44" s="156"/>
      <c r="C44" s="156"/>
      <c r="D44" s="156"/>
      <c r="E44" s="156"/>
      <c r="F44" s="156"/>
      <c r="G44" s="156"/>
      <c r="H44" s="156"/>
      <c r="I44" s="156"/>
      <c r="J44" s="156"/>
      <c r="K44" s="156"/>
      <c r="L44" s="156"/>
      <c r="M44" s="156"/>
      <c r="N44" s="156"/>
      <c r="O44" s="156"/>
      <c r="P44" s="156"/>
      <c r="Q44" s="156"/>
      <c r="R44" s="161"/>
      <c r="S44" s="176"/>
    </row>
    <row r="45" spans="1:19" ht="19.5" customHeight="1">
      <c r="A45" s="160"/>
      <c r="B45" s="156"/>
      <c r="C45" s="156"/>
      <c r="D45" s="156"/>
      <c r="E45" s="156"/>
      <c r="F45" s="156"/>
      <c r="G45" s="156"/>
      <c r="H45" s="156"/>
      <c r="I45" s="156"/>
      <c r="J45" s="156"/>
      <c r="K45" s="156"/>
      <c r="L45" s="156"/>
      <c r="M45" s="156"/>
      <c r="N45" s="156"/>
      <c r="O45" s="156"/>
      <c r="P45" s="156"/>
      <c r="Q45" s="156"/>
      <c r="R45" s="161"/>
      <c r="S45" s="176"/>
    </row>
    <row r="46" spans="1:19" ht="19.5" customHeight="1">
      <c r="A46" s="160"/>
      <c r="B46" s="156"/>
      <c r="C46" s="156"/>
      <c r="D46" s="156"/>
      <c r="E46" s="156"/>
      <c r="F46" s="156"/>
      <c r="G46" s="156"/>
      <c r="H46" s="156"/>
      <c r="I46" s="156"/>
      <c r="J46" s="156"/>
      <c r="K46" s="156"/>
      <c r="L46" s="156"/>
      <c r="M46" s="156"/>
      <c r="N46" s="156"/>
      <c r="O46" s="156"/>
      <c r="P46" s="156"/>
      <c r="Q46" s="156"/>
      <c r="R46" s="161"/>
      <c r="S46" s="176"/>
    </row>
    <row r="47" spans="1:19" ht="19.5" customHeight="1">
      <c r="A47" s="160"/>
      <c r="B47" s="156"/>
      <c r="C47" s="156"/>
      <c r="D47" s="156"/>
      <c r="E47" s="156"/>
      <c r="F47" s="156"/>
      <c r="G47" s="156"/>
      <c r="H47" s="156"/>
      <c r="I47" s="156"/>
      <c r="J47" s="156"/>
      <c r="K47" s="156"/>
      <c r="L47" s="156"/>
      <c r="M47" s="156"/>
      <c r="N47" s="156"/>
      <c r="O47" s="156"/>
      <c r="P47" s="156"/>
      <c r="Q47" s="156"/>
      <c r="R47" s="161"/>
      <c r="S47" s="176"/>
    </row>
    <row r="48" spans="1:19" ht="19.5" customHeight="1">
      <c r="A48" s="160"/>
      <c r="B48" s="156"/>
      <c r="C48" s="156"/>
      <c r="D48" s="156"/>
      <c r="E48" s="156"/>
      <c r="F48" s="156"/>
      <c r="G48" s="156"/>
      <c r="H48" s="156"/>
      <c r="I48" s="156"/>
      <c r="J48" s="156"/>
      <c r="K48" s="156"/>
      <c r="L48" s="156"/>
      <c r="M48" s="156"/>
      <c r="N48" s="156"/>
      <c r="O48" s="156"/>
      <c r="P48" s="156"/>
      <c r="Q48" s="156"/>
      <c r="R48" s="161"/>
      <c r="S48" s="176"/>
    </row>
    <row r="49" spans="1:19" ht="19.5" customHeight="1">
      <c r="A49" s="160"/>
      <c r="B49" s="156"/>
      <c r="C49" s="156"/>
      <c r="D49" s="156"/>
      <c r="E49" s="156"/>
      <c r="F49" s="156"/>
      <c r="G49" s="156"/>
      <c r="H49" s="156"/>
      <c r="I49" s="156"/>
      <c r="J49" s="156"/>
      <c r="K49" s="156"/>
      <c r="L49" s="156"/>
      <c r="M49" s="156"/>
      <c r="N49" s="156"/>
      <c r="O49" s="156"/>
      <c r="P49" s="156"/>
      <c r="Q49" s="156"/>
      <c r="R49" s="161"/>
      <c r="S49" s="176"/>
    </row>
    <row r="50" spans="1:19" ht="19.5" customHeight="1">
      <c r="A50" s="160"/>
      <c r="B50" s="156"/>
      <c r="C50" s="156"/>
      <c r="D50" s="156"/>
      <c r="E50" s="156"/>
      <c r="F50" s="156"/>
      <c r="G50" s="156"/>
      <c r="H50" s="156"/>
      <c r="I50" s="156"/>
      <c r="J50" s="156"/>
      <c r="K50" s="156"/>
      <c r="L50" s="156"/>
      <c r="M50" s="156"/>
      <c r="N50" s="156"/>
      <c r="O50" s="156"/>
      <c r="P50" s="156"/>
      <c r="Q50" s="156"/>
      <c r="R50" s="161"/>
      <c r="S50" s="176"/>
    </row>
    <row r="51" spans="1:19" ht="19.5" customHeight="1">
      <c r="A51" s="160"/>
      <c r="B51" s="156"/>
      <c r="C51" s="156"/>
      <c r="D51" s="156"/>
      <c r="E51" s="156"/>
      <c r="F51" s="156"/>
      <c r="G51" s="156"/>
      <c r="H51" s="156"/>
      <c r="I51" s="156"/>
      <c r="J51" s="156"/>
      <c r="K51" s="156"/>
      <c r="L51" s="156"/>
      <c r="M51" s="156"/>
      <c r="N51" s="156"/>
      <c r="O51" s="156"/>
      <c r="P51" s="156"/>
      <c r="Q51" s="156"/>
      <c r="R51" s="161"/>
      <c r="S51" s="176"/>
    </row>
    <row r="52" spans="1:19" ht="19.5" customHeight="1">
      <c r="A52" s="160"/>
      <c r="B52" s="156"/>
      <c r="C52" s="156"/>
      <c r="D52" s="156"/>
      <c r="E52" s="156"/>
      <c r="F52" s="156"/>
      <c r="G52" s="156"/>
      <c r="H52" s="156"/>
      <c r="I52" s="156"/>
      <c r="J52" s="156"/>
      <c r="K52" s="156"/>
      <c r="L52" s="156"/>
      <c r="M52" s="156"/>
      <c r="N52" s="156"/>
      <c r="O52" s="156"/>
      <c r="P52" s="156"/>
      <c r="Q52" s="156"/>
      <c r="R52" s="161"/>
      <c r="S52" s="176"/>
    </row>
    <row r="53" spans="1:19" ht="19.5" customHeight="1">
      <c r="A53" s="160"/>
      <c r="B53" s="156"/>
      <c r="C53" s="156"/>
      <c r="D53" s="156"/>
      <c r="E53" s="156"/>
      <c r="F53" s="156"/>
      <c r="G53" s="156"/>
      <c r="H53" s="156"/>
      <c r="I53" s="156"/>
      <c r="J53" s="156"/>
      <c r="K53" s="156"/>
      <c r="L53" s="156"/>
      <c r="M53" s="156"/>
      <c r="N53" s="156"/>
      <c r="O53" s="156"/>
      <c r="P53" s="156"/>
      <c r="Q53" s="156"/>
      <c r="R53" s="161"/>
      <c r="S53" s="176"/>
    </row>
    <row r="54" spans="1:19" ht="19.5" customHeight="1" thickBot="1">
      <c r="A54" s="164"/>
      <c r="B54" s="165"/>
      <c r="C54" s="165"/>
      <c r="D54" s="165"/>
      <c r="E54" s="165"/>
      <c r="F54" s="165"/>
      <c r="G54" s="165"/>
      <c r="H54" s="165"/>
      <c r="I54" s="165"/>
      <c r="J54" s="165"/>
      <c r="K54" s="165"/>
      <c r="L54" s="165"/>
      <c r="M54" s="165"/>
      <c r="N54" s="165"/>
      <c r="O54" s="165"/>
      <c r="P54" s="165"/>
      <c r="Q54" s="165"/>
      <c r="R54" s="166"/>
      <c r="S54" s="176"/>
    </row>
    <row r="55" spans="1:19" ht="13.5" thickTop="1">
      <c r="A55" s="176"/>
      <c r="B55" s="176"/>
      <c r="C55" s="176"/>
      <c r="D55" s="176"/>
      <c r="E55" s="176"/>
      <c r="F55" s="176"/>
      <c r="G55" s="176"/>
      <c r="H55" s="176"/>
      <c r="I55" s="176"/>
      <c r="J55" s="176"/>
      <c r="K55" s="176"/>
      <c r="L55" s="176"/>
      <c r="M55" s="176"/>
      <c r="N55" s="176"/>
      <c r="O55" s="176"/>
      <c r="P55" s="176"/>
      <c r="Q55" s="176"/>
      <c r="R55" s="176"/>
      <c r="S55" s="176"/>
    </row>
    <row r="56" spans="1:19" ht="12.75">
      <c r="A56" s="176"/>
      <c r="B56" s="176"/>
      <c r="C56" s="176"/>
      <c r="D56" s="176"/>
      <c r="E56" s="176"/>
      <c r="F56" s="176"/>
      <c r="G56" s="176"/>
      <c r="H56" s="176"/>
      <c r="I56" s="176"/>
      <c r="J56" s="176"/>
      <c r="K56" s="176"/>
      <c r="L56" s="176"/>
      <c r="M56" s="176"/>
      <c r="N56" s="176"/>
      <c r="O56" s="176"/>
      <c r="P56" s="176"/>
      <c r="Q56" s="176"/>
      <c r="R56" s="176"/>
      <c r="S56" s="176"/>
    </row>
    <row r="57" spans="1:19" ht="12.75">
      <c r="A57" s="176"/>
      <c r="B57" s="176"/>
      <c r="C57" s="176"/>
      <c r="D57" s="176"/>
      <c r="E57" s="176"/>
      <c r="F57" s="176"/>
      <c r="G57" s="176"/>
      <c r="H57" s="176"/>
      <c r="I57" s="176"/>
      <c r="J57" s="176"/>
      <c r="K57" s="176"/>
      <c r="L57" s="176"/>
      <c r="M57" s="176"/>
      <c r="N57" s="176"/>
      <c r="O57" s="176"/>
      <c r="P57" s="176"/>
      <c r="Q57" s="176"/>
      <c r="R57" s="176"/>
      <c r="S57" s="176"/>
    </row>
    <row r="58" spans="1:19" ht="12.75">
      <c r="A58" s="176"/>
      <c r="B58" s="176"/>
      <c r="C58" s="176"/>
      <c r="D58" s="176"/>
      <c r="E58" s="176"/>
      <c r="F58" s="176"/>
      <c r="G58" s="176"/>
      <c r="H58" s="176"/>
      <c r="I58" s="176"/>
      <c r="J58" s="176"/>
      <c r="K58" s="176"/>
      <c r="L58" s="176"/>
      <c r="M58" s="176"/>
      <c r="N58" s="176"/>
      <c r="O58" s="176"/>
      <c r="P58" s="176"/>
      <c r="Q58" s="176"/>
      <c r="R58" s="176"/>
      <c r="S58" s="176"/>
    </row>
  </sheetData>
  <sheetProtection sheet="1" objects="1" scenarios="1"/>
  <mergeCells count="1">
    <mergeCell ref="G1:I1"/>
  </mergeCells>
  <printOptions horizontalCentered="1"/>
  <pageMargins left="0.3937007874015748" right="0.3937007874015748" top="0.3937007874015748" bottom="0.3937007874015748" header="0" footer="0"/>
  <pageSetup fitToHeight="1" fitToWidth="1" horizontalDpi="600" verticalDpi="600" orientation="portrait" scale="73" r:id="rId1"/>
</worksheet>
</file>

<file path=xl/worksheets/sheet7.xml><?xml version="1.0" encoding="utf-8"?>
<worksheet xmlns="http://schemas.openxmlformats.org/spreadsheetml/2006/main" xmlns:r="http://schemas.openxmlformats.org/officeDocument/2006/relationships">
  <sheetPr>
    <pageSetUpPr fitToPage="1"/>
  </sheetPr>
  <dimension ref="A1:S58"/>
  <sheetViews>
    <sheetView showGridLines="0" zoomScale="75" zoomScaleNormal="75" workbookViewId="0" topLeftCell="A1">
      <selection activeCell="D1" sqref="D1"/>
    </sheetView>
  </sheetViews>
  <sheetFormatPr defaultColWidth="11.421875" defaultRowHeight="12.75"/>
  <cols>
    <col min="1" max="1" width="8.8515625" style="0" customWidth="1"/>
    <col min="2" max="2" width="7.7109375" style="0" customWidth="1"/>
    <col min="3" max="5" width="8.8515625" style="0" customWidth="1"/>
    <col min="6" max="6" width="3.00390625" style="0" customWidth="1"/>
    <col min="7" max="7" width="8.8515625" style="0" customWidth="1"/>
    <col min="8" max="8" width="3.140625" style="0" customWidth="1"/>
    <col min="10" max="12" width="8.8515625" style="0" customWidth="1"/>
    <col min="13" max="13" width="3.7109375" style="0" customWidth="1"/>
    <col min="14" max="14" width="8.421875" style="0" customWidth="1"/>
    <col min="15" max="15" width="8.140625" style="0" customWidth="1"/>
    <col min="16" max="17" width="8.8515625" style="0" customWidth="1"/>
    <col min="18" max="18" width="2.28125" style="0" customWidth="1"/>
    <col min="19" max="16384" width="8.8515625" style="0" customWidth="1"/>
  </cols>
  <sheetData>
    <row r="1" spans="1:19" ht="17.25" thickBot="1" thickTop="1">
      <c r="A1" s="920" t="s">
        <v>541</v>
      </c>
      <c r="B1" s="177"/>
      <c r="C1" s="173"/>
      <c r="D1" s="173"/>
      <c r="E1" s="183"/>
      <c r="F1" s="176"/>
      <c r="G1" s="184"/>
      <c r="H1" s="176"/>
      <c r="I1" s="964" t="s">
        <v>471</v>
      </c>
      <c r="J1" s="965"/>
      <c r="K1" s="966"/>
      <c r="L1" s="176"/>
      <c r="M1" s="176"/>
      <c r="N1" s="176"/>
      <c r="O1" s="176"/>
      <c r="P1" s="176"/>
      <c r="Q1" s="186" t="s">
        <v>100</v>
      </c>
      <c r="R1" s="176"/>
      <c r="S1" s="176"/>
    </row>
    <row r="2" spans="1:19" ht="14.25" thickBot="1" thickTop="1">
      <c r="A2" s="176"/>
      <c r="B2" s="182"/>
      <c r="C2" s="182"/>
      <c r="D2" s="182"/>
      <c r="E2" s="176"/>
      <c r="F2" s="176"/>
      <c r="G2" s="176"/>
      <c r="H2" s="176"/>
      <c r="I2" s="176"/>
      <c r="J2" s="176"/>
      <c r="K2" s="176"/>
      <c r="L2" s="176"/>
      <c r="M2" s="176"/>
      <c r="N2" s="176"/>
      <c r="O2" s="176"/>
      <c r="P2" s="176"/>
      <c r="Q2" s="176"/>
      <c r="R2" s="176"/>
      <c r="S2" s="176"/>
    </row>
    <row r="3" spans="1:19" ht="9" customHeight="1" thickTop="1">
      <c r="A3" s="3"/>
      <c r="B3" s="4"/>
      <c r="C3" s="4"/>
      <c r="D3" s="4"/>
      <c r="E3" s="4"/>
      <c r="F3" s="4"/>
      <c r="G3" s="4"/>
      <c r="H3" s="4"/>
      <c r="I3" s="4"/>
      <c r="J3" s="4"/>
      <c r="K3" s="4"/>
      <c r="L3" s="4"/>
      <c r="M3" s="4"/>
      <c r="N3" s="4"/>
      <c r="O3" s="4"/>
      <c r="P3" s="4"/>
      <c r="Q3" s="4"/>
      <c r="R3" s="5"/>
      <c r="S3" s="176"/>
    </row>
    <row r="4" spans="1:19" ht="18">
      <c r="A4" s="6"/>
      <c r="B4" s="8"/>
      <c r="C4" s="8"/>
      <c r="D4" s="8"/>
      <c r="E4" s="42" t="s">
        <v>83</v>
      </c>
      <c r="F4" s="8"/>
      <c r="G4" s="8"/>
      <c r="H4" s="49"/>
      <c r="I4" s="8"/>
      <c r="J4" s="7"/>
      <c r="K4" s="8"/>
      <c r="L4" s="8"/>
      <c r="M4" s="8"/>
      <c r="N4" s="7"/>
      <c r="O4" s="50"/>
      <c r="P4" s="7"/>
      <c r="Q4" s="7"/>
      <c r="R4" s="12"/>
      <c r="S4" s="176"/>
    </row>
    <row r="5" spans="1:19" ht="13.5" thickBot="1">
      <c r="A5" s="45"/>
      <c r="B5" s="46"/>
      <c r="C5" s="46"/>
      <c r="D5" s="46"/>
      <c r="E5" s="46"/>
      <c r="F5" s="46"/>
      <c r="G5" s="46"/>
      <c r="H5" s="46"/>
      <c r="I5" s="46"/>
      <c r="J5" s="46"/>
      <c r="K5" s="46"/>
      <c r="L5" s="46"/>
      <c r="M5" s="46"/>
      <c r="N5" s="46"/>
      <c r="O5" s="46"/>
      <c r="P5" s="46"/>
      <c r="Q5" s="46"/>
      <c r="R5" s="53"/>
      <c r="S5" s="176"/>
    </row>
    <row r="6" spans="1:19" ht="6.75" customHeight="1" thickTop="1">
      <c r="A6" s="6"/>
      <c r="B6" s="7"/>
      <c r="C6" s="7"/>
      <c r="D6" s="7"/>
      <c r="E6" s="7"/>
      <c r="F6" s="7"/>
      <c r="G6" s="7"/>
      <c r="H6" s="7"/>
      <c r="I6" s="7"/>
      <c r="J6" s="7"/>
      <c r="K6" s="7"/>
      <c r="L6" s="7"/>
      <c r="M6" s="7"/>
      <c r="N6" s="7"/>
      <c r="O6" s="7"/>
      <c r="P6" s="7"/>
      <c r="Q6" s="7"/>
      <c r="R6" s="12"/>
      <c r="S6" s="176"/>
    </row>
    <row r="7" spans="1:19" ht="15.75" customHeight="1">
      <c r="A7" s="47" t="s">
        <v>101</v>
      </c>
      <c r="B7" s="7"/>
      <c r="C7" s="7"/>
      <c r="D7" s="7"/>
      <c r="E7" s="7"/>
      <c r="F7" s="7"/>
      <c r="G7" s="7"/>
      <c r="H7" s="7"/>
      <c r="I7" s="7"/>
      <c r="J7" s="7"/>
      <c r="K7" s="7"/>
      <c r="L7" s="7"/>
      <c r="M7" s="7"/>
      <c r="N7" s="7"/>
      <c r="O7" s="7"/>
      <c r="P7" s="7"/>
      <c r="Q7" s="7"/>
      <c r="R7" s="12"/>
      <c r="S7" s="176"/>
    </row>
    <row r="8" spans="1:19" ht="6.75" customHeight="1">
      <c r="A8" s="6"/>
      <c r="B8" s="7"/>
      <c r="C8" s="7"/>
      <c r="D8" s="7"/>
      <c r="E8" s="7"/>
      <c r="F8" s="7"/>
      <c r="G8" s="7"/>
      <c r="H8" s="7"/>
      <c r="I8" s="7"/>
      <c r="J8" s="7"/>
      <c r="K8" s="7"/>
      <c r="L8" s="7"/>
      <c r="M8" s="7"/>
      <c r="N8" s="7"/>
      <c r="O8" s="7"/>
      <c r="P8" s="7"/>
      <c r="Q8" s="7"/>
      <c r="R8" s="12"/>
      <c r="S8" s="176"/>
    </row>
    <row r="9" spans="1:19" ht="13.5" customHeight="1">
      <c r="A9" s="54" t="s">
        <v>102</v>
      </c>
      <c r="B9" s="7"/>
      <c r="C9" s="7"/>
      <c r="D9" s="7"/>
      <c r="E9" s="7"/>
      <c r="F9" s="7"/>
      <c r="G9" s="7"/>
      <c r="H9" s="7"/>
      <c r="I9" s="7"/>
      <c r="J9" s="7"/>
      <c r="K9" s="7"/>
      <c r="L9" s="7"/>
      <c r="M9" s="7"/>
      <c r="N9" s="7"/>
      <c r="O9" s="7"/>
      <c r="P9" s="7"/>
      <c r="Q9" s="7"/>
      <c r="R9" s="12"/>
      <c r="S9" s="176"/>
    </row>
    <row r="10" spans="1:19" ht="13.5" customHeight="1">
      <c r="A10" s="54" t="s">
        <v>103</v>
      </c>
      <c r="B10" s="7"/>
      <c r="C10" s="7"/>
      <c r="D10" s="7"/>
      <c r="E10" s="7"/>
      <c r="F10" s="7"/>
      <c r="G10" s="7"/>
      <c r="H10" s="7"/>
      <c r="I10" s="7"/>
      <c r="J10" s="7"/>
      <c r="K10" s="7"/>
      <c r="L10" s="7"/>
      <c r="M10" s="7"/>
      <c r="N10" s="7"/>
      <c r="O10" s="7"/>
      <c r="P10" s="7"/>
      <c r="Q10" s="7"/>
      <c r="R10" s="12"/>
      <c r="S10" s="176"/>
    </row>
    <row r="11" spans="1:19" ht="13.5" customHeight="1">
      <c r="A11" s="54" t="s">
        <v>104</v>
      </c>
      <c r="B11" s="7"/>
      <c r="C11" s="7"/>
      <c r="D11" s="7"/>
      <c r="E11" s="7"/>
      <c r="F11" s="7"/>
      <c r="G11" s="7"/>
      <c r="H11" s="7"/>
      <c r="I11" s="7"/>
      <c r="J11" s="7"/>
      <c r="K11" s="7"/>
      <c r="L11" s="7"/>
      <c r="M11" s="7"/>
      <c r="N11" s="7"/>
      <c r="O11" s="7"/>
      <c r="P11" s="7"/>
      <c r="Q11" s="7"/>
      <c r="R11" s="12"/>
      <c r="S11" s="176"/>
    </row>
    <row r="12" spans="1:19" ht="26.25" customHeight="1">
      <c r="A12" s="160" t="s">
        <v>34</v>
      </c>
      <c r="B12" s="156"/>
      <c r="C12" s="156"/>
      <c r="D12" s="156"/>
      <c r="E12" s="156"/>
      <c r="F12" s="156"/>
      <c r="G12" s="156"/>
      <c r="H12" s="156"/>
      <c r="I12" s="156"/>
      <c r="J12" s="156"/>
      <c r="K12" s="156"/>
      <c r="L12" s="156"/>
      <c r="M12" s="156"/>
      <c r="N12" s="156"/>
      <c r="O12" s="156"/>
      <c r="P12" s="156"/>
      <c r="Q12" s="156"/>
      <c r="R12" s="161"/>
      <c r="S12" s="176"/>
    </row>
    <row r="13" spans="1:19" ht="19.5" customHeight="1">
      <c r="A13" s="160" t="s">
        <v>35</v>
      </c>
      <c r="B13" s="156"/>
      <c r="C13" s="156"/>
      <c r="D13" s="156"/>
      <c r="E13" s="156"/>
      <c r="F13" s="156"/>
      <c r="G13" s="156"/>
      <c r="H13" s="156"/>
      <c r="I13" s="156"/>
      <c r="J13" s="156"/>
      <c r="K13" s="156"/>
      <c r="L13" s="156"/>
      <c r="M13" s="156"/>
      <c r="N13" s="156"/>
      <c r="O13" s="156"/>
      <c r="P13" s="156"/>
      <c r="Q13" s="156"/>
      <c r="R13" s="161"/>
      <c r="S13" s="176"/>
    </row>
    <row r="14" spans="1:19" ht="19.5" customHeight="1">
      <c r="A14" s="160" t="s">
        <v>36</v>
      </c>
      <c r="B14" s="156"/>
      <c r="C14" s="156"/>
      <c r="D14" s="156"/>
      <c r="E14" s="156"/>
      <c r="F14" s="156"/>
      <c r="G14" s="156"/>
      <c r="H14" s="156"/>
      <c r="I14" s="156"/>
      <c r="J14" s="156"/>
      <c r="K14" s="156"/>
      <c r="L14" s="156"/>
      <c r="M14" s="156"/>
      <c r="N14" s="156"/>
      <c r="O14" s="156"/>
      <c r="P14" s="156"/>
      <c r="Q14" s="156"/>
      <c r="R14" s="161"/>
      <c r="S14" s="176"/>
    </row>
    <row r="15" spans="1:19" ht="19.5" customHeight="1">
      <c r="A15" s="160" t="s">
        <v>37</v>
      </c>
      <c r="B15" s="156"/>
      <c r="C15" s="156"/>
      <c r="D15" s="156"/>
      <c r="E15" s="156"/>
      <c r="F15" s="156"/>
      <c r="G15" s="156"/>
      <c r="H15" s="156"/>
      <c r="I15" s="156"/>
      <c r="J15" s="156"/>
      <c r="K15" s="156"/>
      <c r="L15" s="156"/>
      <c r="M15" s="156"/>
      <c r="N15" s="156"/>
      <c r="O15" s="156"/>
      <c r="P15" s="156"/>
      <c r="Q15" s="156"/>
      <c r="R15" s="161"/>
      <c r="S15" s="176"/>
    </row>
    <row r="16" spans="1:19" ht="19.5" customHeight="1">
      <c r="A16" s="160" t="s">
        <v>38</v>
      </c>
      <c r="B16" s="156"/>
      <c r="C16" s="156"/>
      <c r="D16" s="156"/>
      <c r="E16" s="156"/>
      <c r="F16" s="156"/>
      <c r="G16" s="156"/>
      <c r="H16" s="156"/>
      <c r="I16" s="156"/>
      <c r="J16" s="156"/>
      <c r="K16" s="156"/>
      <c r="L16" s="156"/>
      <c r="M16" s="156"/>
      <c r="N16" s="156"/>
      <c r="O16" s="156"/>
      <c r="P16" s="156"/>
      <c r="Q16" s="156"/>
      <c r="R16" s="161"/>
      <c r="S16" s="176"/>
    </row>
    <row r="17" spans="1:19" ht="19.5" customHeight="1">
      <c r="A17" s="160" t="s">
        <v>39</v>
      </c>
      <c r="B17" s="156"/>
      <c r="C17" s="156"/>
      <c r="D17" s="156"/>
      <c r="E17" s="156"/>
      <c r="F17" s="156"/>
      <c r="G17" s="156"/>
      <c r="H17" s="156"/>
      <c r="I17" s="156"/>
      <c r="J17" s="156"/>
      <c r="K17" s="156"/>
      <c r="L17" s="156"/>
      <c r="M17" s="156"/>
      <c r="N17" s="156"/>
      <c r="O17" s="156"/>
      <c r="P17" s="156"/>
      <c r="Q17" s="156"/>
      <c r="R17" s="161"/>
      <c r="S17" s="176"/>
    </row>
    <row r="18" spans="1:19" ht="19.5" customHeight="1">
      <c r="A18" s="160"/>
      <c r="B18" s="156"/>
      <c r="C18" s="156"/>
      <c r="D18" s="156"/>
      <c r="E18" s="156"/>
      <c r="F18" s="156"/>
      <c r="G18" s="156"/>
      <c r="H18" s="156"/>
      <c r="I18" s="156"/>
      <c r="J18" s="156"/>
      <c r="K18" s="156"/>
      <c r="L18" s="156"/>
      <c r="M18" s="156"/>
      <c r="N18" s="156"/>
      <c r="O18" s="156"/>
      <c r="P18" s="156"/>
      <c r="Q18" s="156"/>
      <c r="R18" s="161"/>
      <c r="S18" s="176"/>
    </row>
    <row r="19" spans="1:19" ht="19.5" customHeight="1">
      <c r="A19" s="160"/>
      <c r="B19" s="156"/>
      <c r="C19" s="156"/>
      <c r="D19" s="156"/>
      <c r="E19" s="156"/>
      <c r="F19" s="156"/>
      <c r="G19" s="156"/>
      <c r="H19" s="156"/>
      <c r="I19" s="156"/>
      <c r="J19" s="156"/>
      <c r="K19" s="156"/>
      <c r="L19" s="156"/>
      <c r="M19" s="156"/>
      <c r="N19" s="156"/>
      <c r="O19" s="156"/>
      <c r="P19" s="156"/>
      <c r="Q19" s="156"/>
      <c r="R19" s="161"/>
      <c r="S19" s="176"/>
    </row>
    <row r="20" spans="1:19" ht="19.5" customHeight="1">
      <c r="A20" s="160"/>
      <c r="B20" s="156"/>
      <c r="C20" s="156"/>
      <c r="D20" s="156"/>
      <c r="E20" s="156"/>
      <c r="F20" s="156"/>
      <c r="G20" s="156"/>
      <c r="H20" s="156"/>
      <c r="I20" s="156"/>
      <c r="J20" s="156"/>
      <c r="K20" s="156"/>
      <c r="L20" s="156"/>
      <c r="M20" s="156"/>
      <c r="N20" s="156"/>
      <c r="O20" s="156"/>
      <c r="P20" s="156"/>
      <c r="Q20" s="156"/>
      <c r="R20" s="161"/>
      <c r="S20" s="176"/>
    </row>
    <row r="21" spans="1:19" ht="19.5" customHeight="1">
      <c r="A21" s="160"/>
      <c r="B21" s="156"/>
      <c r="C21" s="156"/>
      <c r="D21" s="156"/>
      <c r="E21" s="156"/>
      <c r="F21" s="156"/>
      <c r="G21" s="156"/>
      <c r="H21" s="156"/>
      <c r="I21" s="156"/>
      <c r="J21" s="156"/>
      <c r="K21" s="156"/>
      <c r="L21" s="156"/>
      <c r="M21" s="156"/>
      <c r="N21" s="156"/>
      <c r="O21" s="156"/>
      <c r="P21" s="156"/>
      <c r="Q21" s="156"/>
      <c r="R21" s="161"/>
      <c r="S21" s="176"/>
    </row>
    <row r="22" spans="1:19" ht="19.5" customHeight="1">
      <c r="A22" s="160"/>
      <c r="B22" s="156"/>
      <c r="C22" s="156"/>
      <c r="D22" s="156"/>
      <c r="E22" s="156"/>
      <c r="F22" s="156"/>
      <c r="G22" s="156"/>
      <c r="H22" s="156"/>
      <c r="I22" s="156"/>
      <c r="J22" s="156"/>
      <c r="K22" s="156"/>
      <c r="L22" s="156"/>
      <c r="M22" s="156"/>
      <c r="N22" s="156"/>
      <c r="O22" s="156"/>
      <c r="P22" s="156"/>
      <c r="Q22" s="156"/>
      <c r="R22" s="161"/>
      <c r="S22" s="176"/>
    </row>
    <row r="23" spans="1:19" ht="19.5" customHeight="1">
      <c r="A23" s="160"/>
      <c r="B23" s="156"/>
      <c r="C23" s="156"/>
      <c r="D23" s="156"/>
      <c r="E23" s="156"/>
      <c r="F23" s="156"/>
      <c r="G23" s="156"/>
      <c r="H23" s="156"/>
      <c r="I23" s="156"/>
      <c r="J23" s="156"/>
      <c r="K23" s="156"/>
      <c r="L23" s="156"/>
      <c r="M23" s="156"/>
      <c r="N23" s="156"/>
      <c r="O23" s="156"/>
      <c r="P23" s="156"/>
      <c r="Q23" s="156"/>
      <c r="R23" s="161"/>
      <c r="S23" s="176"/>
    </row>
    <row r="24" spans="1:19" ht="19.5" customHeight="1">
      <c r="A24" s="160"/>
      <c r="B24" s="156"/>
      <c r="C24" s="156"/>
      <c r="D24" s="156"/>
      <c r="E24" s="156"/>
      <c r="F24" s="156"/>
      <c r="G24" s="156"/>
      <c r="H24" s="156"/>
      <c r="I24" s="156"/>
      <c r="J24" s="156"/>
      <c r="K24" s="156"/>
      <c r="L24" s="156"/>
      <c r="M24" s="156"/>
      <c r="N24" s="156"/>
      <c r="O24" s="156"/>
      <c r="P24" s="156"/>
      <c r="Q24" s="156"/>
      <c r="R24" s="161"/>
      <c r="S24" s="176"/>
    </row>
    <row r="25" spans="1:19" ht="19.5" customHeight="1">
      <c r="A25" s="160"/>
      <c r="B25" s="156"/>
      <c r="C25" s="156"/>
      <c r="D25" s="156"/>
      <c r="E25" s="156"/>
      <c r="F25" s="156"/>
      <c r="G25" s="156"/>
      <c r="H25" s="156"/>
      <c r="I25" s="156"/>
      <c r="J25" s="156"/>
      <c r="K25" s="156"/>
      <c r="L25" s="156"/>
      <c r="M25" s="156"/>
      <c r="N25" s="156"/>
      <c r="O25" s="156"/>
      <c r="P25" s="156"/>
      <c r="Q25" s="156"/>
      <c r="R25" s="161"/>
      <c r="S25" s="176"/>
    </row>
    <row r="26" spans="1:19" ht="19.5" customHeight="1">
      <c r="A26" s="160"/>
      <c r="B26" s="156"/>
      <c r="C26" s="156"/>
      <c r="D26" s="156"/>
      <c r="E26" s="156"/>
      <c r="F26" s="156"/>
      <c r="G26" s="156"/>
      <c r="H26" s="156"/>
      <c r="I26" s="156"/>
      <c r="J26" s="156"/>
      <c r="K26" s="156"/>
      <c r="L26" s="156"/>
      <c r="M26" s="156"/>
      <c r="N26" s="156"/>
      <c r="O26" s="156"/>
      <c r="P26" s="156"/>
      <c r="Q26" s="156"/>
      <c r="R26" s="161"/>
      <c r="S26" s="176"/>
    </row>
    <row r="27" spans="1:19" ht="19.5" customHeight="1">
      <c r="A27" s="160"/>
      <c r="B27" s="156"/>
      <c r="C27" s="156"/>
      <c r="D27" s="156"/>
      <c r="E27" s="156"/>
      <c r="F27" s="156"/>
      <c r="G27" s="156"/>
      <c r="H27" s="156"/>
      <c r="I27" s="156"/>
      <c r="J27" s="156"/>
      <c r="K27" s="156"/>
      <c r="L27" s="156"/>
      <c r="M27" s="156"/>
      <c r="N27" s="156"/>
      <c r="O27" s="156"/>
      <c r="P27" s="156"/>
      <c r="Q27" s="156"/>
      <c r="R27" s="161"/>
      <c r="S27" s="176"/>
    </row>
    <row r="28" spans="1:19" ht="19.5" customHeight="1">
      <c r="A28" s="160"/>
      <c r="B28" s="156"/>
      <c r="C28" s="156"/>
      <c r="D28" s="156"/>
      <c r="E28" s="156"/>
      <c r="F28" s="156"/>
      <c r="G28" s="156"/>
      <c r="H28" s="156"/>
      <c r="I28" s="156"/>
      <c r="J28" s="156"/>
      <c r="K28" s="156"/>
      <c r="L28" s="156"/>
      <c r="M28" s="156"/>
      <c r="N28" s="156"/>
      <c r="O28" s="156"/>
      <c r="P28" s="156"/>
      <c r="Q28" s="156"/>
      <c r="R28" s="161"/>
      <c r="S28" s="176"/>
    </row>
    <row r="29" spans="1:19" ht="19.5" customHeight="1">
      <c r="A29" s="160"/>
      <c r="B29" s="156"/>
      <c r="C29" s="156"/>
      <c r="D29" s="156"/>
      <c r="E29" s="156"/>
      <c r="F29" s="156"/>
      <c r="G29" s="156"/>
      <c r="H29" s="156"/>
      <c r="I29" s="156"/>
      <c r="J29" s="156"/>
      <c r="K29" s="156"/>
      <c r="L29" s="156"/>
      <c r="M29" s="156"/>
      <c r="N29" s="156"/>
      <c r="O29" s="156"/>
      <c r="P29" s="156"/>
      <c r="Q29" s="156"/>
      <c r="R29" s="161"/>
      <c r="S29" s="176"/>
    </row>
    <row r="30" spans="1:19" ht="19.5" customHeight="1" thickBot="1">
      <c r="A30" s="162"/>
      <c r="B30" s="155"/>
      <c r="C30" s="155"/>
      <c r="D30" s="155"/>
      <c r="E30" s="155"/>
      <c r="F30" s="155"/>
      <c r="G30" s="155"/>
      <c r="H30" s="155"/>
      <c r="I30" s="155"/>
      <c r="J30" s="155"/>
      <c r="K30" s="155"/>
      <c r="L30" s="155"/>
      <c r="M30" s="155"/>
      <c r="N30" s="155"/>
      <c r="O30" s="155"/>
      <c r="P30" s="155"/>
      <c r="Q30" s="155"/>
      <c r="R30" s="163"/>
      <c r="S30" s="176"/>
    </row>
    <row r="31" spans="1:19" ht="6" customHeight="1">
      <c r="A31" s="6"/>
      <c r="B31" s="7"/>
      <c r="C31" s="7"/>
      <c r="D31" s="7"/>
      <c r="E31" s="7"/>
      <c r="F31" s="7"/>
      <c r="G31" s="7"/>
      <c r="H31" s="7"/>
      <c r="I31" s="7"/>
      <c r="J31" s="7"/>
      <c r="K31" s="7"/>
      <c r="L31" s="7"/>
      <c r="M31" s="7"/>
      <c r="N31" s="7"/>
      <c r="O31" s="7"/>
      <c r="P31" s="7"/>
      <c r="Q31" s="7"/>
      <c r="R31" s="12"/>
      <c r="S31" s="176"/>
    </row>
    <row r="32" spans="1:19" ht="19.5" customHeight="1">
      <c r="A32" s="47" t="s">
        <v>105</v>
      </c>
      <c r="B32" s="7"/>
      <c r="C32" s="7"/>
      <c r="D32" s="7"/>
      <c r="E32" s="7"/>
      <c r="F32" s="7"/>
      <c r="G32" s="7"/>
      <c r="H32" s="7"/>
      <c r="I32" s="7"/>
      <c r="J32" s="7"/>
      <c r="K32" s="7"/>
      <c r="L32" s="7"/>
      <c r="M32" s="7"/>
      <c r="N32" s="7"/>
      <c r="O32" s="7"/>
      <c r="P32" s="7"/>
      <c r="Q32" s="7"/>
      <c r="R32" s="12"/>
      <c r="S32" s="176"/>
    </row>
    <row r="33" spans="1:19" ht="7.5" customHeight="1">
      <c r="A33" s="6"/>
      <c r="B33" s="7"/>
      <c r="C33" s="7"/>
      <c r="D33" s="7"/>
      <c r="E33" s="7"/>
      <c r="F33" s="7"/>
      <c r="G33" s="7"/>
      <c r="H33" s="7"/>
      <c r="I33" s="7"/>
      <c r="J33" s="7"/>
      <c r="K33" s="7"/>
      <c r="L33" s="7"/>
      <c r="M33" s="7"/>
      <c r="N33" s="7"/>
      <c r="O33" s="7"/>
      <c r="P33" s="7"/>
      <c r="Q33" s="7"/>
      <c r="R33" s="12"/>
      <c r="S33" s="176"/>
    </row>
    <row r="34" spans="1:19" ht="17.25" customHeight="1">
      <c r="A34" s="54" t="s">
        <v>522</v>
      </c>
      <c r="B34" s="7"/>
      <c r="C34" s="7"/>
      <c r="D34" s="7"/>
      <c r="E34" s="7"/>
      <c r="F34" s="7"/>
      <c r="G34" s="7"/>
      <c r="H34" s="7"/>
      <c r="I34" s="7"/>
      <c r="J34" s="7"/>
      <c r="K34" s="7"/>
      <c r="L34" s="7"/>
      <c r="M34" s="7"/>
      <c r="N34" s="7"/>
      <c r="O34" s="7"/>
      <c r="P34" s="7"/>
      <c r="Q34" s="7"/>
      <c r="R34" s="12"/>
      <c r="S34" s="176"/>
    </row>
    <row r="35" spans="1:19" ht="15.75" customHeight="1">
      <c r="A35" s="54" t="s">
        <v>523</v>
      </c>
      <c r="B35" s="7"/>
      <c r="C35" s="7"/>
      <c r="D35" s="7"/>
      <c r="E35" s="7"/>
      <c r="F35" s="7"/>
      <c r="G35" s="7"/>
      <c r="H35" s="7"/>
      <c r="I35" s="7"/>
      <c r="J35" s="7"/>
      <c r="K35" s="7"/>
      <c r="L35" s="7"/>
      <c r="M35" s="7"/>
      <c r="N35" s="7"/>
      <c r="O35" s="7"/>
      <c r="P35" s="7"/>
      <c r="Q35" s="7"/>
      <c r="R35" s="12"/>
      <c r="S35" s="176"/>
    </row>
    <row r="36" spans="1:19" ht="24" customHeight="1">
      <c r="A36" s="160" t="s">
        <v>40</v>
      </c>
      <c r="B36" s="156"/>
      <c r="C36" s="156"/>
      <c r="D36" s="156"/>
      <c r="E36" s="156"/>
      <c r="F36" s="156"/>
      <c r="G36" s="156"/>
      <c r="H36" s="156"/>
      <c r="I36" s="156"/>
      <c r="J36" s="156"/>
      <c r="K36" s="156"/>
      <c r="L36" s="156"/>
      <c r="M36" s="156"/>
      <c r="N36" s="156"/>
      <c r="O36" s="156"/>
      <c r="P36" s="156"/>
      <c r="Q36" s="156"/>
      <c r="R36" s="161"/>
      <c r="S36" s="176"/>
    </row>
    <row r="37" spans="1:19" ht="19.5" customHeight="1">
      <c r="A37" s="933" t="s">
        <v>43</v>
      </c>
      <c r="B37" s="933"/>
      <c r="C37" s="933"/>
      <c r="D37" s="933"/>
      <c r="E37" s="933"/>
      <c r="F37" s="933"/>
      <c r="G37" s="933"/>
      <c r="H37" s="933"/>
      <c r="I37" s="933"/>
      <c r="J37" s="933"/>
      <c r="K37" s="933"/>
      <c r="L37" s="933"/>
      <c r="M37" s="933"/>
      <c r="N37" s="933"/>
      <c r="O37" s="933"/>
      <c r="P37" s="933"/>
      <c r="Q37" s="933"/>
      <c r="R37" s="161"/>
      <c r="S37" s="176"/>
    </row>
    <row r="38" spans="1:19" ht="19.5" customHeight="1">
      <c r="A38" s="933" t="s">
        <v>44</v>
      </c>
      <c r="B38" s="933"/>
      <c r="C38" s="933"/>
      <c r="D38" s="933"/>
      <c r="E38" s="933"/>
      <c r="F38" s="933"/>
      <c r="G38" s="933"/>
      <c r="H38" s="933"/>
      <c r="I38" s="933"/>
      <c r="J38" s="933"/>
      <c r="K38" s="933"/>
      <c r="L38" s="933"/>
      <c r="M38" s="933"/>
      <c r="N38" s="933"/>
      <c r="O38" s="933"/>
      <c r="P38" s="933"/>
      <c r="Q38" s="933"/>
      <c r="R38" s="161"/>
      <c r="S38" s="176"/>
    </row>
    <row r="39" spans="1:19" ht="19.5" customHeight="1">
      <c r="A39" s="160" t="s">
        <v>46</v>
      </c>
      <c r="B39" s="156"/>
      <c r="C39" s="156"/>
      <c r="D39" s="156"/>
      <c r="E39" s="156"/>
      <c r="F39" s="156"/>
      <c r="G39" s="156"/>
      <c r="H39" s="156"/>
      <c r="I39" s="156"/>
      <c r="J39" s="156"/>
      <c r="K39" s="156"/>
      <c r="L39" s="156"/>
      <c r="M39" s="156"/>
      <c r="N39" s="156"/>
      <c r="O39" s="156"/>
      <c r="P39" s="156"/>
      <c r="Q39" s="156"/>
      <c r="R39" s="161"/>
      <c r="S39" s="176"/>
    </row>
    <row r="40" spans="1:19" ht="19.5" customHeight="1">
      <c r="A40" s="160" t="s">
        <v>45</v>
      </c>
      <c r="B40" s="156"/>
      <c r="C40" s="156"/>
      <c r="D40" s="156"/>
      <c r="E40" s="156"/>
      <c r="F40" s="156"/>
      <c r="G40" s="156"/>
      <c r="H40" s="156"/>
      <c r="I40" s="156"/>
      <c r="J40" s="156"/>
      <c r="K40" s="156"/>
      <c r="L40" s="156"/>
      <c r="M40" s="156"/>
      <c r="N40" s="156"/>
      <c r="O40" s="156"/>
      <c r="P40" s="156"/>
      <c r="Q40" s="156"/>
      <c r="R40" s="161"/>
      <c r="S40" s="176"/>
    </row>
    <row r="41" spans="1:19" ht="19.5" customHeight="1">
      <c r="A41" s="160" t="s">
        <v>42</v>
      </c>
      <c r="B41" s="156"/>
      <c r="C41" s="156"/>
      <c r="D41" s="156"/>
      <c r="E41" s="156"/>
      <c r="F41" s="156"/>
      <c r="G41" s="156"/>
      <c r="H41" s="156"/>
      <c r="I41" s="156"/>
      <c r="J41" s="156"/>
      <c r="K41" s="156"/>
      <c r="L41" s="156"/>
      <c r="M41" s="156"/>
      <c r="N41" s="156"/>
      <c r="O41" s="156"/>
      <c r="P41" s="156"/>
      <c r="Q41" s="156"/>
      <c r="R41" s="161"/>
      <c r="S41" s="176"/>
    </row>
    <row r="42" spans="1:19" ht="19.5" customHeight="1">
      <c r="A42" s="160" t="s">
        <v>41</v>
      </c>
      <c r="B42" s="156"/>
      <c r="C42" s="156"/>
      <c r="D42" s="156"/>
      <c r="E42" s="156"/>
      <c r="F42" s="156"/>
      <c r="G42" s="156"/>
      <c r="H42" s="156"/>
      <c r="I42" s="156"/>
      <c r="J42" s="156"/>
      <c r="K42" s="156"/>
      <c r="L42" s="156"/>
      <c r="M42" s="156"/>
      <c r="N42" s="156"/>
      <c r="O42" s="156"/>
      <c r="P42" s="156"/>
      <c r="Q42" s="156"/>
      <c r="R42" s="161"/>
      <c r="S42" s="176"/>
    </row>
    <row r="43" spans="1:19" ht="19.5" customHeight="1">
      <c r="A43" s="160" t="s">
        <v>47</v>
      </c>
      <c r="B43" s="156"/>
      <c r="C43" s="156"/>
      <c r="D43" s="156"/>
      <c r="E43" s="156"/>
      <c r="F43" s="156"/>
      <c r="G43" s="156"/>
      <c r="H43" s="156"/>
      <c r="I43" s="156"/>
      <c r="J43" s="156"/>
      <c r="K43" s="156"/>
      <c r="L43" s="156"/>
      <c r="M43" s="156"/>
      <c r="N43" s="156"/>
      <c r="O43" s="156"/>
      <c r="P43" s="156"/>
      <c r="Q43" s="156"/>
      <c r="R43" s="161"/>
      <c r="S43" s="176"/>
    </row>
    <row r="44" spans="1:19" ht="19.5" customHeight="1">
      <c r="A44" s="160" t="s">
        <v>48</v>
      </c>
      <c r="B44" s="156"/>
      <c r="C44" s="156"/>
      <c r="D44" s="156"/>
      <c r="E44" s="156"/>
      <c r="F44" s="156"/>
      <c r="G44" s="156"/>
      <c r="H44" s="156"/>
      <c r="I44" s="156"/>
      <c r="J44" s="156"/>
      <c r="K44" s="156"/>
      <c r="L44" s="156"/>
      <c r="M44" s="156"/>
      <c r="N44" s="156"/>
      <c r="O44" s="156"/>
      <c r="P44" s="156"/>
      <c r="Q44" s="156"/>
      <c r="R44" s="161"/>
      <c r="S44" s="176"/>
    </row>
    <row r="45" spans="1:19" ht="19.5" customHeight="1">
      <c r="A45" s="160"/>
      <c r="B45" s="156"/>
      <c r="C45" s="156"/>
      <c r="D45" s="156"/>
      <c r="E45" s="156"/>
      <c r="F45" s="156"/>
      <c r="G45" s="156"/>
      <c r="H45" s="156"/>
      <c r="I45" s="156"/>
      <c r="J45" s="156"/>
      <c r="K45" s="156"/>
      <c r="L45" s="156"/>
      <c r="M45" s="156"/>
      <c r="N45" s="156"/>
      <c r="O45" s="156"/>
      <c r="P45" s="156"/>
      <c r="Q45" s="156"/>
      <c r="R45" s="161"/>
      <c r="S45" s="176"/>
    </row>
    <row r="46" spans="1:19" ht="19.5" customHeight="1">
      <c r="A46" s="160"/>
      <c r="B46" s="156"/>
      <c r="C46" s="156"/>
      <c r="D46" s="156"/>
      <c r="E46" s="156"/>
      <c r="F46" s="156"/>
      <c r="G46" s="156"/>
      <c r="H46" s="156"/>
      <c r="I46" s="156"/>
      <c r="J46" s="156"/>
      <c r="K46" s="156"/>
      <c r="L46" s="156"/>
      <c r="M46" s="156"/>
      <c r="N46" s="156"/>
      <c r="O46" s="156"/>
      <c r="P46" s="156"/>
      <c r="Q46" s="156"/>
      <c r="R46" s="161"/>
      <c r="S46" s="176"/>
    </row>
    <row r="47" spans="1:19" ht="19.5" customHeight="1">
      <c r="A47" s="160"/>
      <c r="B47" s="156"/>
      <c r="C47" s="156"/>
      <c r="D47" s="156"/>
      <c r="E47" s="156"/>
      <c r="F47" s="156"/>
      <c r="G47" s="156"/>
      <c r="H47" s="156"/>
      <c r="I47" s="156"/>
      <c r="J47" s="156"/>
      <c r="K47" s="156"/>
      <c r="L47" s="156"/>
      <c r="M47" s="156"/>
      <c r="N47" s="156"/>
      <c r="O47" s="156"/>
      <c r="P47" s="156"/>
      <c r="Q47" s="156"/>
      <c r="R47" s="161"/>
      <c r="S47" s="176"/>
    </row>
    <row r="48" spans="1:19" ht="19.5" customHeight="1">
      <c r="A48" s="160"/>
      <c r="B48" s="156"/>
      <c r="C48" s="156"/>
      <c r="D48" s="156"/>
      <c r="E48" s="156"/>
      <c r="F48" s="156"/>
      <c r="G48" s="156"/>
      <c r="H48" s="156"/>
      <c r="I48" s="156"/>
      <c r="J48" s="156"/>
      <c r="K48" s="156"/>
      <c r="L48" s="156"/>
      <c r="M48" s="156"/>
      <c r="N48" s="156"/>
      <c r="O48" s="156"/>
      <c r="P48" s="156"/>
      <c r="Q48" s="156"/>
      <c r="R48" s="161"/>
      <c r="S48" s="176"/>
    </row>
    <row r="49" spans="1:19" ht="19.5" customHeight="1">
      <c r="A49" s="160"/>
      <c r="B49" s="156"/>
      <c r="C49" s="156"/>
      <c r="D49" s="156"/>
      <c r="E49" s="156"/>
      <c r="F49" s="156"/>
      <c r="G49" s="156"/>
      <c r="H49" s="156"/>
      <c r="I49" s="156"/>
      <c r="J49" s="156"/>
      <c r="K49" s="156"/>
      <c r="L49" s="156"/>
      <c r="M49" s="156"/>
      <c r="N49" s="156"/>
      <c r="O49" s="156"/>
      <c r="P49" s="156"/>
      <c r="Q49" s="156"/>
      <c r="R49" s="161"/>
      <c r="S49" s="176"/>
    </row>
    <row r="50" spans="1:19" ht="19.5" customHeight="1">
      <c r="A50" s="160"/>
      <c r="B50" s="156"/>
      <c r="C50" s="156"/>
      <c r="D50" s="156"/>
      <c r="E50" s="156"/>
      <c r="F50" s="156"/>
      <c r="G50" s="156"/>
      <c r="H50" s="156"/>
      <c r="I50" s="156"/>
      <c r="J50" s="156"/>
      <c r="K50" s="156"/>
      <c r="L50" s="156"/>
      <c r="M50" s="156"/>
      <c r="N50" s="156"/>
      <c r="O50" s="156"/>
      <c r="P50" s="156"/>
      <c r="Q50" s="156"/>
      <c r="R50" s="161"/>
      <c r="S50" s="176"/>
    </row>
    <row r="51" spans="1:19" ht="19.5" customHeight="1">
      <c r="A51" s="160"/>
      <c r="B51" s="156"/>
      <c r="C51" s="156"/>
      <c r="D51" s="156"/>
      <c r="E51" s="156"/>
      <c r="F51" s="156"/>
      <c r="G51" s="156"/>
      <c r="H51" s="156"/>
      <c r="I51" s="156"/>
      <c r="J51" s="156"/>
      <c r="K51" s="156"/>
      <c r="L51" s="156"/>
      <c r="M51" s="156"/>
      <c r="N51" s="156"/>
      <c r="O51" s="156"/>
      <c r="P51" s="156"/>
      <c r="Q51" s="156"/>
      <c r="R51" s="161"/>
      <c r="S51" s="176"/>
    </row>
    <row r="52" spans="1:19" ht="19.5" customHeight="1">
      <c r="A52" s="160"/>
      <c r="B52" s="156"/>
      <c r="C52" s="156"/>
      <c r="D52" s="156"/>
      <c r="E52" s="156"/>
      <c r="F52" s="156"/>
      <c r="G52" s="156"/>
      <c r="H52" s="156"/>
      <c r="I52" s="156"/>
      <c r="J52" s="156"/>
      <c r="K52" s="156"/>
      <c r="L52" s="156"/>
      <c r="M52" s="156"/>
      <c r="N52" s="156"/>
      <c r="O52" s="156"/>
      <c r="P52" s="156"/>
      <c r="Q52" s="156"/>
      <c r="R52" s="161"/>
      <c r="S52" s="176"/>
    </row>
    <row r="53" spans="1:19" ht="19.5" customHeight="1">
      <c r="A53" s="160"/>
      <c r="B53" s="156"/>
      <c r="C53" s="156"/>
      <c r="D53" s="156"/>
      <c r="E53" s="156"/>
      <c r="F53" s="156"/>
      <c r="G53" s="156"/>
      <c r="H53" s="156"/>
      <c r="I53" s="156"/>
      <c r="J53" s="156"/>
      <c r="K53" s="156"/>
      <c r="L53" s="156"/>
      <c r="M53" s="156"/>
      <c r="N53" s="156"/>
      <c r="O53" s="156"/>
      <c r="P53" s="156"/>
      <c r="Q53" s="156"/>
      <c r="R53" s="161"/>
      <c r="S53" s="176"/>
    </row>
    <row r="54" spans="1:19" ht="19.5" customHeight="1" thickBot="1">
      <c r="A54" s="164"/>
      <c r="B54" s="165"/>
      <c r="C54" s="165"/>
      <c r="D54" s="165"/>
      <c r="E54" s="165"/>
      <c r="F54" s="165"/>
      <c r="G54" s="165"/>
      <c r="H54" s="165"/>
      <c r="I54" s="165"/>
      <c r="J54" s="165"/>
      <c r="K54" s="165"/>
      <c r="L54" s="165"/>
      <c r="M54" s="165"/>
      <c r="N54" s="165"/>
      <c r="O54" s="165"/>
      <c r="P54" s="165"/>
      <c r="Q54" s="165"/>
      <c r="R54" s="166"/>
      <c r="S54" s="176"/>
    </row>
    <row r="55" spans="1:19" ht="13.5" thickTop="1">
      <c r="A55" s="176"/>
      <c r="B55" s="176"/>
      <c r="C55" s="176"/>
      <c r="D55" s="176"/>
      <c r="E55" s="176"/>
      <c r="F55" s="176"/>
      <c r="G55" s="176"/>
      <c r="H55" s="176"/>
      <c r="I55" s="176"/>
      <c r="J55" s="176"/>
      <c r="K55" s="176"/>
      <c r="L55" s="176"/>
      <c r="M55" s="176"/>
      <c r="N55" s="176"/>
      <c r="O55" s="176"/>
      <c r="P55" s="176"/>
      <c r="Q55" s="176"/>
      <c r="R55" s="176"/>
      <c r="S55" s="176"/>
    </row>
    <row r="56" spans="1:19" ht="12.75">
      <c r="A56" s="176"/>
      <c r="B56" s="176"/>
      <c r="C56" s="176"/>
      <c r="D56" s="176"/>
      <c r="E56" s="176"/>
      <c r="F56" s="176"/>
      <c r="G56" s="176"/>
      <c r="H56" s="176"/>
      <c r="I56" s="176"/>
      <c r="J56" s="176"/>
      <c r="K56" s="176"/>
      <c r="L56" s="176"/>
      <c r="M56" s="176"/>
      <c r="N56" s="176"/>
      <c r="O56" s="176"/>
      <c r="P56" s="176"/>
      <c r="Q56" s="176"/>
      <c r="R56" s="176"/>
      <c r="S56" s="176"/>
    </row>
    <row r="57" spans="1:19" ht="12.75">
      <c r="A57" s="176"/>
      <c r="B57" s="176"/>
      <c r="C57" s="176"/>
      <c r="D57" s="176"/>
      <c r="E57" s="176"/>
      <c r="F57" s="176"/>
      <c r="G57" s="176"/>
      <c r="H57" s="176"/>
      <c r="I57" s="176"/>
      <c r="J57" s="176"/>
      <c r="K57" s="176"/>
      <c r="L57" s="176"/>
      <c r="M57" s="176"/>
      <c r="N57" s="176"/>
      <c r="O57" s="176"/>
      <c r="P57" s="176"/>
      <c r="Q57" s="176"/>
      <c r="R57" s="176"/>
      <c r="S57" s="176"/>
    </row>
    <row r="58" spans="1:19" ht="12.75">
      <c r="A58" s="176"/>
      <c r="B58" s="176"/>
      <c r="C58" s="176"/>
      <c r="D58" s="176"/>
      <c r="E58" s="176"/>
      <c r="F58" s="176"/>
      <c r="G58" s="176"/>
      <c r="H58" s="176"/>
      <c r="I58" s="176"/>
      <c r="J58" s="176"/>
      <c r="K58" s="176"/>
      <c r="L58" s="176"/>
      <c r="M58" s="176"/>
      <c r="N58" s="176"/>
      <c r="O58" s="176"/>
      <c r="P58" s="176"/>
      <c r="Q58" s="176"/>
      <c r="R58" s="176"/>
      <c r="S58" s="176"/>
    </row>
  </sheetData>
  <sheetProtection sheet="1" objects="1" scenarios="1"/>
  <mergeCells count="1">
    <mergeCell ref="I1:K1"/>
  </mergeCells>
  <printOptions horizontalCentered="1"/>
  <pageMargins left="0.3937007874015748" right="0.3937007874015748" top="0.3937007874015748" bottom="0.3937007874015748" header="0" footer="0"/>
  <pageSetup fitToHeight="1" fitToWidth="1" horizontalDpi="600" verticalDpi="600" orientation="portrait" scale="73" r:id="rId1"/>
</worksheet>
</file>

<file path=xl/worksheets/sheet8.xml><?xml version="1.0" encoding="utf-8"?>
<worksheet xmlns="http://schemas.openxmlformats.org/spreadsheetml/2006/main" xmlns:r="http://schemas.openxmlformats.org/officeDocument/2006/relationships">
  <sheetPr>
    <pageSetUpPr fitToPage="1"/>
  </sheetPr>
  <dimension ref="A1:BB316"/>
  <sheetViews>
    <sheetView showGridLines="0" zoomScale="75" zoomScaleNormal="75" workbookViewId="0" topLeftCell="A16">
      <selection activeCell="G34" sqref="F34:G34"/>
    </sheetView>
  </sheetViews>
  <sheetFormatPr defaultColWidth="11.421875" defaultRowHeight="12.75"/>
  <cols>
    <col min="1" max="1" width="1.7109375" style="0" customWidth="1"/>
    <col min="2" max="2" width="9.28125" style="0" customWidth="1"/>
    <col min="3" max="3" width="5.7109375" style="0" customWidth="1"/>
    <col min="4" max="4" width="9.28125" style="0" customWidth="1"/>
    <col min="5" max="5" width="1.28515625" style="0" customWidth="1"/>
    <col min="6" max="6" width="13.7109375" style="0" customWidth="1"/>
    <col min="7" max="7" width="15.7109375" style="0" customWidth="1"/>
    <col min="8" max="8" width="16.00390625" style="0" customWidth="1"/>
    <col min="9" max="9" width="14.140625" style="0" customWidth="1"/>
    <col min="10" max="10" width="14.28125" style="0" customWidth="1"/>
    <col min="11" max="11" width="14.7109375" style="0" customWidth="1"/>
    <col min="12" max="12" width="14.00390625" style="0" customWidth="1"/>
    <col min="13" max="16" width="10.7109375" style="0" customWidth="1"/>
    <col min="17" max="17" width="10.421875" style="0" customWidth="1"/>
    <col min="18" max="18" width="1.421875" style="0" customWidth="1"/>
    <col min="19" max="19" width="8.8515625" style="0" customWidth="1"/>
    <col min="20" max="20" width="2.7109375" style="0" customWidth="1"/>
    <col min="21" max="21" width="8.8515625" style="0" customWidth="1"/>
    <col min="22" max="22" width="2.7109375" style="0" customWidth="1"/>
    <col min="23" max="23" width="8.8515625" style="0" customWidth="1"/>
    <col min="24" max="24" width="12.140625" style="0" customWidth="1"/>
    <col min="25" max="25" width="8.8515625" style="0" customWidth="1"/>
    <col min="26" max="37" width="10.7109375" style="0" customWidth="1"/>
    <col min="38" max="16384" width="8.8515625" style="0" customWidth="1"/>
  </cols>
  <sheetData>
    <row r="1" spans="1:21" ht="17.25" thickBot="1" thickTop="1">
      <c r="A1" s="920" t="s">
        <v>541</v>
      </c>
      <c r="B1" s="177"/>
      <c r="C1" s="173"/>
      <c r="D1" s="173"/>
      <c r="E1" s="173"/>
      <c r="F1" s="176"/>
      <c r="G1" s="173"/>
      <c r="H1" s="176"/>
      <c r="I1" s="176"/>
      <c r="J1" s="964" t="s">
        <v>471</v>
      </c>
      <c r="K1" s="965"/>
      <c r="L1" s="966"/>
      <c r="M1" s="176"/>
      <c r="N1" s="176"/>
      <c r="O1" s="176"/>
      <c r="P1" s="176"/>
      <c r="Q1" s="444" t="s">
        <v>371</v>
      </c>
      <c r="R1" s="232"/>
      <c r="S1" s="176"/>
      <c r="T1" s="176"/>
      <c r="U1" s="176"/>
    </row>
    <row r="2" spans="1:38" ht="24" thickTop="1">
      <c r="A2" s="177"/>
      <c r="B2" s="177"/>
      <c r="C2" s="173"/>
      <c r="D2" s="173"/>
      <c r="E2" s="173"/>
      <c r="F2" s="176"/>
      <c r="G2" s="173"/>
      <c r="H2" s="176"/>
      <c r="I2" s="176"/>
      <c r="J2" s="176"/>
      <c r="K2" s="176"/>
      <c r="L2" s="308"/>
      <c r="M2" s="176"/>
      <c r="N2" s="176"/>
      <c r="O2" s="176"/>
      <c r="P2" s="176"/>
      <c r="Q2" s="264"/>
      <c r="R2" s="232"/>
      <c r="S2" s="176"/>
      <c r="T2" s="176"/>
      <c r="U2" s="176"/>
      <c r="W2" s="271"/>
      <c r="X2" s="271"/>
      <c r="Y2" s="271"/>
      <c r="Z2" s="271"/>
      <c r="AA2" s="271"/>
      <c r="AB2" s="271"/>
      <c r="AC2" s="271"/>
      <c r="AD2" s="271"/>
      <c r="AE2" s="271"/>
      <c r="AF2" s="271"/>
      <c r="AG2" s="271"/>
      <c r="AH2" s="271"/>
      <c r="AI2" s="271"/>
      <c r="AJ2" s="271"/>
      <c r="AK2" s="271"/>
      <c r="AL2" s="271"/>
    </row>
    <row r="3" spans="1:38" ht="10.5" customHeight="1">
      <c r="A3" s="173"/>
      <c r="B3" s="173"/>
      <c r="C3" s="173"/>
      <c r="D3" s="173"/>
      <c r="E3" s="173"/>
      <c r="F3" s="173"/>
      <c r="G3" s="173"/>
      <c r="H3" s="173"/>
      <c r="I3" s="173"/>
      <c r="J3" s="173"/>
      <c r="K3" s="173"/>
      <c r="L3" s="173"/>
      <c r="M3" s="173"/>
      <c r="N3" s="173"/>
      <c r="O3" s="173"/>
      <c r="P3" s="173"/>
      <c r="Q3" s="176"/>
      <c r="R3" s="176"/>
      <c r="S3" s="176"/>
      <c r="T3" s="176"/>
      <c r="U3" s="176"/>
      <c r="W3" s="271"/>
      <c r="X3" s="271"/>
      <c r="Y3" s="271"/>
      <c r="Z3" s="271"/>
      <c r="AA3" s="271"/>
      <c r="AB3" s="271"/>
      <c r="AC3" s="271"/>
      <c r="AD3" s="271"/>
      <c r="AE3" s="271"/>
      <c r="AF3" s="271"/>
      <c r="AG3" s="271"/>
      <c r="AH3" s="271"/>
      <c r="AI3" s="271"/>
      <c r="AJ3" s="271"/>
      <c r="AK3" s="271"/>
      <c r="AL3" s="271"/>
    </row>
    <row r="4" spans="1:38" ht="17.25" customHeight="1">
      <c r="A4" s="201"/>
      <c r="B4" s="176"/>
      <c r="C4" s="268" t="s">
        <v>106</v>
      </c>
      <c r="D4" s="176"/>
      <c r="F4" s="195"/>
      <c r="G4" s="307"/>
      <c r="H4" s="269" t="s">
        <v>107</v>
      </c>
      <c r="K4" s="173"/>
      <c r="L4" s="173"/>
      <c r="M4" s="173"/>
      <c r="N4" s="173"/>
      <c r="O4" s="173"/>
      <c r="P4" s="173"/>
      <c r="Q4" s="176"/>
      <c r="R4" s="176"/>
      <c r="S4" s="176"/>
      <c r="T4" s="176"/>
      <c r="U4" s="176"/>
      <c r="V4" s="271"/>
      <c r="W4" s="271"/>
      <c r="X4" s="271"/>
      <c r="Y4" s="271"/>
      <c r="Z4" s="271"/>
      <c r="AA4" s="271"/>
      <c r="AB4" s="271"/>
      <c r="AC4" s="271"/>
      <c r="AD4" s="271"/>
      <c r="AE4" s="271"/>
      <c r="AF4" s="271"/>
      <c r="AG4" s="271"/>
      <c r="AH4" s="271"/>
      <c r="AI4" s="271"/>
      <c r="AJ4" s="271"/>
      <c r="AK4" s="271"/>
      <c r="AL4" s="271"/>
    </row>
    <row r="5" spans="1:40" ht="16.5" customHeight="1" thickBot="1">
      <c r="A5" s="176"/>
      <c r="B5" s="176"/>
      <c r="C5" s="176"/>
      <c r="D5" s="176"/>
      <c r="E5" s="176"/>
      <c r="F5" s="176"/>
      <c r="G5" s="176"/>
      <c r="H5" s="176"/>
      <c r="I5" s="176"/>
      <c r="J5" s="176"/>
      <c r="K5" s="176"/>
      <c r="L5" s="176"/>
      <c r="M5" s="176"/>
      <c r="N5" s="176"/>
      <c r="O5" s="176"/>
      <c r="P5" s="176"/>
      <c r="Q5" s="176"/>
      <c r="R5" s="176"/>
      <c r="S5" s="176"/>
      <c r="T5" s="176"/>
      <c r="U5" s="176"/>
      <c r="V5" s="231"/>
      <c r="W5" s="271"/>
      <c r="X5" s="271"/>
      <c r="Y5" s="271"/>
      <c r="Z5" s="271"/>
      <c r="AA5" s="271"/>
      <c r="AB5" s="271"/>
      <c r="AC5" s="271"/>
      <c r="AD5" s="271"/>
      <c r="AE5" s="271"/>
      <c r="AF5" s="271"/>
      <c r="AG5" s="271"/>
      <c r="AH5" s="271"/>
      <c r="AI5" s="271"/>
      <c r="AJ5" s="271"/>
      <c r="AK5" s="271"/>
      <c r="AL5" s="271"/>
      <c r="AM5" s="231"/>
      <c r="AN5" s="271"/>
    </row>
    <row r="6" spans="1:40" ht="4.5" customHeight="1" thickTop="1">
      <c r="A6" s="3"/>
      <c r="B6" s="4"/>
      <c r="C6" s="4"/>
      <c r="D6" s="4"/>
      <c r="E6" s="116"/>
      <c r="F6" s="5"/>
      <c r="G6" s="4"/>
      <c r="H6" s="4"/>
      <c r="I6" s="4"/>
      <c r="J6" s="4"/>
      <c r="K6" s="4"/>
      <c r="L6" s="4"/>
      <c r="M6" s="4"/>
      <c r="N6" s="4"/>
      <c r="O6" s="4"/>
      <c r="P6" s="4"/>
      <c r="Q6" s="303"/>
      <c r="R6" s="304"/>
      <c r="S6" s="176"/>
      <c r="T6" s="176"/>
      <c r="U6" s="176"/>
      <c r="V6" s="231"/>
      <c r="W6" s="231"/>
      <c r="X6" s="231"/>
      <c r="Y6" s="231"/>
      <c r="Z6" s="231"/>
      <c r="AA6" s="231"/>
      <c r="AB6" s="231"/>
      <c r="AC6" s="231"/>
      <c r="AD6" s="231"/>
      <c r="AE6" s="231"/>
      <c r="AF6" s="231"/>
      <c r="AG6" s="231"/>
      <c r="AH6" s="231"/>
      <c r="AI6" s="231"/>
      <c r="AJ6" s="231"/>
      <c r="AK6" s="231"/>
      <c r="AL6" s="231"/>
      <c r="AM6" s="231"/>
      <c r="AN6" s="271"/>
    </row>
    <row r="7" spans="1:41" ht="13.5" customHeight="1">
      <c r="A7" s="6"/>
      <c r="B7" s="7"/>
      <c r="C7" s="7"/>
      <c r="D7" s="7"/>
      <c r="E7" s="59"/>
      <c r="F7" s="137"/>
      <c r="G7" s="97"/>
      <c r="H7" s="7"/>
      <c r="I7" s="7"/>
      <c r="J7" s="52" t="s">
        <v>108</v>
      </c>
      <c r="K7" s="8"/>
      <c r="L7" s="8"/>
      <c r="M7" s="8"/>
      <c r="N7" s="8"/>
      <c r="O7" s="8"/>
      <c r="P7" s="8"/>
      <c r="Q7" s="286"/>
      <c r="R7" s="287"/>
      <c r="S7" s="176"/>
      <c r="T7" s="176"/>
      <c r="U7" s="176"/>
      <c r="V7" s="231"/>
      <c r="W7" s="231"/>
      <c r="X7" s="231"/>
      <c r="Y7" s="231"/>
      <c r="Z7" s="270">
        <v>1</v>
      </c>
      <c r="AA7" s="270">
        <v>2</v>
      </c>
      <c r="AB7" s="270">
        <v>3</v>
      </c>
      <c r="AC7" s="270">
        <v>4</v>
      </c>
      <c r="AD7" s="270">
        <v>5</v>
      </c>
      <c r="AE7" s="270">
        <v>6</v>
      </c>
      <c r="AF7" s="270">
        <v>7</v>
      </c>
      <c r="AG7" s="270">
        <v>8</v>
      </c>
      <c r="AH7" s="270">
        <v>9</v>
      </c>
      <c r="AI7" s="270">
        <v>10</v>
      </c>
      <c r="AJ7" s="270"/>
      <c r="AK7" s="305" t="s">
        <v>109</v>
      </c>
      <c r="AL7" s="231"/>
      <c r="AM7" s="231"/>
      <c r="AN7" s="271"/>
      <c r="AO7" s="271"/>
    </row>
    <row r="8" spans="1:41" ht="13.5" customHeight="1">
      <c r="A8" s="6"/>
      <c r="B8" s="7"/>
      <c r="C8" s="7"/>
      <c r="D8" s="7"/>
      <c r="E8" s="59"/>
      <c r="F8" s="137"/>
      <c r="G8" s="265" t="s">
        <v>279</v>
      </c>
      <c r="H8" s="7"/>
      <c r="I8" s="7"/>
      <c r="J8" s="52"/>
      <c r="K8" s="8"/>
      <c r="L8" s="8"/>
      <c r="M8" s="8"/>
      <c r="N8" s="8"/>
      <c r="O8" s="8"/>
      <c r="P8" s="8"/>
      <c r="Q8" s="286"/>
      <c r="R8" s="287"/>
      <c r="S8" s="176"/>
      <c r="T8" s="176"/>
      <c r="U8" s="176"/>
      <c r="V8" s="231"/>
      <c r="W8" s="231"/>
      <c r="X8" s="231"/>
      <c r="Y8" s="231"/>
      <c r="Z8" s="270"/>
      <c r="AA8" s="270"/>
      <c r="AB8" s="270"/>
      <c r="AC8" s="270"/>
      <c r="AD8" s="270"/>
      <c r="AE8" s="270"/>
      <c r="AF8" s="270"/>
      <c r="AG8" s="270"/>
      <c r="AH8" s="270"/>
      <c r="AI8" s="270"/>
      <c r="AJ8" s="270"/>
      <c r="AK8" s="305"/>
      <c r="AL8" s="231"/>
      <c r="AM8" s="231"/>
      <c r="AN8" s="271"/>
      <c r="AO8" s="271"/>
    </row>
    <row r="9" spans="1:41" ht="24.75" customHeight="1">
      <c r="A9" s="6"/>
      <c r="B9" s="7"/>
      <c r="C9" s="7"/>
      <c r="D9" s="7"/>
      <c r="E9" s="59"/>
      <c r="F9" s="137"/>
      <c r="G9" s="291">
        <v>1</v>
      </c>
      <c r="H9" s="292">
        <f>+G9+1</f>
        <v>2</v>
      </c>
      <c r="I9" s="292">
        <f>+H9+1</f>
        <v>3</v>
      </c>
      <c r="J9" s="292">
        <f>+I9+1</f>
        <v>4</v>
      </c>
      <c r="K9" s="292">
        <f>+J9+1</f>
        <v>5</v>
      </c>
      <c r="L9" s="293">
        <v>6</v>
      </c>
      <c r="M9" s="293">
        <v>7</v>
      </c>
      <c r="N9" s="293">
        <v>8</v>
      </c>
      <c r="O9" s="293">
        <v>9</v>
      </c>
      <c r="P9" s="293">
        <v>10</v>
      </c>
      <c r="Q9" s="910" t="s">
        <v>113</v>
      </c>
      <c r="R9" s="282"/>
      <c r="S9" s="176"/>
      <c r="T9" s="176"/>
      <c r="U9" s="176"/>
      <c r="V9" s="231"/>
      <c r="W9" s="231"/>
      <c r="X9" s="231"/>
      <c r="Y9" s="231"/>
      <c r="Z9" s="270"/>
      <c r="AA9" s="270"/>
      <c r="AB9" s="270"/>
      <c r="AC9" s="270"/>
      <c r="AD9" s="270"/>
      <c r="AE9" s="270"/>
      <c r="AF9" s="270"/>
      <c r="AG9" s="270"/>
      <c r="AH9" s="270"/>
      <c r="AI9" s="270"/>
      <c r="AJ9" s="270"/>
      <c r="AK9" s="305"/>
      <c r="AL9" s="231"/>
      <c r="AM9" s="231"/>
      <c r="AN9" s="271"/>
      <c r="AO9" s="271"/>
    </row>
    <row r="10" spans="1:41" ht="13.5" customHeight="1">
      <c r="A10" s="6"/>
      <c r="B10" s="7"/>
      <c r="C10" s="7"/>
      <c r="D10" s="7"/>
      <c r="E10" s="59"/>
      <c r="F10" s="65" t="s">
        <v>462</v>
      </c>
      <c r="G10" s="967" t="str">
        <f>'ANEXO (1)'!$D$7</f>
        <v>Establecimiento  de cacao  año 1 y cultivos asociados</v>
      </c>
      <c r="H10" s="967" t="str">
        <f>'ANEXO (2)'!$D$7</f>
        <v>Establecimiento cacao año 2 y cuyltivos asociados</v>
      </c>
      <c r="I10" s="955" t="str">
        <f>'ANEXO (3)'!$D$7</f>
        <v>Producción de cacao año 3</v>
      </c>
      <c r="J10" s="955" t="str">
        <f>'ANEXO (4)'!$D$7</f>
        <v>Producción de cacao año 4</v>
      </c>
      <c r="K10" s="955" t="str">
        <f>'ANEXO (5)'!$D$7</f>
        <v>Producción de cacao ano 5</v>
      </c>
      <c r="L10" s="955">
        <f>'ANEXO (6)'!$D$7</f>
        <v>0</v>
      </c>
      <c r="M10" s="955">
        <f>'ANEXO (7)'!$D$7</f>
        <v>0</v>
      </c>
      <c r="N10" s="955">
        <f>'ANEXO (8)'!$D$7</f>
        <v>0</v>
      </c>
      <c r="O10" s="955">
        <f>'ANEXO (9)'!$D$7</f>
        <v>0</v>
      </c>
      <c r="P10" s="955">
        <f>'ANEXO (10)'!$D$7</f>
        <v>0</v>
      </c>
      <c r="Q10" s="906"/>
      <c r="R10" s="324"/>
      <c r="S10" s="176"/>
      <c r="T10" s="176"/>
      <c r="U10" s="309"/>
      <c r="V10" s="271"/>
      <c r="W10" s="231"/>
      <c r="X10" s="231"/>
      <c r="Y10" s="231"/>
      <c r="Z10" s="270"/>
      <c r="AA10" s="270"/>
      <c r="AB10" s="270"/>
      <c r="AC10" s="270"/>
      <c r="AD10" s="270"/>
      <c r="AE10" s="270"/>
      <c r="AF10" s="270"/>
      <c r="AG10" s="270"/>
      <c r="AH10" s="270"/>
      <c r="AI10" s="270"/>
      <c r="AJ10" s="270"/>
      <c r="AK10" s="305"/>
      <c r="AL10" s="231"/>
      <c r="AM10" s="231"/>
      <c r="AN10" s="271"/>
      <c r="AO10" s="271"/>
    </row>
    <row r="11" spans="1:41" ht="44.25" customHeight="1">
      <c r="A11" s="6"/>
      <c r="B11" s="7"/>
      <c r="C11" s="7"/>
      <c r="D11" s="7"/>
      <c r="E11" s="59"/>
      <c r="F11" s="65"/>
      <c r="G11" s="954"/>
      <c r="H11" s="954"/>
      <c r="I11" s="968"/>
      <c r="J11" s="968"/>
      <c r="K11" s="968"/>
      <c r="L11" s="968"/>
      <c r="M11" s="968"/>
      <c r="N11" s="968"/>
      <c r="O11" s="968"/>
      <c r="P11" s="968"/>
      <c r="Q11" s="911"/>
      <c r="R11" s="902"/>
      <c r="S11" s="176"/>
      <c r="T11" s="176"/>
      <c r="U11" s="309"/>
      <c r="V11" s="231"/>
      <c r="W11" s="231"/>
      <c r="X11" s="231"/>
      <c r="Y11" s="231"/>
      <c r="Z11" s="270"/>
      <c r="AA11" s="270"/>
      <c r="AB11" s="270"/>
      <c r="AC11" s="270"/>
      <c r="AD11" s="270"/>
      <c r="AE11" s="270"/>
      <c r="AF11" s="270"/>
      <c r="AG11" s="270"/>
      <c r="AH11" s="270"/>
      <c r="AI11" s="270"/>
      <c r="AJ11" s="270"/>
      <c r="AK11" s="305"/>
      <c r="AL11" s="231"/>
      <c r="AM11" s="231"/>
      <c r="AN11" s="271"/>
      <c r="AO11" s="271"/>
    </row>
    <row r="12" spans="1:41" ht="24.75" customHeight="1">
      <c r="A12" s="6"/>
      <c r="B12" s="289" t="s">
        <v>112</v>
      </c>
      <c r="C12" s="7"/>
      <c r="D12" s="7"/>
      <c r="E12" s="59"/>
      <c r="F12" s="65" t="s">
        <v>110</v>
      </c>
      <c r="G12" s="683" t="str">
        <f>'ANEXO (1)'!$J$7</f>
        <v>Hectarea</v>
      </c>
      <c r="H12" s="684" t="str">
        <f>'ANEXO (2)'!$J$7</f>
        <v>HECTÁREA</v>
      </c>
      <c r="I12" s="684" t="str">
        <f>'ANEXO (3)'!$J$7</f>
        <v>HECTÁREA</v>
      </c>
      <c r="J12" s="684" t="str">
        <f>'ANEXO (4)'!$J$7</f>
        <v>hectárea</v>
      </c>
      <c r="K12" s="684" t="str">
        <f>'ANEXO (5)'!$J$7</f>
        <v>Hectarea</v>
      </c>
      <c r="L12" s="685">
        <f>'ANEXO (6)'!$J$7</f>
        <v>0</v>
      </c>
      <c r="M12" s="685">
        <f>'ANEXO (7)'!$J$7</f>
        <v>0</v>
      </c>
      <c r="N12" s="685">
        <f>'ANEXO (8)'!$J$7</f>
        <v>0</v>
      </c>
      <c r="O12" s="685">
        <f>'ANEXO (9)'!$J$7</f>
        <v>0</v>
      </c>
      <c r="P12" s="685">
        <f>'ANEXO (10)'!$J$7</f>
        <v>0</v>
      </c>
      <c r="Q12" s="906"/>
      <c r="R12" s="324"/>
      <c r="S12" s="176"/>
      <c r="T12" s="176"/>
      <c r="U12" s="309"/>
      <c r="V12" s="231"/>
      <c r="W12" s="231"/>
      <c r="X12" s="231"/>
      <c r="Y12" s="231"/>
      <c r="Z12" s="270"/>
      <c r="AA12" s="270"/>
      <c r="AB12" s="270"/>
      <c r="AC12" s="270"/>
      <c r="AD12" s="270"/>
      <c r="AE12" s="270"/>
      <c r="AF12" s="270"/>
      <c r="AG12" s="270"/>
      <c r="AH12" s="270"/>
      <c r="AI12" s="270"/>
      <c r="AJ12" s="270"/>
      <c r="AK12" s="305"/>
      <c r="AL12" s="231"/>
      <c r="AM12" s="231"/>
      <c r="AN12" s="271"/>
      <c r="AO12" s="271"/>
    </row>
    <row r="13" spans="1:41" ht="3" customHeight="1">
      <c r="A13" s="283"/>
      <c r="B13" s="280"/>
      <c r="C13" s="280"/>
      <c r="D13" s="280"/>
      <c r="E13" s="284"/>
      <c r="F13" s="282"/>
      <c r="G13" s="294"/>
      <c r="H13" s="295"/>
      <c r="I13" s="295"/>
      <c r="J13" s="295"/>
      <c r="K13" s="295"/>
      <c r="L13" s="296"/>
      <c r="M13" s="296"/>
      <c r="N13" s="296"/>
      <c r="O13" s="296"/>
      <c r="P13" s="296"/>
      <c r="Q13" s="907"/>
      <c r="R13" s="908"/>
      <c r="S13" s="176"/>
      <c r="T13" s="176"/>
      <c r="U13" s="309"/>
      <c r="V13" s="231"/>
      <c r="W13" s="532"/>
      <c r="X13" s="231"/>
      <c r="Y13" s="231"/>
      <c r="Z13" s="231"/>
      <c r="AA13" s="231"/>
      <c r="AB13" s="231"/>
      <c r="AC13" s="231"/>
      <c r="AD13" s="231"/>
      <c r="AE13" s="231"/>
      <c r="AF13" s="231"/>
      <c r="AG13" s="231"/>
      <c r="AH13" s="231"/>
      <c r="AI13" s="231"/>
      <c r="AJ13" s="231"/>
      <c r="AK13" s="231"/>
      <c r="AL13" s="231"/>
      <c r="AM13" s="231"/>
      <c r="AN13" s="271"/>
      <c r="AO13" s="271"/>
    </row>
    <row r="14" spans="1:41" ht="9.75" customHeight="1">
      <c r="A14" s="298"/>
      <c r="B14" s="147"/>
      <c r="C14" s="147"/>
      <c r="D14" s="147"/>
      <c r="E14" s="290"/>
      <c r="F14" s="287"/>
      <c r="G14" s="299"/>
      <c r="H14" s="300"/>
      <c r="I14" s="300"/>
      <c r="J14" s="300"/>
      <c r="K14" s="300"/>
      <c r="L14" s="290"/>
      <c r="M14" s="290"/>
      <c r="N14" s="290"/>
      <c r="O14" s="290"/>
      <c r="P14" s="290"/>
      <c r="Q14" s="909"/>
      <c r="R14" s="324"/>
      <c r="S14" s="176"/>
      <c r="T14" s="176"/>
      <c r="U14" s="309"/>
      <c r="V14" s="231"/>
      <c r="W14" s="532"/>
      <c r="X14" s="231"/>
      <c r="Y14" s="231"/>
      <c r="Z14" s="231"/>
      <c r="AA14" s="231"/>
      <c r="AB14" s="231"/>
      <c r="AC14" s="231"/>
      <c r="AD14" s="231"/>
      <c r="AE14" s="231"/>
      <c r="AF14" s="231"/>
      <c r="AG14" s="231"/>
      <c r="AH14" s="231"/>
      <c r="AI14" s="231"/>
      <c r="AJ14" s="231"/>
      <c r="AK14" s="231"/>
      <c r="AL14" s="231"/>
      <c r="AM14" s="231"/>
      <c r="AN14" s="271"/>
      <c r="AO14" s="271"/>
    </row>
    <row r="15" spans="1:54" ht="15.75" customHeight="1">
      <c r="A15" s="301" t="s">
        <v>114</v>
      </c>
      <c r="B15" s="302"/>
      <c r="C15" s="147"/>
      <c r="D15" s="147"/>
      <c r="E15" s="290"/>
      <c r="F15" s="287"/>
      <c r="G15" s="299"/>
      <c r="H15" s="300"/>
      <c r="I15" s="300"/>
      <c r="J15" s="300"/>
      <c r="K15" s="300"/>
      <c r="L15" s="290"/>
      <c r="M15" s="290"/>
      <c r="N15" s="290"/>
      <c r="O15" s="290"/>
      <c r="P15" s="290"/>
      <c r="Q15" s="323"/>
      <c r="R15" s="324"/>
      <c r="S15" s="176"/>
      <c r="T15" s="176"/>
      <c r="U15" s="309"/>
      <c r="V15" s="231"/>
      <c r="W15" s="532" t="s">
        <v>115</v>
      </c>
      <c r="X15" s="532" t="s">
        <v>116</v>
      </c>
      <c r="Y15" s="231" t="s">
        <v>117</v>
      </c>
      <c r="Z15" s="674">
        <f aca="true" t="shared" si="0" ref="Z15:AI15">G16*G$33</f>
        <v>90816.758</v>
      </c>
      <c r="AA15" s="674">
        <f t="shared" si="0"/>
        <v>0</v>
      </c>
      <c r="AB15" s="674">
        <f t="shared" si="0"/>
        <v>0</v>
      </c>
      <c r="AC15" s="674">
        <f t="shared" si="0"/>
        <v>0</v>
      </c>
      <c r="AD15" s="674">
        <f t="shared" si="0"/>
        <v>0</v>
      </c>
      <c r="AE15" s="674">
        <f t="shared" si="0"/>
        <v>0</v>
      </c>
      <c r="AF15" s="674">
        <f t="shared" si="0"/>
        <v>0</v>
      </c>
      <c r="AG15" s="674">
        <f t="shared" si="0"/>
        <v>0</v>
      </c>
      <c r="AH15" s="674">
        <f t="shared" si="0"/>
        <v>0</v>
      </c>
      <c r="AI15" s="674">
        <f t="shared" si="0"/>
        <v>0</v>
      </c>
      <c r="AJ15" s="674"/>
      <c r="AK15" s="674">
        <f>SUM(Z15:AJ15)</f>
        <v>90816.758</v>
      </c>
      <c r="AL15" s="231">
        <v>1</v>
      </c>
      <c r="AM15" s="231"/>
      <c r="AN15" s="271"/>
      <c r="AO15" s="271"/>
      <c r="AP15" s="271"/>
      <c r="AQ15" s="271"/>
      <c r="AR15" s="271"/>
      <c r="AS15" s="271"/>
      <c r="AT15" s="271"/>
      <c r="AU15" s="271"/>
      <c r="AV15" s="271"/>
      <c r="AW15" s="271"/>
      <c r="AX15" s="271"/>
      <c r="AY15" s="271"/>
      <c r="AZ15" s="271"/>
      <c r="BA15" s="271"/>
      <c r="BB15" s="271"/>
    </row>
    <row r="16" spans="1:54" ht="19.5" customHeight="1">
      <c r="A16" s="279"/>
      <c r="B16" s="66" t="s">
        <v>118</v>
      </c>
      <c r="C16" s="19"/>
      <c r="D16" s="19"/>
      <c r="E16" s="99"/>
      <c r="F16" s="912" t="s">
        <v>74</v>
      </c>
      <c r="G16" s="913">
        <v>67</v>
      </c>
      <c r="H16" s="913"/>
      <c r="I16" s="913"/>
      <c r="J16" s="913"/>
      <c r="K16" s="914"/>
      <c r="L16" s="914"/>
      <c r="M16" s="914"/>
      <c r="N16" s="914"/>
      <c r="O16" s="633"/>
      <c r="P16" s="633"/>
      <c r="Q16" s="901"/>
      <c r="R16" s="902"/>
      <c r="S16" s="176"/>
      <c r="T16" s="176"/>
      <c r="U16" s="309"/>
      <c r="V16" s="231"/>
      <c r="W16" s="231"/>
      <c r="X16" s="532"/>
      <c r="Y16" s="231" t="s">
        <v>119</v>
      </c>
      <c r="Z16" s="674">
        <f aca="true" t="shared" si="1" ref="Z16:AI16">G16*G$34</f>
        <v>58987.771499999995</v>
      </c>
      <c r="AA16" s="674">
        <f t="shared" si="1"/>
        <v>0</v>
      </c>
      <c r="AB16" s="674">
        <f t="shared" si="1"/>
        <v>0</v>
      </c>
      <c r="AC16" s="674">
        <f t="shared" si="1"/>
        <v>0</v>
      </c>
      <c r="AD16" s="674">
        <f t="shared" si="1"/>
        <v>0</v>
      </c>
      <c r="AE16" s="674">
        <f t="shared" si="1"/>
        <v>0</v>
      </c>
      <c r="AF16" s="674">
        <f t="shared" si="1"/>
        <v>0</v>
      </c>
      <c r="AG16" s="674">
        <f t="shared" si="1"/>
        <v>0</v>
      </c>
      <c r="AH16" s="674">
        <f t="shared" si="1"/>
        <v>0</v>
      </c>
      <c r="AI16" s="674">
        <f t="shared" si="1"/>
        <v>0</v>
      </c>
      <c r="AJ16" s="674"/>
      <c r="AK16" s="674">
        <f>SUM(Z16:AJ16)</f>
        <v>58987.771499999995</v>
      </c>
      <c r="AL16" s="231"/>
      <c r="AM16" s="231"/>
      <c r="AN16" s="271"/>
      <c r="AO16" s="271"/>
      <c r="AP16" s="271"/>
      <c r="AQ16" s="271"/>
      <c r="AR16" s="271"/>
      <c r="AS16" s="271"/>
      <c r="AT16" s="271"/>
      <c r="AU16" s="271"/>
      <c r="AV16" s="271"/>
      <c r="AW16" s="271"/>
      <c r="AX16" s="271"/>
      <c r="AY16" s="271"/>
      <c r="AZ16" s="271"/>
      <c r="BA16" s="271"/>
      <c r="BB16" s="271"/>
    </row>
    <row r="17" spans="1:54" ht="18" customHeight="1">
      <c r="A17" s="285"/>
      <c r="B17" s="286" t="s">
        <v>121</v>
      </c>
      <c r="C17" s="147"/>
      <c r="D17" s="147"/>
      <c r="E17" s="288"/>
      <c r="F17" s="686" t="s">
        <v>546</v>
      </c>
      <c r="G17" s="425">
        <f>Z15</f>
        <v>90816.758</v>
      </c>
      <c r="H17" s="426">
        <f aca="true" t="shared" si="2" ref="H17:P17">AA15</f>
        <v>0</v>
      </c>
      <c r="I17" s="426">
        <f t="shared" si="2"/>
        <v>0</v>
      </c>
      <c r="J17" s="426">
        <f t="shared" si="2"/>
        <v>0</v>
      </c>
      <c r="K17" s="426">
        <f t="shared" si="2"/>
        <v>0</v>
      </c>
      <c r="L17" s="426">
        <f t="shared" si="2"/>
        <v>0</v>
      </c>
      <c r="M17" s="426">
        <f t="shared" si="2"/>
        <v>0</v>
      </c>
      <c r="N17" s="426">
        <f t="shared" si="2"/>
        <v>0</v>
      </c>
      <c r="O17" s="426">
        <f t="shared" si="2"/>
        <v>0</v>
      </c>
      <c r="P17" s="426">
        <f t="shared" si="2"/>
        <v>0</v>
      </c>
      <c r="Q17" s="427">
        <f>SUM(G17:P17)</f>
        <v>90816.758</v>
      </c>
      <c r="R17" s="287"/>
      <c r="S17" s="176"/>
      <c r="T17" s="176"/>
      <c r="U17" s="309"/>
      <c r="V17" s="231"/>
      <c r="W17" s="231"/>
      <c r="X17" s="532" t="s">
        <v>120</v>
      </c>
      <c r="Y17" s="231" t="s">
        <v>117</v>
      </c>
      <c r="Z17" s="674">
        <f aca="true" t="shared" si="3" ref="Z17:AI17">G16*G$30</f>
        <v>94711.2</v>
      </c>
      <c r="AA17" s="674">
        <f t="shared" si="3"/>
        <v>0</v>
      </c>
      <c r="AB17" s="674">
        <f t="shared" si="3"/>
        <v>0</v>
      </c>
      <c r="AC17" s="674">
        <f t="shared" si="3"/>
        <v>0</v>
      </c>
      <c r="AD17" s="674">
        <f t="shared" si="3"/>
        <v>0</v>
      </c>
      <c r="AE17" s="674">
        <f t="shared" si="3"/>
        <v>0</v>
      </c>
      <c r="AF17" s="674">
        <f t="shared" si="3"/>
        <v>0</v>
      </c>
      <c r="AG17" s="674">
        <f t="shared" si="3"/>
        <v>0</v>
      </c>
      <c r="AH17" s="674">
        <f t="shared" si="3"/>
        <v>0</v>
      </c>
      <c r="AI17" s="674">
        <f t="shared" si="3"/>
        <v>0</v>
      </c>
      <c r="AJ17" s="674"/>
      <c r="AK17" s="674">
        <f>SUM(Z17:AJ17)</f>
        <v>94711.2</v>
      </c>
      <c r="AL17" s="231"/>
      <c r="AM17" s="231"/>
      <c r="AN17" s="271"/>
      <c r="AO17" s="271"/>
      <c r="AP17" s="271"/>
      <c r="AQ17" s="271"/>
      <c r="AR17" s="271"/>
      <c r="AS17" s="271"/>
      <c r="AT17" s="271"/>
      <c r="AU17" s="271"/>
      <c r="AV17" s="271"/>
      <c r="AW17" s="271"/>
      <c r="AX17" s="271"/>
      <c r="AY17" s="271"/>
      <c r="AZ17" s="271"/>
      <c r="BA17" s="271"/>
      <c r="BB17" s="271"/>
    </row>
    <row r="18" spans="1:54" ht="18" customHeight="1">
      <c r="A18" s="310"/>
      <c r="B18" s="311" t="s">
        <v>122</v>
      </c>
      <c r="C18" s="280"/>
      <c r="D18" s="280"/>
      <c r="E18" s="312"/>
      <c r="F18" s="477" t="str">
        <f>F17</f>
        <v>has</v>
      </c>
      <c r="G18" s="428">
        <f aca="true" t="shared" si="4" ref="G18:P18">Z16</f>
        <v>58987.771499999995</v>
      </c>
      <c r="H18" s="429">
        <f t="shared" si="4"/>
        <v>0</v>
      </c>
      <c r="I18" s="429">
        <f t="shared" si="4"/>
        <v>0</v>
      </c>
      <c r="J18" s="429">
        <f t="shared" si="4"/>
        <v>0</v>
      </c>
      <c r="K18" s="429">
        <f t="shared" si="4"/>
        <v>0</v>
      </c>
      <c r="L18" s="429">
        <f t="shared" si="4"/>
        <v>0</v>
      </c>
      <c r="M18" s="429">
        <f t="shared" si="4"/>
        <v>0</v>
      </c>
      <c r="N18" s="429">
        <f t="shared" si="4"/>
        <v>0</v>
      </c>
      <c r="O18" s="429">
        <f t="shared" si="4"/>
        <v>0</v>
      </c>
      <c r="P18" s="429">
        <f t="shared" si="4"/>
        <v>0</v>
      </c>
      <c r="Q18" s="903">
        <f>SUM(G18:P18)</f>
        <v>58987.771499999995</v>
      </c>
      <c r="R18" s="282"/>
      <c r="S18" s="176"/>
      <c r="T18" s="176"/>
      <c r="U18" s="309"/>
      <c r="V18" s="231"/>
      <c r="W18" s="231"/>
      <c r="X18" s="231"/>
      <c r="Y18" s="231" t="s">
        <v>119</v>
      </c>
      <c r="Z18" s="674">
        <f aca="true" t="shared" si="5" ref="Z18:AI18">G16*G$31</f>
        <v>95435.77149999999</v>
      </c>
      <c r="AA18" s="674">
        <f t="shared" si="5"/>
        <v>0</v>
      </c>
      <c r="AB18" s="674">
        <f t="shared" si="5"/>
        <v>0</v>
      </c>
      <c r="AC18" s="674">
        <f t="shared" si="5"/>
        <v>0</v>
      </c>
      <c r="AD18" s="674">
        <f t="shared" si="5"/>
        <v>0</v>
      </c>
      <c r="AE18" s="674">
        <f t="shared" si="5"/>
        <v>0</v>
      </c>
      <c r="AF18" s="674">
        <f t="shared" si="5"/>
        <v>0</v>
      </c>
      <c r="AG18" s="674">
        <f t="shared" si="5"/>
        <v>0</v>
      </c>
      <c r="AH18" s="674">
        <f t="shared" si="5"/>
        <v>0</v>
      </c>
      <c r="AI18" s="674">
        <f t="shared" si="5"/>
        <v>0</v>
      </c>
      <c r="AJ18" s="674"/>
      <c r="AK18" s="674">
        <f>SUM(Z18:AJ18)</f>
        <v>95435.77149999999</v>
      </c>
      <c r="AL18" s="231"/>
      <c r="AM18" s="231"/>
      <c r="AN18" s="271"/>
      <c r="AO18" s="271"/>
      <c r="AP18" s="271"/>
      <c r="AQ18" s="271"/>
      <c r="AR18" s="271"/>
      <c r="AS18" s="271"/>
      <c r="AT18" s="271"/>
      <c r="AU18" s="271"/>
      <c r="AV18" s="271"/>
      <c r="AW18" s="271"/>
      <c r="AX18" s="271"/>
      <c r="AY18" s="271"/>
      <c r="AZ18" s="271"/>
      <c r="BA18" s="271"/>
      <c r="BB18" s="271"/>
    </row>
    <row r="19" spans="1:54" ht="19.5" customHeight="1">
      <c r="A19" s="279"/>
      <c r="B19" s="66" t="s">
        <v>123</v>
      </c>
      <c r="C19" s="19"/>
      <c r="D19" s="19"/>
      <c r="E19" s="99"/>
      <c r="F19" s="107" t="str">
        <f>F16</f>
        <v> </v>
      </c>
      <c r="G19" s="913"/>
      <c r="H19" s="913">
        <v>67</v>
      </c>
      <c r="I19" s="313"/>
      <c r="J19" s="313"/>
      <c r="K19" s="914"/>
      <c r="L19" s="914"/>
      <c r="M19" s="914"/>
      <c r="N19" s="914"/>
      <c r="O19" s="633"/>
      <c r="P19" s="313"/>
      <c r="Q19" s="901"/>
      <c r="R19" s="902"/>
      <c r="S19" s="176"/>
      <c r="T19" s="176"/>
      <c r="U19" s="309"/>
      <c r="V19" s="231"/>
      <c r="W19" s="532" t="s">
        <v>124</v>
      </c>
      <c r="X19" s="532" t="s">
        <v>116</v>
      </c>
      <c r="Y19" s="231" t="s">
        <v>117</v>
      </c>
      <c r="Z19" s="674">
        <f aca="true" t="shared" si="6" ref="Z19:AI19">G19*G$33</f>
        <v>0</v>
      </c>
      <c r="AA19" s="674">
        <f t="shared" si="6"/>
        <v>130866.1152</v>
      </c>
      <c r="AB19" s="674">
        <f t="shared" si="6"/>
        <v>0</v>
      </c>
      <c r="AC19" s="674">
        <f t="shared" si="6"/>
        <v>0</v>
      </c>
      <c r="AD19" s="674">
        <f t="shared" si="6"/>
        <v>0</v>
      </c>
      <c r="AE19" s="674">
        <f t="shared" si="6"/>
        <v>0</v>
      </c>
      <c r="AF19" s="674">
        <f t="shared" si="6"/>
        <v>0</v>
      </c>
      <c r="AG19" s="674">
        <f t="shared" si="6"/>
        <v>0</v>
      </c>
      <c r="AH19" s="674">
        <f t="shared" si="6"/>
        <v>0</v>
      </c>
      <c r="AI19" s="674">
        <f t="shared" si="6"/>
        <v>0</v>
      </c>
      <c r="AJ19" s="674"/>
      <c r="AK19" s="674">
        <f aca="true" t="shared" si="7" ref="AK19:AK29">SUM(Z19:AJ19)</f>
        <v>130866.1152</v>
      </c>
      <c r="AL19" s="231">
        <v>2</v>
      </c>
      <c r="AM19" s="231"/>
      <c r="AN19" s="271"/>
      <c r="AO19" s="271"/>
      <c r="AP19" s="271"/>
      <c r="AQ19" s="271"/>
      <c r="AR19" s="271"/>
      <c r="AS19" s="271"/>
      <c r="AT19" s="271"/>
      <c r="AU19" s="271"/>
      <c r="AV19" s="271"/>
      <c r="AW19" s="271"/>
      <c r="AX19" s="271"/>
      <c r="AY19" s="271"/>
      <c r="AZ19" s="271"/>
      <c r="BA19" s="271"/>
      <c r="BB19" s="271"/>
    </row>
    <row r="20" spans="1:54" ht="19.5" customHeight="1">
      <c r="A20" s="279"/>
      <c r="B20" s="66" t="s">
        <v>125</v>
      </c>
      <c r="C20" s="19"/>
      <c r="D20" s="19"/>
      <c r="E20" s="99"/>
      <c r="F20" s="107" t="str">
        <f aca="true" t="shared" si="8" ref="F20:F29">F19</f>
        <v> </v>
      </c>
      <c r="G20" s="913"/>
      <c r="H20" s="913"/>
      <c r="I20" s="313">
        <v>67</v>
      </c>
      <c r="J20" s="313"/>
      <c r="K20" s="914"/>
      <c r="L20" s="914"/>
      <c r="M20" s="914"/>
      <c r="N20" s="914"/>
      <c r="O20" s="633"/>
      <c r="P20" s="313"/>
      <c r="Q20" s="904"/>
      <c r="R20" s="905"/>
      <c r="S20" s="176"/>
      <c r="T20" s="176"/>
      <c r="U20" s="309"/>
      <c r="V20" s="231"/>
      <c r="W20" s="231"/>
      <c r="X20" s="532"/>
      <c r="Y20" s="231" t="s">
        <v>119</v>
      </c>
      <c r="Z20" s="674">
        <f aca="true" t="shared" si="9" ref="Z20:AI20">G19*G$34</f>
        <v>0</v>
      </c>
      <c r="AA20" s="674">
        <f t="shared" si="9"/>
        <v>30284</v>
      </c>
      <c r="AB20" s="674">
        <f t="shared" si="9"/>
        <v>0</v>
      </c>
      <c r="AC20" s="674">
        <f t="shared" si="9"/>
        <v>0</v>
      </c>
      <c r="AD20" s="674">
        <f t="shared" si="9"/>
        <v>0</v>
      </c>
      <c r="AE20" s="674">
        <f t="shared" si="9"/>
        <v>0</v>
      </c>
      <c r="AF20" s="674">
        <f t="shared" si="9"/>
        <v>0</v>
      </c>
      <c r="AG20" s="674">
        <f t="shared" si="9"/>
        <v>0</v>
      </c>
      <c r="AH20" s="674">
        <f t="shared" si="9"/>
        <v>0</v>
      </c>
      <c r="AI20" s="674">
        <f t="shared" si="9"/>
        <v>0</v>
      </c>
      <c r="AJ20" s="674"/>
      <c r="AK20" s="674">
        <f t="shared" si="7"/>
        <v>30284</v>
      </c>
      <c r="AL20" s="306"/>
      <c r="AM20" s="231"/>
      <c r="AN20" s="271"/>
      <c r="AO20" s="271"/>
      <c r="AP20" s="271"/>
      <c r="AQ20" s="271"/>
      <c r="AR20" s="271"/>
      <c r="AS20" s="271"/>
      <c r="AT20" s="271"/>
      <c r="AU20" s="271"/>
      <c r="AV20" s="271"/>
      <c r="AW20" s="271"/>
      <c r="AX20" s="271"/>
      <c r="AY20" s="271"/>
      <c r="AZ20" s="271"/>
      <c r="BA20" s="271"/>
      <c r="BB20" s="271"/>
    </row>
    <row r="21" spans="1:54" ht="19.5" customHeight="1">
      <c r="A21" s="279"/>
      <c r="B21" s="66" t="s">
        <v>126</v>
      </c>
      <c r="C21" s="19"/>
      <c r="D21" s="19"/>
      <c r="E21" s="99"/>
      <c r="F21" s="107" t="str">
        <f t="shared" si="8"/>
        <v> </v>
      </c>
      <c r="G21" s="913"/>
      <c r="H21" s="913"/>
      <c r="I21" s="313"/>
      <c r="J21" s="313">
        <v>67</v>
      </c>
      <c r="K21" s="914"/>
      <c r="L21" s="914"/>
      <c r="M21" s="914"/>
      <c r="N21" s="914"/>
      <c r="O21" s="633"/>
      <c r="P21" s="313"/>
      <c r="Q21" s="904"/>
      <c r="R21" s="905"/>
      <c r="S21" s="176"/>
      <c r="T21" s="176"/>
      <c r="U21" s="309"/>
      <c r="V21" s="231"/>
      <c r="W21" s="231"/>
      <c r="X21" s="532" t="s">
        <v>120</v>
      </c>
      <c r="Y21" s="231" t="s">
        <v>117</v>
      </c>
      <c r="Z21" s="674">
        <f aca="true" t="shared" si="10" ref="Z21:AI21">G19*G$30</f>
        <v>0</v>
      </c>
      <c r="AA21" s="674">
        <f t="shared" si="10"/>
        <v>134774.52</v>
      </c>
      <c r="AB21" s="674">
        <f t="shared" si="10"/>
        <v>0</v>
      </c>
      <c r="AC21" s="674">
        <f t="shared" si="10"/>
        <v>0</v>
      </c>
      <c r="AD21" s="674">
        <f t="shared" si="10"/>
        <v>0</v>
      </c>
      <c r="AE21" s="674">
        <f t="shared" si="10"/>
        <v>0</v>
      </c>
      <c r="AF21" s="674">
        <f t="shared" si="10"/>
        <v>0</v>
      </c>
      <c r="AG21" s="674">
        <f t="shared" si="10"/>
        <v>0</v>
      </c>
      <c r="AH21" s="674">
        <f t="shared" si="10"/>
        <v>0</v>
      </c>
      <c r="AI21" s="674">
        <f t="shared" si="10"/>
        <v>0</v>
      </c>
      <c r="AJ21" s="674"/>
      <c r="AK21" s="674">
        <f t="shared" si="7"/>
        <v>134774.52</v>
      </c>
      <c r="AL21" s="231"/>
      <c r="AM21" s="231"/>
      <c r="AN21" s="271"/>
      <c r="AO21" s="271"/>
      <c r="AP21" s="271"/>
      <c r="AQ21" s="271"/>
      <c r="AR21" s="271"/>
      <c r="AS21" s="271"/>
      <c r="AT21" s="271"/>
      <c r="AU21" s="271"/>
      <c r="AV21" s="271"/>
      <c r="AW21" s="271"/>
      <c r="AX21" s="271"/>
      <c r="AY21" s="271"/>
      <c r="AZ21" s="271"/>
      <c r="BA21" s="271"/>
      <c r="BB21" s="271"/>
    </row>
    <row r="22" spans="1:54" s="1" customFormat="1" ht="19.5" customHeight="1">
      <c r="A22" s="279"/>
      <c r="B22" s="66" t="s">
        <v>127</v>
      </c>
      <c r="C22" s="19"/>
      <c r="D22" s="19"/>
      <c r="E22" s="99"/>
      <c r="F22" s="107" t="str">
        <f t="shared" si="8"/>
        <v> </v>
      </c>
      <c r="G22" s="913"/>
      <c r="H22" s="913"/>
      <c r="I22" s="313"/>
      <c r="J22" s="313"/>
      <c r="K22" s="914">
        <v>67</v>
      </c>
      <c r="L22" s="914"/>
      <c r="M22" s="914"/>
      <c r="N22" s="914"/>
      <c r="O22" s="633"/>
      <c r="P22" s="313"/>
      <c r="Q22" s="904"/>
      <c r="R22" s="905"/>
      <c r="S22" s="173"/>
      <c r="T22" s="173"/>
      <c r="U22" s="315"/>
      <c r="V22" s="306"/>
      <c r="W22" s="231"/>
      <c r="X22" s="231"/>
      <c r="Y22" s="231" t="s">
        <v>119</v>
      </c>
      <c r="Z22" s="674">
        <f aca="true" t="shared" si="11" ref="Z22:AI22">G19*G$31</f>
        <v>0</v>
      </c>
      <c r="AA22" s="674">
        <f t="shared" si="11"/>
        <v>71824</v>
      </c>
      <c r="AB22" s="674">
        <f t="shared" si="11"/>
        <v>0</v>
      </c>
      <c r="AC22" s="674">
        <f t="shared" si="11"/>
        <v>0</v>
      </c>
      <c r="AD22" s="674">
        <f t="shared" si="11"/>
        <v>0</v>
      </c>
      <c r="AE22" s="674">
        <f t="shared" si="11"/>
        <v>0</v>
      </c>
      <c r="AF22" s="674">
        <f t="shared" si="11"/>
        <v>0</v>
      </c>
      <c r="AG22" s="674">
        <f t="shared" si="11"/>
        <v>0</v>
      </c>
      <c r="AH22" s="674">
        <f t="shared" si="11"/>
        <v>0</v>
      </c>
      <c r="AI22" s="674">
        <f t="shared" si="11"/>
        <v>0</v>
      </c>
      <c r="AJ22" s="674"/>
      <c r="AK22" s="674">
        <f t="shared" si="7"/>
        <v>71824</v>
      </c>
      <c r="AL22" s="231"/>
      <c r="AM22" s="306"/>
      <c r="AN22" s="272"/>
      <c r="AO22" s="272"/>
      <c r="AP22" s="272"/>
      <c r="AQ22" s="272"/>
      <c r="AR22" s="272"/>
      <c r="AS22" s="272"/>
      <c r="AT22" s="272"/>
      <c r="AU22" s="272"/>
      <c r="AV22" s="272"/>
      <c r="AW22" s="272"/>
      <c r="AX22" s="272"/>
      <c r="AY22" s="272"/>
      <c r="AZ22" s="272"/>
      <c r="BA22" s="272"/>
      <c r="BB22" s="272"/>
    </row>
    <row r="23" spans="1:54" ht="19.5" customHeight="1">
      <c r="A23" s="279"/>
      <c r="B23" s="66" t="s">
        <v>128</v>
      </c>
      <c r="C23" s="19"/>
      <c r="D23" s="19"/>
      <c r="E23" s="99"/>
      <c r="F23" s="107" t="str">
        <f t="shared" si="8"/>
        <v> </v>
      </c>
      <c r="G23" s="913"/>
      <c r="H23" s="913"/>
      <c r="I23" s="313"/>
      <c r="J23" s="313"/>
      <c r="K23" s="914">
        <v>67</v>
      </c>
      <c r="L23" s="914"/>
      <c r="M23" s="914"/>
      <c r="N23" s="914"/>
      <c r="O23" s="633"/>
      <c r="P23" s="313"/>
      <c r="Q23" s="901"/>
      <c r="R23" s="902"/>
      <c r="S23" s="176"/>
      <c r="T23" s="176"/>
      <c r="U23" s="309"/>
      <c r="V23" s="231"/>
      <c r="W23" s="532" t="s">
        <v>129</v>
      </c>
      <c r="X23" s="532" t="s">
        <v>116</v>
      </c>
      <c r="Y23" s="231" t="s">
        <v>117</v>
      </c>
      <c r="Z23" s="674">
        <f aca="true" t="shared" si="12" ref="Z23:AI23">G20*G$33</f>
        <v>0</v>
      </c>
      <c r="AA23" s="674">
        <f t="shared" si="12"/>
        <v>0</v>
      </c>
      <c r="AB23" s="674">
        <f t="shared" si="12"/>
        <v>73274.97545</v>
      </c>
      <c r="AC23" s="674">
        <f t="shared" si="12"/>
        <v>0</v>
      </c>
      <c r="AD23" s="674">
        <f t="shared" si="12"/>
        <v>0</v>
      </c>
      <c r="AE23" s="674">
        <f t="shared" si="12"/>
        <v>0</v>
      </c>
      <c r="AF23" s="674">
        <f t="shared" si="12"/>
        <v>0</v>
      </c>
      <c r="AG23" s="674">
        <f t="shared" si="12"/>
        <v>0</v>
      </c>
      <c r="AH23" s="674">
        <f t="shared" si="12"/>
        <v>0</v>
      </c>
      <c r="AI23" s="674">
        <f t="shared" si="12"/>
        <v>0</v>
      </c>
      <c r="AJ23" s="674"/>
      <c r="AK23" s="674">
        <f t="shared" si="7"/>
        <v>73274.97545</v>
      </c>
      <c r="AL23" s="231">
        <v>3</v>
      </c>
      <c r="AM23" s="231"/>
      <c r="AN23" s="271"/>
      <c r="AO23" s="271"/>
      <c r="AP23" s="271"/>
      <c r="AQ23" s="271"/>
      <c r="AR23" s="271"/>
      <c r="AS23" s="271"/>
      <c r="AT23" s="271"/>
      <c r="AU23" s="271"/>
      <c r="AV23" s="271"/>
      <c r="AW23" s="271"/>
      <c r="AX23" s="271"/>
      <c r="AY23" s="271"/>
      <c r="AZ23" s="271"/>
      <c r="BA23" s="271"/>
      <c r="BB23" s="271"/>
    </row>
    <row r="24" spans="1:54" ht="19.5" customHeight="1">
      <c r="A24" s="279"/>
      <c r="B24" s="66" t="s">
        <v>130</v>
      </c>
      <c r="C24" s="19"/>
      <c r="D24" s="19"/>
      <c r="E24" s="99"/>
      <c r="F24" s="107" t="str">
        <f t="shared" si="8"/>
        <v> </v>
      </c>
      <c r="G24" s="913"/>
      <c r="H24" s="913"/>
      <c r="I24" s="313"/>
      <c r="J24" s="313"/>
      <c r="K24" s="914">
        <v>67</v>
      </c>
      <c r="L24" s="914"/>
      <c r="M24" s="914"/>
      <c r="N24" s="914"/>
      <c r="O24" s="633"/>
      <c r="P24" s="313"/>
      <c r="Q24" s="904"/>
      <c r="R24" s="905"/>
      <c r="S24" s="176"/>
      <c r="T24" s="176"/>
      <c r="U24" s="309"/>
      <c r="V24" s="231"/>
      <c r="W24" s="231"/>
      <c r="X24" s="532"/>
      <c r="Y24" s="231" t="s">
        <v>119</v>
      </c>
      <c r="Z24" s="674">
        <f aca="true" t="shared" si="13" ref="Z24:AI24">G20*G$34</f>
        <v>0</v>
      </c>
      <c r="AA24" s="674">
        <f t="shared" si="13"/>
        <v>0</v>
      </c>
      <c r="AB24" s="674">
        <f t="shared" si="13"/>
        <v>13802</v>
      </c>
      <c r="AC24" s="674">
        <f t="shared" si="13"/>
        <v>0</v>
      </c>
      <c r="AD24" s="674">
        <f t="shared" si="13"/>
        <v>0</v>
      </c>
      <c r="AE24" s="674">
        <f t="shared" si="13"/>
        <v>0</v>
      </c>
      <c r="AF24" s="674">
        <f t="shared" si="13"/>
        <v>0</v>
      </c>
      <c r="AG24" s="674">
        <f t="shared" si="13"/>
        <v>0</v>
      </c>
      <c r="AH24" s="674">
        <f t="shared" si="13"/>
        <v>0</v>
      </c>
      <c r="AI24" s="674">
        <f t="shared" si="13"/>
        <v>0</v>
      </c>
      <c r="AJ24" s="674"/>
      <c r="AK24" s="674">
        <f t="shared" si="7"/>
        <v>13802</v>
      </c>
      <c r="AL24" s="231"/>
      <c r="AM24" s="231"/>
      <c r="AN24" s="271"/>
      <c r="AO24" s="271"/>
      <c r="AP24" s="271"/>
      <c r="AQ24" s="271"/>
      <c r="AR24" s="271"/>
      <c r="AS24" s="271"/>
      <c r="AT24" s="271"/>
      <c r="AU24" s="271"/>
      <c r="AV24" s="271"/>
      <c r="AW24" s="271"/>
      <c r="AX24" s="271"/>
      <c r="AY24" s="271"/>
      <c r="AZ24" s="271"/>
      <c r="BA24" s="271"/>
      <c r="BB24" s="271"/>
    </row>
    <row r="25" spans="1:54" ht="19.5" customHeight="1">
      <c r="A25" s="279"/>
      <c r="B25" s="66" t="s">
        <v>131</v>
      </c>
      <c r="C25" s="19"/>
      <c r="D25" s="19"/>
      <c r="E25" s="99"/>
      <c r="F25" s="107" t="str">
        <f t="shared" si="8"/>
        <v> </v>
      </c>
      <c r="G25" s="913"/>
      <c r="H25" s="913"/>
      <c r="I25" s="313"/>
      <c r="J25" s="313"/>
      <c r="K25" s="914">
        <v>67</v>
      </c>
      <c r="L25" s="914"/>
      <c r="M25" s="914"/>
      <c r="N25" s="914"/>
      <c r="O25" s="633"/>
      <c r="P25" s="313"/>
      <c r="Q25" s="904"/>
      <c r="R25" s="905"/>
      <c r="S25" s="176"/>
      <c r="T25" s="176"/>
      <c r="U25" s="309"/>
      <c r="V25" s="231"/>
      <c r="W25" s="231"/>
      <c r="X25" s="532" t="s">
        <v>120</v>
      </c>
      <c r="Y25" s="231" t="s">
        <v>117</v>
      </c>
      <c r="Z25" s="674">
        <f aca="true" t="shared" si="14" ref="Z25:AI25">G20*G$30</f>
        <v>0</v>
      </c>
      <c r="AA25" s="674">
        <f t="shared" si="14"/>
        <v>0</v>
      </c>
      <c r="AB25" s="674">
        <f t="shared" si="14"/>
        <v>75023.585</v>
      </c>
      <c r="AC25" s="674">
        <f t="shared" si="14"/>
        <v>0</v>
      </c>
      <c r="AD25" s="674">
        <f t="shared" si="14"/>
        <v>0</v>
      </c>
      <c r="AE25" s="674">
        <f t="shared" si="14"/>
        <v>0</v>
      </c>
      <c r="AF25" s="674">
        <f t="shared" si="14"/>
        <v>0</v>
      </c>
      <c r="AG25" s="674">
        <f t="shared" si="14"/>
        <v>0</v>
      </c>
      <c r="AH25" s="674">
        <f t="shared" si="14"/>
        <v>0</v>
      </c>
      <c r="AI25" s="674">
        <f t="shared" si="14"/>
        <v>0</v>
      </c>
      <c r="AJ25" s="674"/>
      <c r="AK25" s="674">
        <f t="shared" si="7"/>
        <v>75023.585</v>
      </c>
      <c r="AL25" s="231"/>
      <c r="AM25" s="231"/>
      <c r="AN25" s="271"/>
      <c r="AO25" s="271"/>
      <c r="AP25" s="271"/>
      <c r="AQ25" s="271"/>
      <c r="AR25" s="271"/>
      <c r="AS25" s="271"/>
      <c r="AT25" s="271"/>
      <c r="AU25" s="271"/>
      <c r="AV25" s="271"/>
      <c r="AW25" s="271"/>
      <c r="AX25" s="271"/>
      <c r="AY25" s="271"/>
      <c r="AZ25" s="271"/>
      <c r="BA25" s="271"/>
      <c r="BB25" s="271"/>
    </row>
    <row r="26" spans="1:54" ht="19.5" customHeight="1">
      <c r="A26" s="279"/>
      <c r="B26" s="66" t="s">
        <v>132</v>
      </c>
      <c r="C26" s="19"/>
      <c r="D26" s="19"/>
      <c r="E26" s="99"/>
      <c r="F26" s="107" t="str">
        <f t="shared" si="8"/>
        <v> </v>
      </c>
      <c r="G26" s="913"/>
      <c r="H26" s="913"/>
      <c r="I26" s="313"/>
      <c r="J26" s="313"/>
      <c r="K26" s="914">
        <v>67</v>
      </c>
      <c r="L26" s="914"/>
      <c r="M26" s="914"/>
      <c r="N26" s="914"/>
      <c r="O26" s="633"/>
      <c r="P26" s="313"/>
      <c r="Q26" s="904"/>
      <c r="R26" s="905"/>
      <c r="S26" s="176"/>
      <c r="T26" s="176"/>
      <c r="U26" s="309"/>
      <c r="V26" s="231"/>
      <c r="W26" s="231"/>
      <c r="X26" s="231"/>
      <c r="Y26" s="231" t="s">
        <v>119</v>
      </c>
      <c r="Z26" s="674">
        <f aca="true" t="shared" si="15" ref="Z26:AI26">G20*G$31</f>
        <v>0</v>
      </c>
      <c r="AA26" s="674">
        <f t="shared" si="15"/>
        <v>0</v>
      </c>
      <c r="AB26" s="674">
        <f t="shared" si="15"/>
        <v>34438</v>
      </c>
      <c r="AC26" s="674">
        <f t="shared" si="15"/>
        <v>0</v>
      </c>
      <c r="AD26" s="674">
        <f t="shared" si="15"/>
        <v>0</v>
      </c>
      <c r="AE26" s="674">
        <f t="shared" si="15"/>
        <v>0</v>
      </c>
      <c r="AF26" s="674">
        <f t="shared" si="15"/>
        <v>0</v>
      </c>
      <c r="AG26" s="674">
        <f t="shared" si="15"/>
        <v>0</v>
      </c>
      <c r="AH26" s="674">
        <f t="shared" si="15"/>
        <v>0</v>
      </c>
      <c r="AI26" s="674">
        <f t="shared" si="15"/>
        <v>0</v>
      </c>
      <c r="AJ26" s="674"/>
      <c r="AK26" s="674">
        <f t="shared" si="7"/>
        <v>34438</v>
      </c>
      <c r="AL26" s="231"/>
      <c r="AM26" s="231"/>
      <c r="AN26" s="271"/>
      <c r="AO26" s="271"/>
      <c r="AP26" s="271"/>
      <c r="AQ26" s="271"/>
      <c r="AR26" s="271"/>
      <c r="AS26" s="271"/>
      <c r="AT26" s="271"/>
      <c r="AU26" s="271"/>
      <c r="AV26" s="271"/>
      <c r="AW26" s="271"/>
      <c r="AX26" s="271"/>
      <c r="AY26" s="271"/>
      <c r="AZ26" s="271"/>
      <c r="BA26" s="271"/>
      <c r="BB26" s="271"/>
    </row>
    <row r="27" spans="1:54" ht="19.5" customHeight="1">
      <c r="A27" s="279"/>
      <c r="B27" s="66" t="s">
        <v>133</v>
      </c>
      <c r="C27" s="19"/>
      <c r="D27" s="19"/>
      <c r="E27" s="99"/>
      <c r="F27" s="107" t="str">
        <f t="shared" si="8"/>
        <v> </v>
      </c>
      <c r="G27" s="913"/>
      <c r="H27" s="913"/>
      <c r="I27" s="313"/>
      <c r="J27" s="313"/>
      <c r="K27" s="914">
        <v>67</v>
      </c>
      <c r="L27" s="914"/>
      <c r="M27" s="914"/>
      <c r="N27" s="914"/>
      <c r="O27" s="633"/>
      <c r="P27" s="313"/>
      <c r="Q27" s="904"/>
      <c r="R27" s="905"/>
      <c r="S27" s="176"/>
      <c r="T27" s="176"/>
      <c r="U27" s="309"/>
      <c r="V27" s="231"/>
      <c r="W27" s="532" t="s">
        <v>134</v>
      </c>
      <c r="X27" s="532" t="s">
        <v>116</v>
      </c>
      <c r="Y27" s="231" t="s">
        <v>117</v>
      </c>
      <c r="Z27" s="674">
        <f aca="true" t="shared" si="16" ref="Z27:AI27">G21*G$33</f>
        <v>0</v>
      </c>
      <c r="AA27" s="674">
        <f t="shared" si="16"/>
        <v>0</v>
      </c>
      <c r="AB27" s="674">
        <f t="shared" si="16"/>
        <v>0</v>
      </c>
      <c r="AC27" s="674">
        <f t="shared" si="16"/>
        <v>83646.15000000001</v>
      </c>
      <c r="AD27" s="674">
        <f t="shared" si="16"/>
        <v>0</v>
      </c>
      <c r="AE27" s="674">
        <f t="shared" si="16"/>
        <v>0</v>
      </c>
      <c r="AF27" s="674">
        <f t="shared" si="16"/>
        <v>0</v>
      </c>
      <c r="AG27" s="674">
        <f t="shared" si="16"/>
        <v>0</v>
      </c>
      <c r="AH27" s="674">
        <f t="shared" si="16"/>
        <v>0</v>
      </c>
      <c r="AI27" s="674">
        <f t="shared" si="16"/>
        <v>0</v>
      </c>
      <c r="AJ27" s="674"/>
      <c r="AK27" s="674">
        <f t="shared" si="7"/>
        <v>83646.15000000001</v>
      </c>
      <c r="AL27" s="231">
        <v>4</v>
      </c>
      <c r="AM27" s="231"/>
      <c r="AN27" s="271"/>
      <c r="AO27" s="271"/>
      <c r="AP27" s="271"/>
      <c r="AQ27" s="271"/>
      <c r="AR27" s="271"/>
      <c r="AS27" s="271"/>
      <c r="AT27" s="271"/>
      <c r="AU27" s="271"/>
      <c r="AV27" s="271"/>
      <c r="AW27" s="271"/>
      <c r="AX27" s="271"/>
      <c r="AY27" s="271"/>
      <c r="AZ27" s="271"/>
      <c r="BA27" s="271"/>
      <c r="BB27" s="271"/>
    </row>
    <row r="28" spans="1:54" ht="19.5" customHeight="1">
      <c r="A28" s="279"/>
      <c r="B28" s="66" t="s">
        <v>135</v>
      </c>
      <c r="C28" s="19"/>
      <c r="D28" s="19"/>
      <c r="E28" s="99"/>
      <c r="F28" s="107" t="str">
        <f t="shared" si="8"/>
        <v> </v>
      </c>
      <c r="G28" s="913"/>
      <c r="H28" s="913"/>
      <c r="I28" s="313"/>
      <c r="J28" s="313"/>
      <c r="K28" s="914">
        <v>67</v>
      </c>
      <c r="L28" s="914"/>
      <c r="M28" s="914"/>
      <c r="N28" s="914"/>
      <c r="O28" s="633"/>
      <c r="P28" s="313"/>
      <c r="Q28" s="904"/>
      <c r="R28" s="905"/>
      <c r="S28" s="176"/>
      <c r="T28" s="176"/>
      <c r="U28" s="309"/>
      <c r="V28" s="231"/>
      <c r="W28" s="231"/>
      <c r="X28" s="532"/>
      <c r="Y28" s="231" t="s">
        <v>119</v>
      </c>
      <c r="Z28" s="674">
        <f aca="true" t="shared" si="17" ref="Z28:AI28">G21*G$34</f>
        <v>0</v>
      </c>
      <c r="AA28" s="674">
        <f t="shared" si="17"/>
        <v>0</v>
      </c>
      <c r="AB28" s="674">
        <f t="shared" si="17"/>
        <v>0</v>
      </c>
      <c r="AC28" s="674">
        <f t="shared" si="17"/>
        <v>11926</v>
      </c>
      <c r="AD28" s="674">
        <f t="shared" si="17"/>
        <v>0</v>
      </c>
      <c r="AE28" s="674">
        <f t="shared" si="17"/>
        <v>0</v>
      </c>
      <c r="AF28" s="674">
        <f t="shared" si="17"/>
        <v>0</v>
      </c>
      <c r="AG28" s="674">
        <f t="shared" si="17"/>
        <v>0</v>
      </c>
      <c r="AH28" s="674">
        <f t="shared" si="17"/>
        <v>0</v>
      </c>
      <c r="AI28" s="674">
        <f t="shared" si="17"/>
        <v>0</v>
      </c>
      <c r="AJ28" s="674"/>
      <c r="AK28" s="674">
        <f t="shared" si="7"/>
        <v>11926</v>
      </c>
      <c r="AL28" s="231"/>
      <c r="AM28" s="231"/>
      <c r="AN28" s="271"/>
      <c r="AO28" s="271"/>
      <c r="AP28" s="271"/>
      <c r="AQ28" s="271"/>
      <c r="AR28" s="271"/>
      <c r="AS28" s="271"/>
      <c r="AT28" s="271"/>
      <c r="AU28" s="271"/>
      <c r="AV28" s="271"/>
      <c r="AW28" s="271"/>
      <c r="AX28" s="271"/>
      <c r="AY28" s="271"/>
      <c r="AZ28" s="271"/>
      <c r="BA28" s="271"/>
      <c r="BB28" s="271"/>
    </row>
    <row r="29" spans="1:54" ht="19.5" customHeight="1" thickBot="1">
      <c r="A29" s="316"/>
      <c r="B29" s="317" t="s">
        <v>136</v>
      </c>
      <c r="C29" s="318"/>
      <c r="D29" s="318"/>
      <c r="E29" s="319"/>
      <c r="F29" s="320" t="str">
        <f t="shared" si="8"/>
        <v> </v>
      </c>
      <c r="G29" s="913"/>
      <c r="H29" s="913"/>
      <c r="I29" s="313"/>
      <c r="J29" s="313"/>
      <c r="K29" s="914">
        <v>67</v>
      </c>
      <c r="L29" s="914"/>
      <c r="M29" s="914"/>
      <c r="N29" s="914"/>
      <c r="O29" s="633"/>
      <c r="P29" s="321"/>
      <c r="Q29" s="323"/>
      <c r="R29" s="324"/>
      <c r="S29" s="176"/>
      <c r="T29" s="176"/>
      <c r="U29" s="309"/>
      <c r="V29" s="231"/>
      <c r="W29" s="231"/>
      <c r="X29" s="532" t="s">
        <v>120</v>
      </c>
      <c r="Y29" s="231" t="s">
        <v>117</v>
      </c>
      <c r="Z29" s="674">
        <f aca="true" t="shared" si="18" ref="Z29:AI29">G21*G$30</f>
        <v>0</v>
      </c>
      <c r="AA29" s="674">
        <f t="shared" si="18"/>
        <v>0</v>
      </c>
      <c r="AB29" s="674">
        <f t="shared" si="18"/>
        <v>0</v>
      </c>
      <c r="AC29" s="674">
        <f t="shared" si="18"/>
        <v>84641.09999999999</v>
      </c>
      <c r="AD29" s="674">
        <f t="shared" si="18"/>
        <v>0</v>
      </c>
      <c r="AE29" s="674">
        <f t="shared" si="18"/>
        <v>0</v>
      </c>
      <c r="AF29" s="674">
        <f t="shared" si="18"/>
        <v>0</v>
      </c>
      <c r="AG29" s="674">
        <f t="shared" si="18"/>
        <v>0</v>
      </c>
      <c r="AH29" s="674">
        <f t="shared" si="18"/>
        <v>0</v>
      </c>
      <c r="AI29" s="674">
        <f t="shared" si="18"/>
        <v>0</v>
      </c>
      <c r="AJ29" s="674"/>
      <c r="AK29" s="674">
        <f t="shared" si="7"/>
        <v>84641.09999999999</v>
      </c>
      <c r="AL29" s="231"/>
      <c r="AM29" s="231"/>
      <c r="AN29" s="271"/>
      <c r="AO29" s="271"/>
      <c r="AP29" s="271"/>
      <c r="AQ29" s="271"/>
      <c r="AR29" s="271"/>
      <c r="AS29" s="271"/>
      <c r="AT29" s="271"/>
      <c r="AU29" s="271"/>
      <c r="AV29" s="271"/>
      <c r="AW29" s="271"/>
      <c r="AX29" s="271"/>
      <c r="AY29" s="271"/>
      <c r="AZ29" s="271"/>
      <c r="BA29" s="271"/>
      <c r="BB29" s="271"/>
    </row>
    <row r="30" spans="1:54" ht="19.5" customHeight="1">
      <c r="A30" s="17" t="s">
        <v>137</v>
      </c>
      <c r="B30" s="15"/>
      <c r="C30" s="265" t="s">
        <v>385</v>
      </c>
      <c r="D30" s="265"/>
      <c r="E30" s="265"/>
      <c r="F30" s="322"/>
      <c r="G30" s="478">
        <f>'ANEXO (1)'!R27</f>
        <v>1413.6</v>
      </c>
      <c r="H30" s="479">
        <f>'ANEXO (2)'!R27</f>
        <v>2011.56</v>
      </c>
      <c r="I30" s="479">
        <f>'ANEXO (3)'!R27</f>
        <v>1119.755</v>
      </c>
      <c r="J30" s="481">
        <f>'ANEXO (4)'!R27</f>
        <v>1263.3</v>
      </c>
      <c r="K30" s="481">
        <f>'ANEXO (5)'!R27</f>
        <v>1362.5</v>
      </c>
      <c r="L30" s="481">
        <f>'ANEXO (6)'!R27</f>
        <v>0</v>
      </c>
      <c r="M30" s="481">
        <f>'ANEXO (7)'!R27</f>
        <v>0</v>
      </c>
      <c r="N30" s="481">
        <f>'ANEXO (8)'!R27</f>
        <v>0</v>
      </c>
      <c r="O30" s="481">
        <f>'ANEXO (9)'!R27</f>
        <v>0</v>
      </c>
      <c r="P30" s="481">
        <f>'ANEXO (10)'!R27</f>
        <v>0</v>
      </c>
      <c r="Q30" s="899"/>
      <c r="R30" s="900"/>
      <c r="S30" s="176"/>
      <c r="T30" s="176"/>
      <c r="U30" s="309"/>
      <c r="V30" s="231"/>
      <c r="W30" s="231"/>
      <c r="X30" s="231"/>
      <c r="Y30" s="231" t="s">
        <v>119</v>
      </c>
      <c r="Z30" s="674">
        <f aca="true" t="shared" si="19" ref="Z30:AI30">G21*G$31</f>
        <v>0</v>
      </c>
      <c r="AA30" s="674">
        <f t="shared" si="19"/>
        <v>0</v>
      </c>
      <c r="AB30" s="674">
        <f t="shared" si="19"/>
        <v>0</v>
      </c>
      <c r="AC30" s="674">
        <f t="shared" si="19"/>
        <v>80534</v>
      </c>
      <c r="AD30" s="674">
        <f t="shared" si="19"/>
        <v>0</v>
      </c>
      <c r="AE30" s="674">
        <f t="shared" si="19"/>
        <v>0</v>
      </c>
      <c r="AF30" s="674">
        <f t="shared" si="19"/>
        <v>0</v>
      </c>
      <c r="AG30" s="674">
        <f t="shared" si="19"/>
        <v>0</v>
      </c>
      <c r="AH30" s="674">
        <f t="shared" si="19"/>
        <v>0</v>
      </c>
      <c r="AI30" s="674">
        <f t="shared" si="19"/>
        <v>0</v>
      </c>
      <c r="AJ30" s="674"/>
      <c r="AK30" s="674">
        <f aca="true" t="shared" si="20" ref="AK30:AK62">SUM(Z30:AJ30)</f>
        <v>80534</v>
      </c>
      <c r="AL30" s="231"/>
      <c r="AM30" s="231"/>
      <c r="AN30" s="271"/>
      <c r="AO30" s="271"/>
      <c r="AP30" s="271"/>
      <c r="AQ30" s="271"/>
      <c r="AR30" s="271"/>
      <c r="AS30" s="271"/>
      <c r="AT30" s="271"/>
      <c r="AU30" s="271"/>
      <c r="AV30" s="271"/>
      <c r="AW30" s="271"/>
      <c r="AX30" s="271"/>
      <c r="AY30" s="271"/>
      <c r="AZ30" s="271"/>
      <c r="BA30" s="271"/>
      <c r="BB30" s="271"/>
    </row>
    <row r="31" spans="1:54" ht="19.5" customHeight="1">
      <c r="A31" s="266"/>
      <c r="B31" s="8"/>
      <c r="C31" s="265" t="s">
        <v>386</v>
      </c>
      <c r="D31" s="265"/>
      <c r="E31" s="265"/>
      <c r="F31" s="322"/>
      <c r="G31" s="480">
        <f>'ANEXO (1)'!R80</f>
        <v>1424.4144999999999</v>
      </c>
      <c r="H31" s="480">
        <f>'ANEXO (2)'!R80</f>
        <v>1072</v>
      </c>
      <c r="I31" s="480">
        <f>'ANEXO (3)'!R80</f>
        <v>514</v>
      </c>
      <c r="J31" s="480">
        <f>'ANEXO (4)'!R80</f>
        <v>1202</v>
      </c>
      <c r="K31" s="480">
        <f>'ANEXO (5)'!R79</f>
        <v>416</v>
      </c>
      <c r="L31" s="480">
        <f>'ANEXO (6)'!R79</f>
        <v>0</v>
      </c>
      <c r="M31" s="480">
        <f>'ANEXO (7)'!R80</f>
        <v>0</v>
      </c>
      <c r="N31" s="480">
        <f>'ANEXO (8)'!R79</f>
        <v>0</v>
      </c>
      <c r="O31" s="480">
        <f>'ANEXO (9)'!R80</f>
        <v>0</v>
      </c>
      <c r="P31" s="480">
        <f>'ANEXO (10)'!R80</f>
        <v>0</v>
      </c>
      <c r="Q31" s="323"/>
      <c r="R31" s="324"/>
      <c r="S31" s="176"/>
      <c r="T31" s="176"/>
      <c r="U31" s="309"/>
      <c r="V31" s="231"/>
      <c r="W31" s="532" t="s">
        <v>138</v>
      </c>
      <c r="X31" s="532" t="s">
        <v>116</v>
      </c>
      <c r="Y31" s="231" t="s">
        <v>117</v>
      </c>
      <c r="Z31" s="674">
        <f aca="true" t="shared" si="21" ref="Z31:AI31">G22*G$33</f>
        <v>0</v>
      </c>
      <c r="AA31" s="674">
        <f t="shared" si="21"/>
        <v>0</v>
      </c>
      <c r="AB31" s="674">
        <f t="shared" si="21"/>
        <v>0</v>
      </c>
      <c r="AC31" s="674">
        <f t="shared" si="21"/>
        <v>0</v>
      </c>
      <c r="AD31" s="674">
        <f t="shared" si="21"/>
        <v>91287.5</v>
      </c>
      <c r="AE31" s="674">
        <f t="shared" si="21"/>
        <v>0</v>
      </c>
      <c r="AF31" s="674">
        <f t="shared" si="21"/>
        <v>0</v>
      </c>
      <c r="AG31" s="674">
        <f t="shared" si="21"/>
        <v>0</v>
      </c>
      <c r="AH31" s="674">
        <f t="shared" si="21"/>
        <v>0</v>
      </c>
      <c r="AI31" s="674">
        <f t="shared" si="21"/>
        <v>0</v>
      </c>
      <c r="AJ31" s="674"/>
      <c r="AK31" s="674">
        <f t="shared" si="20"/>
        <v>91287.5</v>
      </c>
      <c r="AL31" s="231">
        <v>5</v>
      </c>
      <c r="AM31" s="231"/>
      <c r="AN31" s="271"/>
      <c r="AO31" s="271"/>
      <c r="AP31" s="271"/>
      <c r="AQ31" s="271"/>
      <c r="AR31" s="271"/>
      <c r="AS31" s="271"/>
      <c r="AT31" s="271"/>
      <c r="AU31" s="271"/>
      <c r="AV31" s="271"/>
      <c r="AW31" s="271"/>
      <c r="AX31" s="271"/>
      <c r="AY31" s="271"/>
      <c r="AZ31" s="271"/>
      <c r="BA31" s="271"/>
      <c r="BB31" s="271"/>
    </row>
    <row r="32" spans="1:54" ht="12.75" customHeight="1">
      <c r="A32" s="6"/>
      <c r="B32" s="265"/>
      <c r="C32" s="265"/>
      <c r="D32" s="265"/>
      <c r="E32" s="265"/>
      <c r="F32" s="322"/>
      <c r="G32" s="480"/>
      <c r="H32" s="480"/>
      <c r="I32" s="480"/>
      <c r="J32" s="480"/>
      <c r="K32" s="480"/>
      <c r="L32" s="480"/>
      <c r="M32" s="480"/>
      <c r="N32" s="480"/>
      <c r="O32" s="480"/>
      <c r="P32" s="480"/>
      <c r="Q32" s="325"/>
      <c r="R32" s="324"/>
      <c r="S32" s="176"/>
      <c r="T32" s="176"/>
      <c r="U32" s="309"/>
      <c r="V32" s="231"/>
      <c r="W32" s="231"/>
      <c r="X32" s="532"/>
      <c r="Y32" s="231" t="s">
        <v>119</v>
      </c>
      <c r="Z32" s="674">
        <f aca="true" t="shared" si="22" ref="Z32:AI32">G22*G$34</f>
        <v>0</v>
      </c>
      <c r="AA32" s="674">
        <f t="shared" si="22"/>
        <v>0</v>
      </c>
      <c r="AB32" s="674">
        <f t="shared" si="22"/>
        <v>0</v>
      </c>
      <c r="AC32" s="674">
        <f t="shared" si="22"/>
        <v>0</v>
      </c>
      <c r="AD32" s="674">
        <f t="shared" si="22"/>
        <v>9648</v>
      </c>
      <c r="AE32" s="674">
        <f t="shared" si="22"/>
        <v>0</v>
      </c>
      <c r="AF32" s="674">
        <f t="shared" si="22"/>
        <v>0</v>
      </c>
      <c r="AG32" s="674">
        <f t="shared" si="22"/>
        <v>0</v>
      </c>
      <c r="AH32" s="674">
        <f t="shared" si="22"/>
        <v>0</v>
      </c>
      <c r="AI32" s="674">
        <f t="shared" si="22"/>
        <v>0</v>
      </c>
      <c r="AJ32" s="674"/>
      <c r="AK32" s="674">
        <f t="shared" si="20"/>
        <v>9648</v>
      </c>
      <c r="AL32" s="231"/>
      <c r="AM32" s="231"/>
      <c r="AN32" s="271"/>
      <c r="AO32" s="271"/>
      <c r="AP32" s="271"/>
      <c r="AQ32" s="271"/>
      <c r="AR32" s="271"/>
      <c r="AS32" s="271"/>
      <c r="AT32" s="271"/>
      <c r="AU32" s="271"/>
      <c r="AV32" s="271"/>
      <c r="AW32" s="271"/>
      <c r="AX32" s="271"/>
      <c r="AY32" s="271"/>
      <c r="AZ32" s="271"/>
      <c r="BA32" s="271"/>
      <c r="BB32" s="271"/>
    </row>
    <row r="33" spans="1:54" ht="19.5" customHeight="1">
      <c r="A33" s="17" t="s">
        <v>139</v>
      </c>
      <c r="B33" s="8"/>
      <c r="C33" s="265" t="s">
        <v>280</v>
      </c>
      <c r="D33" s="265"/>
      <c r="E33" s="265"/>
      <c r="F33" s="322"/>
      <c r="G33" s="481">
        <f>'ANEXO (1)'!T27</f>
        <v>1355.474</v>
      </c>
      <c r="H33" s="481">
        <f>'ANEXO (2)'!T27</f>
        <v>1953.2256</v>
      </c>
      <c r="I33" s="481">
        <f>'ANEXO (3)'!T27</f>
        <v>1093.65635</v>
      </c>
      <c r="J33" s="481">
        <f>'ANEXO (4)'!T27</f>
        <v>1248.45</v>
      </c>
      <c r="K33" s="481">
        <f>'ANEXO (5)'!T27</f>
        <v>1362.5</v>
      </c>
      <c r="L33" s="481">
        <f>'ANEXO (6)'!T27</f>
        <v>0</v>
      </c>
      <c r="M33" s="481">
        <f>'ANEXO (7)'!T27</f>
        <v>0</v>
      </c>
      <c r="N33" s="481">
        <f>'ANEXO (8)'!T27</f>
        <v>0</v>
      </c>
      <c r="O33" s="481">
        <f>'ANEXO (9)'!T27</f>
        <v>0</v>
      </c>
      <c r="P33" s="481">
        <f>'ANEXO (10)'!T27</f>
        <v>0</v>
      </c>
      <c r="Q33" s="901"/>
      <c r="R33" s="902"/>
      <c r="S33" s="176"/>
      <c r="T33" s="176"/>
      <c r="U33" s="309"/>
      <c r="V33" s="231"/>
      <c r="W33" s="231"/>
      <c r="X33" s="532" t="s">
        <v>120</v>
      </c>
      <c r="Y33" s="231" t="s">
        <v>117</v>
      </c>
      <c r="Z33" s="674">
        <f aca="true" t="shared" si="23" ref="Z33:AI33">G22*G$30</f>
        <v>0</v>
      </c>
      <c r="AA33" s="674">
        <f t="shared" si="23"/>
        <v>0</v>
      </c>
      <c r="AB33" s="674">
        <f t="shared" si="23"/>
        <v>0</v>
      </c>
      <c r="AC33" s="674">
        <f t="shared" si="23"/>
        <v>0</v>
      </c>
      <c r="AD33" s="674">
        <f t="shared" si="23"/>
        <v>91287.5</v>
      </c>
      <c r="AE33" s="674">
        <f t="shared" si="23"/>
        <v>0</v>
      </c>
      <c r="AF33" s="674">
        <f t="shared" si="23"/>
        <v>0</v>
      </c>
      <c r="AG33" s="674">
        <f t="shared" si="23"/>
        <v>0</v>
      </c>
      <c r="AH33" s="674">
        <f t="shared" si="23"/>
        <v>0</v>
      </c>
      <c r="AI33" s="674">
        <f t="shared" si="23"/>
        <v>0</v>
      </c>
      <c r="AJ33" s="674"/>
      <c r="AK33" s="674">
        <f t="shared" si="20"/>
        <v>91287.5</v>
      </c>
      <c r="AL33" s="231"/>
      <c r="AM33" s="231"/>
      <c r="AN33" s="271"/>
      <c r="AO33" s="271"/>
      <c r="AP33" s="271"/>
      <c r="AQ33" s="271"/>
      <c r="AR33" s="271"/>
      <c r="AS33" s="271"/>
      <c r="AT33" s="271"/>
      <c r="AU33" s="271"/>
      <c r="AV33" s="271"/>
      <c r="AW33" s="271"/>
      <c r="AX33" s="271"/>
      <c r="AY33" s="271"/>
      <c r="AZ33" s="271"/>
      <c r="BA33" s="271"/>
      <c r="BB33" s="271"/>
    </row>
    <row r="34" spans="1:54" ht="19.5" customHeight="1" thickBot="1">
      <c r="A34" s="112"/>
      <c r="B34" s="326" t="s">
        <v>387</v>
      </c>
      <c r="C34" s="327" t="s">
        <v>282</v>
      </c>
      <c r="D34" s="327"/>
      <c r="E34" s="327"/>
      <c r="F34" s="328"/>
      <c r="G34" s="625">
        <f>'ANEXO (1)'!T80</f>
        <v>880.4145</v>
      </c>
      <c r="H34" s="625">
        <f>'ANEXO (2)'!T80</f>
        <v>452</v>
      </c>
      <c r="I34" s="625">
        <f>'ANEXO (3)'!T80</f>
        <v>206</v>
      </c>
      <c r="J34" s="625">
        <f>'ANEXO (4)'!T80</f>
        <v>178</v>
      </c>
      <c r="K34" s="625">
        <f>'ANEXO (5)'!T79</f>
        <v>144</v>
      </c>
      <c r="L34" s="625">
        <f>'ANEXO (6)'!T79</f>
        <v>0</v>
      </c>
      <c r="M34" s="625">
        <f>'ANEXO (7)'!T80</f>
        <v>0</v>
      </c>
      <c r="N34" s="625">
        <f>'ANEXO (8)'!T79</f>
        <v>0</v>
      </c>
      <c r="O34" s="625">
        <f>'ANEXO (9)'!T80</f>
        <v>0</v>
      </c>
      <c r="P34" s="625">
        <f>'ANEXO (10)'!T80</f>
        <v>0</v>
      </c>
      <c r="Q34" s="329"/>
      <c r="R34" s="330"/>
      <c r="S34" s="176"/>
      <c r="T34" s="176"/>
      <c r="U34" s="309"/>
      <c r="V34" s="231"/>
      <c r="W34" s="231"/>
      <c r="X34" s="231"/>
      <c r="Y34" s="231" t="s">
        <v>119</v>
      </c>
      <c r="Z34" s="674">
        <f aca="true" t="shared" si="24" ref="Z34:AI34">G22*G$31</f>
        <v>0</v>
      </c>
      <c r="AA34" s="674">
        <f t="shared" si="24"/>
        <v>0</v>
      </c>
      <c r="AB34" s="674">
        <f t="shared" si="24"/>
        <v>0</v>
      </c>
      <c r="AC34" s="674">
        <f t="shared" si="24"/>
        <v>0</v>
      </c>
      <c r="AD34" s="674">
        <f t="shared" si="24"/>
        <v>27872</v>
      </c>
      <c r="AE34" s="674">
        <f t="shared" si="24"/>
        <v>0</v>
      </c>
      <c r="AF34" s="674">
        <f t="shared" si="24"/>
        <v>0</v>
      </c>
      <c r="AG34" s="674">
        <f t="shared" si="24"/>
        <v>0</v>
      </c>
      <c r="AH34" s="674">
        <f t="shared" si="24"/>
        <v>0</v>
      </c>
      <c r="AI34" s="674">
        <f t="shared" si="24"/>
        <v>0</v>
      </c>
      <c r="AJ34" s="674"/>
      <c r="AK34" s="674">
        <f t="shared" si="20"/>
        <v>27872</v>
      </c>
      <c r="AL34" s="231"/>
      <c r="AM34" s="231"/>
      <c r="AN34" s="271"/>
      <c r="AO34" s="271"/>
      <c r="AP34" s="271"/>
      <c r="AQ34" s="271"/>
      <c r="AR34" s="271"/>
      <c r="AS34" s="271"/>
      <c r="AT34" s="271"/>
      <c r="AU34" s="271"/>
      <c r="AV34" s="271"/>
      <c r="AW34" s="271"/>
      <c r="AX34" s="271"/>
      <c r="AY34" s="271"/>
      <c r="AZ34" s="271"/>
      <c r="BA34" s="271"/>
      <c r="BB34" s="271"/>
    </row>
    <row r="35" spans="1:54" ht="15.75" customHeight="1">
      <c r="A35" s="6"/>
      <c r="B35" s="8"/>
      <c r="C35" s="8"/>
      <c r="D35" s="8"/>
      <c r="E35" s="8"/>
      <c r="F35" s="12"/>
      <c r="G35" s="290"/>
      <c r="H35" s="290"/>
      <c r="I35" s="290"/>
      <c r="J35" s="290"/>
      <c r="K35" s="290"/>
      <c r="L35" s="290"/>
      <c r="M35" s="290"/>
      <c r="N35" s="290"/>
      <c r="O35" s="290"/>
      <c r="P35" s="290"/>
      <c r="Q35" s="8"/>
      <c r="R35" s="12"/>
      <c r="S35" s="176"/>
      <c r="T35" s="176"/>
      <c r="U35" s="309"/>
      <c r="V35" s="231"/>
      <c r="W35" s="532" t="s">
        <v>140</v>
      </c>
      <c r="X35" s="532" t="s">
        <v>116</v>
      </c>
      <c r="Y35" s="231" t="s">
        <v>117</v>
      </c>
      <c r="Z35" s="674">
        <f aca="true" t="shared" si="25" ref="Z35:AI35">G23*G$33</f>
        <v>0</v>
      </c>
      <c r="AA35" s="674">
        <f t="shared" si="25"/>
        <v>0</v>
      </c>
      <c r="AB35" s="674">
        <f t="shared" si="25"/>
        <v>0</v>
      </c>
      <c r="AC35" s="674">
        <f t="shared" si="25"/>
        <v>0</v>
      </c>
      <c r="AD35" s="674">
        <f t="shared" si="25"/>
        <v>91287.5</v>
      </c>
      <c r="AE35" s="674">
        <f t="shared" si="25"/>
        <v>0</v>
      </c>
      <c r="AF35" s="674">
        <f t="shared" si="25"/>
        <v>0</v>
      </c>
      <c r="AG35" s="674">
        <f t="shared" si="25"/>
        <v>0</v>
      </c>
      <c r="AH35" s="674">
        <f t="shared" si="25"/>
        <v>0</v>
      </c>
      <c r="AI35" s="674">
        <f t="shared" si="25"/>
        <v>0</v>
      </c>
      <c r="AJ35" s="674"/>
      <c r="AK35" s="674">
        <f t="shared" si="20"/>
        <v>91287.5</v>
      </c>
      <c r="AL35" s="231">
        <v>6</v>
      </c>
      <c r="AM35" s="231"/>
      <c r="AN35" s="271"/>
      <c r="AO35" s="271"/>
      <c r="AP35" s="271"/>
      <c r="AQ35" s="271"/>
      <c r="AR35" s="271"/>
      <c r="AS35" s="271"/>
      <c r="AT35" s="271"/>
      <c r="AU35" s="271"/>
      <c r="AV35" s="271"/>
      <c r="AW35" s="271"/>
      <c r="AX35" s="271"/>
      <c r="AY35" s="271"/>
      <c r="AZ35" s="271"/>
      <c r="BA35" s="271"/>
      <c r="BB35" s="271"/>
    </row>
    <row r="36" spans="1:54" ht="15.75" customHeight="1">
      <c r="A36" s="6"/>
      <c r="B36" s="624" t="s">
        <v>436</v>
      </c>
      <c r="C36" s="8"/>
      <c r="D36" s="8"/>
      <c r="E36" s="8"/>
      <c r="F36" s="12"/>
      <c r="G36" s="626">
        <f>'ANEXO (1)'!H86</f>
        <v>0.49454545454545457</v>
      </c>
      <c r="H36" s="626">
        <f>'ANEXO (2)'!H86</f>
        <v>0.5636363636363636</v>
      </c>
      <c r="I36" s="626">
        <f>'ANEXO (3)'!H86</f>
        <v>0.28</v>
      </c>
      <c r="J36" s="626">
        <f>'ANEXO (4)'!H86</f>
        <v>0.9309090909090909</v>
      </c>
      <c r="K36" s="626">
        <f>'ANEXO (5)'!H85</f>
        <v>0.24727272727272728</v>
      </c>
      <c r="L36" s="626">
        <f>'ANEXO (6)'!H85</f>
        <v>0</v>
      </c>
      <c r="M36" s="626">
        <f>'ANEXO (7)'!H86</f>
        <v>0</v>
      </c>
      <c r="N36" s="626">
        <f>'ANEXO (8)'!H85</f>
        <v>0</v>
      </c>
      <c r="O36" s="626">
        <f>'ANEXO (9)'!H86</f>
        <v>0</v>
      </c>
      <c r="P36" s="626">
        <f>'ANEXO (10)'!H86</f>
        <v>0</v>
      </c>
      <c r="Q36" s="628">
        <f>SUM(G36:P36)</f>
        <v>2.516363636363636</v>
      </c>
      <c r="R36" s="629"/>
      <c r="S36" s="176"/>
      <c r="T36" s="176"/>
      <c r="U36" s="309"/>
      <c r="V36" s="231"/>
      <c r="W36" s="231"/>
      <c r="X36" s="532"/>
      <c r="Y36" s="231" t="s">
        <v>119</v>
      </c>
      <c r="Z36" s="674">
        <f aca="true" t="shared" si="26" ref="Z36:AI36">G23*G$34</f>
        <v>0</v>
      </c>
      <c r="AA36" s="674">
        <f t="shared" si="26"/>
        <v>0</v>
      </c>
      <c r="AB36" s="674">
        <f t="shared" si="26"/>
        <v>0</v>
      </c>
      <c r="AC36" s="674">
        <f t="shared" si="26"/>
        <v>0</v>
      </c>
      <c r="AD36" s="674">
        <f t="shared" si="26"/>
        <v>9648</v>
      </c>
      <c r="AE36" s="674">
        <f t="shared" si="26"/>
        <v>0</v>
      </c>
      <c r="AF36" s="674">
        <f t="shared" si="26"/>
        <v>0</v>
      </c>
      <c r="AG36" s="674">
        <f t="shared" si="26"/>
        <v>0</v>
      </c>
      <c r="AH36" s="674">
        <f t="shared" si="26"/>
        <v>0</v>
      </c>
      <c r="AI36" s="674">
        <f t="shared" si="26"/>
        <v>0</v>
      </c>
      <c r="AJ36" s="674"/>
      <c r="AK36" s="674">
        <f t="shared" si="20"/>
        <v>9648</v>
      </c>
      <c r="AL36" s="231"/>
      <c r="AM36" s="231"/>
      <c r="AN36" s="271"/>
      <c r="AO36" s="271"/>
      <c r="AP36" s="271"/>
      <c r="AQ36" s="271"/>
      <c r="AR36" s="271"/>
      <c r="AS36" s="271"/>
      <c r="AT36" s="271"/>
      <c r="AU36" s="271"/>
      <c r="AV36" s="271"/>
      <c r="AW36" s="271"/>
      <c r="AX36" s="271"/>
      <c r="AY36" s="271"/>
      <c r="AZ36" s="271"/>
      <c r="BA36" s="271"/>
      <c r="BB36" s="271"/>
    </row>
    <row r="37" spans="1:54" ht="10.5" customHeight="1">
      <c r="A37" s="6"/>
      <c r="B37" s="8" t="s">
        <v>281</v>
      </c>
      <c r="C37" s="8"/>
      <c r="D37" s="8"/>
      <c r="E37" s="8"/>
      <c r="F37" s="12"/>
      <c r="G37" s="63"/>
      <c r="H37" s="63"/>
      <c r="I37" s="63"/>
      <c r="J37" s="63"/>
      <c r="K37" s="63"/>
      <c r="L37" s="63"/>
      <c r="M37" s="63"/>
      <c r="N37" s="63"/>
      <c r="O37" s="63"/>
      <c r="P37" s="63"/>
      <c r="Q37" s="19"/>
      <c r="R37" s="27"/>
      <c r="S37" s="176"/>
      <c r="T37" s="176"/>
      <c r="U37" s="309"/>
      <c r="V37" s="231"/>
      <c r="W37" s="231"/>
      <c r="X37" s="532" t="s">
        <v>120</v>
      </c>
      <c r="Y37" s="231" t="s">
        <v>117</v>
      </c>
      <c r="Z37" s="674">
        <f aca="true" t="shared" si="27" ref="Z37:AI37">G23*G$30</f>
        <v>0</v>
      </c>
      <c r="AA37" s="674">
        <f t="shared" si="27"/>
        <v>0</v>
      </c>
      <c r="AB37" s="674">
        <f t="shared" si="27"/>
        <v>0</v>
      </c>
      <c r="AC37" s="674">
        <f t="shared" si="27"/>
        <v>0</v>
      </c>
      <c r="AD37" s="674">
        <f t="shared" si="27"/>
        <v>91287.5</v>
      </c>
      <c r="AE37" s="674">
        <f t="shared" si="27"/>
        <v>0</v>
      </c>
      <c r="AF37" s="674">
        <f t="shared" si="27"/>
        <v>0</v>
      </c>
      <c r="AG37" s="674">
        <f t="shared" si="27"/>
        <v>0</v>
      </c>
      <c r="AH37" s="674">
        <f t="shared" si="27"/>
        <v>0</v>
      </c>
      <c r="AI37" s="674">
        <f t="shared" si="27"/>
        <v>0</v>
      </c>
      <c r="AJ37" s="674"/>
      <c r="AK37" s="674">
        <f t="shared" si="20"/>
        <v>91287.5</v>
      </c>
      <c r="AL37" s="231"/>
      <c r="AM37" s="231"/>
      <c r="AN37" s="271"/>
      <c r="AO37" s="271"/>
      <c r="AP37" s="271"/>
      <c r="AQ37" s="271"/>
      <c r="AR37" s="271"/>
      <c r="AS37" s="271"/>
      <c r="AT37" s="271"/>
      <c r="AU37" s="271"/>
      <c r="AV37" s="271"/>
      <c r="AW37" s="271"/>
      <c r="AX37" s="271"/>
      <c r="AY37" s="271"/>
      <c r="AZ37" s="271"/>
      <c r="BA37" s="271"/>
      <c r="BB37" s="271"/>
    </row>
    <row r="38" spans="1:54" ht="6.75" customHeight="1">
      <c r="A38" s="6"/>
      <c r="B38" s="8"/>
      <c r="C38" s="8"/>
      <c r="D38" s="8"/>
      <c r="E38" s="8"/>
      <c r="F38" s="12"/>
      <c r="G38" s="59"/>
      <c r="H38" s="59"/>
      <c r="I38" s="59"/>
      <c r="J38" s="59"/>
      <c r="K38" s="59"/>
      <c r="L38" s="59"/>
      <c r="M38" s="59"/>
      <c r="N38" s="59"/>
      <c r="O38" s="59"/>
      <c r="P38" s="59"/>
      <c r="Q38" s="8"/>
      <c r="R38" s="12"/>
      <c r="S38" s="176"/>
      <c r="T38" s="176"/>
      <c r="U38" s="309"/>
      <c r="V38" s="231"/>
      <c r="W38" s="231"/>
      <c r="X38" s="231"/>
      <c r="Y38" s="231" t="s">
        <v>119</v>
      </c>
      <c r="Z38" s="674">
        <f>G23*G31</f>
        <v>0</v>
      </c>
      <c r="AA38" s="674">
        <f aca="true" t="shared" si="28" ref="AA38:AI38">H23*H31</f>
        <v>0</v>
      </c>
      <c r="AB38" s="674">
        <f t="shared" si="28"/>
        <v>0</v>
      </c>
      <c r="AC38" s="674">
        <f t="shared" si="28"/>
        <v>0</v>
      </c>
      <c r="AD38" s="674">
        <f t="shared" si="28"/>
        <v>27872</v>
      </c>
      <c r="AE38" s="674">
        <f t="shared" si="28"/>
        <v>0</v>
      </c>
      <c r="AF38" s="674">
        <f t="shared" si="28"/>
        <v>0</v>
      </c>
      <c r="AG38" s="674">
        <f t="shared" si="28"/>
        <v>0</v>
      </c>
      <c r="AH38" s="674">
        <f t="shared" si="28"/>
        <v>0</v>
      </c>
      <c r="AI38" s="674">
        <f t="shared" si="28"/>
        <v>0</v>
      </c>
      <c r="AJ38" s="674"/>
      <c r="AK38" s="674">
        <f t="shared" si="20"/>
        <v>27872</v>
      </c>
      <c r="AL38" s="231"/>
      <c r="AM38" s="231"/>
      <c r="AN38" s="271"/>
      <c r="AO38" s="271"/>
      <c r="AP38" s="271"/>
      <c r="AQ38" s="271"/>
      <c r="AR38" s="271"/>
      <c r="AS38" s="271"/>
      <c r="AT38" s="271"/>
      <c r="AU38" s="271"/>
      <c r="AV38" s="271"/>
      <c r="AW38" s="271"/>
      <c r="AX38" s="271"/>
      <c r="AY38" s="271"/>
      <c r="AZ38" s="271"/>
      <c r="BA38" s="271"/>
      <c r="BB38" s="271"/>
    </row>
    <row r="39" spans="1:54" ht="15.75" customHeight="1">
      <c r="A39" s="6"/>
      <c r="B39" s="124" t="s">
        <v>437</v>
      </c>
      <c r="C39" s="7"/>
      <c r="D39" s="7"/>
      <c r="E39" s="7"/>
      <c r="F39" s="12"/>
      <c r="G39" s="627">
        <f>G36*G29</f>
        <v>0</v>
      </c>
      <c r="H39" s="627">
        <f aca="true" t="shared" si="29" ref="H39:P39">H36*H29</f>
        <v>0</v>
      </c>
      <c r="I39" s="627">
        <f t="shared" si="29"/>
        <v>0</v>
      </c>
      <c r="J39" s="627">
        <f t="shared" si="29"/>
        <v>0</v>
      </c>
      <c r="K39" s="627">
        <f t="shared" si="29"/>
        <v>16.567272727272726</v>
      </c>
      <c r="L39" s="627">
        <f t="shared" si="29"/>
        <v>0</v>
      </c>
      <c r="M39" s="627">
        <f t="shared" si="29"/>
        <v>0</v>
      </c>
      <c r="N39" s="627">
        <f t="shared" si="29"/>
        <v>0</v>
      </c>
      <c r="O39" s="627">
        <f t="shared" si="29"/>
        <v>0</v>
      </c>
      <c r="P39" s="627">
        <f t="shared" si="29"/>
        <v>0</v>
      </c>
      <c r="Q39" s="592">
        <f>SUM(G39:P39)</f>
        <v>16.567272727272726</v>
      </c>
      <c r="R39" s="518"/>
      <c r="U39" s="271"/>
      <c r="V39" s="231"/>
      <c r="W39" s="532" t="s">
        <v>141</v>
      </c>
      <c r="X39" s="532" t="s">
        <v>116</v>
      </c>
      <c r="Y39" s="231" t="s">
        <v>117</v>
      </c>
      <c r="Z39" s="674">
        <f aca="true" t="shared" si="30" ref="Z39:AI39">G24*G$33</f>
        <v>0</v>
      </c>
      <c r="AA39" s="674">
        <f t="shared" si="30"/>
        <v>0</v>
      </c>
      <c r="AB39" s="674">
        <f t="shared" si="30"/>
        <v>0</v>
      </c>
      <c r="AC39" s="674">
        <f t="shared" si="30"/>
        <v>0</v>
      </c>
      <c r="AD39" s="674">
        <f t="shared" si="30"/>
        <v>91287.5</v>
      </c>
      <c r="AE39" s="674">
        <f t="shared" si="30"/>
        <v>0</v>
      </c>
      <c r="AF39" s="674">
        <f t="shared" si="30"/>
        <v>0</v>
      </c>
      <c r="AG39" s="674">
        <f t="shared" si="30"/>
        <v>0</v>
      </c>
      <c r="AH39" s="674">
        <f t="shared" si="30"/>
        <v>0</v>
      </c>
      <c r="AI39" s="674">
        <f t="shared" si="30"/>
        <v>0</v>
      </c>
      <c r="AJ39" s="674"/>
      <c r="AK39" s="674">
        <f t="shared" si="20"/>
        <v>91287.5</v>
      </c>
      <c r="AL39" s="231">
        <v>7</v>
      </c>
      <c r="AM39" s="231"/>
      <c r="AN39" s="271"/>
      <c r="AO39" s="271"/>
      <c r="AP39" s="271"/>
      <c r="AQ39" s="271"/>
      <c r="AR39" s="271"/>
      <c r="AS39" s="271"/>
      <c r="AT39" s="271"/>
      <c r="AU39" s="271"/>
      <c r="AV39" s="271"/>
      <c r="AW39" s="271"/>
      <c r="AX39" s="271"/>
      <c r="AY39" s="271"/>
      <c r="AZ39" s="271"/>
      <c r="BA39" s="271"/>
      <c r="BB39" s="271"/>
    </row>
    <row r="40" spans="1:54" ht="4.5" customHeight="1" thickBot="1">
      <c r="A40" s="45"/>
      <c r="B40" s="46"/>
      <c r="C40" s="46"/>
      <c r="D40" s="46"/>
      <c r="E40" s="46"/>
      <c r="F40" s="53"/>
      <c r="G40" s="108"/>
      <c r="H40" s="521">
        <f aca="true" t="shared" si="31" ref="H40:P40">H37*H30</f>
        <v>0</v>
      </c>
      <c r="I40" s="521">
        <f t="shared" si="31"/>
        <v>0</v>
      </c>
      <c r="J40" s="521">
        <f t="shared" si="31"/>
        <v>0</v>
      </c>
      <c r="K40" s="521">
        <f t="shared" si="31"/>
        <v>0</v>
      </c>
      <c r="L40" s="521">
        <f t="shared" si="31"/>
        <v>0</v>
      </c>
      <c r="M40" s="521">
        <f t="shared" si="31"/>
        <v>0</v>
      </c>
      <c r="N40" s="521">
        <f t="shared" si="31"/>
        <v>0</v>
      </c>
      <c r="O40" s="521">
        <f t="shared" si="31"/>
        <v>0</v>
      </c>
      <c r="P40" s="521">
        <f t="shared" si="31"/>
        <v>0</v>
      </c>
      <c r="Q40" s="520"/>
      <c r="R40" s="519"/>
      <c r="U40" s="271"/>
      <c r="V40" s="231"/>
      <c r="W40" s="231"/>
      <c r="X40" s="532"/>
      <c r="Y40" s="231" t="s">
        <v>119</v>
      </c>
      <c r="Z40" s="674">
        <f aca="true" t="shared" si="32" ref="Z40:AI40">G24*G$34</f>
        <v>0</v>
      </c>
      <c r="AA40" s="674">
        <f t="shared" si="32"/>
        <v>0</v>
      </c>
      <c r="AB40" s="674">
        <f t="shared" si="32"/>
        <v>0</v>
      </c>
      <c r="AC40" s="674">
        <f t="shared" si="32"/>
        <v>0</v>
      </c>
      <c r="AD40" s="674">
        <f t="shared" si="32"/>
        <v>9648</v>
      </c>
      <c r="AE40" s="674">
        <f t="shared" si="32"/>
        <v>0</v>
      </c>
      <c r="AF40" s="674">
        <f t="shared" si="32"/>
        <v>0</v>
      </c>
      <c r="AG40" s="674">
        <f t="shared" si="32"/>
        <v>0</v>
      </c>
      <c r="AH40" s="674">
        <f t="shared" si="32"/>
        <v>0</v>
      </c>
      <c r="AI40" s="674">
        <f t="shared" si="32"/>
        <v>0</v>
      </c>
      <c r="AJ40" s="674"/>
      <c r="AK40" s="674">
        <f t="shared" si="20"/>
        <v>9648</v>
      </c>
      <c r="AL40" s="231"/>
      <c r="AM40" s="231"/>
      <c r="AN40" s="271"/>
      <c r="AO40" s="271"/>
      <c r="AP40" s="271"/>
      <c r="AQ40" s="271"/>
      <c r="AR40" s="271"/>
      <c r="AS40" s="271"/>
      <c r="AT40" s="271"/>
      <c r="AU40" s="271"/>
      <c r="AV40" s="271"/>
      <c r="AW40" s="271"/>
      <c r="AX40" s="271"/>
      <c r="AY40" s="271"/>
      <c r="AZ40" s="271"/>
      <c r="BA40" s="271"/>
      <c r="BB40" s="271"/>
    </row>
    <row r="41" spans="21:54" ht="12.75" customHeight="1" thickTop="1">
      <c r="U41" s="271"/>
      <c r="V41" s="231"/>
      <c r="W41" s="231"/>
      <c r="X41" s="532" t="s">
        <v>120</v>
      </c>
      <c r="Y41" s="231" t="s">
        <v>117</v>
      </c>
      <c r="Z41" s="674">
        <f aca="true" t="shared" si="33" ref="Z41:AI41">G24*G$30</f>
        <v>0</v>
      </c>
      <c r="AA41" s="674">
        <f t="shared" si="33"/>
        <v>0</v>
      </c>
      <c r="AB41" s="674">
        <f t="shared" si="33"/>
        <v>0</v>
      </c>
      <c r="AC41" s="674">
        <f t="shared" si="33"/>
        <v>0</v>
      </c>
      <c r="AD41" s="674">
        <f t="shared" si="33"/>
        <v>91287.5</v>
      </c>
      <c r="AE41" s="674">
        <f t="shared" si="33"/>
        <v>0</v>
      </c>
      <c r="AF41" s="674">
        <f t="shared" si="33"/>
        <v>0</v>
      </c>
      <c r="AG41" s="674">
        <f t="shared" si="33"/>
        <v>0</v>
      </c>
      <c r="AH41" s="674">
        <f t="shared" si="33"/>
        <v>0</v>
      </c>
      <c r="AI41" s="674">
        <f t="shared" si="33"/>
        <v>0</v>
      </c>
      <c r="AJ41" s="674"/>
      <c r="AK41" s="674">
        <f t="shared" si="20"/>
        <v>91287.5</v>
      </c>
      <c r="AL41" s="231"/>
      <c r="AM41" s="231"/>
      <c r="AN41" s="271"/>
      <c r="AO41" s="271"/>
      <c r="AP41" s="271"/>
      <c r="AQ41" s="271"/>
      <c r="AR41" s="271"/>
      <c r="AS41" s="271"/>
      <c r="AT41" s="271"/>
      <c r="AU41" s="271"/>
      <c r="AV41" s="271"/>
      <c r="AW41" s="271"/>
      <c r="AX41" s="271"/>
      <c r="AY41" s="271"/>
      <c r="AZ41" s="271"/>
      <c r="BA41" s="271"/>
      <c r="BB41" s="271"/>
    </row>
    <row r="42" spans="21:54" ht="12.75" customHeight="1">
      <c r="U42" s="271"/>
      <c r="V42" s="231"/>
      <c r="W42" s="231"/>
      <c r="X42" s="231"/>
      <c r="Y42" s="231" t="s">
        <v>119</v>
      </c>
      <c r="Z42" s="674">
        <f aca="true" t="shared" si="34" ref="Z42:AI42">G24*G$31</f>
        <v>0</v>
      </c>
      <c r="AA42" s="674">
        <f t="shared" si="34"/>
        <v>0</v>
      </c>
      <c r="AB42" s="674">
        <f t="shared" si="34"/>
        <v>0</v>
      </c>
      <c r="AC42" s="674">
        <f t="shared" si="34"/>
        <v>0</v>
      </c>
      <c r="AD42" s="674">
        <f t="shared" si="34"/>
        <v>27872</v>
      </c>
      <c r="AE42" s="674">
        <f t="shared" si="34"/>
        <v>0</v>
      </c>
      <c r="AF42" s="674">
        <f t="shared" si="34"/>
        <v>0</v>
      </c>
      <c r="AG42" s="674">
        <f t="shared" si="34"/>
        <v>0</v>
      </c>
      <c r="AH42" s="674">
        <f t="shared" si="34"/>
        <v>0</v>
      </c>
      <c r="AI42" s="674">
        <f t="shared" si="34"/>
        <v>0</v>
      </c>
      <c r="AJ42" s="674"/>
      <c r="AK42" s="674">
        <f t="shared" si="20"/>
        <v>27872</v>
      </c>
      <c r="AL42" s="231"/>
      <c r="AM42" s="231"/>
      <c r="AN42" s="271"/>
      <c r="AO42" s="271"/>
      <c r="AP42" s="271"/>
      <c r="AQ42" s="271"/>
      <c r="AR42" s="271"/>
      <c r="AS42" s="271"/>
      <c r="AT42" s="271"/>
      <c r="AU42" s="271"/>
      <c r="AV42" s="271"/>
      <c r="AW42" s="271"/>
      <c r="AX42" s="271"/>
      <c r="AY42" s="271"/>
      <c r="AZ42" s="271"/>
      <c r="BA42" s="271"/>
      <c r="BB42" s="271"/>
    </row>
    <row r="43" spans="21:54" ht="15.75" customHeight="1">
      <c r="U43" s="271"/>
      <c r="V43" s="231"/>
      <c r="W43" s="532" t="s">
        <v>142</v>
      </c>
      <c r="X43" s="532" t="s">
        <v>116</v>
      </c>
      <c r="Y43" s="231" t="s">
        <v>117</v>
      </c>
      <c r="Z43" s="674">
        <f aca="true" t="shared" si="35" ref="Z43:AI43">G25*G$33</f>
        <v>0</v>
      </c>
      <c r="AA43" s="674">
        <f t="shared" si="35"/>
        <v>0</v>
      </c>
      <c r="AB43" s="674">
        <f t="shared" si="35"/>
        <v>0</v>
      </c>
      <c r="AC43" s="674">
        <f t="shared" si="35"/>
        <v>0</v>
      </c>
      <c r="AD43" s="674">
        <f t="shared" si="35"/>
        <v>91287.5</v>
      </c>
      <c r="AE43" s="674">
        <f t="shared" si="35"/>
        <v>0</v>
      </c>
      <c r="AF43" s="674">
        <f t="shared" si="35"/>
        <v>0</v>
      </c>
      <c r="AG43" s="674">
        <f t="shared" si="35"/>
        <v>0</v>
      </c>
      <c r="AH43" s="674">
        <f t="shared" si="35"/>
        <v>0</v>
      </c>
      <c r="AI43" s="674">
        <f t="shared" si="35"/>
        <v>0</v>
      </c>
      <c r="AJ43" s="674"/>
      <c r="AK43" s="674">
        <f t="shared" si="20"/>
        <v>91287.5</v>
      </c>
      <c r="AL43" s="231">
        <v>8</v>
      </c>
      <c r="AM43" s="231"/>
      <c r="AN43" s="271"/>
      <c r="AO43" s="271"/>
      <c r="AP43" s="271"/>
      <c r="AQ43" s="271"/>
      <c r="AR43" s="271"/>
      <c r="AS43" s="271"/>
      <c r="AT43" s="271"/>
      <c r="AU43" s="271"/>
      <c r="AV43" s="271"/>
      <c r="AW43" s="271"/>
      <c r="AX43" s="271"/>
      <c r="AY43" s="271"/>
      <c r="AZ43" s="271"/>
      <c r="BA43" s="271"/>
      <c r="BB43" s="271"/>
    </row>
    <row r="44" spans="21:54" ht="12.75" customHeight="1">
      <c r="U44" s="271"/>
      <c r="V44" s="231"/>
      <c r="W44" s="231"/>
      <c r="X44" s="532"/>
      <c r="Y44" s="231" t="s">
        <v>119</v>
      </c>
      <c r="Z44" s="674">
        <f aca="true" t="shared" si="36" ref="Z44:AI44">G25*G$34</f>
        <v>0</v>
      </c>
      <c r="AA44" s="674">
        <f t="shared" si="36"/>
        <v>0</v>
      </c>
      <c r="AB44" s="674">
        <f t="shared" si="36"/>
        <v>0</v>
      </c>
      <c r="AC44" s="674">
        <f t="shared" si="36"/>
        <v>0</v>
      </c>
      <c r="AD44" s="674">
        <f t="shared" si="36"/>
        <v>9648</v>
      </c>
      <c r="AE44" s="674">
        <f t="shared" si="36"/>
        <v>0</v>
      </c>
      <c r="AF44" s="674">
        <f t="shared" si="36"/>
        <v>0</v>
      </c>
      <c r="AG44" s="674">
        <f t="shared" si="36"/>
        <v>0</v>
      </c>
      <c r="AH44" s="674">
        <f t="shared" si="36"/>
        <v>0</v>
      </c>
      <c r="AI44" s="674">
        <f t="shared" si="36"/>
        <v>0</v>
      </c>
      <c r="AJ44" s="674"/>
      <c r="AK44" s="674">
        <f t="shared" si="20"/>
        <v>9648</v>
      </c>
      <c r="AL44" s="231"/>
      <c r="AM44" s="231"/>
      <c r="AN44" s="271"/>
      <c r="AO44" s="271"/>
      <c r="AP44" s="271"/>
      <c r="AQ44" s="271"/>
      <c r="AR44" s="271"/>
      <c r="AS44" s="271"/>
      <c r="AT44" s="271"/>
      <c r="AU44" s="271"/>
      <c r="AV44" s="271"/>
      <c r="AW44" s="271"/>
      <c r="AX44" s="271"/>
      <c r="AY44" s="271"/>
      <c r="AZ44" s="271"/>
      <c r="BA44" s="271"/>
      <c r="BB44" s="271"/>
    </row>
    <row r="45" spans="21:54" ht="12.75" customHeight="1">
      <c r="U45" s="271"/>
      <c r="V45" s="231"/>
      <c r="W45" s="231"/>
      <c r="X45" s="532" t="s">
        <v>120</v>
      </c>
      <c r="Y45" s="231" t="s">
        <v>117</v>
      </c>
      <c r="Z45" s="674">
        <f aca="true" t="shared" si="37" ref="Z45:AI45">G25*G$30</f>
        <v>0</v>
      </c>
      <c r="AA45" s="674">
        <f t="shared" si="37"/>
        <v>0</v>
      </c>
      <c r="AB45" s="674">
        <f t="shared" si="37"/>
        <v>0</v>
      </c>
      <c r="AC45" s="674">
        <f t="shared" si="37"/>
        <v>0</v>
      </c>
      <c r="AD45" s="674">
        <f t="shared" si="37"/>
        <v>91287.5</v>
      </c>
      <c r="AE45" s="674">
        <f t="shared" si="37"/>
        <v>0</v>
      </c>
      <c r="AF45" s="674">
        <f t="shared" si="37"/>
        <v>0</v>
      </c>
      <c r="AG45" s="674">
        <f t="shared" si="37"/>
        <v>0</v>
      </c>
      <c r="AH45" s="674">
        <f t="shared" si="37"/>
        <v>0</v>
      </c>
      <c r="AI45" s="674">
        <f t="shared" si="37"/>
        <v>0</v>
      </c>
      <c r="AJ45" s="674"/>
      <c r="AK45" s="674">
        <f t="shared" si="20"/>
        <v>91287.5</v>
      </c>
      <c r="AL45" s="231"/>
      <c r="AM45" s="231"/>
      <c r="AN45" s="271"/>
      <c r="AO45" s="271"/>
      <c r="AP45" s="271"/>
      <c r="AQ45" s="271"/>
      <c r="AR45" s="271"/>
      <c r="AS45" s="271"/>
      <c r="AT45" s="271"/>
      <c r="AU45" s="271"/>
      <c r="AV45" s="271"/>
      <c r="AW45" s="271"/>
      <c r="AX45" s="271"/>
      <c r="AY45" s="271"/>
      <c r="AZ45" s="271"/>
      <c r="BA45" s="271"/>
      <c r="BB45" s="271"/>
    </row>
    <row r="46" spans="21:54" ht="12.75" customHeight="1">
      <c r="U46" s="271"/>
      <c r="V46" s="231"/>
      <c r="W46" s="231"/>
      <c r="X46" s="231"/>
      <c r="Y46" s="231" t="s">
        <v>119</v>
      </c>
      <c r="Z46" s="674">
        <f aca="true" t="shared" si="38" ref="Z46:AI46">G25*G$31</f>
        <v>0</v>
      </c>
      <c r="AA46" s="674">
        <f t="shared" si="38"/>
        <v>0</v>
      </c>
      <c r="AB46" s="674">
        <f t="shared" si="38"/>
        <v>0</v>
      </c>
      <c r="AC46" s="674">
        <f t="shared" si="38"/>
        <v>0</v>
      </c>
      <c r="AD46" s="674">
        <f t="shared" si="38"/>
        <v>27872</v>
      </c>
      <c r="AE46" s="674">
        <f t="shared" si="38"/>
        <v>0</v>
      </c>
      <c r="AF46" s="674">
        <f t="shared" si="38"/>
        <v>0</v>
      </c>
      <c r="AG46" s="674">
        <f t="shared" si="38"/>
        <v>0</v>
      </c>
      <c r="AH46" s="674">
        <f t="shared" si="38"/>
        <v>0</v>
      </c>
      <c r="AI46" s="674">
        <f t="shared" si="38"/>
        <v>0</v>
      </c>
      <c r="AJ46" s="674"/>
      <c r="AK46" s="674">
        <f t="shared" si="20"/>
        <v>27872</v>
      </c>
      <c r="AL46" s="231"/>
      <c r="AM46" s="231"/>
      <c r="AN46" s="271"/>
      <c r="AO46" s="271"/>
      <c r="AP46" s="271"/>
      <c r="AQ46" s="271"/>
      <c r="AR46" s="271"/>
      <c r="AS46" s="271"/>
      <c r="AT46" s="271"/>
      <c r="AU46" s="271"/>
      <c r="AV46" s="271"/>
      <c r="AW46" s="271"/>
      <c r="AX46" s="271"/>
      <c r="AY46" s="271"/>
      <c r="AZ46" s="271"/>
      <c r="BA46" s="271"/>
      <c r="BB46" s="271"/>
    </row>
    <row r="47" spans="21:54" ht="15.75" customHeight="1">
      <c r="U47" s="271"/>
      <c r="V47" s="231"/>
      <c r="W47" s="532" t="s">
        <v>143</v>
      </c>
      <c r="X47" s="532" t="s">
        <v>116</v>
      </c>
      <c r="Y47" s="231" t="s">
        <v>117</v>
      </c>
      <c r="Z47" s="674">
        <f aca="true" t="shared" si="39" ref="Z47:AI47">G26*G$33</f>
        <v>0</v>
      </c>
      <c r="AA47" s="674">
        <f t="shared" si="39"/>
        <v>0</v>
      </c>
      <c r="AB47" s="674">
        <f t="shared" si="39"/>
        <v>0</v>
      </c>
      <c r="AC47" s="674">
        <f t="shared" si="39"/>
        <v>0</v>
      </c>
      <c r="AD47" s="674">
        <f t="shared" si="39"/>
        <v>91287.5</v>
      </c>
      <c r="AE47" s="674">
        <f t="shared" si="39"/>
        <v>0</v>
      </c>
      <c r="AF47" s="674">
        <f t="shared" si="39"/>
        <v>0</v>
      </c>
      <c r="AG47" s="674">
        <f t="shared" si="39"/>
        <v>0</v>
      </c>
      <c r="AH47" s="674">
        <f t="shared" si="39"/>
        <v>0</v>
      </c>
      <c r="AI47" s="674">
        <f t="shared" si="39"/>
        <v>0</v>
      </c>
      <c r="AJ47" s="674"/>
      <c r="AK47" s="674">
        <f t="shared" si="20"/>
        <v>91287.5</v>
      </c>
      <c r="AL47" s="231">
        <v>9</v>
      </c>
      <c r="AM47" s="231"/>
      <c r="AN47" s="271"/>
      <c r="AO47" s="271"/>
      <c r="AP47" s="271"/>
      <c r="AQ47" s="271"/>
      <c r="AR47" s="271"/>
      <c r="AS47" s="271"/>
      <c r="AT47" s="271"/>
      <c r="AU47" s="271"/>
      <c r="AV47" s="271"/>
      <c r="AW47" s="271"/>
      <c r="AX47" s="271"/>
      <c r="AY47" s="271"/>
      <c r="AZ47" s="271"/>
      <c r="BA47" s="271"/>
      <c r="BB47" s="271"/>
    </row>
    <row r="48" spans="21:54" ht="12.75" customHeight="1">
      <c r="U48" s="271"/>
      <c r="V48" s="231"/>
      <c r="W48" s="231"/>
      <c r="X48" s="532"/>
      <c r="Y48" s="231" t="s">
        <v>119</v>
      </c>
      <c r="Z48" s="674">
        <f aca="true" t="shared" si="40" ref="Z48:AI48">G26*G$34</f>
        <v>0</v>
      </c>
      <c r="AA48" s="674">
        <f t="shared" si="40"/>
        <v>0</v>
      </c>
      <c r="AB48" s="674">
        <f t="shared" si="40"/>
        <v>0</v>
      </c>
      <c r="AC48" s="674">
        <f t="shared" si="40"/>
        <v>0</v>
      </c>
      <c r="AD48" s="674">
        <f t="shared" si="40"/>
        <v>9648</v>
      </c>
      <c r="AE48" s="674">
        <f t="shared" si="40"/>
        <v>0</v>
      </c>
      <c r="AF48" s="674">
        <f t="shared" si="40"/>
        <v>0</v>
      </c>
      <c r="AG48" s="674">
        <f t="shared" si="40"/>
        <v>0</v>
      </c>
      <c r="AH48" s="674">
        <f t="shared" si="40"/>
        <v>0</v>
      </c>
      <c r="AI48" s="674">
        <f t="shared" si="40"/>
        <v>0</v>
      </c>
      <c r="AJ48" s="674"/>
      <c r="AK48" s="674">
        <f t="shared" si="20"/>
        <v>9648</v>
      </c>
      <c r="AL48" s="231"/>
      <c r="AM48" s="231"/>
      <c r="AN48" s="271"/>
      <c r="AO48" s="271"/>
      <c r="AP48" s="271"/>
      <c r="AQ48" s="271"/>
      <c r="AR48" s="271"/>
      <c r="AS48" s="271"/>
      <c r="AT48" s="271"/>
      <c r="AU48" s="271"/>
      <c r="AV48" s="271"/>
      <c r="AW48" s="271"/>
      <c r="AX48" s="271"/>
      <c r="AY48" s="271"/>
      <c r="AZ48" s="271"/>
      <c r="BA48" s="271"/>
      <c r="BB48" s="271"/>
    </row>
    <row r="49" spans="21:54" ht="12.75" customHeight="1">
      <c r="U49" s="271"/>
      <c r="V49" s="231"/>
      <c r="W49" s="231"/>
      <c r="X49" s="532" t="s">
        <v>120</v>
      </c>
      <c r="Y49" s="231" t="s">
        <v>117</v>
      </c>
      <c r="Z49" s="674">
        <f aca="true" t="shared" si="41" ref="Z49:AI49">G26*G$30</f>
        <v>0</v>
      </c>
      <c r="AA49" s="674">
        <f t="shared" si="41"/>
        <v>0</v>
      </c>
      <c r="AB49" s="674">
        <f t="shared" si="41"/>
        <v>0</v>
      </c>
      <c r="AC49" s="674">
        <f t="shared" si="41"/>
        <v>0</v>
      </c>
      <c r="AD49" s="674">
        <f t="shared" si="41"/>
        <v>91287.5</v>
      </c>
      <c r="AE49" s="674">
        <f t="shared" si="41"/>
        <v>0</v>
      </c>
      <c r="AF49" s="674">
        <f t="shared" si="41"/>
        <v>0</v>
      </c>
      <c r="AG49" s="674">
        <f t="shared" si="41"/>
        <v>0</v>
      </c>
      <c r="AH49" s="674">
        <f t="shared" si="41"/>
        <v>0</v>
      </c>
      <c r="AI49" s="674">
        <f t="shared" si="41"/>
        <v>0</v>
      </c>
      <c r="AJ49" s="674"/>
      <c r="AK49" s="674">
        <f t="shared" si="20"/>
        <v>91287.5</v>
      </c>
      <c r="AL49" s="231"/>
      <c r="AM49" s="231"/>
      <c r="AN49" s="271"/>
      <c r="AO49" s="271"/>
      <c r="AP49" s="271"/>
      <c r="AQ49" s="271"/>
      <c r="AR49" s="271"/>
      <c r="AS49" s="271"/>
      <c r="AT49" s="271"/>
      <c r="AU49" s="271"/>
      <c r="AV49" s="271"/>
      <c r="AW49" s="271"/>
      <c r="AX49" s="271"/>
      <c r="AY49" s="271"/>
      <c r="AZ49" s="271"/>
      <c r="BA49" s="271"/>
      <c r="BB49" s="271"/>
    </row>
    <row r="50" spans="21:54" ht="12.75" customHeight="1">
      <c r="U50" s="271"/>
      <c r="V50" s="231"/>
      <c r="W50" s="231"/>
      <c r="X50" s="231"/>
      <c r="Y50" s="231" t="s">
        <v>119</v>
      </c>
      <c r="Z50" s="674">
        <f aca="true" t="shared" si="42" ref="Z50:AI50">G26*G$31</f>
        <v>0</v>
      </c>
      <c r="AA50" s="674">
        <f t="shared" si="42"/>
        <v>0</v>
      </c>
      <c r="AB50" s="674">
        <f t="shared" si="42"/>
        <v>0</v>
      </c>
      <c r="AC50" s="674">
        <f t="shared" si="42"/>
        <v>0</v>
      </c>
      <c r="AD50" s="674">
        <f t="shared" si="42"/>
        <v>27872</v>
      </c>
      <c r="AE50" s="674">
        <f t="shared" si="42"/>
        <v>0</v>
      </c>
      <c r="AF50" s="674">
        <f t="shared" si="42"/>
        <v>0</v>
      </c>
      <c r="AG50" s="674">
        <f t="shared" si="42"/>
        <v>0</v>
      </c>
      <c r="AH50" s="674">
        <f t="shared" si="42"/>
        <v>0</v>
      </c>
      <c r="AI50" s="674">
        <f t="shared" si="42"/>
        <v>0</v>
      </c>
      <c r="AJ50" s="674"/>
      <c r="AK50" s="674">
        <f t="shared" si="20"/>
        <v>27872</v>
      </c>
      <c r="AL50" s="231"/>
      <c r="AM50" s="231"/>
      <c r="AN50" s="271"/>
      <c r="AO50" s="271"/>
      <c r="AP50" s="271"/>
      <c r="AQ50" s="271"/>
      <c r="AR50" s="271"/>
      <c r="AS50" s="271"/>
      <c r="AT50" s="271"/>
      <c r="AU50" s="271"/>
      <c r="AV50" s="271"/>
      <c r="AW50" s="271"/>
      <c r="AX50" s="271"/>
      <c r="AY50" s="271"/>
      <c r="AZ50" s="271"/>
      <c r="BA50" s="271"/>
      <c r="BB50" s="271"/>
    </row>
    <row r="51" spans="21:54" ht="12.75" customHeight="1">
      <c r="U51" s="271"/>
      <c r="V51" s="231"/>
      <c r="W51" s="532" t="s">
        <v>144</v>
      </c>
      <c r="X51" s="532" t="s">
        <v>116</v>
      </c>
      <c r="Y51" s="231" t="s">
        <v>117</v>
      </c>
      <c r="Z51" s="674">
        <f aca="true" t="shared" si="43" ref="Z51:AI51">G27*G$33</f>
        <v>0</v>
      </c>
      <c r="AA51" s="674">
        <f t="shared" si="43"/>
        <v>0</v>
      </c>
      <c r="AB51" s="674">
        <f t="shared" si="43"/>
        <v>0</v>
      </c>
      <c r="AC51" s="674">
        <f t="shared" si="43"/>
        <v>0</v>
      </c>
      <c r="AD51" s="674">
        <f t="shared" si="43"/>
        <v>91287.5</v>
      </c>
      <c r="AE51" s="674">
        <f t="shared" si="43"/>
        <v>0</v>
      </c>
      <c r="AF51" s="674">
        <f t="shared" si="43"/>
        <v>0</v>
      </c>
      <c r="AG51" s="674">
        <f t="shared" si="43"/>
        <v>0</v>
      </c>
      <c r="AH51" s="674">
        <f t="shared" si="43"/>
        <v>0</v>
      </c>
      <c r="AI51" s="674">
        <f t="shared" si="43"/>
        <v>0</v>
      </c>
      <c r="AJ51" s="674"/>
      <c r="AK51" s="674">
        <f t="shared" si="20"/>
        <v>91287.5</v>
      </c>
      <c r="AL51" s="231">
        <v>10</v>
      </c>
      <c r="AM51" s="231"/>
      <c r="AN51" s="271"/>
      <c r="AO51" s="271"/>
      <c r="AP51" s="271"/>
      <c r="AQ51" s="271"/>
      <c r="AR51" s="271"/>
      <c r="AS51" s="271"/>
      <c r="AT51" s="271"/>
      <c r="AU51" s="271"/>
      <c r="AV51" s="271"/>
      <c r="AW51" s="271"/>
      <c r="AX51" s="271"/>
      <c r="AY51" s="271"/>
      <c r="AZ51" s="271"/>
      <c r="BA51" s="271"/>
      <c r="BB51" s="271"/>
    </row>
    <row r="52" spans="21:54" ht="12.75" customHeight="1">
      <c r="U52" s="271"/>
      <c r="V52" s="231"/>
      <c r="W52" s="231"/>
      <c r="X52" s="532"/>
      <c r="Y52" s="231" t="s">
        <v>119</v>
      </c>
      <c r="Z52" s="674">
        <f aca="true" t="shared" si="44" ref="Z52:AI52">G27*G$34</f>
        <v>0</v>
      </c>
      <c r="AA52" s="674">
        <f t="shared" si="44"/>
        <v>0</v>
      </c>
      <c r="AB52" s="674">
        <f t="shared" si="44"/>
        <v>0</v>
      </c>
      <c r="AC52" s="674">
        <f t="shared" si="44"/>
        <v>0</v>
      </c>
      <c r="AD52" s="674">
        <f t="shared" si="44"/>
        <v>9648</v>
      </c>
      <c r="AE52" s="674">
        <f t="shared" si="44"/>
        <v>0</v>
      </c>
      <c r="AF52" s="674">
        <f t="shared" si="44"/>
        <v>0</v>
      </c>
      <c r="AG52" s="674">
        <f t="shared" si="44"/>
        <v>0</v>
      </c>
      <c r="AH52" s="674">
        <f t="shared" si="44"/>
        <v>0</v>
      </c>
      <c r="AI52" s="674">
        <f t="shared" si="44"/>
        <v>0</v>
      </c>
      <c r="AJ52" s="674"/>
      <c r="AK52" s="674">
        <f t="shared" si="20"/>
        <v>9648</v>
      </c>
      <c r="AL52" s="231"/>
      <c r="AM52" s="231"/>
      <c r="AN52" s="271"/>
      <c r="AO52" s="271"/>
      <c r="AP52" s="271"/>
      <c r="AQ52" s="271"/>
      <c r="AR52" s="271"/>
      <c r="AS52" s="271"/>
      <c r="AT52" s="271"/>
      <c r="AU52" s="271"/>
      <c r="AV52" s="271"/>
      <c r="AW52" s="271"/>
      <c r="AX52" s="271"/>
      <c r="AY52" s="271"/>
      <c r="AZ52" s="271"/>
      <c r="BA52" s="271"/>
      <c r="BB52" s="271"/>
    </row>
    <row r="53" spans="21:54" ht="12.75" customHeight="1">
      <c r="U53" s="271"/>
      <c r="V53" s="231"/>
      <c r="W53" s="231"/>
      <c r="X53" s="532" t="s">
        <v>120</v>
      </c>
      <c r="Y53" s="231" t="s">
        <v>117</v>
      </c>
      <c r="Z53" s="674">
        <f aca="true" t="shared" si="45" ref="Z53:AI53">G27*G$30</f>
        <v>0</v>
      </c>
      <c r="AA53" s="674">
        <f t="shared" si="45"/>
        <v>0</v>
      </c>
      <c r="AB53" s="674">
        <f t="shared" si="45"/>
        <v>0</v>
      </c>
      <c r="AC53" s="674">
        <f t="shared" si="45"/>
        <v>0</v>
      </c>
      <c r="AD53" s="674">
        <f t="shared" si="45"/>
        <v>91287.5</v>
      </c>
      <c r="AE53" s="674">
        <f t="shared" si="45"/>
        <v>0</v>
      </c>
      <c r="AF53" s="674">
        <f t="shared" si="45"/>
        <v>0</v>
      </c>
      <c r="AG53" s="674">
        <f t="shared" si="45"/>
        <v>0</v>
      </c>
      <c r="AH53" s="674">
        <f t="shared" si="45"/>
        <v>0</v>
      </c>
      <c r="AI53" s="674">
        <f t="shared" si="45"/>
        <v>0</v>
      </c>
      <c r="AJ53" s="674"/>
      <c r="AK53" s="674">
        <f t="shared" si="20"/>
        <v>91287.5</v>
      </c>
      <c r="AL53" s="231"/>
      <c r="AM53" s="231"/>
      <c r="AN53" s="271"/>
      <c r="AO53" s="271"/>
      <c r="AP53" s="271"/>
      <c r="AQ53" s="271"/>
      <c r="AR53" s="271"/>
      <c r="AS53" s="271"/>
      <c r="AT53" s="271"/>
      <c r="AU53" s="271"/>
      <c r="AV53" s="271"/>
      <c r="AW53" s="271"/>
      <c r="AX53" s="271"/>
      <c r="AY53" s="271"/>
      <c r="AZ53" s="271"/>
      <c r="BA53" s="271"/>
      <c r="BB53" s="271"/>
    </row>
    <row r="54" spans="21:54" ht="12.75" customHeight="1">
      <c r="U54" s="271"/>
      <c r="V54" s="231"/>
      <c r="W54" s="231"/>
      <c r="X54" s="231"/>
      <c r="Y54" s="231" t="s">
        <v>119</v>
      </c>
      <c r="Z54" s="674">
        <f aca="true" t="shared" si="46" ref="Z54:AI54">G27*G$31</f>
        <v>0</v>
      </c>
      <c r="AA54" s="674">
        <f t="shared" si="46"/>
        <v>0</v>
      </c>
      <c r="AB54" s="674">
        <f t="shared" si="46"/>
        <v>0</v>
      </c>
      <c r="AC54" s="674">
        <f t="shared" si="46"/>
        <v>0</v>
      </c>
      <c r="AD54" s="674">
        <f t="shared" si="46"/>
        <v>27872</v>
      </c>
      <c r="AE54" s="674">
        <f t="shared" si="46"/>
        <v>0</v>
      </c>
      <c r="AF54" s="674">
        <f t="shared" si="46"/>
        <v>0</v>
      </c>
      <c r="AG54" s="674">
        <f t="shared" si="46"/>
        <v>0</v>
      </c>
      <c r="AH54" s="674">
        <f t="shared" si="46"/>
        <v>0</v>
      </c>
      <c r="AI54" s="674">
        <f t="shared" si="46"/>
        <v>0</v>
      </c>
      <c r="AJ54" s="674"/>
      <c r="AK54" s="674">
        <f t="shared" si="20"/>
        <v>27872</v>
      </c>
      <c r="AL54" s="231"/>
      <c r="AM54" s="231"/>
      <c r="AN54" s="271"/>
      <c r="AO54" s="271"/>
      <c r="AP54" s="271"/>
      <c r="AQ54" s="271"/>
      <c r="AR54" s="271"/>
      <c r="AS54" s="271"/>
      <c r="AT54" s="271"/>
      <c r="AU54" s="271"/>
      <c r="AV54" s="271"/>
      <c r="AW54" s="271"/>
      <c r="AX54" s="271"/>
      <c r="AY54" s="271"/>
      <c r="AZ54" s="271"/>
      <c r="BA54" s="271"/>
      <c r="BB54" s="271"/>
    </row>
    <row r="55" spans="21:54" ht="12.75" customHeight="1">
      <c r="U55" s="271"/>
      <c r="V55" s="231"/>
      <c r="W55" s="532" t="s">
        <v>145</v>
      </c>
      <c r="X55" s="532" t="s">
        <v>116</v>
      </c>
      <c r="Y55" s="231" t="s">
        <v>117</v>
      </c>
      <c r="Z55" s="674">
        <f aca="true" t="shared" si="47" ref="Z55:AI55">G28*G$33</f>
        <v>0</v>
      </c>
      <c r="AA55" s="674">
        <f t="shared" si="47"/>
        <v>0</v>
      </c>
      <c r="AB55" s="674">
        <f t="shared" si="47"/>
        <v>0</v>
      </c>
      <c r="AC55" s="674">
        <f t="shared" si="47"/>
        <v>0</v>
      </c>
      <c r="AD55" s="674">
        <f t="shared" si="47"/>
        <v>91287.5</v>
      </c>
      <c r="AE55" s="674">
        <f t="shared" si="47"/>
        <v>0</v>
      </c>
      <c r="AF55" s="674">
        <f t="shared" si="47"/>
        <v>0</v>
      </c>
      <c r="AG55" s="674">
        <f t="shared" si="47"/>
        <v>0</v>
      </c>
      <c r="AH55" s="674">
        <f t="shared" si="47"/>
        <v>0</v>
      </c>
      <c r="AI55" s="674">
        <f t="shared" si="47"/>
        <v>0</v>
      </c>
      <c r="AJ55" s="674"/>
      <c r="AK55" s="674">
        <f t="shared" si="20"/>
        <v>91287.5</v>
      </c>
      <c r="AL55" s="231">
        <v>11</v>
      </c>
      <c r="AM55" s="231"/>
      <c r="AN55" s="271"/>
      <c r="AO55" s="271"/>
      <c r="AP55" s="271"/>
      <c r="AQ55" s="271"/>
      <c r="AR55" s="271"/>
      <c r="AS55" s="271"/>
      <c r="AT55" s="271"/>
      <c r="AU55" s="271"/>
      <c r="AV55" s="271"/>
      <c r="AW55" s="271"/>
      <c r="AX55" s="271"/>
      <c r="AY55" s="271"/>
      <c r="AZ55" s="271"/>
      <c r="BA55" s="271"/>
      <c r="BB55" s="271"/>
    </row>
    <row r="56" spans="21:54" ht="12.75" customHeight="1">
      <c r="U56" s="271"/>
      <c r="V56" s="231"/>
      <c r="W56" s="231"/>
      <c r="X56" s="532"/>
      <c r="Y56" s="231" t="s">
        <v>119</v>
      </c>
      <c r="Z56" s="674">
        <f aca="true" t="shared" si="48" ref="Z56:AI56">G28*G$34</f>
        <v>0</v>
      </c>
      <c r="AA56" s="674">
        <f t="shared" si="48"/>
        <v>0</v>
      </c>
      <c r="AB56" s="674">
        <f t="shared" si="48"/>
        <v>0</v>
      </c>
      <c r="AC56" s="674">
        <f t="shared" si="48"/>
        <v>0</v>
      </c>
      <c r="AD56" s="674">
        <f t="shared" si="48"/>
        <v>9648</v>
      </c>
      <c r="AE56" s="674">
        <f t="shared" si="48"/>
        <v>0</v>
      </c>
      <c r="AF56" s="674">
        <f t="shared" si="48"/>
        <v>0</v>
      </c>
      <c r="AG56" s="674">
        <f t="shared" si="48"/>
        <v>0</v>
      </c>
      <c r="AH56" s="674">
        <f t="shared" si="48"/>
        <v>0</v>
      </c>
      <c r="AI56" s="674">
        <f t="shared" si="48"/>
        <v>0</v>
      </c>
      <c r="AJ56" s="674"/>
      <c r="AK56" s="674">
        <f t="shared" si="20"/>
        <v>9648</v>
      </c>
      <c r="AL56" s="231"/>
      <c r="AM56" s="231"/>
      <c r="AN56" s="271"/>
      <c r="AO56" s="271"/>
      <c r="AP56" s="271"/>
      <c r="AQ56" s="271"/>
      <c r="AR56" s="271"/>
      <c r="AS56" s="271"/>
      <c r="AT56" s="271"/>
      <c r="AU56" s="271"/>
      <c r="AV56" s="271"/>
      <c r="AW56" s="271"/>
      <c r="AX56" s="271"/>
      <c r="AY56" s="271"/>
      <c r="AZ56" s="271"/>
      <c r="BA56" s="271"/>
      <c r="BB56" s="271"/>
    </row>
    <row r="57" spans="21:54" ht="12.75" customHeight="1">
      <c r="U57" s="271"/>
      <c r="V57" s="231"/>
      <c r="W57" s="231"/>
      <c r="X57" s="532" t="s">
        <v>120</v>
      </c>
      <c r="Y57" s="231" t="s">
        <v>117</v>
      </c>
      <c r="Z57" s="674">
        <f aca="true" t="shared" si="49" ref="Z57:AI57">G28*G$30</f>
        <v>0</v>
      </c>
      <c r="AA57" s="674">
        <f t="shared" si="49"/>
        <v>0</v>
      </c>
      <c r="AB57" s="674">
        <f t="shared" si="49"/>
        <v>0</v>
      </c>
      <c r="AC57" s="674">
        <f t="shared" si="49"/>
        <v>0</v>
      </c>
      <c r="AD57" s="674">
        <f t="shared" si="49"/>
        <v>91287.5</v>
      </c>
      <c r="AE57" s="674">
        <f t="shared" si="49"/>
        <v>0</v>
      </c>
      <c r="AF57" s="674">
        <f t="shared" si="49"/>
        <v>0</v>
      </c>
      <c r="AG57" s="674">
        <f t="shared" si="49"/>
        <v>0</v>
      </c>
      <c r="AH57" s="674">
        <f t="shared" si="49"/>
        <v>0</v>
      </c>
      <c r="AI57" s="674">
        <f t="shared" si="49"/>
        <v>0</v>
      </c>
      <c r="AJ57" s="674"/>
      <c r="AK57" s="674">
        <f t="shared" si="20"/>
        <v>91287.5</v>
      </c>
      <c r="AL57" s="231"/>
      <c r="AM57" s="231"/>
      <c r="AN57" s="271"/>
      <c r="AO57" s="271"/>
      <c r="AP57" s="271"/>
      <c r="AQ57" s="271"/>
      <c r="AR57" s="271"/>
      <c r="AS57" s="271"/>
      <c r="AT57" s="271"/>
      <c r="AU57" s="271"/>
      <c r="AV57" s="271"/>
      <c r="AW57" s="271"/>
      <c r="AX57" s="271"/>
      <c r="AY57" s="271"/>
      <c r="AZ57" s="271"/>
      <c r="BA57" s="271"/>
      <c r="BB57" s="271"/>
    </row>
    <row r="58" spans="21:54" ht="12.75" customHeight="1">
      <c r="U58" s="271"/>
      <c r="V58" s="231"/>
      <c r="W58" s="231"/>
      <c r="X58" s="231"/>
      <c r="Y58" s="231" t="s">
        <v>119</v>
      </c>
      <c r="Z58" s="674">
        <f aca="true" t="shared" si="50" ref="Z58:AI58">G28*G$31</f>
        <v>0</v>
      </c>
      <c r="AA58" s="674">
        <f t="shared" si="50"/>
        <v>0</v>
      </c>
      <c r="AB58" s="674">
        <f t="shared" si="50"/>
        <v>0</v>
      </c>
      <c r="AC58" s="674">
        <f t="shared" si="50"/>
        <v>0</v>
      </c>
      <c r="AD58" s="674">
        <f t="shared" si="50"/>
        <v>27872</v>
      </c>
      <c r="AE58" s="674">
        <f t="shared" si="50"/>
        <v>0</v>
      </c>
      <c r="AF58" s="674">
        <f t="shared" si="50"/>
        <v>0</v>
      </c>
      <c r="AG58" s="674">
        <f t="shared" si="50"/>
        <v>0</v>
      </c>
      <c r="AH58" s="674">
        <f t="shared" si="50"/>
        <v>0</v>
      </c>
      <c r="AI58" s="674">
        <f t="shared" si="50"/>
        <v>0</v>
      </c>
      <c r="AJ58" s="674"/>
      <c r="AK58" s="674">
        <f t="shared" si="20"/>
        <v>27872</v>
      </c>
      <c r="AL58" s="231"/>
      <c r="AM58" s="231"/>
      <c r="AN58" s="271"/>
      <c r="AO58" s="271"/>
      <c r="AP58" s="271"/>
      <c r="AQ58" s="271"/>
      <c r="AR58" s="271"/>
      <c r="AS58" s="271"/>
      <c r="AT58" s="271"/>
      <c r="AU58" s="271"/>
      <c r="AV58" s="271"/>
      <c r="AW58" s="271"/>
      <c r="AX58" s="271"/>
      <c r="AY58" s="271"/>
      <c r="AZ58" s="271"/>
      <c r="BA58" s="271"/>
      <c r="BB58" s="271"/>
    </row>
    <row r="59" spans="21:54" ht="12.75" customHeight="1">
      <c r="U59" s="271"/>
      <c r="V59" s="231"/>
      <c r="W59" s="532" t="s">
        <v>146</v>
      </c>
      <c r="X59" s="532" t="s">
        <v>116</v>
      </c>
      <c r="Y59" s="231" t="s">
        <v>117</v>
      </c>
      <c r="Z59" s="674">
        <f aca="true" t="shared" si="51" ref="Z59:AI59">G29*G$33</f>
        <v>0</v>
      </c>
      <c r="AA59" s="674">
        <f t="shared" si="51"/>
        <v>0</v>
      </c>
      <c r="AB59" s="674">
        <f t="shared" si="51"/>
        <v>0</v>
      </c>
      <c r="AC59" s="674">
        <f t="shared" si="51"/>
        <v>0</v>
      </c>
      <c r="AD59" s="674">
        <f t="shared" si="51"/>
        <v>91287.5</v>
      </c>
      <c r="AE59" s="674">
        <f t="shared" si="51"/>
        <v>0</v>
      </c>
      <c r="AF59" s="674">
        <f t="shared" si="51"/>
        <v>0</v>
      </c>
      <c r="AG59" s="674">
        <f t="shared" si="51"/>
        <v>0</v>
      </c>
      <c r="AH59" s="674">
        <f t="shared" si="51"/>
        <v>0</v>
      </c>
      <c r="AI59" s="674">
        <f t="shared" si="51"/>
        <v>0</v>
      </c>
      <c r="AJ59" s="674"/>
      <c r="AK59" s="674">
        <f t="shared" si="20"/>
        <v>91287.5</v>
      </c>
      <c r="AL59" s="231">
        <v>12</v>
      </c>
      <c r="AM59" s="231"/>
      <c r="AN59" s="271"/>
      <c r="AO59" s="271"/>
      <c r="AP59" s="271"/>
      <c r="AQ59" s="271"/>
      <c r="AR59" s="271"/>
      <c r="AS59" s="271"/>
      <c r="AT59" s="271"/>
      <c r="AU59" s="271"/>
      <c r="AV59" s="271"/>
      <c r="AW59" s="271"/>
      <c r="AX59" s="271"/>
      <c r="AY59" s="271"/>
      <c r="AZ59" s="271"/>
      <c r="BA59" s="271"/>
      <c r="BB59" s="271"/>
    </row>
    <row r="60" spans="21:54" ht="12.75" customHeight="1">
      <c r="U60" s="271"/>
      <c r="V60" s="231"/>
      <c r="W60" s="231"/>
      <c r="X60" s="532"/>
      <c r="Y60" s="231" t="s">
        <v>119</v>
      </c>
      <c r="Z60" s="674">
        <f aca="true" t="shared" si="52" ref="Z60:AI60">G29*G$34</f>
        <v>0</v>
      </c>
      <c r="AA60" s="674">
        <f t="shared" si="52"/>
        <v>0</v>
      </c>
      <c r="AB60" s="674">
        <f t="shared" si="52"/>
        <v>0</v>
      </c>
      <c r="AC60" s="674">
        <f t="shared" si="52"/>
        <v>0</v>
      </c>
      <c r="AD60" s="674">
        <f t="shared" si="52"/>
        <v>9648</v>
      </c>
      <c r="AE60" s="674">
        <f t="shared" si="52"/>
        <v>0</v>
      </c>
      <c r="AF60" s="674">
        <f t="shared" si="52"/>
        <v>0</v>
      </c>
      <c r="AG60" s="674">
        <f t="shared" si="52"/>
        <v>0</v>
      </c>
      <c r="AH60" s="674">
        <f t="shared" si="52"/>
        <v>0</v>
      </c>
      <c r="AI60" s="674">
        <f t="shared" si="52"/>
        <v>0</v>
      </c>
      <c r="AJ60" s="674"/>
      <c r="AK60" s="674">
        <f t="shared" si="20"/>
        <v>9648</v>
      </c>
      <c r="AL60" s="231"/>
      <c r="AM60" s="231"/>
      <c r="AN60" s="271"/>
      <c r="AO60" s="271"/>
      <c r="AP60" s="271"/>
      <c r="AQ60" s="271"/>
      <c r="AR60" s="271"/>
      <c r="AS60" s="271"/>
      <c r="AT60" s="271"/>
      <c r="AU60" s="271"/>
      <c r="AV60" s="271"/>
      <c r="AW60" s="271"/>
      <c r="AX60" s="271"/>
      <c r="AY60" s="271"/>
      <c r="AZ60" s="271"/>
      <c r="BA60" s="271"/>
      <c r="BB60" s="271"/>
    </row>
    <row r="61" spans="21:54" ht="12.75" customHeight="1">
      <c r="U61" s="271"/>
      <c r="V61" s="231"/>
      <c r="W61" s="231"/>
      <c r="X61" s="532" t="s">
        <v>120</v>
      </c>
      <c r="Y61" s="231" t="s">
        <v>117</v>
      </c>
      <c r="Z61" s="674">
        <f aca="true" t="shared" si="53" ref="Z61:AI61">G29*G$30</f>
        <v>0</v>
      </c>
      <c r="AA61" s="674">
        <f t="shared" si="53"/>
        <v>0</v>
      </c>
      <c r="AB61" s="674">
        <f t="shared" si="53"/>
        <v>0</v>
      </c>
      <c r="AC61" s="674">
        <f t="shared" si="53"/>
        <v>0</v>
      </c>
      <c r="AD61" s="674">
        <f t="shared" si="53"/>
        <v>91287.5</v>
      </c>
      <c r="AE61" s="674">
        <f t="shared" si="53"/>
        <v>0</v>
      </c>
      <c r="AF61" s="674">
        <f t="shared" si="53"/>
        <v>0</v>
      </c>
      <c r="AG61" s="674">
        <f t="shared" si="53"/>
        <v>0</v>
      </c>
      <c r="AH61" s="674">
        <f t="shared" si="53"/>
        <v>0</v>
      </c>
      <c r="AI61" s="674">
        <f t="shared" si="53"/>
        <v>0</v>
      </c>
      <c r="AJ61" s="674"/>
      <c r="AK61" s="674">
        <f t="shared" si="20"/>
        <v>91287.5</v>
      </c>
      <c r="AL61" s="231"/>
      <c r="AM61" s="271"/>
      <c r="AN61" s="271"/>
      <c r="AO61" s="271"/>
      <c r="AP61" s="271"/>
      <c r="AQ61" s="271"/>
      <c r="AR61" s="271"/>
      <c r="AS61" s="271"/>
      <c r="AT61" s="271"/>
      <c r="AU61" s="271"/>
      <c r="AV61" s="271"/>
      <c r="AW61" s="271"/>
      <c r="AX61" s="271"/>
      <c r="AY61" s="271"/>
      <c r="AZ61" s="271"/>
      <c r="BA61" s="271"/>
      <c r="BB61" s="271"/>
    </row>
    <row r="62" spans="21:54" ht="12.75" customHeight="1">
      <c r="U62" s="271"/>
      <c r="V62" s="231"/>
      <c r="W62" s="231"/>
      <c r="X62" s="231"/>
      <c r="Y62" s="231" t="s">
        <v>119</v>
      </c>
      <c r="Z62" s="674">
        <f aca="true" t="shared" si="54" ref="Z62:AI62">G29*G$31</f>
        <v>0</v>
      </c>
      <c r="AA62" s="674">
        <f t="shared" si="54"/>
        <v>0</v>
      </c>
      <c r="AB62" s="674">
        <f t="shared" si="54"/>
        <v>0</v>
      </c>
      <c r="AC62" s="674">
        <f t="shared" si="54"/>
        <v>0</v>
      </c>
      <c r="AD62" s="674">
        <f t="shared" si="54"/>
        <v>27872</v>
      </c>
      <c r="AE62" s="674">
        <f t="shared" si="54"/>
        <v>0</v>
      </c>
      <c r="AF62" s="674">
        <f t="shared" si="54"/>
        <v>0</v>
      </c>
      <c r="AG62" s="674">
        <f t="shared" si="54"/>
        <v>0</v>
      </c>
      <c r="AH62" s="674">
        <f t="shared" si="54"/>
        <v>0</v>
      </c>
      <c r="AI62" s="674">
        <f t="shared" si="54"/>
        <v>0</v>
      </c>
      <c r="AJ62" s="674"/>
      <c r="AK62" s="674">
        <f t="shared" si="20"/>
        <v>27872</v>
      </c>
      <c r="AL62" s="231"/>
      <c r="AM62" s="271"/>
      <c r="AN62" s="271"/>
      <c r="AO62" s="271"/>
      <c r="AP62" s="271"/>
      <c r="AQ62" s="271"/>
      <c r="AR62" s="271"/>
      <c r="AS62" s="271"/>
      <c r="AT62" s="271"/>
      <c r="AU62" s="271"/>
      <c r="AV62" s="271"/>
      <c r="AW62" s="271"/>
      <c r="AX62" s="271"/>
      <c r="AY62" s="271"/>
      <c r="AZ62" s="271"/>
      <c r="BA62" s="271"/>
      <c r="BB62" s="271"/>
    </row>
    <row r="63" spans="21:54" ht="3" customHeight="1">
      <c r="U63" s="271"/>
      <c r="V63" s="231"/>
      <c r="W63" s="231"/>
      <c r="X63" s="231"/>
      <c r="Y63" s="231"/>
      <c r="Z63" s="674"/>
      <c r="AA63" s="674"/>
      <c r="AB63" s="674"/>
      <c r="AC63" s="674"/>
      <c r="AD63" s="674"/>
      <c r="AE63" s="674"/>
      <c r="AF63" s="674"/>
      <c r="AG63" s="674"/>
      <c r="AH63" s="674"/>
      <c r="AI63" s="674"/>
      <c r="AJ63" s="674"/>
      <c r="AK63" s="674"/>
      <c r="AL63" s="231"/>
      <c r="AM63" s="271"/>
      <c r="AN63" s="271"/>
      <c r="AO63" s="271"/>
      <c r="AP63" s="271"/>
      <c r="AQ63" s="271"/>
      <c r="AR63" s="271"/>
      <c r="AS63" s="271"/>
      <c r="AT63" s="271"/>
      <c r="AU63" s="271"/>
      <c r="AV63" s="271"/>
      <c r="AW63" s="271"/>
      <c r="AX63" s="271"/>
      <c r="AY63" s="271"/>
      <c r="AZ63" s="271"/>
      <c r="BA63" s="271"/>
      <c r="BB63" s="271"/>
    </row>
    <row r="64" spans="21:54" ht="3" customHeight="1">
      <c r="U64" s="271"/>
      <c r="V64" s="271"/>
      <c r="W64" s="231"/>
      <c r="X64" s="231"/>
      <c r="Y64" s="231"/>
      <c r="Z64" s="674"/>
      <c r="AA64" s="674"/>
      <c r="AB64" s="674"/>
      <c r="AC64" s="674"/>
      <c r="AD64" s="674"/>
      <c r="AE64" s="674"/>
      <c r="AF64" s="674"/>
      <c r="AG64" s="674"/>
      <c r="AH64" s="674"/>
      <c r="AI64" s="674"/>
      <c r="AJ64" s="674"/>
      <c r="AK64" s="674"/>
      <c r="AL64" s="231"/>
      <c r="AM64" s="271"/>
      <c r="AN64" s="271"/>
      <c r="AO64" s="271"/>
      <c r="AP64" s="271"/>
      <c r="AQ64" s="271"/>
      <c r="AR64" s="271"/>
      <c r="AS64" s="271"/>
      <c r="AT64" s="271"/>
      <c r="AU64" s="271"/>
      <c r="AV64" s="271"/>
      <c r="AW64" s="271"/>
      <c r="AX64" s="271"/>
      <c r="AY64" s="271"/>
      <c r="AZ64" s="271"/>
      <c r="BA64" s="271"/>
      <c r="BB64" s="271"/>
    </row>
    <row r="65" spans="21:54" ht="12.75">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row>
    <row r="66" spans="21:54" ht="12.75" customHeight="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row>
    <row r="67" spans="21:54" ht="3" customHeight="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row>
    <row r="68" spans="21:54" ht="12.75">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c r="AR68" s="271"/>
      <c r="AS68" s="271"/>
      <c r="AT68" s="271"/>
      <c r="AU68" s="271"/>
      <c r="AV68" s="271"/>
      <c r="AW68" s="271"/>
      <c r="AX68" s="271"/>
      <c r="AY68" s="271"/>
      <c r="AZ68" s="271"/>
      <c r="BA68" s="271"/>
      <c r="BB68" s="271"/>
    </row>
    <row r="69" spans="21:54" ht="12.75">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271"/>
      <c r="AY69" s="271"/>
      <c r="AZ69" s="271"/>
      <c r="BA69" s="271"/>
      <c r="BB69" s="271"/>
    </row>
    <row r="70" spans="21:54" ht="3" customHeight="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c r="BB70" s="271"/>
    </row>
    <row r="71" spans="21:54" ht="3" customHeight="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1"/>
      <c r="AY71" s="271"/>
      <c r="AZ71" s="271"/>
      <c r="BA71" s="271"/>
      <c r="BB71" s="271"/>
    </row>
    <row r="72" spans="21:54" ht="12.75">
      <c r="U72" s="271"/>
      <c r="V72" s="271"/>
      <c r="W72" s="271"/>
      <c r="X72" s="271"/>
      <c r="Y72" s="271"/>
      <c r="Z72" s="271"/>
      <c r="AA72" s="271"/>
      <c r="AB72" s="271"/>
      <c r="AC72" s="271"/>
      <c r="AD72" s="271"/>
      <c r="AE72" s="271"/>
      <c r="AF72" s="271"/>
      <c r="AG72" s="271"/>
      <c r="AH72" s="271"/>
      <c r="AI72" s="271"/>
      <c r="AJ72" s="271"/>
      <c r="AK72" s="271"/>
      <c r="AL72" s="271"/>
      <c r="AM72" s="271"/>
      <c r="AN72" s="271"/>
      <c r="AO72" s="271"/>
      <c r="AP72" s="271"/>
      <c r="AQ72" s="271"/>
      <c r="AR72" s="271"/>
      <c r="AS72" s="271"/>
      <c r="AT72" s="271"/>
      <c r="AU72" s="271"/>
      <c r="AV72" s="271"/>
      <c r="AW72" s="271"/>
      <c r="AX72" s="271"/>
      <c r="AY72" s="271"/>
      <c r="AZ72" s="271"/>
      <c r="BA72" s="271"/>
      <c r="BB72" s="271"/>
    </row>
    <row r="73" spans="21:40" ht="12.75">
      <c r="U73" s="271"/>
      <c r="V73" s="271"/>
      <c r="W73" s="271"/>
      <c r="X73" s="271"/>
      <c r="Y73" s="271"/>
      <c r="Z73" s="271"/>
      <c r="AA73" s="271"/>
      <c r="AB73" s="271"/>
      <c r="AC73" s="271"/>
      <c r="AD73" s="271"/>
      <c r="AE73" s="271"/>
      <c r="AF73" s="271"/>
      <c r="AG73" s="271"/>
      <c r="AH73" s="271"/>
      <c r="AI73" s="271"/>
      <c r="AJ73" s="271"/>
      <c r="AK73" s="271"/>
      <c r="AL73" s="271"/>
      <c r="AM73" s="271"/>
      <c r="AN73" s="271"/>
    </row>
    <row r="74" spans="21:40" ht="12.75">
      <c r="U74" s="271"/>
      <c r="V74" s="271"/>
      <c r="W74" s="271"/>
      <c r="X74" s="271"/>
      <c r="Y74" s="271"/>
      <c r="Z74" s="271"/>
      <c r="AA74" s="271"/>
      <c r="AB74" s="271"/>
      <c r="AC74" s="271"/>
      <c r="AD74" s="271"/>
      <c r="AE74" s="271"/>
      <c r="AF74" s="271"/>
      <c r="AG74" s="271"/>
      <c r="AH74" s="271"/>
      <c r="AI74" s="271"/>
      <c r="AJ74" s="271"/>
      <c r="AK74" s="271"/>
      <c r="AL74" s="271"/>
      <c r="AM74" s="271"/>
      <c r="AN74" s="271"/>
    </row>
    <row r="75" spans="21:40" ht="12.75">
      <c r="U75" s="271"/>
      <c r="V75" s="271"/>
      <c r="W75" s="271"/>
      <c r="X75" s="271"/>
      <c r="Y75" s="271"/>
      <c r="Z75" s="271"/>
      <c r="AA75" s="271"/>
      <c r="AB75" s="271"/>
      <c r="AC75" s="271"/>
      <c r="AD75" s="271"/>
      <c r="AE75" s="271"/>
      <c r="AF75" s="271"/>
      <c r="AG75" s="271"/>
      <c r="AH75" s="271"/>
      <c r="AI75" s="271"/>
      <c r="AJ75" s="271"/>
      <c r="AK75" s="271"/>
      <c r="AL75" s="271"/>
      <c r="AM75" s="271"/>
      <c r="AN75" s="271"/>
    </row>
    <row r="76" spans="21:40" ht="12.75">
      <c r="U76" s="271"/>
      <c r="V76" s="271"/>
      <c r="W76" s="271"/>
      <c r="X76" s="271"/>
      <c r="Y76" s="271"/>
      <c r="Z76" s="271"/>
      <c r="AA76" s="271"/>
      <c r="AB76" s="271"/>
      <c r="AC76" s="271"/>
      <c r="AD76" s="271"/>
      <c r="AE76" s="271"/>
      <c r="AF76" s="271"/>
      <c r="AG76" s="271"/>
      <c r="AH76" s="271"/>
      <c r="AI76" s="271"/>
      <c r="AJ76" s="271"/>
      <c r="AK76" s="271"/>
      <c r="AL76" s="271"/>
      <c r="AM76" s="271"/>
      <c r="AN76" s="271"/>
    </row>
    <row r="77" spans="21:40" ht="12.75">
      <c r="U77" s="271"/>
      <c r="V77" s="271"/>
      <c r="W77" s="271"/>
      <c r="X77" s="271"/>
      <c r="Y77" s="271"/>
      <c r="Z77" s="271"/>
      <c r="AA77" s="271"/>
      <c r="AB77" s="271"/>
      <c r="AC77" s="271"/>
      <c r="AD77" s="271"/>
      <c r="AE77" s="271"/>
      <c r="AF77" s="271"/>
      <c r="AG77" s="271"/>
      <c r="AH77" s="271"/>
      <c r="AI77" s="271"/>
      <c r="AJ77" s="271"/>
      <c r="AK77" s="271"/>
      <c r="AL77" s="271"/>
      <c r="AM77" s="271"/>
      <c r="AN77" s="271"/>
    </row>
    <row r="78" spans="21:40" ht="12.75">
      <c r="U78" s="271"/>
      <c r="V78" s="271"/>
      <c r="W78" s="271"/>
      <c r="X78" s="271"/>
      <c r="Y78" s="271"/>
      <c r="Z78" s="271"/>
      <c r="AA78" s="271"/>
      <c r="AB78" s="271"/>
      <c r="AC78" s="271"/>
      <c r="AD78" s="271"/>
      <c r="AE78" s="271"/>
      <c r="AF78" s="271"/>
      <c r="AG78" s="271"/>
      <c r="AH78" s="271"/>
      <c r="AI78" s="271"/>
      <c r="AJ78" s="271"/>
      <c r="AK78" s="271"/>
      <c r="AL78" s="271"/>
      <c r="AM78" s="271"/>
      <c r="AN78" s="271"/>
    </row>
    <row r="79" spans="21:40" ht="12.75">
      <c r="U79" s="271"/>
      <c r="V79" s="271"/>
      <c r="W79" s="271"/>
      <c r="X79" s="271"/>
      <c r="Y79" s="271"/>
      <c r="Z79" s="271"/>
      <c r="AA79" s="271"/>
      <c r="AB79" s="271"/>
      <c r="AC79" s="271"/>
      <c r="AD79" s="271"/>
      <c r="AE79" s="271"/>
      <c r="AF79" s="271"/>
      <c r="AG79" s="271"/>
      <c r="AH79" s="271"/>
      <c r="AI79" s="271"/>
      <c r="AJ79" s="271"/>
      <c r="AK79" s="271"/>
      <c r="AL79" s="271"/>
      <c r="AM79" s="271"/>
      <c r="AN79" s="271"/>
    </row>
    <row r="80" spans="21:40" ht="12.75">
      <c r="U80" s="271"/>
      <c r="V80" s="271"/>
      <c r="W80" s="271"/>
      <c r="X80" s="271"/>
      <c r="Y80" s="271"/>
      <c r="Z80" s="271"/>
      <c r="AA80" s="271"/>
      <c r="AB80" s="271"/>
      <c r="AC80" s="271"/>
      <c r="AD80" s="271"/>
      <c r="AE80" s="271"/>
      <c r="AF80" s="271"/>
      <c r="AG80" s="271"/>
      <c r="AH80" s="271"/>
      <c r="AI80" s="271"/>
      <c r="AJ80" s="271"/>
      <c r="AK80" s="271"/>
      <c r="AL80" s="271"/>
      <c r="AM80" s="271"/>
      <c r="AN80" s="271"/>
    </row>
    <row r="81" spans="21:40" ht="12.75">
      <c r="U81" s="271"/>
      <c r="V81" s="271"/>
      <c r="W81" s="271"/>
      <c r="X81" s="271"/>
      <c r="Y81" s="271"/>
      <c r="Z81" s="271"/>
      <c r="AA81" s="271"/>
      <c r="AB81" s="271"/>
      <c r="AC81" s="271"/>
      <c r="AD81" s="271"/>
      <c r="AE81" s="271"/>
      <c r="AF81" s="271"/>
      <c r="AG81" s="271"/>
      <c r="AH81" s="271"/>
      <c r="AI81" s="271"/>
      <c r="AJ81" s="271"/>
      <c r="AK81" s="271"/>
      <c r="AL81" s="271"/>
      <c r="AM81" s="271"/>
      <c r="AN81" s="271"/>
    </row>
    <row r="82" spans="21:40" ht="12.75">
      <c r="U82" s="271"/>
      <c r="V82" s="271"/>
      <c r="W82" s="271"/>
      <c r="X82" s="271"/>
      <c r="Y82" s="271"/>
      <c r="Z82" s="271"/>
      <c r="AA82" s="271"/>
      <c r="AB82" s="271"/>
      <c r="AC82" s="271"/>
      <c r="AD82" s="271"/>
      <c r="AE82" s="271"/>
      <c r="AF82" s="271"/>
      <c r="AG82" s="271"/>
      <c r="AH82" s="271"/>
      <c r="AI82" s="271"/>
      <c r="AJ82" s="271"/>
      <c r="AK82" s="271"/>
      <c r="AL82" s="271"/>
      <c r="AM82" s="271"/>
      <c r="AN82" s="271"/>
    </row>
    <row r="83" spans="21:40" ht="12.75">
      <c r="U83" s="271"/>
      <c r="V83" s="271"/>
      <c r="W83" s="271"/>
      <c r="X83" s="271"/>
      <c r="Y83" s="271"/>
      <c r="Z83" s="271"/>
      <c r="AA83" s="271"/>
      <c r="AB83" s="271"/>
      <c r="AC83" s="271"/>
      <c r="AD83" s="271"/>
      <c r="AE83" s="271"/>
      <c r="AF83" s="271"/>
      <c r="AG83" s="271"/>
      <c r="AH83" s="271"/>
      <c r="AI83" s="271"/>
      <c r="AJ83" s="271"/>
      <c r="AK83" s="271"/>
      <c r="AL83" s="271"/>
      <c r="AM83" s="271"/>
      <c r="AN83" s="271"/>
    </row>
    <row r="84" spans="21:40" ht="12.75">
      <c r="U84" s="271"/>
      <c r="V84" s="271"/>
      <c r="W84" s="271"/>
      <c r="X84" s="271"/>
      <c r="Y84" s="271"/>
      <c r="Z84" s="271"/>
      <c r="AA84" s="271"/>
      <c r="AB84" s="271"/>
      <c r="AC84" s="271"/>
      <c r="AD84" s="271"/>
      <c r="AE84" s="271"/>
      <c r="AF84" s="271"/>
      <c r="AG84" s="271"/>
      <c r="AH84" s="271"/>
      <c r="AI84" s="271"/>
      <c r="AJ84" s="271"/>
      <c r="AK84" s="271"/>
      <c r="AL84" s="271"/>
      <c r="AM84" s="271"/>
      <c r="AN84" s="271"/>
    </row>
    <row r="85" spans="21:40" ht="12.75">
      <c r="U85" s="271"/>
      <c r="V85" s="271"/>
      <c r="W85" s="271"/>
      <c r="X85" s="271"/>
      <c r="Y85" s="271"/>
      <c r="Z85" s="271"/>
      <c r="AA85" s="271"/>
      <c r="AB85" s="271"/>
      <c r="AC85" s="271"/>
      <c r="AD85" s="271"/>
      <c r="AE85" s="271"/>
      <c r="AF85" s="271"/>
      <c r="AG85" s="271"/>
      <c r="AH85" s="271"/>
      <c r="AI85" s="271"/>
      <c r="AJ85" s="271"/>
      <c r="AK85" s="271"/>
      <c r="AL85" s="271"/>
      <c r="AM85" s="271"/>
      <c r="AN85" s="271"/>
    </row>
    <row r="86" spans="21:40" ht="12.75">
      <c r="U86" s="271"/>
      <c r="V86" s="271"/>
      <c r="W86" s="271"/>
      <c r="X86" s="271"/>
      <c r="Y86" s="271"/>
      <c r="Z86" s="271"/>
      <c r="AA86" s="271"/>
      <c r="AB86" s="271"/>
      <c r="AC86" s="271"/>
      <c r="AD86" s="271"/>
      <c r="AE86" s="271"/>
      <c r="AF86" s="271"/>
      <c r="AG86" s="271"/>
      <c r="AH86" s="271"/>
      <c r="AI86" s="271"/>
      <c r="AJ86" s="271"/>
      <c r="AK86" s="271"/>
      <c r="AL86" s="271"/>
      <c r="AM86" s="271"/>
      <c r="AN86" s="271"/>
    </row>
    <row r="87" spans="21:40" ht="12.75">
      <c r="U87" s="271"/>
      <c r="V87" s="271"/>
      <c r="W87" s="271"/>
      <c r="X87" s="271"/>
      <c r="Y87" s="271"/>
      <c r="Z87" s="271"/>
      <c r="AA87" s="271"/>
      <c r="AB87" s="271"/>
      <c r="AC87" s="271"/>
      <c r="AD87" s="271"/>
      <c r="AE87" s="271"/>
      <c r="AF87" s="271"/>
      <c r="AG87" s="271"/>
      <c r="AH87" s="271"/>
      <c r="AI87" s="271"/>
      <c r="AJ87" s="271"/>
      <c r="AK87" s="271"/>
      <c r="AL87" s="271"/>
      <c r="AM87" s="271"/>
      <c r="AN87" s="271"/>
    </row>
    <row r="88" spans="21:40" ht="12.75">
      <c r="U88" s="271"/>
      <c r="V88" s="271"/>
      <c r="W88" s="271"/>
      <c r="X88" s="271"/>
      <c r="Y88" s="271"/>
      <c r="Z88" s="271"/>
      <c r="AA88" s="271"/>
      <c r="AB88" s="271"/>
      <c r="AC88" s="271"/>
      <c r="AD88" s="271"/>
      <c r="AE88" s="271"/>
      <c r="AF88" s="271"/>
      <c r="AG88" s="271"/>
      <c r="AH88" s="271"/>
      <c r="AI88" s="271"/>
      <c r="AJ88" s="271"/>
      <c r="AK88" s="271"/>
      <c r="AL88" s="271"/>
      <c r="AM88" s="271"/>
      <c r="AN88" s="271"/>
    </row>
    <row r="89" spans="21:40" ht="12.75">
      <c r="U89" s="271"/>
      <c r="V89" s="271"/>
      <c r="W89" s="271"/>
      <c r="X89" s="271"/>
      <c r="Y89" s="271"/>
      <c r="Z89" s="271"/>
      <c r="AA89" s="271"/>
      <c r="AB89" s="271"/>
      <c r="AC89" s="271"/>
      <c r="AD89" s="271"/>
      <c r="AE89" s="271"/>
      <c r="AF89" s="271"/>
      <c r="AG89" s="271"/>
      <c r="AH89" s="271"/>
      <c r="AI89" s="271"/>
      <c r="AJ89" s="271"/>
      <c r="AK89" s="271"/>
      <c r="AL89" s="271"/>
      <c r="AM89" s="271"/>
      <c r="AN89" s="271"/>
    </row>
    <row r="90" spans="21:35" ht="12.75">
      <c r="U90" s="271"/>
      <c r="V90" s="271"/>
      <c r="W90" s="271"/>
      <c r="X90" s="271"/>
      <c r="Y90" s="271"/>
      <c r="Z90" s="271"/>
      <c r="AA90" s="271"/>
      <c r="AB90" s="271"/>
      <c r="AC90" s="271"/>
      <c r="AD90" s="271"/>
      <c r="AE90" s="271"/>
      <c r="AF90" s="271"/>
      <c r="AG90" s="271"/>
      <c r="AH90" s="271"/>
      <c r="AI90" s="271"/>
    </row>
    <row r="91" spans="21:35" ht="12.75">
      <c r="U91" s="271"/>
      <c r="V91" s="271"/>
      <c r="W91" s="271"/>
      <c r="X91" s="271"/>
      <c r="Y91" s="271"/>
      <c r="Z91" s="271"/>
      <c r="AA91" s="271"/>
      <c r="AB91" s="271"/>
      <c r="AC91" s="271"/>
      <c r="AD91" s="271"/>
      <c r="AE91" s="271"/>
      <c r="AF91" s="271"/>
      <c r="AG91" s="271"/>
      <c r="AH91" s="271"/>
      <c r="AI91" s="271"/>
    </row>
    <row r="92" spans="21:35" ht="12.75">
      <c r="U92" s="271"/>
      <c r="V92" s="271"/>
      <c r="W92" s="271"/>
      <c r="X92" s="271"/>
      <c r="Y92" s="271"/>
      <c r="Z92" s="271"/>
      <c r="AA92" s="271"/>
      <c r="AB92" s="271"/>
      <c r="AC92" s="271"/>
      <c r="AD92" s="271"/>
      <c r="AE92" s="271"/>
      <c r="AF92" s="271"/>
      <c r="AG92" s="271"/>
      <c r="AH92" s="271"/>
      <c r="AI92" s="271"/>
    </row>
    <row r="93" spans="21:35" ht="12.75">
      <c r="U93" s="271"/>
      <c r="V93" s="271"/>
      <c r="W93" s="271"/>
      <c r="X93" s="271"/>
      <c r="Y93" s="271"/>
      <c r="Z93" s="271"/>
      <c r="AA93" s="271"/>
      <c r="AB93" s="271"/>
      <c r="AC93" s="271"/>
      <c r="AD93" s="271"/>
      <c r="AE93" s="271"/>
      <c r="AF93" s="271"/>
      <c r="AG93" s="271"/>
      <c r="AH93" s="271"/>
      <c r="AI93" s="271"/>
    </row>
    <row r="94" spans="21:35" ht="12.75">
      <c r="U94" s="271"/>
      <c r="V94" s="271"/>
      <c r="W94" s="271"/>
      <c r="X94" s="271"/>
      <c r="Y94" s="271"/>
      <c r="Z94" s="271"/>
      <c r="AA94" s="271"/>
      <c r="AB94" s="271"/>
      <c r="AC94" s="271"/>
      <c r="AD94" s="271"/>
      <c r="AE94" s="271"/>
      <c r="AF94" s="271"/>
      <c r="AG94" s="271"/>
      <c r="AH94" s="271"/>
      <c r="AI94" s="271"/>
    </row>
    <row r="95" spans="21:35" ht="12.75">
      <c r="U95" s="271"/>
      <c r="V95" s="271"/>
      <c r="W95" s="271"/>
      <c r="X95" s="271"/>
      <c r="Y95" s="271"/>
      <c r="Z95" s="271"/>
      <c r="AA95" s="271"/>
      <c r="AB95" s="271"/>
      <c r="AC95" s="271"/>
      <c r="AD95" s="271"/>
      <c r="AE95" s="271"/>
      <c r="AF95" s="271"/>
      <c r="AG95" s="271"/>
      <c r="AH95" s="271"/>
      <c r="AI95" s="271"/>
    </row>
    <row r="96" spans="21:35" ht="12.75">
      <c r="U96" s="271"/>
      <c r="V96" s="271"/>
      <c r="W96" s="271"/>
      <c r="X96" s="271"/>
      <c r="Y96" s="271"/>
      <c r="Z96" s="271"/>
      <c r="AA96" s="271"/>
      <c r="AB96" s="271"/>
      <c r="AC96" s="271"/>
      <c r="AD96" s="271"/>
      <c r="AE96" s="271"/>
      <c r="AF96" s="271"/>
      <c r="AG96" s="271"/>
      <c r="AH96" s="271"/>
      <c r="AI96" s="271"/>
    </row>
    <row r="97" spans="21:35" ht="12.75">
      <c r="U97" s="271"/>
      <c r="V97" s="271"/>
      <c r="W97" s="271"/>
      <c r="X97" s="271"/>
      <c r="Y97" s="271"/>
      <c r="Z97" s="271"/>
      <c r="AA97" s="271"/>
      <c r="AB97" s="271"/>
      <c r="AC97" s="271"/>
      <c r="AD97" s="271"/>
      <c r="AE97" s="271"/>
      <c r="AF97" s="271"/>
      <c r="AG97" s="271"/>
      <c r="AH97" s="271"/>
      <c r="AI97" s="271"/>
    </row>
    <row r="98" spans="21:35" ht="12.75">
      <c r="U98" s="271"/>
      <c r="V98" s="271"/>
      <c r="W98" s="271"/>
      <c r="X98" s="271"/>
      <c r="Y98" s="271"/>
      <c r="Z98" s="271"/>
      <c r="AA98" s="271"/>
      <c r="AB98" s="271"/>
      <c r="AC98" s="271"/>
      <c r="AD98" s="271"/>
      <c r="AE98" s="271"/>
      <c r="AF98" s="271"/>
      <c r="AG98" s="271"/>
      <c r="AH98" s="271"/>
      <c r="AI98" s="271"/>
    </row>
    <row r="99" spans="21:35" ht="12.75">
      <c r="U99" s="271"/>
      <c r="V99" s="271"/>
      <c r="W99" s="271"/>
      <c r="X99" s="271"/>
      <c r="Y99" s="271"/>
      <c r="Z99" s="271"/>
      <c r="AA99" s="271"/>
      <c r="AB99" s="271"/>
      <c r="AC99" s="271"/>
      <c r="AD99" s="271"/>
      <c r="AE99" s="271"/>
      <c r="AF99" s="271"/>
      <c r="AG99" s="271"/>
      <c r="AH99" s="271"/>
      <c r="AI99" s="271"/>
    </row>
    <row r="100" spans="21:35" ht="12.75">
      <c r="U100" s="271"/>
      <c r="V100" s="271"/>
      <c r="W100" s="271"/>
      <c r="X100" s="271"/>
      <c r="Y100" s="271"/>
      <c r="Z100" s="271"/>
      <c r="AA100" s="271"/>
      <c r="AB100" s="271"/>
      <c r="AC100" s="271"/>
      <c r="AD100" s="271"/>
      <c r="AE100" s="271"/>
      <c r="AF100" s="271"/>
      <c r="AG100" s="271"/>
      <c r="AH100" s="271"/>
      <c r="AI100" s="271"/>
    </row>
    <row r="101" spans="21:35" ht="12.75">
      <c r="U101" s="271"/>
      <c r="V101" s="271"/>
      <c r="W101" s="271"/>
      <c r="X101" s="271"/>
      <c r="Y101" s="271"/>
      <c r="Z101" s="271"/>
      <c r="AA101" s="271"/>
      <c r="AB101" s="271"/>
      <c r="AC101" s="271"/>
      <c r="AD101" s="271"/>
      <c r="AE101" s="271"/>
      <c r="AF101" s="271"/>
      <c r="AG101" s="271"/>
      <c r="AH101" s="271"/>
      <c r="AI101" s="271"/>
    </row>
    <row r="102" spans="21:35" ht="12.75">
      <c r="U102" s="271"/>
      <c r="V102" s="271"/>
      <c r="W102" s="271"/>
      <c r="X102" s="271"/>
      <c r="Y102" s="271"/>
      <c r="Z102" s="271"/>
      <c r="AA102" s="271"/>
      <c r="AB102" s="271"/>
      <c r="AC102" s="271"/>
      <c r="AD102" s="271"/>
      <c r="AE102" s="271"/>
      <c r="AF102" s="271"/>
      <c r="AG102" s="271"/>
      <c r="AH102" s="271"/>
      <c r="AI102" s="271"/>
    </row>
    <row r="103" spans="21:35" ht="12.75">
      <c r="U103" s="271"/>
      <c r="V103" s="271"/>
      <c r="W103" s="271"/>
      <c r="X103" s="271"/>
      <c r="Y103" s="271"/>
      <c r="Z103" s="271"/>
      <c r="AA103" s="271"/>
      <c r="AB103" s="271"/>
      <c r="AC103" s="271"/>
      <c r="AD103" s="271"/>
      <c r="AE103" s="271"/>
      <c r="AF103" s="271"/>
      <c r="AG103" s="271"/>
      <c r="AH103" s="271"/>
      <c r="AI103" s="271"/>
    </row>
    <row r="104" spans="21:35" ht="12.75">
      <c r="U104" s="271"/>
      <c r="V104" s="271"/>
      <c r="W104" s="271"/>
      <c r="X104" s="271"/>
      <c r="Y104" s="271"/>
      <c r="Z104" s="271"/>
      <c r="AA104" s="271"/>
      <c r="AB104" s="271"/>
      <c r="AC104" s="271"/>
      <c r="AD104" s="271"/>
      <c r="AE104" s="271"/>
      <c r="AF104" s="271"/>
      <c r="AG104" s="271"/>
      <c r="AH104" s="271"/>
      <c r="AI104" s="271"/>
    </row>
    <row r="105" spans="21:35" ht="12.75">
      <c r="U105" s="271"/>
      <c r="V105" s="271"/>
      <c r="W105" s="271"/>
      <c r="X105" s="271"/>
      <c r="Y105" s="271"/>
      <c r="Z105" s="271"/>
      <c r="AA105" s="271"/>
      <c r="AB105" s="271"/>
      <c r="AC105" s="271"/>
      <c r="AD105" s="271"/>
      <c r="AE105" s="271"/>
      <c r="AF105" s="271"/>
      <c r="AG105" s="271"/>
      <c r="AH105" s="271"/>
      <c r="AI105" s="271"/>
    </row>
    <row r="106" spans="21:35" ht="12.75">
      <c r="U106" s="271"/>
      <c r="V106" s="271"/>
      <c r="W106" s="271"/>
      <c r="X106" s="271"/>
      <c r="Y106" s="271"/>
      <c r="Z106" s="271"/>
      <c r="AA106" s="271"/>
      <c r="AB106" s="271"/>
      <c r="AC106" s="271"/>
      <c r="AD106" s="271"/>
      <c r="AE106" s="271"/>
      <c r="AF106" s="271"/>
      <c r="AG106" s="271"/>
      <c r="AH106" s="271"/>
      <c r="AI106" s="271"/>
    </row>
    <row r="107" spans="21:35" ht="12.75">
      <c r="U107" s="271"/>
      <c r="V107" s="271"/>
      <c r="W107" s="271"/>
      <c r="X107" s="271"/>
      <c r="Y107" s="271"/>
      <c r="Z107" s="271"/>
      <c r="AA107" s="271"/>
      <c r="AB107" s="271"/>
      <c r="AC107" s="271"/>
      <c r="AD107" s="271"/>
      <c r="AE107" s="271"/>
      <c r="AF107" s="271"/>
      <c r="AG107" s="271"/>
      <c r="AH107" s="271"/>
      <c r="AI107" s="271"/>
    </row>
    <row r="108" spans="21:35" ht="12.75">
      <c r="U108" s="271"/>
      <c r="V108" s="271"/>
      <c r="W108" s="271"/>
      <c r="X108" s="271"/>
      <c r="Y108" s="271"/>
      <c r="Z108" s="271"/>
      <c r="AA108" s="271"/>
      <c r="AB108" s="271"/>
      <c r="AC108" s="271"/>
      <c r="AD108" s="271"/>
      <c r="AE108" s="271"/>
      <c r="AF108" s="271"/>
      <c r="AG108" s="271"/>
      <c r="AH108" s="271"/>
      <c r="AI108" s="271"/>
    </row>
    <row r="109" spans="21:35" ht="12.75">
      <c r="U109" s="271"/>
      <c r="V109" s="271"/>
      <c r="W109" s="271"/>
      <c r="X109" s="271"/>
      <c r="Y109" s="271"/>
      <c r="Z109" s="271"/>
      <c r="AA109" s="271"/>
      <c r="AB109" s="271"/>
      <c r="AC109" s="271"/>
      <c r="AD109" s="271"/>
      <c r="AE109" s="271"/>
      <c r="AF109" s="271"/>
      <c r="AG109" s="271"/>
      <c r="AH109" s="271"/>
      <c r="AI109" s="271"/>
    </row>
    <row r="110" spans="21:35" ht="12.75">
      <c r="U110" s="271"/>
      <c r="V110" s="271"/>
      <c r="W110" s="271"/>
      <c r="X110" s="271"/>
      <c r="Y110" s="271"/>
      <c r="Z110" s="271"/>
      <c r="AA110" s="271"/>
      <c r="AB110" s="271"/>
      <c r="AC110" s="271"/>
      <c r="AD110" s="271"/>
      <c r="AE110" s="271"/>
      <c r="AF110" s="271"/>
      <c r="AG110" s="271"/>
      <c r="AH110" s="271"/>
      <c r="AI110" s="271"/>
    </row>
    <row r="111" spans="21:35" ht="12.75">
      <c r="U111" s="271"/>
      <c r="V111" s="271"/>
      <c r="W111" s="271"/>
      <c r="X111" s="271"/>
      <c r="Y111" s="271"/>
      <c r="Z111" s="271"/>
      <c r="AA111" s="271"/>
      <c r="AB111" s="271"/>
      <c r="AC111" s="271"/>
      <c r="AD111" s="271"/>
      <c r="AE111" s="271"/>
      <c r="AF111" s="271"/>
      <c r="AG111" s="271"/>
      <c r="AH111" s="271"/>
      <c r="AI111" s="271"/>
    </row>
    <row r="112" spans="21:35" ht="12.75">
      <c r="U112" s="271"/>
      <c r="V112" s="271"/>
      <c r="W112" s="271"/>
      <c r="X112" s="271"/>
      <c r="Y112" s="271"/>
      <c r="Z112" s="271"/>
      <c r="AA112" s="271"/>
      <c r="AB112" s="271"/>
      <c r="AC112" s="271"/>
      <c r="AD112" s="271"/>
      <c r="AE112" s="271"/>
      <c r="AF112" s="271"/>
      <c r="AG112" s="271"/>
      <c r="AH112" s="271"/>
      <c r="AI112" s="271"/>
    </row>
    <row r="113" spans="21:35" ht="12.75">
      <c r="U113" s="271"/>
      <c r="V113" s="271"/>
      <c r="W113" s="271"/>
      <c r="X113" s="271"/>
      <c r="Y113" s="271"/>
      <c r="Z113" s="271"/>
      <c r="AA113" s="271"/>
      <c r="AB113" s="271"/>
      <c r="AC113" s="271"/>
      <c r="AD113" s="271"/>
      <c r="AE113" s="271"/>
      <c r="AF113" s="271"/>
      <c r="AG113" s="271"/>
      <c r="AH113" s="271"/>
      <c r="AI113" s="271"/>
    </row>
    <row r="114" spans="21:35" ht="12.75">
      <c r="U114" s="271"/>
      <c r="V114" s="271"/>
      <c r="W114" s="271"/>
      <c r="X114" s="271"/>
      <c r="Y114" s="271"/>
      <c r="Z114" s="271"/>
      <c r="AA114" s="271"/>
      <c r="AB114" s="271"/>
      <c r="AC114" s="271"/>
      <c r="AD114" s="271"/>
      <c r="AE114" s="271"/>
      <c r="AF114" s="271"/>
      <c r="AG114" s="271"/>
      <c r="AH114" s="271"/>
      <c r="AI114" s="271"/>
    </row>
    <row r="115" spans="21:35" ht="12.75">
      <c r="U115" s="271"/>
      <c r="V115" s="271"/>
      <c r="W115" s="271"/>
      <c r="X115" s="271"/>
      <c r="Y115" s="271"/>
      <c r="Z115" s="271"/>
      <c r="AA115" s="271"/>
      <c r="AB115" s="271"/>
      <c r="AC115" s="271"/>
      <c r="AD115" s="271"/>
      <c r="AE115" s="271"/>
      <c r="AF115" s="271"/>
      <c r="AG115" s="271"/>
      <c r="AH115" s="271"/>
      <c r="AI115" s="271"/>
    </row>
    <row r="116" spans="21:35" ht="12.75">
      <c r="U116" s="271"/>
      <c r="V116" s="271"/>
      <c r="W116" s="271"/>
      <c r="X116" s="271"/>
      <c r="Y116" s="271"/>
      <c r="Z116" s="271"/>
      <c r="AA116" s="271"/>
      <c r="AB116" s="271"/>
      <c r="AC116" s="271"/>
      <c r="AD116" s="271"/>
      <c r="AE116" s="271"/>
      <c r="AF116" s="271"/>
      <c r="AG116" s="271"/>
      <c r="AH116" s="271"/>
      <c r="AI116" s="271"/>
    </row>
    <row r="117" spans="21:35" ht="12.75">
      <c r="U117" s="271"/>
      <c r="V117" s="271"/>
      <c r="W117" s="271"/>
      <c r="X117" s="271"/>
      <c r="Y117" s="271"/>
      <c r="Z117" s="271"/>
      <c r="AA117" s="271"/>
      <c r="AB117" s="271"/>
      <c r="AC117" s="271"/>
      <c r="AD117" s="271"/>
      <c r="AE117" s="271"/>
      <c r="AF117" s="271"/>
      <c r="AG117" s="271"/>
      <c r="AH117" s="271"/>
      <c r="AI117" s="271"/>
    </row>
    <row r="118" spans="21:35" ht="12.75">
      <c r="U118" s="271"/>
      <c r="V118" s="271"/>
      <c r="W118" s="271"/>
      <c r="X118" s="271"/>
      <c r="Y118" s="271"/>
      <c r="Z118" s="271"/>
      <c r="AA118" s="271"/>
      <c r="AB118" s="271"/>
      <c r="AC118" s="271"/>
      <c r="AD118" s="271"/>
      <c r="AE118" s="271"/>
      <c r="AF118" s="271"/>
      <c r="AG118" s="271"/>
      <c r="AH118" s="271"/>
      <c r="AI118" s="271"/>
    </row>
    <row r="119" spans="21:35" ht="12.75">
      <c r="U119" s="271"/>
      <c r="V119" s="271"/>
      <c r="W119" s="271"/>
      <c r="X119" s="271"/>
      <c r="Y119" s="271"/>
      <c r="Z119" s="271"/>
      <c r="AA119" s="271"/>
      <c r="AB119" s="271"/>
      <c r="AC119" s="271"/>
      <c r="AD119" s="271"/>
      <c r="AE119" s="271"/>
      <c r="AF119" s="271"/>
      <c r="AG119" s="271"/>
      <c r="AH119" s="271"/>
      <c r="AI119" s="271"/>
    </row>
    <row r="120" spans="21:35" ht="12.75">
      <c r="U120" s="271"/>
      <c r="V120" s="271"/>
      <c r="W120" s="271"/>
      <c r="X120" s="271"/>
      <c r="Y120" s="271"/>
      <c r="Z120" s="271"/>
      <c r="AA120" s="271"/>
      <c r="AB120" s="271"/>
      <c r="AC120" s="271"/>
      <c r="AD120" s="271"/>
      <c r="AE120" s="271"/>
      <c r="AF120" s="271"/>
      <c r="AG120" s="271"/>
      <c r="AH120" s="271"/>
      <c r="AI120" s="271"/>
    </row>
    <row r="121" spans="21:35" ht="12.75">
      <c r="U121" s="271"/>
      <c r="V121" s="271"/>
      <c r="W121" s="271"/>
      <c r="X121" s="271"/>
      <c r="Y121" s="271"/>
      <c r="Z121" s="271"/>
      <c r="AA121" s="271"/>
      <c r="AB121" s="271"/>
      <c r="AC121" s="271"/>
      <c r="AD121" s="271"/>
      <c r="AE121" s="271"/>
      <c r="AF121" s="271"/>
      <c r="AG121" s="271"/>
      <c r="AH121" s="271"/>
      <c r="AI121" s="271"/>
    </row>
    <row r="122" spans="21:35" ht="12.75">
      <c r="U122" s="271"/>
      <c r="V122" s="271"/>
      <c r="W122" s="271"/>
      <c r="X122" s="271"/>
      <c r="Y122" s="271"/>
      <c r="Z122" s="271"/>
      <c r="AA122" s="271"/>
      <c r="AB122" s="271"/>
      <c r="AC122" s="271"/>
      <c r="AD122" s="271"/>
      <c r="AE122" s="271"/>
      <c r="AF122" s="271"/>
      <c r="AG122" s="271"/>
      <c r="AH122" s="271"/>
      <c r="AI122" s="271"/>
    </row>
    <row r="123" spans="21:35" ht="12.75">
      <c r="U123" s="271"/>
      <c r="V123" s="271"/>
      <c r="W123" s="271"/>
      <c r="X123" s="271"/>
      <c r="Y123" s="271"/>
      <c r="Z123" s="271"/>
      <c r="AA123" s="271"/>
      <c r="AB123" s="271"/>
      <c r="AC123" s="271"/>
      <c r="AD123" s="271"/>
      <c r="AE123" s="271"/>
      <c r="AF123" s="271"/>
      <c r="AG123" s="271"/>
      <c r="AH123" s="271"/>
      <c r="AI123" s="271"/>
    </row>
    <row r="124" spans="21:35" ht="12.75">
      <c r="U124" s="271"/>
      <c r="V124" s="271"/>
      <c r="W124" s="271"/>
      <c r="X124" s="271"/>
      <c r="Y124" s="271"/>
      <c r="Z124" s="271"/>
      <c r="AA124" s="271"/>
      <c r="AB124" s="271"/>
      <c r="AC124" s="271"/>
      <c r="AD124" s="271"/>
      <c r="AE124" s="271"/>
      <c r="AF124" s="271"/>
      <c r="AG124" s="271"/>
      <c r="AH124" s="271"/>
      <c r="AI124" s="271"/>
    </row>
    <row r="125" spans="21:35" ht="12.75">
      <c r="U125" s="271"/>
      <c r="V125" s="271"/>
      <c r="W125" s="271"/>
      <c r="X125" s="271"/>
      <c r="Y125" s="271"/>
      <c r="Z125" s="271"/>
      <c r="AA125" s="271"/>
      <c r="AB125" s="271"/>
      <c r="AC125" s="271"/>
      <c r="AD125" s="271"/>
      <c r="AE125" s="271"/>
      <c r="AF125" s="271"/>
      <c r="AG125" s="271"/>
      <c r="AH125" s="271"/>
      <c r="AI125" s="271"/>
    </row>
    <row r="126" spans="21:35" ht="12.75">
      <c r="U126" s="271"/>
      <c r="V126" s="271"/>
      <c r="W126" s="271"/>
      <c r="X126" s="271"/>
      <c r="Y126" s="271"/>
      <c r="Z126" s="271"/>
      <c r="AA126" s="271"/>
      <c r="AB126" s="271"/>
      <c r="AC126" s="271"/>
      <c r="AD126" s="271"/>
      <c r="AE126" s="271"/>
      <c r="AF126" s="271"/>
      <c r="AG126" s="271"/>
      <c r="AH126" s="271"/>
      <c r="AI126" s="271"/>
    </row>
    <row r="127" spans="21:35" ht="12.75">
      <c r="U127" s="271"/>
      <c r="V127" s="271"/>
      <c r="W127" s="271"/>
      <c r="X127" s="271"/>
      <c r="Y127" s="271"/>
      <c r="Z127" s="271"/>
      <c r="AA127" s="271"/>
      <c r="AB127" s="271"/>
      <c r="AC127" s="271"/>
      <c r="AD127" s="271"/>
      <c r="AE127" s="271"/>
      <c r="AF127" s="271"/>
      <c r="AG127" s="271"/>
      <c r="AH127" s="271"/>
      <c r="AI127" s="271"/>
    </row>
    <row r="128" spans="21:35" ht="12.75">
      <c r="U128" s="271"/>
      <c r="V128" s="271"/>
      <c r="W128" s="271"/>
      <c r="X128" s="271"/>
      <c r="Y128" s="271"/>
      <c r="Z128" s="271"/>
      <c r="AA128" s="271"/>
      <c r="AB128" s="271"/>
      <c r="AC128" s="271"/>
      <c r="AD128" s="271"/>
      <c r="AE128" s="271"/>
      <c r="AF128" s="271"/>
      <c r="AG128" s="271"/>
      <c r="AH128" s="271"/>
      <c r="AI128" s="271"/>
    </row>
    <row r="129" spans="21:35" ht="12.75">
      <c r="U129" s="271"/>
      <c r="V129" s="271"/>
      <c r="W129" s="271"/>
      <c r="X129" s="271"/>
      <c r="Y129" s="271"/>
      <c r="Z129" s="271"/>
      <c r="AA129" s="271"/>
      <c r="AB129" s="271"/>
      <c r="AC129" s="271"/>
      <c r="AD129" s="271"/>
      <c r="AE129" s="271"/>
      <c r="AF129" s="271"/>
      <c r="AG129" s="271"/>
      <c r="AH129" s="271"/>
      <c r="AI129" s="271"/>
    </row>
    <row r="130" spans="21:35" ht="12.75">
      <c r="U130" s="271"/>
      <c r="V130" s="271"/>
      <c r="W130" s="271"/>
      <c r="X130" s="271"/>
      <c r="Y130" s="271"/>
      <c r="Z130" s="271"/>
      <c r="AA130" s="271"/>
      <c r="AB130" s="271"/>
      <c r="AC130" s="271"/>
      <c r="AD130" s="271"/>
      <c r="AE130" s="271"/>
      <c r="AF130" s="271"/>
      <c r="AG130" s="271"/>
      <c r="AH130" s="271"/>
      <c r="AI130" s="271"/>
    </row>
    <row r="131" spans="21:35" ht="12.75">
      <c r="U131" s="271"/>
      <c r="V131" s="271"/>
      <c r="W131" s="271"/>
      <c r="X131" s="271"/>
      <c r="Y131" s="271"/>
      <c r="Z131" s="271"/>
      <c r="AA131" s="271"/>
      <c r="AB131" s="271"/>
      <c r="AC131" s="271"/>
      <c r="AD131" s="271"/>
      <c r="AE131" s="271"/>
      <c r="AF131" s="271"/>
      <c r="AG131" s="271"/>
      <c r="AH131" s="271"/>
      <c r="AI131" s="271"/>
    </row>
    <row r="132" spans="21:35" ht="12.75">
      <c r="U132" s="271"/>
      <c r="V132" s="271"/>
      <c r="W132" s="271"/>
      <c r="X132" s="271"/>
      <c r="Y132" s="271"/>
      <c r="Z132" s="271"/>
      <c r="AA132" s="271"/>
      <c r="AB132" s="271"/>
      <c r="AC132" s="271"/>
      <c r="AD132" s="271"/>
      <c r="AE132" s="271"/>
      <c r="AF132" s="271"/>
      <c r="AG132" s="271"/>
      <c r="AH132" s="271"/>
      <c r="AI132" s="271"/>
    </row>
    <row r="133" spans="21:35" ht="12.75">
      <c r="U133" s="271"/>
      <c r="V133" s="271"/>
      <c r="W133" s="271"/>
      <c r="X133" s="271"/>
      <c r="Y133" s="271"/>
      <c r="Z133" s="271"/>
      <c r="AA133" s="271"/>
      <c r="AB133" s="271"/>
      <c r="AC133" s="271"/>
      <c r="AD133" s="271"/>
      <c r="AE133" s="271"/>
      <c r="AF133" s="271"/>
      <c r="AG133" s="271"/>
      <c r="AH133" s="271"/>
      <c r="AI133" s="271"/>
    </row>
    <row r="134" spans="21:35" ht="12.75">
      <c r="U134" s="271"/>
      <c r="V134" s="271"/>
      <c r="W134" s="271"/>
      <c r="X134" s="271"/>
      <c r="Y134" s="271"/>
      <c r="Z134" s="271"/>
      <c r="AA134" s="271"/>
      <c r="AB134" s="271"/>
      <c r="AC134" s="271"/>
      <c r="AD134" s="271"/>
      <c r="AE134" s="271"/>
      <c r="AF134" s="271"/>
      <c r="AG134" s="271"/>
      <c r="AH134" s="271"/>
      <c r="AI134" s="271"/>
    </row>
    <row r="135" spans="21:35" ht="12.75">
      <c r="U135" s="271"/>
      <c r="V135" s="271"/>
      <c r="W135" s="271"/>
      <c r="X135" s="271"/>
      <c r="Y135" s="271"/>
      <c r="Z135" s="271"/>
      <c r="AA135" s="271"/>
      <c r="AB135" s="271"/>
      <c r="AC135" s="271"/>
      <c r="AD135" s="271"/>
      <c r="AE135" s="271"/>
      <c r="AF135" s="271"/>
      <c r="AG135" s="271"/>
      <c r="AH135" s="271"/>
      <c r="AI135" s="271"/>
    </row>
    <row r="136" spans="21:35" ht="12.75">
      <c r="U136" s="271"/>
      <c r="V136" s="271"/>
      <c r="W136" s="271"/>
      <c r="X136" s="271"/>
      <c r="Y136" s="271"/>
      <c r="Z136" s="271"/>
      <c r="AA136" s="271"/>
      <c r="AB136" s="271"/>
      <c r="AC136" s="271"/>
      <c r="AD136" s="271"/>
      <c r="AE136" s="271"/>
      <c r="AF136" s="271"/>
      <c r="AG136" s="271"/>
      <c r="AH136" s="271"/>
      <c r="AI136" s="271"/>
    </row>
    <row r="137" spans="21:35" ht="12.75">
      <c r="U137" s="271"/>
      <c r="V137" s="271"/>
      <c r="W137" s="271"/>
      <c r="X137" s="271"/>
      <c r="Y137" s="271"/>
      <c r="Z137" s="271"/>
      <c r="AA137" s="271"/>
      <c r="AB137" s="271"/>
      <c r="AC137" s="271"/>
      <c r="AD137" s="271"/>
      <c r="AE137" s="271"/>
      <c r="AF137" s="271"/>
      <c r="AG137" s="271"/>
      <c r="AH137" s="271"/>
      <c r="AI137" s="271"/>
    </row>
    <row r="138" spans="21:35" ht="12.75">
      <c r="U138" s="271"/>
      <c r="V138" s="271"/>
      <c r="W138" s="271"/>
      <c r="X138" s="271"/>
      <c r="Y138" s="271"/>
      <c r="Z138" s="271"/>
      <c r="AA138" s="271"/>
      <c r="AB138" s="271"/>
      <c r="AC138" s="271"/>
      <c r="AD138" s="271"/>
      <c r="AE138" s="271"/>
      <c r="AF138" s="271"/>
      <c r="AG138" s="271"/>
      <c r="AH138" s="271"/>
      <c r="AI138" s="271"/>
    </row>
    <row r="139" spans="21:35" ht="12.75">
      <c r="U139" s="271"/>
      <c r="V139" s="271"/>
      <c r="W139" s="271"/>
      <c r="X139" s="271"/>
      <c r="Y139" s="271"/>
      <c r="Z139" s="271"/>
      <c r="AA139" s="271"/>
      <c r="AB139" s="271"/>
      <c r="AC139" s="271"/>
      <c r="AD139" s="271"/>
      <c r="AE139" s="271"/>
      <c r="AF139" s="271"/>
      <c r="AG139" s="271"/>
      <c r="AH139" s="271"/>
      <c r="AI139" s="271"/>
    </row>
    <row r="140" spans="21:35" ht="12.75">
      <c r="U140" s="271"/>
      <c r="V140" s="271"/>
      <c r="W140" s="271"/>
      <c r="X140" s="271"/>
      <c r="Y140" s="271"/>
      <c r="Z140" s="271"/>
      <c r="AA140" s="271"/>
      <c r="AB140" s="271"/>
      <c r="AC140" s="271"/>
      <c r="AD140" s="271"/>
      <c r="AE140" s="271"/>
      <c r="AF140" s="271"/>
      <c r="AG140" s="271"/>
      <c r="AH140" s="271"/>
      <c r="AI140" s="271"/>
    </row>
    <row r="141" spans="21:35" ht="12.75">
      <c r="U141" s="271"/>
      <c r="V141" s="271"/>
      <c r="W141" s="271"/>
      <c r="X141" s="271"/>
      <c r="Y141" s="271"/>
      <c r="Z141" s="271"/>
      <c r="AA141" s="271"/>
      <c r="AB141" s="271"/>
      <c r="AC141" s="271"/>
      <c r="AD141" s="271"/>
      <c r="AE141" s="271"/>
      <c r="AF141" s="271"/>
      <c r="AG141" s="271"/>
      <c r="AH141" s="271"/>
      <c r="AI141" s="271"/>
    </row>
    <row r="142" spans="21:35" ht="12.75">
      <c r="U142" s="271"/>
      <c r="V142" s="271"/>
      <c r="W142" s="271"/>
      <c r="X142" s="271"/>
      <c r="Y142" s="271"/>
      <c r="Z142" s="271"/>
      <c r="AA142" s="271"/>
      <c r="AB142" s="271"/>
      <c r="AC142" s="271"/>
      <c r="AD142" s="271"/>
      <c r="AE142" s="271"/>
      <c r="AF142" s="271"/>
      <c r="AG142" s="271"/>
      <c r="AH142" s="271"/>
      <c r="AI142" s="271"/>
    </row>
    <row r="143" spans="21:35" ht="12.75">
      <c r="U143" s="271"/>
      <c r="V143" s="271"/>
      <c r="W143" s="271"/>
      <c r="X143" s="271"/>
      <c r="Y143" s="271"/>
      <c r="Z143" s="271"/>
      <c r="AA143" s="271"/>
      <c r="AB143" s="271"/>
      <c r="AC143" s="271"/>
      <c r="AD143" s="271"/>
      <c r="AE143" s="271"/>
      <c r="AF143" s="271"/>
      <c r="AG143" s="271"/>
      <c r="AH143" s="271"/>
      <c r="AI143" s="271"/>
    </row>
    <row r="144" spans="21:35" ht="12.75">
      <c r="U144" s="271"/>
      <c r="V144" s="271"/>
      <c r="W144" s="271"/>
      <c r="X144" s="271"/>
      <c r="Y144" s="271"/>
      <c r="Z144" s="271"/>
      <c r="AA144" s="271"/>
      <c r="AB144" s="271"/>
      <c r="AC144" s="271"/>
      <c r="AD144" s="271"/>
      <c r="AE144" s="271"/>
      <c r="AF144" s="271"/>
      <c r="AG144" s="271"/>
      <c r="AH144" s="271"/>
      <c r="AI144" s="271"/>
    </row>
    <row r="145" spans="21:35" ht="12.75">
      <c r="U145" s="271"/>
      <c r="V145" s="271"/>
      <c r="W145" s="271"/>
      <c r="X145" s="271"/>
      <c r="Y145" s="271"/>
      <c r="Z145" s="271"/>
      <c r="AA145" s="271"/>
      <c r="AB145" s="271"/>
      <c r="AC145" s="271"/>
      <c r="AD145" s="271"/>
      <c r="AE145" s="271"/>
      <c r="AF145" s="271"/>
      <c r="AG145" s="271"/>
      <c r="AH145" s="271"/>
      <c r="AI145" s="271"/>
    </row>
    <row r="146" spans="21:35" ht="12.75">
      <c r="U146" s="271"/>
      <c r="V146" s="271"/>
      <c r="W146" s="271"/>
      <c r="X146" s="271"/>
      <c r="Y146" s="271"/>
      <c r="Z146" s="271"/>
      <c r="AA146" s="271"/>
      <c r="AB146" s="271"/>
      <c r="AC146" s="271"/>
      <c r="AD146" s="271"/>
      <c r="AE146" s="271"/>
      <c r="AF146" s="271"/>
      <c r="AG146" s="271"/>
      <c r="AH146" s="271"/>
      <c r="AI146" s="271"/>
    </row>
    <row r="147" spans="21:35" ht="12.75">
      <c r="U147" s="271"/>
      <c r="V147" s="271"/>
      <c r="W147" s="271"/>
      <c r="X147" s="271"/>
      <c r="Y147" s="271"/>
      <c r="Z147" s="271"/>
      <c r="AA147" s="271"/>
      <c r="AB147" s="271"/>
      <c r="AC147" s="271"/>
      <c r="AD147" s="271"/>
      <c r="AE147" s="271"/>
      <c r="AF147" s="271"/>
      <c r="AG147" s="271"/>
      <c r="AH147" s="271"/>
      <c r="AI147" s="271"/>
    </row>
    <row r="148" spans="21:35" ht="12.75">
      <c r="U148" s="271"/>
      <c r="V148" s="271"/>
      <c r="W148" s="271"/>
      <c r="X148" s="271"/>
      <c r="Y148" s="271"/>
      <c r="Z148" s="271"/>
      <c r="AA148" s="271"/>
      <c r="AB148" s="271"/>
      <c r="AC148" s="271"/>
      <c r="AD148" s="271"/>
      <c r="AE148" s="271"/>
      <c r="AF148" s="271"/>
      <c r="AG148" s="271"/>
      <c r="AH148" s="271"/>
      <c r="AI148" s="271"/>
    </row>
    <row r="149" spans="21:35" ht="12.75">
      <c r="U149" s="271"/>
      <c r="V149" s="271"/>
      <c r="W149" s="271"/>
      <c r="X149" s="271"/>
      <c r="Y149" s="271"/>
      <c r="Z149" s="271"/>
      <c r="AA149" s="271"/>
      <c r="AB149" s="271"/>
      <c r="AC149" s="271"/>
      <c r="AD149" s="271"/>
      <c r="AE149" s="271"/>
      <c r="AF149" s="271"/>
      <c r="AG149" s="271"/>
      <c r="AH149" s="271"/>
      <c r="AI149" s="271"/>
    </row>
    <row r="150" spans="21:35" ht="12.75">
      <c r="U150" s="271"/>
      <c r="V150" s="271"/>
      <c r="W150" s="271"/>
      <c r="X150" s="271"/>
      <c r="Y150" s="271"/>
      <c r="Z150" s="271"/>
      <c r="AA150" s="271"/>
      <c r="AB150" s="271"/>
      <c r="AC150" s="271"/>
      <c r="AD150" s="271"/>
      <c r="AE150" s="271"/>
      <c r="AF150" s="271"/>
      <c r="AG150" s="271"/>
      <c r="AH150" s="271"/>
      <c r="AI150" s="271"/>
    </row>
    <row r="151" spans="21:35" ht="12.75">
      <c r="U151" s="271"/>
      <c r="V151" s="271"/>
      <c r="W151" s="271"/>
      <c r="X151" s="271"/>
      <c r="Y151" s="271"/>
      <c r="Z151" s="271"/>
      <c r="AA151" s="271"/>
      <c r="AB151" s="271"/>
      <c r="AC151" s="271"/>
      <c r="AD151" s="271"/>
      <c r="AE151" s="271"/>
      <c r="AF151" s="271"/>
      <c r="AG151" s="271"/>
      <c r="AH151" s="271"/>
      <c r="AI151" s="271"/>
    </row>
    <row r="152" spans="21:35" ht="12.75">
      <c r="U152" s="271"/>
      <c r="V152" s="271"/>
      <c r="W152" s="271"/>
      <c r="X152" s="271"/>
      <c r="Y152" s="271"/>
      <c r="Z152" s="271"/>
      <c r="AA152" s="271"/>
      <c r="AB152" s="271"/>
      <c r="AC152" s="271"/>
      <c r="AD152" s="271"/>
      <c r="AE152" s="271"/>
      <c r="AF152" s="271"/>
      <c r="AG152" s="271"/>
      <c r="AH152" s="271"/>
      <c r="AI152" s="271"/>
    </row>
    <row r="153" spans="21:35" ht="12.75">
      <c r="U153" s="271"/>
      <c r="V153" s="271"/>
      <c r="W153" s="271"/>
      <c r="X153" s="271"/>
      <c r="Y153" s="271"/>
      <c r="Z153" s="271"/>
      <c r="AA153" s="271"/>
      <c r="AB153" s="271"/>
      <c r="AC153" s="271"/>
      <c r="AD153" s="271"/>
      <c r="AE153" s="271"/>
      <c r="AF153" s="271"/>
      <c r="AG153" s="271"/>
      <c r="AH153" s="271"/>
      <c r="AI153" s="271"/>
    </row>
    <row r="154" spans="21:35" ht="12.75">
      <c r="U154" s="271"/>
      <c r="V154" s="271"/>
      <c r="W154" s="271"/>
      <c r="X154" s="271"/>
      <c r="Y154" s="271"/>
      <c r="Z154" s="271"/>
      <c r="AA154" s="271"/>
      <c r="AB154" s="271"/>
      <c r="AC154" s="271"/>
      <c r="AD154" s="271"/>
      <c r="AE154" s="271"/>
      <c r="AF154" s="271"/>
      <c r="AG154" s="271"/>
      <c r="AH154" s="271"/>
      <c r="AI154" s="271"/>
    </row>
    <row r="155" spans="21:35" ht="12.75">
      <c r="U155" s="271"/>
      <c r="V155" s="271"/>
      <c r="W155" s="271"/>
      <c r="X155" s="271"/>
      <c r="Y155" s="271"/>
      <c r="Z155" s="271"/>
      <c r="AA155" s="271"/>
      <c r="AB155" s="271"/>
      <c r="AC155" s="271"/>
      <c r="AD155" s="271"/>
      <c r="AE155" s="271"/>
      <c r="AF155" s="271"/>
      <c r="AG155" s="271"/>
      <c r="AH155" s="271"/>
      <c r="AI155" s="271"/>
    </row>
    <row r="156" spans="21:35" ht="12.75">
      <c r="U156" s="271"/>
      <c r="V156" s="271"/>
      <c r="W156" s="271"/>
      <c r="X156" s="271"/>
      <c r="Y156" s="271"/>
      <c r="Z156" s="271"/>
      <c r="AA156" s="271"/>
      <c r="AB156" s="271"/>
      <c r="AC156" s="271"/>
      <c r="AD156" s="271"/>
      <c r="AE156" s="271"/>
      <c r="AF156" s="271"/>
      <c r="AG156" s="271"/>
      <c r="AH156" s="271"/>
      <c r="AI156" s="271"/>
    </row>
    <row r="157" spans="21:35" ht="12.75">
      <c r="U157" s="271"/>
      <c r="V157" s="271"/>
      <c r="W157" s="271"/>
      <c r="X157" s="271"/>
      <c r="Y157" s="271"/>
      <c r="Z157" s="271"/>
      <c r="AA157" s="271"/>
      <c r="AB157" s="271"/>
      <c r="AC157" s="271"/>
      <c r="AD157" s="271"/>
      <c r="AE157" s="271"/>
      <c r="AF157" s="271"/>
      <c r="AG157" s="271"/>
      <c r="AH157" s="271"/>
      <c r="AI157" s="271"/>
    </row>
    <row r="158" spans="21:35" ht="12.75">
      <c r="U158" s="271"/>
      <c r="V158" s="271"/>
      <c r="W158" s="271"/>
      <c r="X158" s="271"/>
      <c r="Y158" s="271"/>
      <c r="Z158" s="271"/>
      <c r="AA158" s="271"/>
      <c r="AB158" s="271"/>
      <c r="AC158" s="271"/>
      <c r="AD158" s="271"/>
      <c r="AE158" s="271"/>
      <c r="AF158" s="271"/>
      <c r="AG158" s="271"/>
      <c r="AH158" s="271"/>
      <c r="AI158" s="271"/>
    </row>
    <row r="159" spans="21:35" ht="12.75">
      <c r="U159" s="271"/>
      <c r="V159" s="271"/>
      <c r="W159" s="271"/>
      <c r="X159" s="271"/>
      <c r="Y159" s="271"/>
      <c r="Z159" s="271"/>
      <c r="AA159" s="271"/>
      <c r="AB159" s="271"/>
      <c r="AC159" s="271"/>
      <c r="AD159" s="271"/>
      <c r="AE159" s="271"/>
      <c r="AF159" s="271"/>
      <c r="AG159" s="271"/>
      <c r="AH159" s="271"/>
      <c r="AI159" s="271"/>
    </row>
    <row r="160" spans="21:35" ht="12.75">
      <c r="U160" s="271"/>
      <c r="V160" s="271"/>
      <c r="W160" s="271"/>
      <c r="X160" s="271"/>
      <c r="Y160" s="271"/>
      <c r="Z160" s="271"/>
      <c r="AA160" s="271"/>
      <c r="AB160" s="271"/>
      <c r="AC160" s="271"/>
      <c r="AD160" s="271"/>
      <c r="AE160" s="271"/>
      <c r="AF160" s="271"/>
      <c r="AG160" s="271"/>
      <c r="AH160" s="271"/>
      <c r="AI160" s="271"/>
    </row>
    <row r="161" spans="21:35" ht="12.75">
      <c r="U161" s="271"/>
      <c r="V161" s="271"/>
      <c r="W161" s="271"/>
      <c r="X161" s="271"/>
      <c r="Y161" s="271"/>
      <c r="Z161" s="271"/>
      <c r="AA161" s="271"/>
      <c r="AB161" s="271"/>
      <c r="AC161" s="271"/>
      <c r="AD161" s="271"/>
      <c r="AE161" s="271"/>
      <c r="AF161" s="271"/>
      <c r="AG161" s="271"/>
      <c r="AH161" s="271"/>
      <c r="AI161" s="271"/>
    </row>
    <row r="162" spans="21:35" ht="12.75">
      <c r="U162" s="271"/>
      <c r="V162" s="271"/>
      <c r="W162" s="271"/>
      <c r="X162" s="271"/>
      <c r="Y162" s="271"/>
      <c r="Z162" s="271"/>
      <c r="AA162" s="271"/>
      <c r="AB162" s="271"/>
      <c r="AC162" s="271"/>
      <c r="AD162" s="271"/>
      <c r="AE162" s="271"/>
      <c r="AF162" s="271"/>
      <c r="AG162" s="271"/>
      <c r="AH162" s="271"/>
      <c r="AI162" s="271"/>
    </row>
    <row r="163" spans="21:35" ht="12.75">
      <c r="U163" s="271"/>
      <c r="V163" s="271"/>
      <c r="W163" s="271"/>
      <c r="X163" s="271"/>
      <c r="Y163" s="271"/>
      <c r="Z163" s="271"/>
      <c r="AA163" s="271"/>
      <c r="AB163" s="271"/>
      <c r="AC163" s="271"/>
      <c r="AD163" s="271"/>
      <c r="AE163" s="271"/>
      <c r="AF163" s="271"/>
      <c r="AG163" s="271"/>
      <c r="AH163" s="271"/>
      <c r="AI163" s="271"/>
    </row>
    <row r="164" spans="21:35" ht="12.75">
      <c r="U164" s="271"/>
      <c r="V164" s="271"/>
      <c r="W164" s="271"/>
      <c r="X164" s="271"/>
      <c r="Y164" s="271"/>
      <c r="Z164" s="271"/>
      <c r="AA164" s="271"/>
      <c r="AB164" s="271"/>
      <c r="AC164" s="271"/>
      <c r="AD164" s="271"/>
      <c r="AE164" s="271"/>
      <c r="AF164" s="271"/>
      <c r="AG164" s="271"/>
      <c r="AH164" s="271"/>
      <c r="AI164" s="271"/>
    </row>
    <row r="165" spans="21:35" ht="12.75">
      <c r="U165" s="271"/>
      <c r="V165" s="271"/>
      <c r="W165" s="271"/>
      <c r="X165" s="271"/>
      <c r="Y165" s="271"/>
      <c r="Z165" s="271"/>
      <c r="AA165" s="271"/>
      <c r="AB165" s="271"/>
      <c r="AC165" s="271"/>
      <c r="AD165" s="271"/>
      <c r="AE165" s="271"/>
      <c r="AF165" s="271"/>
      <c r="AG165" s="271"/>
      <c r="AH165" s="271"/>
      <c r="AI165" s="271"/>
    </row>
    <row r="166" spans="21:35" ht="12.75">
      <c r="U166" s="271"/>
      <c r="V166" s="271"/>
      <c r="W166" s="271"/>
      <c r="X166" s="271"/>
      <c r="Y166" s="271"/>
      <c r="Z166" s="271"/>
      <c r="AA166" s="271"/>
      <c r="AB166" s="271"/>
      <c r="AC166" s="271"/>
      <c r="AD166" s="271"/>
      <c r="AE166" s="271"/>
      <c r="AF166" s="271"/>
      <c r="AG166" s="271"/>
      <c r="AH166" s="271"/>
      <c r="AI166" s="271"/>
    </row>
    <row r="167" spans="21:35" ht="12.75">
      <c r="U167" s="271"/>
      <c r="V167" s="271"/>
      <c r="W167" s="271"/>
      <c r="X167" s="271"/>
      <c r="Y167" s="271"/>
      <c r="Z167" s="271"/>
      <c r="AA167" s="271"/>
      <c r="AB167" s="271"/>
      <c r="AC167" s="271"/>
      <c r="AD167" s="271"/>
      <c r="AE167" s="271"/>
      <c r="AF167" s="271"/>
      <c r="AG167" s="271"/>
      <c r="AH167" s="271"/>
      <c r="AI167" s="271"/>
    </row>
    <row r="168" spans="21:35" ht="12.75">
      <c r="U168" s="271"/>
      <c r="V168" s="271"/>
      <c r="W168" s="271"/>
      <c r="X168" s="271"/>
      <c r="Y168" s="271"/>
      <c r="Z168" s="271"/>
      <c r="AA168" s="271"/>
      <c r="AB168" s="271"/>
      <c r="AC168" s="271"/>
      <c r="AD168" s="271"/>
      <c r="AE168" s="271"/>
      <c r="AF168" s="271"/>
      <c r="AG168" s="271"/>
      <c r="AH168" s="271"/>
      <c r="AI168" s="271"/>
    </row>
    <row r="169" spans="21:35" ht="12.75">
      <c r="U169" s="271"/>
      <c r="V169" s="271"/>
      <c r="W169" s="271"/>
      <c r="X169" s="271"/>
      <c r="Y169" s="271"/>
      <c r="Z169" s="271"/>
      <c r="AA169" s="271"/>
      <c r="AB169" s="271"/>
      <c r="AC169" s="271"/>
      <c r="AD169" s="271"/>
      <c r="AE169" s="271"/>
      <c r="AF169" s="271"/>
      <c r="AG169" s="271"/>
      <c r="AH169" s="271"/>
      <c r="AI169" s="271"/>
    </row>
    <row r="170" spans="21:35" ht="12.75">
      <c r="U170" s="271"/>
      <c r="V170" s="271"/>
      <c r="W170" s="271"/>
      <c r="X170" s="271"/>
      <c r="Y170" s="271"/>
      <c r="Z170" s="271"/>
      <c r="AA170" s="271"/>
      <c r="AB170" s="271"/>
      <c r="AC170" s="271"/>
      <c r="AD170" s="271"/>
      <c r="AE170" s="271"/>
      <c r="AF170" s="271"/>
      <c r="AG170" s="271"/>
      <c r="AH170" s="271"/>
      <c r="AI170" s="271"/>
    </row>
    <row r="171" spans="21:35" ht="12.75">
      <c r="U171" s="271"/>
      <c r="V171" s="271"/>
      <c r="W171" s="271"/>
      <c r="X171" s="271"/>
      <c r="Y171" s="271"/>
      <c r="Z171" s="271"/>
      <c r="AA171" s="271"/>
      <c r="AB171" s="271"/>
      <c r="AC171" s="271"/>
      <c r="AD171" s="271"/>
      <c r="AE171" s="271"/>
      <c r="AF171" s="271"/>
      <c r="AG171" s="271"/>
      <c r="AH171" s="271"/>
      <c r="AI171" s="271"/>
    </row>
    <row r="172" spans="21:35" ht="12.75">
      <c r="U172" s="271"/>
      <c r="V172" s="271"/>
      <c r="W172" s="271"/>
      <c r="X172" s="271"/>
      <c r="Y172" s="271"/>
      <c r="Z172" s="271"/>
      <c r="AA172" s="271"/>
      <c r="AB172" s="271"/>
      <c r="AC172" s="271"/>
      <c r="AD172" s="271"/>
      <c r="AE172" s="271"/>
      <c r="AF172" s="271"/>
      <c r="AG172" s="271"/>
      <c r="AH172" s="271"/>
      <c r="AI172" s="271"/>
    </row>
    <row r="173" spans="21:35" ht="12.75">
      <c r="U173" s="271"/>
      <c r="V173" s="271"/>
      <c r="W173" s="271"/>
      <c r="X173" s="271"/>
      <c r="Y173" s="271"/>
      <c r="Z173" s="271"/>
      <c r="AA173" s="271"/>
      <c r="AB173" s="271"/>
      <c r="AC173" s="271"/>
      <c r="AD173" s="271"/>
      <c r="AE173" s="271"/>
      <c r="AF173" s="271"/>
      <c r="AG173" s="271"/>
      <c r="AH173" s="271"/>
      <c r="AI173" s="271"/>
    </row>
    <row r="174" spans="21:35" ht="12.75">
      <c r="U174" s="271"/>
      <c r="V174" s="271"/>
      <c r="W174" s="271"/>
      <c r="X174" s="271"/>
      <c r="Y174" s="271"/>
      <c r="Z174" s="271"/>
      <c r="AA174" s="271"/>
      <c r="AB174" s="271"/>
      <c r="AC174" s="271"/>
      <c r="AD174" s="271"/>
      <c r="AE174" s="271"/>
      <c r="AF174" s="271"/>
      <c r="AG174" s="271"/>
      <c r="AH174" s="271"/>
      <c r="AI174" s="271"/>
    </row>
    <row r="175" spans="21:35" ht="12.75">
      <c r="U175" s="271"/>
      <c r="V175" s="271"/>
      <c r="W175" s="271"/>
      <c r="X175" s="271"/>
      <c r="Y175" s="271"/>
      <c r="Z175" s="271"/>
      <c r="AA175" s="271"/>
      <c r="AB175" s="271"/>
      <c r="AC175" s="271"/>
      <c r="AD175" s="271"/>
      <c r="AE175" s="271"/>
      <c r="AF175" s="271"/>
      <c r="AG175" s="271"/>
      <c r="AH175" s="271"/>
      <c r="AI175" s="271"/>
    </row>
    <row r="176" spans="21:35" ht="12.75">
      <c r="U176" s="271"/>
      <c r="V176" s="271"/>
      <c r="W176" s="271"/>
      <c r="X176" s="271"/>
      <c r="Y176" s="271"/>
      <c r="Z176" s="271"/>
      <c r="AA176" s="271"/>
      <c r="AB176" s="271"/>
      <c r="AC176" s="271"/>
      <c r="AD176" s="271"/>
      <c r="AE176" s="271"/>
      <c r="AF176" s="271"/>
      <c r="AG176" s="271"/>
      <c r="AH176" s="271"/>
      <c r="AI176" s="271"/>
    </row>
    <row r="177" spans="21:35" ht="12.75">
      <c r="U177" s="271"/>
      <c r="V177" s="271"/>
      <c r="W177" s="271"/>
      <c r="X177" s="271"/>
      <c r="Y177" s="271"/>
      <c r="Z177" s="271"/>
      <c r="AA177" s="271"/>
      <c r="AB177" s="271"/>
      <c r="AC177" s="271"/>
      <c r="AD177" s="271"/>
      <c r="AE177" s="271"/>
      <c r="AF177" s="271"/>
      <c r="AG177" s="271"/>
      <c r="AH177" s="271"/>
      <c r="AI177" s="271"/>
    </row>
    <row r="178" spans="21:35" ht="12.75">
      <c r="U178" s="271"/>
      <c r="V178" s="271"/>
      <c r="W178" s="271"/>
      <c r="X178" s="271"/>
      <c r="Y178" s="271"/>
      <c r="Z178" s="271"/>
      <c r="AA178" s="271"/>
      <c r="AB178" s="271"/>
      <c r="AC178" s="271"/>
      <c r="AD178" s="271"/>
      <c r="AE178" s="271"/>
      <c r="AF178" s="271"/>
      <c r="AG178" s="271"/>
      <c r="AH178" s="271"/>
      <c r="AI178" s="271"/>
    </row>
    <row r="179" spans="21:35" ht="12.75">
      <c r="U179" s="271"/>
      <c r="V179" s="271"/>
      <c r="W179" s="271"/>
      <c r="X179" s="271"/>
      <c r="Y179" s="271"/>
      <c r="Z179" s="271"/>
      <c r="AA179" s="271"/>
      <c r="AB179" s="271"/>
      <c r="AC179" s="271"/>
      <c r="AD179" s="271"/>
      <c r="AE179" s="271"/>
      <c r="AF179" s="271"/>
      <c r="AG179" s="271"/>
      <c r="AH179" s="271"/>
      <c r="AI179" s="271"/>
    </row>
    <row r="180" spans="21:35" ht="12.75">
      <c r="U180" s="271"/>
      <c r="V180" s="271"/>
      <c r="W180" s="271"/>
      <c r="X180" s="271"/>
      <c r="Y180" s="271"/>
      <c r="Z180" s="271"/>
      <c r="AA180" s="271"/>
      <c r="AB180" s="271"/>
      <c r="AC180" s="271"/>
      <c r="AD180" s="271"/>
      <c r="AE180" s="271"/>
      <c r="AF180" s="271"/>
      <c r="AG180" s="271"/>
      <c r="AH180" s="271"/>
      <c r="AI180" s="271"/>
    </row>
    <row r="181" spans="21:35" ht="12.75">
      <c r="U181" s="271"/>
      <c r="V181" s="271"/>
      <c r="W181" s="271"/>
      <c r="X181" s="271"/>
      <c r="Y181" s="271"/>
      <c r="Z181" s="271"/>
      <c r="AA181" s="271"/>
      <c r="AB181" s="271"/>
      <c r="AC181" s="271"/>
      <c r="AD181" s="271"/>
      <c r="AE181" s="271"/>
      <c r="AF181" s="271"/>
      <c r="AG181" s="271"/>
      <c r="AH181" s="271"/>
      <c r="AI181" s="271"/>
    </row>
    <row r="182" spans="21:35" ht="12.75">
      <c r="U182" s="271"/>
      <c r="V182" s="271"/>
      <c r="W182" s="271"/>
      <c r="X182" s="271"/>
      <c r="Y182" s="271"/>
      <c r="Z182" s="271"/>
      <c r="AA182" s="271"/>
      <c r="AB182" s="271"/>
      <c r="AC182" s="271"/>
      <c r="AD182" s="271"/>
      <c r="AE182" s="271"/>
      <c r="AF182" s="271"/>
      <c r="AG182" s="271"/>
      <c r="AH182" s="271"/>
      <c r="AI182" s="271"/>
    </row>
    <row r="183" spans="21:35" ht="12.75">
      <c r="U183" s="271"/>
      <c r="V183" s="271"/>
      <c r="W183" s="271"/>
      <c r="X183" s="271"/>
      <c r="Y183" s="271"/>
      <c r="Z183" s="271"/>
      <c r="AA183" s="271"/>
      <c r="AB183" s="271"/>
      <c r="AC183" s="271"/>
      <c r="AD183" s="271"/>
      <c r="AE183" s="271"/>
      <c r="AF183" s="271"/>
      <c r="AG183" s="271"/>
      <c r="AH183" s="271"/>
      <c r="AI183" s="271"/>
    </row>
    <row r="184" spans="21:35" ht="12.75">
      <c r="U184" s="271"/>
      <c r="V184" s="271"/>
      <c r="W184" s="271"/>
      <c r="X184" s="271"/>
      <c r="Y184" s="271"/>
      <c r="Z184" s="271"/>
      <c r="AA184" s="271"/>
      <c r="AB184" s="271"/>
      <c r="AC184" s="271"/>
      <c r="AD184" s="271"/>
      <c r="AE184" s="271"/>
      <c r="AF184" s="271"/>
      <c r="AG184" s="271"/>
      <c r="AH184" s="271"/>
      <c r="AI184" s="271"/>
    </row>
    <row r="185" spans="21:35" ht="12.75">
      <c r="U185" s="271"/>
      <c r="V185" s="271"/>
      <c r="W185" s="271"/>
      <c r="X185" s="271"/>
      <c r="Y185" s="271"/>
      <c r="Z185" s="271"/>
      <c r="AA185" s="271"/>
      <c r="AB185" s="271"/>
      <c r="AC185" s="271"/>
      <c r="AD185" s="271"/>
      <c r="AE185" s="271"/>
      <c r="AF185" s="271"/>
      <c r="AG185" s="271"/>
      <c r="AH185" s="271"/>
      <c r="AI185" s="271"/>
    </row>
    <row r="186" spans="21:35" ht="12.75">
      <c r="U186" s="271"/>
      <c r="V186" s="271"/>
      <c r="W186" s="271"/>
      <c r="X186" s="271"/>
      <c r="Y186" s="271"/>
      <c r="Z186" s="271"/>
      <c r="AA186" s="271"/>
      <c r="AB186" s="271"/>
      <c r="AC186" s="271"/>
      <c r="AD186" s="271"/>
      <c r="AE186" s="271"/>
      <c r="AF186" s="271"/>
      <c r="AG186" s="271"/>
      <c r="AH186" s="271"/>
      <c r="AI186" s="271"/>
    </row>
    <row r="187" spans="21:35" ht="12.75">
      <c r="U187" s="271"/>
      <c r="V187" s="271"/>
      <c r="W187" s="271"/>
      <c r="X187" s="271"/>
      <c r="Y187" s="271"/>
      <c r="Z187" s="271"/>
      <c r="AA187" s="271"/>
      <c r="AB187" s="271"/>
      <c r="AC187" s="271"/>
      <c r="AD187" s="271"/>
      <c r="AE187" s="271"/>
      <c r="AF187" s="271"/>
      <c r="AG187" s="271"/>
      <c r="AH187" s="271"/>
      <c r="AI187" s="271"/>
    </row>
    <row r="188" spans="21:35" ht="12.75">
      <c r="U188" s="271"/>
      <c r="V188" s="271"/>
      <c r="W188" s="271"/>
      <c r="X188" s="271"/>
      <c r="Y188" s="271"/>
      <c r="Z188" s="271"/>
      <c r="AA188" s="271"/>
      <c r="AB188" s="271"/>
      <c r="AC188" s="271"/>
      <c r="AD188" s="271"/>
      <c r="AE188" s="271"/>
      <c r="AF188" s="271"/>
      <c r="AG188" s="271"/>
      <c r="AH188" s="271"/>
      <c r="AI188" s="271"/>
    </row>
    <row r="189" spans="21:35" ht="12.75">
      <c r="U189" s="271"/>
      <c r="V189" s="271"/>
      <c r="W189" s="271"/>
      <c r="X189" s="271"/>
      <c r="Y189" s="271"/>
      <c r="Z189" s="271"/>
      <c r="AA189" s="271"/>
      <c r="AB189" s="271"/>
      <c r="AC189" s="271"/>
      <c r="AD189" s="271"/>
      <c r="AE189" s="271"/>
      <c r="AF189" s="271"/>
      <c r="AG189" s="271"/>
      <c r="AH189" s="271"/>
      <c r="AI189" s="271"/>
    </row>
    <row r="190" spans="21:35" ht="12.75">
      <c r="U190" s="271"/>
      <c r="V190" s="271"/>
      <c r="W190" s="271"/>
      <c r="X190" s="271"/>
      <c r="Y190" s="271"/>
      <c r="Z190" s="271"/>
      <c r="AA190" s="271"/>
      <c r="AB190" s="271"/>
      <c r="AC190" s="271"/>
      <c r="AD190" s="271"/>
      <c r="AE190" s="271"/>
      <c r="AF190" s="271"/>
      <c r="AG190" s="271"/>
      <c r="AH190" s="271"/>
      <c r="AI190" s="271"/>
    </row>
    <row r="191" spans="21:35" ht="12.75">
      <c r="U191" s="271"/>
      <c r="V191" s="271"/>
      <c r="W191" s="271"/>
      <c r="X191" s="271"/>
      <c r="Y191" s="271"/>
      <c r="Z191" s="271"/>
      <c r="AA191" s="271"/>
      <c r="AB191" s="271"/>
      <c r="AC191" s="271"/>
      <c r="AD191" s="271"/>
      <c r="AE191" s="271"/>
      <c r="AF191" s="271"/>
      <c r="AG191" s="271"/>
      <c r="AH191" s="271"/>
      <c r="AI191" s="271"/>
    </row>
    <row r="192" spans="21:35" ht="12.75">
      <c r="U192" s="271"/>
      <c r="V192" s="271"/>
      <c r="W192" s="271"/>
      <c r="X192" s="271"/>
      <c r="Y192" s="271"/>
      <c r="Z192" s="271"/>
      <c r="AA192" s="271"/>
      <c r="AB192" s="271"/>
      <c r="AC192" s="271"/>
      <c r="AD192" s="271"/>
      <c r="AE192" s="271"/>
      <c r="AF192" s="271"/>
      <c r="AG192" s="271"/>
      <c r="AH192" s="271"/>
      <c r="AI192" s="271"/>
    </row>
    <row r="193" spans="21:35" ht="12.75">
      <c r="U193" s="271"/>
      <c r="V193" s="271"/>
      <c r="W193" s="271"/>
      <c r="X193" s="271"/>
      <c r="Y193" s="271"/>
      <c r="Z193" s="271"/>
      <c r="AA193" s="271"/>
      <c r="AB193" s="271"/>
      <c r="AC193" s="271"/>
      <c r="AD193" s="271"/>
      <c r="AE193" s="271"/>
      <c r="AF193" s="271"/>
      <c r="AG193" s="271"/>
      <c r="AH193" s="271"/>
      <c r="AI193" s="271"/>
    </row>
    <row r="194" spans="21:35" ht="12.75">
      <c r="U194" s="271"/>
      <c r="V194" s="271"/>
      <c r="W194" s="271"/>
      <c r="X194" s="271"/>
      <c r="Y194" s="271"/>
      <c r="Z194" s="271"/>
      <c r="AA194" s="271"/>
      <c r="AB194" s="271"/>
      <c r="AC194" s="271"/>
      <c r="AD194" s="271"/>
      <c r="AE194" s="271"/>
      <c r="AF194" s="271"/>
      <c r="AG194" s="271"/>
      <c r="AH194" s="271"/>
      <c r="AI194" s="271"/>
    </row>
    <row r="195" spans="21:35" ht="12.75">
      <c r="U195" s="271"/>
      <c r="V195" s="271"/>
      <c r="W195" s="271"/>
      <c r="X195" s="271"/>
      <c r="Y195" s="271"/>
      <c r="Z195" s="271"/>
      <c r="AA195" s="271"/>
      <c r="AB195" s="271"/>
      <c r="AC195" s="271"/>
      <c r="AD195" s="271"/>
      <c r="AE195" s="271"/>
      <c r="AF195" s="271"/>
      <c r="AG195" s="271"/>
      <c r="AH195" s="271"/>
      <c r="AI195" s="271"/>
    </row>
    <row r="196" spans="21:35" ht="12.75">
      <c r="U196" s="271"/>
      <c r="V196" s="271"/>
      <c r="W196" s="271"/>
      <c r="X196" s="271"/>
      <c r="Y196" s="271"/>
      <c r="Z196" s="271"/>
      <c r="AA196" s="271"/>
      <c r="AB196" s="271"/>
      <c r="AC196" s="271"/>
      <c r="AD196" s="271"/>
      <c r="AE196" s="271"/>
      <c r="AF196" s="271"/>
      <c r="AG196" s="271"/>
      <c r="AH196" s="271"/>
      <c r="AI196" s="271"/>
    </row>
    <row r="197" spans="21:35" ht="12.75">
      <c r="U197" s="271"/>
      <c r="V197" s="271"/>
      <c r="W197" s="271"/>
      <c r="X197" s="271"/>
      <c r="Y197" s="271"/>
      <c r="Z197" s="271"/>
      <c r="AA197" s="271"/>
      <c r="AB197" s="271"/>
      <c r="AC197" s="271"/>
      <c r="AD197" s="271"/>
      <c r="AE197" s="271"/>
      <c r="AF197" s="271"/>
      <c r="AG197" s="271"/>
      <c r="AH197" s="271"/>
      <c r="AI197" s="271"/>
    </row>
    <row r="198" spans="21:35" ht="12.75">
      <c r="U198" s="271"/>
      <c r="V198" s="271"/>
      <c r="W198" s="271"/>
      <c r="X198" s="271"/>
      <c r="Y198" s="271"/>
      <c r="Z198" s="271"/>
      <c r="AA198" s="271"/>
      <c r="AB198" s="271"/>
      <c r="AC198" s="271"/>
      <c r="AD198" s="271"/>
      <c r="AE198" s="271"/>
      <c r="AF198" s="271"/>
      <c r="AG198" s="271"/>
      <c r="AH198" s="271"/>
      <c r="AI198" s="271"/>
    </row>
    <row r="199" spans="21:35" ht="12.75">
      <c r="U199" s="271"/>
      <c r="V199" s="271"/>
      <c r="W199" s="271"/>
      <c r="X199" s="271"/>
      <c r="Y199" s="271"/>
      <c r="Z199" s="271"/>
      <c r="AA199" s="271"/>
      <c r="AB199" s="271"/>
      <c r="AC199" s="271"/>
      <c r="AD199" s="271"/>
      <c r="AE199" s="271"/>
      <c r="AF199" s="271"/>
      <c r="AG199" s="271"/>
      <c r="AH199" s="271"/>
      <c r="AI199" s="271"/>
    </row>
    <row r="200" spans="21:35" ht="12.75">
      <c r="U200" s="271"/>
      <c r="V200" s="271"/>
      <c r="W200" s="271"/>
      <c r="X200" s="271"/>
      <c r="Y200" s="271"/>
      <c r="Z200" s="271"/>
      <c r="AA200" s="271"/>
      <c r="AB200" s="271"/>
      <c r="AC200" s="271"/>
      <c r="AD200" s="271"/>
      <c r="AE200" s="271"/>
      <c r="AF200" s="271"/>
      <c r="AG200" s="271"/>
      <c r="AH200" s="271"/>
      <c r="AI200" s="271"/>
    </row>
    <row r="201" spans="21:35" ht="12.75">
      <c r="U201" s="271"/>
      <c r="V201" s="271"/>
      <c r="W201" s="271"/>
      <c r="X201" s="271"/>
      <c r="Y201" s="271"/>
      <c r="Z201" s="271"/>
      <c r="AA201" s="271"/>
      <c r="AB201" s="271"/>
      <c r="AC201" s="271"/>
      <c r="AD201" s="271"/>
      <c r="AE201" s="271"/>
      <c r="AF201" s="271"/>
      <c r="AG201" s="271"/>
      <c r="AH201" s="271"/>
      <c r="AI201" s="271"/>
    </row>
    <row r="202" spans="21:35" ht="12.75">
      <c r="U202" s="271"/>
      <c r="V202" s="271"/>
      <c r="W202" s="271"/>
      <c r="X202" s="271"/>
      <c r="Y202" s="271"/>
      <c r="Z202" s="271"/>
      <c r="AA202" s="271"/>
      <c r="AB202" s="271"/>
      <c r="AC202" s="271"/>
      <c r="AD202" s="271"/>
      <c r="AE202" s="271"/>
      <c r="AF202" s="271"/>
      <c r="AG202" s="271"/>
      <c r="AH202" s="271"/>
      <c r="AI202" s="271"/>
    </row>
    <row r="203" spans="21:35" ht="12.75">
      <c r="U203" s="271"/>
      <c r="V203" s="271"/>
      <c r="W203" s="271"/>
      <c r="X203" s="271"/>
      <c r="Y203" s="271"/>
      <c r="Z203" s="271"/>
      <c r="AA203" s="271"/>
      <c r="AB203" s="271"/>
      <c r="AC203" s="271"/>
      <c r="AD203" s="271"/>
      <c r="AE203" s="271"/>
      <c r="AF203" s="271"/>
      <c r="AG203" s="271"/>
      <c r="AH203" s="271"/>
      <c r="AI203" s="271"/>
    </row>
    <row r="204" spans="21:35" ht="12.75">
      <c r="U204" s="271"/>
      <c r="V204" s="271"/>
      <c r="W204" s="271"/>
      <c r="X204" s="271"/>
      <c r="Y204" s="271"/>
      <c r="Z204" s="271"/>
      <c r="AA204" s="271"/>
      <c r="AB204" s="271"/>
      <c r="AC204" s="271"/>
      <c r="AD204" s="271"/>
      <c r="AE204" s="271"/>
      <c r="AF204" s="271"/>
      <c r="AG204" s="271"/>
      <c r="AH204" s="271"/>
      <c r="AI204" s="271"/>
    </row>
    <row r="205" spans="21:35" ht="12.75">
      <c r="U205" s="271"/>
      <c r="V205" s="271"/>
      <c r="W205" s="271"/>
      <c r="X205" s="271"/>
      <c r="Y205" s="271"/>
      <c r="Z205" s="271"/>
      <c r="AA205" s="271"/>
      <c r="AB205" s="271"/>
      <c r="AC205" s="271"/>
      <c r="AD205" s="271"/>
      <c r="AE205" s="271"/>
      <c r="AF205" s="271"/>
      <c r="AG205" s="271"/>
      <c r="AH205" s="271"/>
      <c r="AI205" s="271"/>
    </row>
    <row r="206" spans="21:35" ht="12.75">
      <c r="U206" s="271"/>
      <c r="V206" s="271"/>
      <c r="W206" s="271"/>
      <c r="X206" s="271"/>
      <c r="Y206" s="271"/>
      <c r="Z206" s="271"/>
      <c r="AA206" s="271"/>
      <c r="AB206" s="271"/>
      <c r="AC206" s="271"/>
      <c r="AD206" s="271"/>
      <c r="AE206" s="271"/>
      <c r="AF206" s="271"/>
      <c r="AG206" s="271"/>
      <c r="AH206" s="271"/>
      <c r="AI206" s="271"/>
    </row>
    <row r="207" spans="21:35" ht="12.75">
      <c r="U207" s="271"/>
      <c r="V207" s="271"/>
      <c r="W207" s="271"/>
      <c r="X207" s="271"/>
      <c r="Y207" s="271"/>
      <c r="Z207" s="271"/>
      <c r="AA207" s="271"/>
      <c r="AB207" s="271"/>
      <c r="AC207" s="271"/>
      <c r="AD207" s="271"/>
      <c r="AE207" s="271"/>
      <c r="AF207" s="271"/>
      <c r="AG207" s="271"/>
      <c r="AH207" s="271"/>
      <c r="AI207" s="271"/>
    </row>
    <row r="208" spans="21:35" ht="12.75">
      <c r="U208" s="271"/>
      <c r="V208" s="271"/>
      <c r="W208" s="271"/>
      <c r="X208" s="271"/>
      <c r="Y208" s="271"/>
      <c r="Z208" s="271"/>
      <c r="AA208" s="271"/>
      <c r="AB208" s="271"/>
      <c r="AC208" s="271"/>
      <c r="AD208" s="271"/>
      <c r="AE208" s="271"/>
      <c r="AF208" s="271"/>
      <c r="AG208" s="271"/>
      <c r="AH208" s="271"/>
      <c r="AI208" s="271"/>
    </row>
    <row r="209" spans="21:35" ht="12.75">
      <c r="U209" s="271"/>
      <c r="V209" s="271"/>
      <c r="W209" s="271"/>
      <c r="X209" s="271"/>
      <c r="Y209" s="271"/>
      <c r="Z209" s="271"/>
      <c r="AA209" s="271"/>
      <c r="AB209" s="271"/>
      <c r="AC209" s="271"/>
      <c r="AD209" s="271"/>
      <c r="AE209" s="271"/>
      <c r="AF209" s="271"/>
      <c r="AG209" s="271"/>
      <c r="AH209" s="271"/>
      <c r="AI209" s="271"/>
    </row>
    <row r="210" spans="21:35" ht="12.75">
      <c r="U210" s="271"/>
      <c r="V210" s="271"/>
      <c r="W210" s="271"/>
      <c r="X210" s="271"/>
      <c r="Y210" s="271"/>
      <c r="Z210" s="271"/>
      <c r="AA210" s="271"/>
      <c r="AB210" s="271"/>
      <c r="AC210" s="271"/>
      <c r="AD210" s="271"/>
      <c r="AE210" s="271"/>
      <c r="AF210" s="271"/>
      <c r="AG210" s="271"/>
      <c r="AH210" s="271"/>
      <c r="AI210" s="271"/>
    </row>
    <row r="211" spans="21:35" ht="12.75">
      <c r="U211" s="271"/>
      <c r="V211" s="271"/>
      <c r="W211" s="271"/>
      <c r="X211" s="271"/>
      <c r="Y211" s="271"/>
      <c r="Z211" s="271"/>
      <c r="AA211" s="271"/>
      <c r="AB211" s="271"/>
      <c r="AC211" s="271"/>
      <c r="AD211" s="271"/>
      <c r="AE211" s="271"/>
      <c r="AF211" s="271"/>
      <c r="AG211" s="271"/>
      <c r="AH211" s="271"/>
      <c r="AI211" s="271"/>
    </row>
    <row r="212" spans="21:35" ht="12.75">
      <c r="U212" s="271"/>
      <c r="V212" s="271"/>
      <c r="W212" s="271"/>
      <c r="X212" s="271"/>
      <c r="Y212" s="271"/>
      <c r="Z212" s="271"/>
      <c r="AA212" s="271"/>
      <c r="AB212" s="271"/>
      <c r="AC212" s="271"/>
      <c r="AD212" s="271"/>
      <c r="AE212" s="271"/>
      <c r="AF212" s="271"/>
      <c r="AG212" s="271"/>
      <c r="AH212" s="271"/>
      <c r="AI212" s="271"/>
    </row>
    <row r="213" spans="21:35" ht="12.75">
      <c r="U213" s="271"/>
      <c r="V213" s="271"/>
      <c r="W213" s="271"/>
      <c r="X213" s="271"/>
      <c r="Y213" s="271"/>
      <c r="Z213" s="271"/>
      <c r="AA213" s="271"/>
      <c r="AB213" s="271"/>
      <c r="AC213" s="271"/>
      <c r="AD213" s="271"/>
      <c r="AE213" s="271"/>
      <c r="AF213" s="271"/>
      <c r="AG213" s="271"/>
      <c r="AH213" s="271"/>
      <c r="AI213" s="271"/>
    </row>
    <row r="214" spans="21:35" ht="12.75">
      <c r="U214" s="271"/>
      <c r="V214" s="271"/>
      <c r="W214" s="271"/>
      <c r="X214" s="271"/>
      <c r="Y214" s="271"/>
      <c r="Z214" s="271"/>
      <c r="AA214" s="271"/>
      <c r="AB214" s="271"/>
      <c r="AC214" s="271"/>
      <c r="AD214" s="271"/>
      <c r="AE214" s="271"/>
      <c r="AF214" s="271"/>
      <c r="AG214" s="271"/>
      <c r="AH214" s="271"/>
      <c r="AI214" s="271"/>
    </row>
    <row r="215" spans="21:35" ht="12.75">
      <c r="U215" s="271"/>
      <c r="V215" s="271"/>
      <c r="W215" s="271"/>
      <c r="X215" s="271"/>
      <c r="Y215" s="271"/>
      <c r="Z215" s="271"/>
      <c r="AA215" s="271"/>
      <c r="AB215" s="271"/>
      <c r="AC215" s="271"/>
      <c r="AD215" s="271"/>
      <c r="AE215" s="271"/>
      <c r="AF215" s="271"/>
      <c r="AG215" s="271"/>
      <c r="AH215" s="271"/>
      <c r="AI215" s="271"/>
    </row>
    <row r="216" spans="21:35" ht="12.75">
      <c r="U216" s="271"/>
      <c r="V216" s="271"/>
      <c r="W216" s="271"/>
      <c r="X216" s="271"/>
      <c r="Y216" s="271"/>
      <c r="Z216" s="271"/>
      <c r="AA216" s="271"/>
      <c r="AB216" s="271"/>
      <c r="AC216" s="271"/>
      <c r="AD216" s="271"/>
      <c r="AE216" s="271"/>
      <c r="AF216" s="271"/>
      <c r="AG216" s="271"/>
      <c r="AH216" s="271"/>
      <c r="AI216" s="271"/>
    </row>
    <row r="217" spans="21:35" ht="12.75">
      <c r="U217" s="271"/>
      <c r="V217" s="271"/>
      <c r="W217" s="271"/>
      <c r="X217" s="271"/>
      <c r="Y217" s="271"/>
      <c r="Z217" s="271"/>
      <c r="AA217" s="271"/>
      <c r="AB217" s="271"/>
      <c r="AC217" s="271"/>
      <c r="AD217" s="271"/>
      <c r="AE217" s="271"/>
      <c r="AF217" s="271"/>
      <c r="AG217" s="271"/>
      <c r="AH217" s="271"/>
      <c r="AI217" s="271"/>
    </row>
    <row r="218" spans="21:35" ht="12.75">
      <c r="U218" s="271"/>
      <c r="V218" s="271"/>
      <c r="W218" s="271"/>
      <c r="X218" s="271"/>
      <c r="Y218" s="271"/>
      <c r="Z218" s="271"/>
      <c r="AA218" s="271"/>
      <c r="AB218" s="271"/>
      <c r="AC218" s="271"/>
      <c r="AD218" s="271"/>
      <c r="AE218" s="271"/>
      <c r="AF218" s="271"/>
      <c r="AG218" s="271"/>
      <c r="AH218" s="271"/>
      <c r="AI218" s="271"/>
    </row>
    <row r="219" spans="21:35" ht="12.75">
      <c r="U219" s="271"/>
      <c r="V219" s="271"/>
      <c r="W219" s="271"/>
      <c r="X219" s="271"/>
      <c r="Y219" s="271"/>
      <c r="Z219" s="271"/>
      <c r="AA219" s="271"/>
      <c r="AB219" s="271"/>
      <c r="AC219" s="271"/>
      <c r="AD219" s="271"/>
      <c r="AE219" s="271"/>
      <c r="AF219" s="271"/>
      <c r="AG219" s="271"/>
      <c r="AH219" s="271"/>
      <c r="AI219" s="271"/>
    </row>
    <row r="220" spans="21:35" ht="12.75">
      <c r="U220" s="271"/>
      <c r="V220" s="271"/>
      <c r="W220" s="271"/>
      <c r="X220" s="271"/>
      <c r="Y220" s="271"/>
      <c r="Z220" s="271"/>
      <c r="AA220" s="271"/>
      <c r="AB220" s="271"/>
      <c r="AC220" s="271"/>
      <c r="AD220" s="271"/>
      <c r="AE220" s="271"/>
      <c r="AF220" s="271"/>
      <c r="AG220" s="271"/>
      <c r="AH220" s="271"/>
      <c r="AI220" s="271"/>
    </row>
    <row r="221" spans="21:35" ht="12.75">
      <c r="U221" s="271"/>
      <c r="V221" s="271"/>
      <c r="W221" s="271"/>
      <c r="X221" s="271"/>
      <c r="Y221" s="271"/>
      <c r="Z221" s="271"/>
      <c r="AA221" s="271"/>
      <c r="AB221" s="271"/>
      <c r="AC221" s="271"/>
      <c r="AD221" s="271"/>
      <c r="AE221" s="271"/>
      <c r="AF221" s="271"/>
      <c r="AG221" s="271"/>
      <c r="AH221" s="271"/>
      <c r="AI221" s="271"/>
    </row>
    <row r="222" spans="21:35" ht="12.75">
      <c r="U222" s="271"/>
      <c r="V222" s="271"/>
      <c r="W222" s="271"/>
      <c r="X222" s="271"/>
      <c r="Y222" s="271"/>
      <c r="Z222" s="271"/>
      <c r="AA222" s="271"/>
      <c r="AB222" s="271"/>
      <c r="AC222" s="271"/>
      <c r="AD222" s="271"/>
      <c r="AE222" s="271"/>
      <c r="AF222" s="271"/>
      <c r="AG222" s="271"/>
      <c r="AH222" s="271"/>
      <c r="AI222" s="271"/>
    </row>
    <row r="223" spans="21:35" ht="12.75">
      <c r="U223" s="271"/>
      <c r="V223" s="271"/>
      <c r="W223" s="271"/>
      <c r="X223" s="271"/>
      <c r="Y223" s="271"/>
      <c r="Z223" s="271"/>
      <c r="AA223" s="271"/>
      <c r="AB223" s="271"/>
      <c r="AC223" s="271"/>
      <c r="AD223" s="271"/>
      <c r="AE223" s="271"/>
      <c r="AF223" s="271"/>
      <c r="AG223" s="271"/>
      <c r="AH223" s="271"/>
      <c r="AI223" s="271"/>
    </row>
    <row r="224" spans="21:35" ht="12.75">
      <c r="U224" s="271"/>
      <c r="V224" s="271"/>
      <c r="W224" s="271"/>
      <c r="X224" s="271"/>
      <c r="Y224" s="271"/>
      <c r="Z224" s="271"/>
      <c r="AA224" s="271"/>
      <c r="AB224" s="271"/>
      <c r="AC224" s="271"/>
      <c r="AD224" s="271"/>
      <c r="AE224" s="271"/>
      <c r="AF224" s="271"/>
      <c r="AG224" s="271"/>
      <c r="AH224" s="271"/>
      <c r="AI224" s="271"/>
    </row>
    <row r="225" spans="21:35" ht="12.75">
      <c r="U225" s="271"/>
      <c r="V225" s="271"/>
      <c r="W225" s="271"/>
      <c r="X225" s="271"/>
      <c r="Y225" s="271"/>
      <c r="Z225" s="271"/>
      <c r="AA225" s="271"/>
      <c r="AB225" s="271"/>
      <c r="AC225" s="271"/>
      <c r="AD225" s="271"/>
      <c r="AE225" s="271"/>
      <c r="AF225" s="271"/>
      <c r="AG225" s="271"/>
      <c r="AH225" s="271"/>
      <c r="AI225" s="271"/>
    </row>
    <row r="226" spans="21:35" ht="12.75">
      <c r="U226" s="271"/>
      <c r="V226" s="271"/>
      <c r="W226" s="271"/>
      <c r="X226" s="271"/>
      <c r="Y226" s="271"/>
      <c r="Z226" s="271"/>
      <c r="AA226" s="271"/>
      <c r="AB226" s="271"/>
      <c r="AC226" s="271"/>
      <c r="AD226" s="271"/>
      <c r="AE226" s="271"/>
      <c r="AF226" s="271"/>
      <c r="AG226" s="271"/>
      <c r="AH226" s="271"/>
      <c r="AI226" s="271"/>
    </row>
    <row r="227" spans="21:35" ht="12.75">
      <c r="U227" s="271"/>
      <c r="V227" s="271"/>
      <c r="W227" s="271"/>
      <c r="X227" s="271"/>
      <c r="Y227" s="271"/>
      <c r="Z227" s="271"/>
      <c r="AA227" s="271"/>
      <c r="AB227" s="271"/>
      <c r="AC227" s="271"/>
      <c r="AD227" s="271"/>
      <c r="AE227" s="271"/>
      <c r="AF227" s="271"/>
      <c r="AG227" s="271"/>
      <c r="AH227" s="271"/>
      <c r="AI227" s="271"/>
    </row>
    <row r="228" spans="21:35" ht="12.75">
      <c r="U228" s="271"/>
      <c r="V228" s="271"/>
      <c r="W228" s="271"/>
      <c r="X228" s="271"/>
      <c r="Y228" s="271"/>
      <c r="Z228" s="271"/>
      <c r="AA228" s="271"/>
      <c r="AB228" s="271"/>
      <c r="AC228" s="271"/>
      <c r="AD228" s="271"/>
      <c r="AE228" s="271"/>
      <c r="AF228" s="271"/>
      <c r="AG228" s="271"/>
      <c r="AH228" s="271"/>
      <c r="AI228" s="271"/>
    </row>
    <row r="229" spans="21:35" ht="12.75">
      <c r="U229" s="271"/>
      <c r="V229" s="271"/>
      <c r="W229" s="271"/>
      <c r="X229" s="271"/>
      <c r="Y229" s="271"/>
      <c r="Z229" s="271"/>
      <c r="AA229" s="271"/>
      <c r="AB229" s="271"/>
      <c r="AC229" s="271"/>
      <c r="AD229" s="271"/>
      <c r="AE229" s="271"/>
      <c r="AF229" s="271"/>
      <c r="AG229" s="271"/>
      <c r="AH229" s="271"/>
      <c r="AI229" s="271"/>
    </row>
    <row r="230" spans="21:35" ht="12.75">
      <c r="U230" s="271"/>
      <c r="V230" s="271"/>
      <c r="W230" s="271"/>
      <c r="X230" s="271"/>
      <c r="Y230" s="271"/>
      <c r="Z230" s="271"/>
      <c r="AA230" s="271"/>
      <c r="AB230" s="271"/>
      <c r="AC230" s="271"/>
      <c r="AD230" s="271"/>
      <c r="AE230" s="271"/>
      <c r="AF230" s="271"/>
      <c r="AG230" s="271"/>
      <c r="AH230" s="271"/>
      <c r="AI230" s="271"/>
    </row>
    <row r="231" spans="21:35" ht="12.75">
      <c r="U231" s="271"/>
      <c r="V231" s="271"/>
      <c r="W231" s="271"/>
      <c r="X231" s="271"/>
      <c r="Y231" s="271"/>
      <c r="Z231" s="271"/>
      <c r="AA231" s="271"/>
      <c r="AB231" s="271"/>
      <c r="AC231" s="271"/>
      <c r="AD231" s="271"/>
      <c r="AE231" s="271"/>
      <c r="AF231" s="271"/>
      <c r="AG231" s="271"/>
      <c r="AH231" s="271"/>
      <c r="AI231" s="271"/>
    </row>
    <row r="232" spans="21:35" ht="12.75">
      <c r="U232" s="271"/>
      <c r="V232" s="271"/>
      <c r="W232" s="271"/>
      <c r="X232" s="271"/>
      <c r="Y232" s="271"/>
      <c r="Z232" s="271"/>
      <c r="AA232" s="271"/>
      <c r="AB232" s="271"/>
      <c r="AC232" s="271"/>
      <c r="AD232" s="271"/>
      <c r="AE232" s="271"/>
      <c r="AF232" s="271"/>
      <c r="AG232" s="271"/>
      <c r="AH232" s="271"/>
      <c r="AI232" s="271"/>
    </row>
    <row r="233" spans="21:35" ht="12.75">
      <c r="U233" s="271"/>
      <c r="V233" s="271"/>
      <c r="W233" s="271"/>
      <c r="X233" s="271"/>
      <c r="Y233" s="271"/>
      <c r="Z233" s="271"/>
      <c r="AA233" s="271"/>
      <c r="AB233" s="271"/>
      <c r="AC233" s="271"/>
      <c r="AD233" s="271"/>
      <c r="AE233" s="271"/>
      <c r="AF233" s="271"/>
      <c r="AG233" s="271"/>
      <c r="AH233" s="271"/>
      <c r="AI233" s="271"/>
    </row>
    <row r="234" spans="21:35" ht="12.75">
      <c r="U234" s="271"/>
      <c r="V234" s="271"/>
      <c r="W234" s="271"/>
      <c r="X234" s="271"/>
      <c r="Y234" s="271"/>
      <c r="Z234" s="271"/>
      <c r="AA234" s="271"/>
      <c r="AB234" s="271"/>
      <c r="AC234" s="271"/>
      <c r="AD234" s="271"/>
      <c r="AE234" s="271"/>
      <c r="AF234" s="271"/>
      <c r="AG234" s="271"/>
      <c r="AH234" s="271"/>
      <c r="AI234" s="271"/>
    </row>
    <row r="235" spans="21:35" ht="12.75">
      <c r="U235" s="271"/>
      <c r="V235" s="271"/>
      <c r="W235" s="271"/>
      <c r="X235" s="271"/>
      <c r="Y235" s="271"/>
      <c r="Z235" s="271"/>
      <c r="AA235" s="271"/>
      <c r="AB235" s="271"/>
      <c r="AC235" s="271"/>
      <c r="AD235" s="271"/>
      <c r="AE235" s="271"/>
      <c r="AF235" s="271"/>
      <c r="AG235" s="271"/>
      <c r="AH235" s="271"/>
      <c r="AI235" s="271"/>
    </row>
    <row r="236" spans="21:35" ht="12.75">
      <c r="U236" s="271"/>
      <c r="V236" s="271"/>
      <c r="W236" s="271"/>
      <c r="X236" s="271"/>
      <c r="Y236" s="271"/>
      <c r="Z236" s="271"/>
      <c r="AA236" s="271"/>
      <c r="AB236" s="271"/>
      <c r="AC236" s="271"/>
      <c r="AD236" s="271"/>
      <c r="AE236" s="271"/>
      <c r="AF236" s="271"/>
      <c r="AG236" s="271"/>
      <c r="AH236" s="271"/>
      <c r="AI236" s="271"/>
    </row>
    <row r="237" spans="21:35" ht="12.75">
      <c r="U237" s="271"/>
      <c r="V237" s="271"/>
      <c r="W237" s="271"/>
      <c r="X237" s="271"/>
      <c r="Y237" s="271"/>
      <c r="Z237" s="271"/>
      <c r="AA237" s="271"/>
      <c r="AB237" s="271"/>
      <c r="AC237" s="271"/>
      <c r="AD237" s="271"/>
      <c r="AE237" s="271"/>
      <c r="AF237" s="271"/>
      <c r="AG237" s="271"/>
      <c r="AH237" s="271"/>
      <c r="AI237" s="271"/>
    </row>
    <row r="238" spans="21:35" ht="12.75">
      <c r="U238" s="271"/>
      <c r="V238" s="271"/>
      <c r="W238" s="271"/>
      <c r="X238" s="271"/>
      <c r="Y238" s="271"/>
      <c r="Z238" s="271"/>
      <c r="AA238" s="271"/>
      <c r="AB238" s="271"/>
      <c r="AC238" s="271"/>
      <c r="AD238" s="271"/>
      <c r="AE238" s="271"/>
      <c r="AF238" s="271"/>
      <c r="AG238" s="271"/>
      <c r="AH238" s="271"/>
      <c r="AI238" s="271"/>
    </row>
    <row r="239" spans="21:35" ht="12.75">
      <c r="U239" s="271"/>
      <c r="V239" s="271"/>
      <c r="W239" s="271"/>
      <c r="X239" s="271"/>
      <c r="Y239" s="271"/>
      <c r="Z239" s="271"/>
      <c r="AA239" s="271"/>
      <c r="AB239" s="271"/>
      <c r="AC239" s="271"/>
      <c r="AD239" s="271"/>
      <c r="AE239" s="271"/>
      <c r="AF239" s="271"/>
      <c r="AG239" s="271"/>
      <c r="AH239" s="271"/>
      <c r="AI239" s="271"/>
    </row>
    <row r="240" spans="21:35" ht="12.75">
      <c r="U240" s="271"/>
      <c r="V240" s="271"/>
      <c r="W240" s="271"/>
      <c r="X240" s="271"/>
      <c r="Y240" s="271"/>
      <c r="Z240" s="271"/>
      <c r="AA240" s="271"/>
      <c r="AB240" s="271"/>
      <c r="AC240" s="271"/>
      <c r="AD240" s="271"/>
      <c r="AE240" s="271"/>
      <c r="AF240" s="271"/>
      <c r="AG240" s="271"/>
      <c r="AH240" s="271"/>
      <c r="AI240" s="271"/>
    </row>
    <row r="241" spans="21:35" ht="12.75">
      <c r="U241" s="271"/>
      <c r="V241" s="271"/>
      <c r="W241" s="271"/>
      <c r="X241" s="271"/>
      <c r="Y241" s="271"/>
      <c r="Z241" s="271"/>
      <c r="AA241" s="271"/>
      <c r="AB241" s="271"/>
      <c r="AC241" s="271"/>
      <c r="AD241" s="271"/>
      <c r="AE241" s="271"/>
      <c r="AF241" s="271"/>
      <c r="AG241" s="271"/>
      <c r="AH241" s="271"/>
      <c r="AI241" s="271"/>
    </row>
    <row r="242" spans="21:35" ht="12.75">
      <c r="U242" s="271"/>
      <c r="V242" s="271"/>
      <c r="W242" s="271"/>
      <c r="X242" s="271"/>
      <c r="Y242" s="271"/>
      <c r="Z242" s="271"/>
      <c r="AA242" s="271"/>
      <c r="AB242" s="271"/>
      <c r="AC242" s="271"/>
      <c r="AD242" s="271"/>
      <c r="AE242" s="271"/>
      <c r="AF242" s="271"/>
      <c r="AG242" s="271"/>
      <c r="AH242" s="271"/>
      <c r="AI242" s="271"/>
    </row>
    <row r="243" spans="21:35" ht="12.75">
      <c r="U243" s="271"/>
      <c r="V243" s="271"/>
      <c r="W243" s="271"/>
      <c r="X243" s="271"/>
      <c r="Y243" s="271"/>
      <c r="Z243" s="271"/>
      <c r="AA243" s="271"/>
      <c r="AB243" s="271"/>
      <c r="AC243" s="271"/>
      <c r="AD243" s="271"/>
      <c r="AE243" s="271"/>
      <c r="AF243" s="271"/>
      <c r="AG243" s="271"/>
      <c r="AH243" s="271"/>
      <c r="AI243" s="271"/>
    </row>
    <row r="244" spans="21:35" ht="12.75">
      <c r="U244" s="271"/>
      <c r="V244" s="271"/>
      <c r="W244" s="271"/>
      <c r="X244" s="271"/>
      <c r="Y244" s="271"/>
      <c r="Z244" s="271"/>
      <c r="AA244" s="271"/>
      <c r="AB244" s="271"/>
      <c r="AC244" s="271"/>
      <c r="AD244" s="271"/>
      <c r="AE244" s="271"/>
      <c r="AF244" s="271"/>
      <c r="AG244" s="271"/>
      <c r="AH244" s="271"/>
      <c r="AI244" s="271"/>
    </row>
    <row r="245" spans="21:35" ht="12.75">
      <c r="U245" s="271"/>
      <c r="V245" s="271"/>
      <c r="W245" s="271"/>
      <c r="X245" s="271"/>
      <c r="Y245" s="271"/>
      <c r="Z245" s="271"/>
      <c r="AA245" s="271"/>
      <c r="AB245" s="271"/>
      <c r="AC245" s="271"/>
      <c r="AD245" s="271"/>
      <c r="AE245" s="271"/>
      <c r="AF245" s="271"/>
      <c r="AG245" s="271"/>
      <c r="AH245" s="271"/>
      <c r="AI245" s="271"/>
    </row>
    <row r="246" spans="21:35" ht="12.75">
      <c r="U246" s="271"/>
      <c r="V246" s="271"/>
      <c r="W246" s="271"/>
      <c r="X246" s="271"/>
      <c r="Y246" s="271"/>
      <c r="Z246" s="271"/>
      <c r="AA246" s="271"/>
      <c r="AB246" s="271"/>
      <c r="AC246" s="271"/>
      <c r="AD246" s="271"/>
      <c r="AE246" s="271"/>
      <c r="AF246" s="271"/>
      <c r="AG246" s="271"/>
      <c r="AH246" s="271"/>
      <c r="AI246" s="271"/>
    </row>
    <row r="247" spans="21:35" ht="12.75">
      <c r="U247" s="271"/>
      <c r="V247" s="271"/>
      <c r="W247" s="271"/>
      <c r="X247" s="271"/>
      <c r="Y247" s="271"/>
      <c r="Z247" s="271"/>
      <c r="AA247" s="271"/>
      <c r="AB247" s="271"/>
      <c r="AC247" s="271"/>
      <c r="AD247" s="271"/>
      <c r="AE247" s="271"/>
      <c r="AF247" s="271"/>
      <c r="AG247" s="271"/>
      <c r="AH247" s="271"/>
      <c r="AI247" s="271"/>
    </row>
    <row r="248" spans="21:35" ht="12.75">
      <c r="U248" s="271"/>
      <c r="V248" s="271"/>
      <c r="W248" s="271"/>
      <c r="X248" s="271"/>
      <c r="Y248" s="271"/>
      <c r="Z248" s="271"/>
      <c r="AA248" s="271"/>
      <c r="AB248" s="271"/>
      <c r="AC248" s="271"/>
      <c r="AD248" s="271"/>
      <c r="AE248" s="271"/>
      <c r="AF248" s="271"/>
      <c r="AG248" s="271"/>
      <c r="AH248" s="271"/>
      <c r="AI248" s="271"/>
    </row>
    <row r="249" spans="21:35" ht="12.75">
      <c r="U249" s="271"/>
      <c r="V249" s="271"/>
      <c r="W249" s="271"/>
      <c r="X249" s="271"/>
      <c r="Y249" s="271"/>
      <c r="Z249" s="271"/>
      <c r="AA249" s="271"/>
      <c r="AB249" s="271"/>
      <c r="AC249" s="271"/>
      <c r="AD249" s="271"/>
      <c r="AE249" s="271"/>
      <c r="AF249" s="271"/>
      <c r="AG249" s="271"/>
      <c r="AH249" s="271"/>
      <c r="AI249" s="271"/>
    </row>
    <row r="250" spans="21:35" ht="12.75">
      <c r="U250" s="271"/>
      <c r="V250" s="271"/>
      <c r="W250" s="271"/>
      <c r="X250" s="271"/>
      <c r="Y250" s="271"/>
      <c r="Z250" s="271"/>
      <c r="AA250" s="271"/>
      <c r="AB250" s="271"/>
      <c r="AC250" s="271"/>
      <c r="AD250" s="271"/>
      <c r="AE250" s="271"/>
      <c r="AF250" s="271"/>
      <c r="AG250" s="271"/>
      <c r="AH250" s="271"/>
      <c r="AI250" s="271"/>
    </row>
    <row r="251" spans="21:35" ht="12.75">
      <c r="U251" s="271"/>
      <c r="V251" s="271"/>
      <c r="W251" s="271"/>
      <c r="X251" s="271"/>
      <c r="Y251" s="271"/>
      <c r="Z251" s="271"/>
      <c r="AA251" s="271"/>
      <c r="AB251" s="271"/>
      <c r="AC251" s="271"/>
      <c r="AD251" s="271"/>
      <c r="AE251" s="271"/>
      <c r="AF251" s="271"/>
      <c r="AG251" s="271"/>
      <c r="AH251" s="271"/>
      <c r="AI251" s="271"/>
    </row>
    <row r="252" spans="21:35" ht="12.75">
      <c r="U252" s="271"/>
      <c r="V252" s="271"/>
      <c r="W252" s="271"/>
      <c r="X252" s="271"/>
      <c r="Y252" s="271"/>
      <c r="Z252" s="271"/>
      <c r="AA252" s="271"/>
      <c r="AB252" s="271"/>
      <c r="AC252" s="271"/>
      <c r="AD252" s="271"/>
      <c r="AE252" s="271"/>
      <c r="AF252" s="271"/>
      <c r="AG252" s="271"/>
      <c r="AH252" s="271"/>
      <c r="AI252" s="271"/>
    </row>
    <row r="253" spans="21:35" ht="12.75">
      <c r="U253" s="271"/>
      <c r="V253" s="271"/>
      <c r="W253" s="271"/>
      <c r="X253" s="271"/>
      <c r="Y253" s="271"/>
      <c r="Z253" s="271"/>
      <c r="AA253" s="271"/>
      <c r="AB253" s="271"/>
      <c r="AC253" s="271"/>
      <c r="AD253" s="271"/>
      <c r="AE253" s="271"/>
      <c r="AF253" s="271"/>
      <c r="AG253" s="271"/>
      <c r="AH253" s="271"/>
      <c r="AI253" s="271"/>
    </row>
    <row r="254" spans="21:35" ht="12.75">
      <c r="U254" s="271"/>
      <c r="V254" s="271"/>
      <c r="W254" s="271"/>
      <c r="X254" s="271"/>
      <c r="Y254" s="271"/>
      <c r="Z254" s="271"/>
      <c r="AA254" s="271"/>
      <c r="AB254" s="271"/>
      <c r="AC254" s="271"/>
      <c r="AD254" s="271"/>
      <c r="AE254" s="271"/>
      <c r="AF254" s="271"/>
      <c r="AG254" s="271"/>
      <c r="AH254" s="271"/>
      <c r="AI254" s="271"/>
    </row>
    <row r="255" spans="21:35" ht="12.75">
      <c r="U255" s="271"/>
      <c r="V255" s="271"/>
      <c r="W255" s="271"/>
      <c r="X255" s="271"/>
      <c r="Y255" s="271"/>
      <c r="Z255" s="271"/>
      <c r="AA255" s="271"/>
      <c r="AB255" s="271"/>
      <c r="AC255" s="271"/>
      <c r="AD255" s="271"/>
      <c r="AE255" s="271"/>
      <c r="AF255" s="271"/>
      <c r="AG255" s="271"/>
      <c r="AH255" s="271"/>
      <c r="AI255" s="271"/>
    </row>
    <row r="256" spans="21:35" ht="12.75">
      <c r="U256" s="271"/>
      <c r="V256" s="271"/>
      <c r="W256" s="271"/>
      <c r="X256" s="271"/>
      <c r="Y256" s="271"/>
      <c r="Z256" s="271"/>
      <c r="AA256" s="271"/>
      <c r="AB256" s="271"/>
      <c r="AC256" s="271"/>
      <c r="AD256" s="271"/>
      <c r="AE256" s="271"/>
      <c r="AF256" s="271"/>
      <c r="AG256" s="271"/>
      <c r="AH256" s="271"/>
      <c r="AI256" s="271"/>
    </row>
    <row r="257" spans="21:35" ht="12.75">
      <c r="U257" s="271"/>
      <c r="V257" s="271"/>
      <c r="W257" s="271"/>
      <c r="X257" s="271"/>
      <c r="Y257" s="271"/>
      <c r="Z257" s="271"/>
      <c r="AA257" s="271"/>
      <c r="AB257" s="271"/>
      <c r="AC257" s="271"/>
      <c r="AD257" s="271"/>
      <c r="AE257" s="271"/>
      <c r="AF257" s="271"/>
      <c r="AG257" s="271"/>
      <c r="AH257" s="271"/>
      <c r="AI257" s="271"/>
    </row>
    <row r="258" spans="21:35" ht="12.75">
      <c r="U258" s="271"/>
      <c r="V258" s="271"/>
      <c r="W258" s="271"/>
      <c r="X258" s="271"/>
      <c r="Y258" s="271"/>
      <c r="Z258" s="271"/>
      <c r="AA258" s="271"/>
      <c r="AB258" s="271"/>
      <c r="AC258" s="271"/>
      <c r="AD258" s="271"/>
      <c r="AE258" s="271"/>
      <c r="AF258" s="271"/>
      <c r="AG258" s="271"/>
      <c r="AH258" s="271"/>
      <c r="AI258" s="271"/>
    </row>
    <row r="259" spans="21:35" ht="12.75">
      <c r="U259" s="271"/>
      <c r="V259" s="271"/>
      <c r="W259" s="271"/>
      <c r="X259" s="271"/>
      <c r="Y259" s="271"/>
      <c r="Z259" s="271"/>
      <c r="AA259" s="271"/>
      <c r="AB259" s="271"/>
      <c r="AC259" s="271"/>
      <c r="AD259" s="271"/>
      <c r="AE259" s="271"/>
      <c r="AF259" s="271"/>
      <c r="AG259" s="271"/>
      <c r="AH259" s="271"/>
      <c r="AI259" s="271"/>
    </row>
    <row r="260" spans="21:35" ht="12.75">
      <c r="U260" s="271"/>
      <c r="V260" s="271"/>
      <c r="W260" s="271"/>
      <c r="X260" s="271"/>
      <c r="Y260" s="271"/>
      <c r="Z260" s="271"/>
      <c r="AA260" s="271"/>
      <c r="AB260" s="271"/>
      <c r="AC260" s="271"/>
      <c r="AD260" s="271"/>
      <c r="AE260" s="271"/>
      <c r="AF260" s="271"/>
      <c r="AG260" s="271"/>
      <c r="AH260" s="271"/>
      <c r="AI260" s="271"/>
    </row>
    <row r="261" spans="21:35" ht="12.75">
      <c r="U261" s="271"/>
      <c r="V261" s="271"/>
      <c r="W261" s="271"/>
      <c r="X261" s="271"/>
      <c r="Y261" s="271"/>
      <c r="Z261" s="271"/>
      <c r="AA261" s="271"/>
      <c r="AB261" s="271"/>
      <c r="AC261" s="271"/>
      <c r="AD261" s="271"/>
      <c r="AE261" s="271"/>
      <c r="AF261" s="271"/>
      <c r="AG261" s="271"/>
      <c r="AH261" s="271"/>
      <c r="AI261" s="271"/>
    </row>
    <row r="262" spans="21:35" ht="12.75">
      <c r="U262" s="271"/>
      <c r="V262" s="271"/>
      <c r="W262" s="271"/>
      <c r="X262" s="271"/>
      <c r="Y262" s="271"/>
      <c r="Z262" s="271"/>
      <c r="AA262" s="271"/>
      <c r="AB262" s="271"/>
      <c r="AC262" s="271"/>
      <c r="AD262" s="271"/>
      <c r="AE262" s="271"/>
      <c r="AF262" s="271"/>
      <c r="AG262" s="271"/>
      <c r="AH262" s="271"/>
      <c r="AI262" s="271"/>
    </row>
    <row r="263" spans="21:35" ht="12.75">
      <c r="U263" s="271"/>
      <c r="V263" s="271"/>
      <c r="W263" s="271"/>
      <c r="X263" s="271"/>
      <c r="Y263" s="271"/>
      <c r="Z263" s="271"/>
      <c r="AA263" s="271"/>
      <c r="AB263" s="271"/>
      <c r="AC263" s="271"/>
      <c r="AD263" s="271"/>
      <c r="AE263" s="271"/>
      <c r="AF263" s="271"/>
      <c r="AG263" s="271"/>
      <c r="AH263" s="271"/>
      <c r="AI263" s="271"/>
    </row>
    <row r="264" spans="21:35" ht="12.75">
      <c r="U264" s="271"/>
      <c r="V264" s="271"/>
      <c r="W264" s="271"/>
      <c r="X264" s="271"/>
      <c r="Y264" s="271"/>
      <c r="Z264" s="271"/>
      <c r="AA264" s="271"/>
      <c r="AB264" s="271"/>
      <c r="AC264" s="271"/>
      <c r="AD264" s="271"/>
      <c r="AE264" s="271"/>
      <c r="AF264" s="271"/>
      <c r="AG264" s="271"/>
      <c r="AH264" s="271"/>
      <c r="AI264" s="271"/>
    </row>
    <row r="265" spans="21:35" ht="12.75">
      <c r="U265" s="271"/>
      <c r="V265" s="271"/>
      <c r="W265" s="271"/>
      <c r="X265" s="271"/>
      <c r="Y265" s="271"/>
      <c r="Z265" s="271"/>
      <c r="AA265" s="271"/>
      <c r="AB265" s="271"/>
      <c r="AC265" s="271"/>
      <c r="AD265" s="271"/>
      <c r="AE265" s="271"/>
      <c r="AF265" s="271"/>
      <c r="AG265" s="271"/>
      <c r="AH265" s="271"/>
      <c r="AI265" s="271"/>
    </row>
    <row r="266" spans="21:35" ht="12.75">
      <c r="U266" s="271"/>
      <c r="V266" s="271"/>
      <c r="W266" s="271"/>
      <c r="X266" s="271"/>
      <c r="Y266" s="271"/>
      <c r="Z266" s="271"/>
      <c r="AA266" s="271"/>
      <c r="AB266" s="271"/>
      <c r="AC266" s="271"/>
      <c r="AD266" s="271"/>
      <c r="AE266" s="271"/>
      <c r="AF266" s="271"/>
      <c r="AG266" s="271"/>
      <c r="AH266" s="271"/>
      <c r="AI266" s="271"/>
    </row>
    <row r="267" spans="21:35" ht="12.75">
      <c r="U267" s="271"/>
      <c r="V267" s="271"/>
      <c r="W267" s="271"/>
      <c r="X267" s="271"/>
      <c r="Y267" s="271"/>
      <c r="Z267" s="271"/>
      <c r="AA267" s="271"/>
      <c r="AB267" s="271"/>
      <c r="AC267" s="271"/>
      <c r="AD267" s="271"/>
      <c r="AE267" s="271"/>
      <c r="AF267" s="271"/>
      <c r="AG267" s="271"/>
      <c r="AH267" s="271"/>
      <c r="AI267" s="271"/>
    </row>
    <row r="268" spans="21:35" ht="12.75">
      <c r="U268" s="271"/>
      <c r="V268" s="271"/>
      <c r="W268" s="271"/>
      <c r="X268" s="271"/>
      <c r="Y268" s="271"/>
      <c r="Z268" s="271"/>
      <c r="AA268" s="271"/>
      <c r="AB268" s="271"/>
      <c r="AC268" s="271"/>
      <c r="AD268" s="271"/>
      <c r="AE268" s="271"/>
      <c r="AF268" s="271"/>
      <c r="AG268" s="271"/>
      <c r="AH268" s="271"/>
      <c r="AI268" s="271"/>
    </row>
    <row r="269" spans="21:35" ht="12.75">
      <c r="U269" s="271"/>
      <c r="V269" s="271"/>
      <c r="W269" s="271"/>
      <c r="X269" s="271"/>
      <c r="Y269" s="271"/>
      <c r="Z269" s="271"/>
      <c r="AA269" s="271"/>
      <c r="AB269" s="271"/>
      <c r="AC269" s="271"/>
      <c r="AD269" s="271"/>
      <c r="AE269" s="271"/>
      <c r="AF269" s="271"/>
      <c r="AG269" s="271"/>
      <c r="AH269" s="271"/>
      <c r="AI269" s="271"/>
    </row>
    <row r="270" spans="21:35" ht="12.75">
      <c r="U270" s="271"/>
      <c r="V270" s="271"/>
      <c r="W270" s="271"/>
      <c r="X270" s="271"/>
      <c r="Y270" s="271"/>
      <c r="Z270" s="271"/>
      <c r="AA270" s="271"/>
      <c r="AB270" s="271"/>
      <c r="AC270" s="271"/>
      <c r="AD270" s="271"/>
      <c r="AE270" s="271"/>
      <c r="AF270" s="271"/>
      <c r="AG270" s="271"/>
      <c r="AH270" s="271"/>
      <c r="AI270" s="271"/>
    </row>
    <row r="271" spans="21:35" ht="12.75">
      <c r="U271" s="271"/>
      <c r="V271" s="271"/>
      <c r="W271" s="271"/>
      <c r="X271" s="271"/>
      <c r="Y271" s="271"/>
      <c r="Z271" s="271"/>
      <c r="AA271" s="271"/>
      <c r="AB271" s="271"/>
      <c r="AC271" s="271"/>
      <c r="AD271" s="271"/>
      <c r="AE271" s="271"/>
      <c r="AF271" s="271"/>
      <c r="AG271" s="271"/>
      <c r="AH271" s="271"/>
      <c r="AI271" s="271"/>
    </row>
    <row r="272" spans="21:35" ht="12.75">
      <c r="U272" s="271"/>
      <c r="V272" s="271"/>
      <c r="W272" s="271"/>
      <c r="X272" s="271"/>
      <c r="Y272" s="271"/>
      <c r="Z272" s="271"/>
      <c r="AA272" s="271"/>
      <c r="AB272" s="271"/>
      <c r="AC272" s="271"/>
      <c r="AD272" s="271"/>
      <c r="AE272" s="271"/>
      <c r="AF272" s="271"/>
      <c r="AG272" s="271"/>
      <c r="AH272" s="271"/>
      <c r="AI272" s="271"/>
    </row>
    <row r="273" spans="21:35" ht="12.75">
      <c r="U273" s="271"/>
      <c r="V273" s="271"/>
      <c r="W273" s="271"/>
      <c r="X273" s="271"/>
      <c r="Y273" s="271"/>
      <c r="Z273" s="271"/>
      <c r="AA273" s="271"/>
      <c r="AB273" s="271"/>
      <c r="AC273" s="271"/>
      <c r="AD273" s="271"/>
      <c r="AE273" s="271"/>
      <c r="AF273" s="271"/>
      <c r="AG273" s="271"/>
      <c r="AH273" s="271"/>
      <c r="AI273" s="271"/>
    </row>
    <row r="274" spans="21:35" ht="12.75">
      <c r="U274" s="271"/>
      <c r="V274" s="271"/>
      <c r="W274" s="271"/>
      <c r="X274" s="271"/>
      <c r="Y274" s="271"/>
      <c r="Z274" s="271"/>
      <c r="AA274" s="271"/>
      <c r="AB274" s="271"/>
      <c r="AC274" s="271"/>
      <c r="AD274" s="271"/>
      <c r="AE274" s="271"/>
      <c r="AF274" s="271"/>
      <c r="AG274" s="271"/>
      <c r="AH274" s="271"/>
      <c r="AI274" s="271"/>
    </row>
    <row r="275" spans="21:35" ht="12.75">
      <c r="U275" s="271"/>
      <c r="V275" s="271"/>
      <c r="W275" s="271"/>
      <c r="X275" s="271"/>
      <c r="Y275" s="271"/>
      <c r="Z275" s="271"/>
      <c r="AA275" s="271"/>
      <c r="AB275" s="271"/>
      <c r="AC275" s="271"/>
      <c r="AD275" s="271"/>
      <c r="AE275" s="271"/>
      <c r="AF275" s="271"/>
      <c r="AG275" s="271"/>
      <c r="AH275" s="271"/>
      <c r="AI275" s="271"/>
    </row>
    <row r="276" spans="21:35" ht="12.75">
      <c r="U276" s="271"/>
      <c r="V276" s="271"/>
      <c r="W276" s="271"/>
      <c r="X276" s="271"/>
      <c r="Y276" s="271"/>
      <c r="Z276" s="271"/>
      <c r="AA276" s="271"/>
      <c r="AB276" s="271"/>
      <c r="AC276" s="271"/>
      <c r="AD276" s="271"/>
      <c r="AE276" s="271"/>
      <c r="AF276" s="271"/>
      <c r="AG276" s="271"/>
      <c r="AH276" s="271"/>
      <c r="AI276" s="271"/>
    </row>
    <row r="277" spans="21:35" ht="12.75">
      <c r="U277" s="271"/>
      <c r="V277" s="271"/>
      <c r="W277" s="271"/>
      <c r="X277" s="271"/>
      <c r="Y277" s="271"/>
      <c r="Z277" s="271"/>
      <c r="AA277" s="271"/>
      <c r="AB277" s="271"/>
      <c r="AC277" s="271"/>
      <c r="AD277" s="271"/>
      <c r="AE277" s="271"/>
      <c r="AF277" s="271"/>
      <c r="AG277" s="271"/>
      <c r="AH277" s="271"/>
      <c r="AI277" s="271"/>
    </row>
    <row r="278" spans="21:35" ht="12.75">
      <c r="U278" s="271"/>
      <c r="V278" s="271"/>
      <c r="W278" s="271"/>
      <c r="X278" s="271"/>
      <c r="Y278" s="271"/>
      <c r="Z278" s="271"/>
      <c r="AA278" s="271"/>
      <c r="AB278" s="271"/>
      <c r="AC278" s="271"/>
      <c r="AD278" s="271"/>
      <c r="AE278" s="271"/>
      <c r="AF278" s="271"/>
      <c r="AG278" s="271"/>
      <c r="AH278" s="271"/>
      <c r="AI278" s="271"/>
    </row>
    <row r="279" spans="21:35" ht="12.75">
      <c r="U279" s="271"/>
      <c r="V279" s="271"/>
      <c r="W279" s="271"/>
      <c r="X279" s="271"/>
      <c r="Y279" s="271"/>
      <c r="Z279" s="271"/>
      <c r="AA279" s="271"/>
      <c r="AB279" s="271"/>
      <c r="AC279" s="271"/>
      <c r="AD279" s="271"/>
      <c r="AE279" s="271"/>
      <c r="AF279" s="271"/>
      <c r="AG279" s="271"/>
      <c r="AH279" s="271"/>
      <c r="AI279" s="271"/>
    </row>
    <row r="280" spans="21:35" ht="12.75">
      <c r="U280" s="271"/>
      <c r="V280" s="271"/>
      <c r="W280" s="271"/>
      <c r="X280" s="271"/>
      <c r="Y280" s="271"/>
      <c r="Z280" s="271"/>
      <c r="AA280" s="271"/>
      <c r="AB280" s="271"/>
      <c r="AC280" s="271"/>
      <c r="AD280" s="271"/>
      <c r="AE280" s="271"/>
      <c r="AF280" s="271"/>
      <c r="AG280" s="271"/>
      <c r="AH280" s="271"/>
      <c r="AI280" s="271"/>
    </row>
    <row r="281" spans="21:35" ht="12.75">
      <c r="U281" s="271"/>
      <c r="V281" s="271"/>
      <c r="W281" s="271"/>
      <c r="X281" s="271"/>
      <c r="Y281" s="271"/>
      <c r="Z281" s="271"/>
      <c r="AA281" s="271"/>
      <c r="AB281" s="271"/>
      <c r="AC281" s="271"/>
      <c r="AD281" s="271"/>
      <c r="AE281" s="271"/>
      <c r="AF281" s="271"/>
      <c r="AG281" s="271"/>
      <c r="AH281" s="271"/>
      <c r="AI281" s="271"/>
    </row>
    <row r="282" spans="21:35" ht="12.75">
      <c r="U282" s="271"/>
      <c r="V282" s="271"/>
      <c r="W282" s="271"/>
      <c r="X282" s="271"/>
      <c r="Y282" s="271"/>
      <c r="Z282" s="271"/>
      <c r="AA282" s="271"/>
      <c r="AB282" s="271"/>
      <c r="AC282" s="271"/>
      <c r="AD282" s="271"/>
      <c r="AE282" s="271"/>
      <c r="AF282" s="271"/>
      <c r="AG282" s="271"/>
      <c r="AH282" s="271"/>
      <c r="AI282" s="271"/>
    </row>
    <row r="283" spans="21:35" ht="12.75">
      <c r="U283" s="271"/>
      <c r="V283" s="271"/>
      <c r="W283" s="271"/>
      <c r="X283" s="271"/>
      <c r="Y283" s="271"/>
      <c r="Z283" s="271"/>
      <c r="AA283" s="271"/>
      <c r="AB283" s="271"/>
      <c r="AC283" s="271"/>
      <c r="AD283" s="271"/>
      <c r="AE283" s="271"/>
      <c r="AF283" s="271"/>
      <c r="AG283" s="271"/>
      <c r="AH283" s="271"/>
      <c r="AI283" s="271"/>
    </row>
    <row r="284" spans="21:35" ht="12.75">
      <c r="U284" s="271"/>
      <c r="V284" s="271"/>
      <c r="W284" s="271"/>
      <c r="X284" s="271"/>
      <c r="Y284" s="271"/>
      <c r="Z284" s="271"/>
      <c r="AA284" s="271"/>
      <c r="AB284" s="271"/>
      <c r="AC284" s="271"/>
      <c r="AD284" s="271"/>
      <c r="AE284" s="271"/>
      <c r="AF284" s="271"/>
      <c r="AG284" s="271"/>
      <c r="AH284" s="271"/>
      <c r="AI284" s="271"/>
    </row>
    <row r="285" spans="21:35" ht="12.75">
      <c r="U285" s="271"/>
      <c r="V285" s="271"/>
      <c r="W285" s="271"/>
      <c r="X285" s="271"/>
      <c r="Y285" s="271"/>
      <c r="Z285" s="271"/>
      <c r="AA285" s="271"/>
      <c r="AB285" s="271"/>
      <c r="AC285" s="271"/>
      <c r="AD285" s="271"/>
      <c r="AE285" s="271"/>
      <c r="AF285" s="271"/>
      <c r="AG285" s="271"/>
      <c r="AH285" s="271"/>
      <c r="AI285" s="271"/>
    </row>
    <row r="286" spans="21:35" ht="12.75">
      <c r="U286" s="271"/>
      <c r="V286" s="271"/>
      <c r="W286" s="271"/>
      <c r="X286" s="271"/>
      <c r="Y286" s="271"/>
      <c r="Z286" s="271"/>
      <c r="AA286" s="271"/>
      <c r="AB286" s="271"/>
      <c r="AC286" s="271"/>
      <c r="AD286" s="271"/>
      <c r="AE286" s="271"/>
      <c r="AF286" s="271"/>
      <c r="AG286" s="271"/>
      <c r="AH286" s="271"/>
      <c r="AI286" s="271"/>
    </row>
    <row r="287" spans="21:35" ht="12.75">
      <c r="U287" s="271"/>
      <c r="V287" s="271"/>
      <c r="W287" s="271"/>
      <c r="X287" s="271"/>
      <c r="Y287" s="271"/>
      <c r="Z287" s="271"/>
      <c r="AA287" s="271"/>
      <c r="AB287" s="271"/>
      <c r="AC287" s="271"/>
      <c r="AD287" s="271"/>
      <c r="AE287" s="271"/>
      <c r="AF287" s="271"/>
      <c r="AG287" s="271"/>
      <c r="AH287" s="271"/>
      <c r="AI287" s="271"/>
    </row>
    <row r="288" spans="21:35" ht="12.75">
      <c r="U288" s="271"/>
      <c r="V288" s="271"/>
      <c r="W288" s="271"/>
      <c r="X288" s="271"/>
      <c r="Y288" s="271"/>
      <c r="Z288" s="271"/>
      <c r="AA288" s="271"/>
      <c r="AB288" s="271"/>
      <c r="AC288" s="271"/>
      <c r="AD288" s="271"/>
      <c r="AE288" s="271"/>
      <c r="AF288" s="271"/>
      <c r="AG288" s="271"/>
      <c r="AH288" s="271"/>
      <c r="AI288" s="271"/>
    </row>
    <row r="289" spans="21:35" ht="12.75">
      <c r="U289" s="271"/>
      <c r="V289" s="271"/>
      <c r="W289" s="271"/>
      <c r="X289" s="271"/>
      <c r="Y289" s="271"/>
      <c r="Z289" s="271"/>
      <c r="AA289" s="271"/>
      <c r="AB289" s="271"/>
      <c r="AC289" s="271"/>
      <c r="AD289" s="271"/>
      <c r="AE289" s="271"/>
      <c r="AF289" s="271"/>
      <c r="AG289" s="271"/>
      <c r="AH289" s="271"/>
      <c r="AI289" s="271"/>
    </row>
    <row r="290" spans="21:35" ht="12.75">
      <c r="U290" s="271"/>
      <c r="V290" s="271"/>
      <c r="W290" s="271"/>
      <c r="X290" s="271"/>
      <c r="Y290" s="271"/>
      <c r="Z290" s="271"/>
      <c r="AA290" s="271"/>
      <c r="AB290" s="271"/>
      <c r="AC290" s="271"/>
      <c r="AD290" s="271"/>
      <c r="AE290" s="271"/>
      <c r="AF290" s="271"/>
      <c r="AG290" s="271"/>
      <c r="AH290" s="271"/>
      <c r="AI290" s="271"/>
    </row>
    <row r="291" spans="21:35" ht="12.75">
      <c r="U291" s="271"/>
      <c r="V291" s="271"/>
      <c r="W291" s="271"/>
      <c r="X291" s="271"/>
      <c r="Y291" s="271"/>
      <c r="Z291" s="271"/>
      <c r="AA291" s="271"/>
      <c r="AB291" s="271"/>
      <c r="AC291" s="271"/>
      <c r="AD291" s="271"/>
      <c r="AE291" s="271"/>
      <c r="AF291" s="271"/>
      <c r="AG291" s="271"/>
      <c r="AH291" s="271"/>
      <c r="AI291" s="271"/>
    </row>
    <row r="292" spans="21:35" ht="12.75">
      <c r="U292" s="271"/>
      <c r="V292" s="271"/>
      <c r="W292" s="271"/>
      <c r="X292" s="271"/>
      <c r="Y292" s="271"/>
      <c r="Z292" s="271"/>
      <c r="AA292" s="271"/>
      <c r="AB292" s="271"/>
      <c r="AC292" s="271"/>
      <c r="AD292" s="271"/>
      <c r="AE292" s="271"/>
      <c r="AF292" s="271"/>
      <c r="AG292" s="271"/>
      <c r="AH292" s="271"/>
      <c r="AI292" s="271"/>
    </row>
    <row r="293" spans="21:35" ht="12.75">
      <c r="U293" s="271"/>
      <c r="V293" s="271"/>
      <c r="W293" s="271"/>
      <c r="X293" s="271"/>
      <c r="Y293" s="271"/>
      <c r="Z293" s="271"/>
      <c r="AA293" s="271"/>
      <c r="AB293" s="271"/>
      <c r="AC293" s="271"/>
      <c r="AD293" s="271"/>
      <c r="AE293" s="271"/>
      <c r="AF293" s="271"/>
      <c r="AG293" s="271"/>
      <c r="AH293" s="271"/>
      <c r="AI293" s="271"/>
    </row>
    <row r="294" spans="21:35" ht="12.75">
      <c r="U294" s="271"/>
      <c r="V294" s="271"/>
      <c r="W294" s="271"/>
      <c r="X294" s="271"/>
      <c r="Y294" s="271"/>
      <c r="Z294" s="271"/>
      <c r="AA294" s="271"/>
      <c r="AB294" s="271"/>
      <c r="AC294" s="271"/>
      <c r="AD294" s="271"/>
      <c r="AE294" s="271"/>
      <c r="AF294" s="271"/>
      <c r="AG294" s="271"/>
      <c r="AH294" s="271"/>
      <c r="AI294" s="271"/>
    </row>
    <row r="295" spans="21:35" ht="12.75">
      <c r="U295" s="271"/>
      <c r="V295" s="271"/>
      <c r="W295" s="271"/>
      <c r="X295" s="271"/>
      <c r="Y295" s="271"/>
      <c r="Z295" s="271"/>
      <c r="AA295" s="271"/>
      <c r="AB295" s="271"/>
      <c r="AC295" s="271"/>
      <c r="AD295" s="271"/>
      <c r="AE295" s="271"/>
      <c r="AF295" s="271"/>
      <c r="AG295" s="271"/>
      <c r="AH295" s="271"/>
      <c r="AI295" s="271"/>
    </row>
    <row r="296" spans="21:35" ht="12.75">
      <c r="U296" s="271"/>
      <c r="V296" s="271"/>
      <c r="W296" s="271"/>
      <c r="X296" s="271"/>
      <c r="Y296" s="271"/>
      <c r="Z296" s="271"/>
      <c r="AA296" s="271"/>
      <c r="AB296" s="271"/>
      <c r="AC296" s="271"/>
      <c r="AD296" s="271"/>
      <c r="AE296" s="271"/>
      <c r="AF296" s="271"/>
      <c r="AG296" s="271"/>
      <c r="AH296" s="271"/>
      <c r="AI296" s="271"/>
    </row>
    <row r="297" spans="21:35" ht="12.75">
      <c r="U297" s="271"/>
      <c r="V297" s="271"/>
      <c r="W297" s="271"/>
      <c r="X297" s="271"/>
      <c r="Y297" s="271"/>
      <c r="Z297" s="271"/>
      <c r="AA297" s="271"/>
      <c r="AB297" s="271"/>
      <c r="AC297" s="271"/>
      <c r="AD297" s="271"/>
      <c r="AE297" s="271"/>
      <c r="AF297" s="271"/>
      <c r="AG297" s="271"/>
      <c r="AH297" s="271"/>
      <c r="AI297" s="271"/>
    </row>
    <row r="298" spans="21:35" ht="12.75">
      <c r="U298" s="271"/>
      <c r="V298" s="271"/>
      <c r="W298" s="271"/>
      <c r="X298" s="271"/>
      <c r="Y298" s="271"/>
      <c r="Z298" s="271"/>
      <c r="AA298" s="271"/>
      <c r="AB298" s="271"/>
      <c r="AC298" s="271"/>
      <c r="AD298" s="271"/>
      <c r="AE298" s="271"/>
      <c r="AF298" s="271"/>
      <c r="AG298" s="271"/>
      <c r="AH298" s="271"/>
      <c r="AI298" s="271"/>
    </row>
    <row r="299" spans="21:35" ht="12.75">
      <c r="U299" s="271"/>
      <c r="V299" s="271"/>
      <c r="W299" s="271"/>
      <c r="X299" s="271"/>
      <c r="Y299" s="271"/>
      <c r="Z299" s="271"/>
      <c r="AA299" s="271"/>
      <c r="AB299" s="271"/>
      <c r="AC299" s="271"/>
      <c r="AD299" s="271"/>
      <c r="AE299" s="271"/>
      <c r="AF299" s="271"/>
      <c r="AG299" s="271"/>
      <c r="AH299" s="271"/>
      <c r="AI299" s="271"/>
    </row>
    <row r="300" spans="21:35" ht="12.75">
      <c r="U300" s="271"/>
      <c r="V300" s="271"/>
      <c r="W300" s="271"/>
      <c r="X300" s="271"/>
      <c r="Y300" s="271"/>
      <c r="Z300" s="271"/>
      <c r="AA300" s="271"/>
      <c r="AB300" s="271"/>
      <c r="AC300" s="271"/>
      <c r="AD300" s="271"/>
      <c r="AE300" s="271"/>
      <c r="AF300" s="271"/>
      <c r="AG300" s="271"/>
      <c r="AH300" s="271"/>
      <c r="AI300" s="271"/>
    </row>
    <row r="301" spans="21:35" ht="12.75">
      <c r="U301" s="271"/>
      <c r="V301" s="271"/>
      <c r="W301" s="271"/>
      <c r="X301" s="271"/>
      <c r="Y301" s="271"/>
      <c r="Z301" s="271"/>
      <c r="AA301" s="271"/>
      <c r="AB301" s="271"/>
      <c r="AC301" s="271"/>
      <c r="AD301" s="271"/>
      <c r="AE301" s="271"/>
      <c r="AF301" s="271"/>
      <c r="AG301" s="271"/>
      <c r="AH301" s="271"/>
      <c r="AI301" s="271"/>
    </row>
    <row r="302" spans="21:35" ht="12.75">
      <c r="U302" s="271"/>
      <c r="V302" s="271"/>
      <c r="W302" s="271"/>
      <c r="X302" s="271"/>
      <c r="Y302" s="271"/>
      <c r="Z302" s="271"/>
      <c r="AA302" s="271"/>
      <c r="AB302" s="271"/>
      <c r="AC302" s="271"/>
      <c r="AD302" s="271"/>
      <c r="AE302" s="271"/>
      <c r="AF302" s="271"/>
      <c r="AG302" s="271"/>
      <c r="AH302" s="271"/>
      <c r="AI302" s="271"/>
    </row>
    <row r="303" spans="21:35" ht="12.75">
      <c r="U303" s="271"/>
      <c r="V303" s="271"/>
      <c r="W303" s="271"/>
      <c r="X303" s="271"/>
      <c r="Y303" s="271"/>
      <c r="Z303" s="271"/>
      <c r="AA303" s="271"/>
      <c r="AB303" s="271"/>
      <c r="AC303" s="271"/>
      <c r="AD303" s="271"/>
      <c r="AE303" s="271"/>
      <c r="AF303" s="271"/>
      <c r="AG303" s="271"/>
      <c r="AH303" s="271"/>
      <c r="AI303" s="271"/>
    </row>
    <row r="304" spans="21:35" ht="12.75">
      <c r="U304" s="271"/>
      <c r="V304" s="271"/>
      <c r="W304" s="271"/>
      <c r="X304" s="271"/>
      <c r="Y304" s="271"/>
      <c r="Z304" s="271"/>
      <c r="AA304" s="271"/>
      <c r="AB304" s="271"/>
      <c r="AC304" s="271"/>
      <c r="AD304" s="271"/>
      <c r="AE304" s="271"/>
      <c r="AF304" s="271"/>
      <c r="AG304" s="271"/>
      <c r="AH304" s="271"/>
      <c r="AI304" s="271"/>
    </row>
    <row r="305" spans="21:35" ht="12.75">
      <c r="U305" s="271"/>
      <c r="V305" s="271"/>
      <c r="W305" s="271"/>
      <c r="X305" s="271"/>
      <c r="Y305" s="271"/>
      <c r="Z305" s="271"/>
      <c r="AA305" s="271"/>
      <c r="AB305" s="271"/>
      <c r="AC305" s="271"/>
      <c r="AD305" s="271"/>
      <c r="AE305" s="271"/>
      <c r="AF305" s="271"/>
      <c r="AG305" s="271"/>
      <c r="AH305" s="271"/>
      <c r="AI305" s="271"/>
    </row>
    <row r="306" spans="21:35" ht="12.75">
      <c r="U306" s="271"/>
      <c r="V306" s="271"/>
      <c r="W306" s="271"/>
      <c r="X306" s="271"/>
      <c r="Y306" s="271"/>
      <c r="Z306" s="271"/>
      <c r="AA306" s="271"/>
      <c r="AB306" s="271"/>
      <c r="AC306" s="271"/>
      <c r="AD306" s="271"/>
      <c r="AE306" s="271"/>
      <c r="AF306" s="271"/>
      <c r="AG306" s="271"/>
      <c r="AH306" s="271"/>
      <c r="AI306" s="271"/>
    </row>
    <row r="307" spans="21:35" ht="12.75">
      <c r="U307" s="271"/>
      <c r="V307" s="271"/>
      <c r="W307" s="271"/>
      <c r="X307" s="271"/>
      <c r="Y307" s="271"/>
      <c r="Z307" s="271"/>
      <c r="AA307" s="271"/>
      <c r="AB307" s="271"/>
      <c r="AC307" s="271"/>
      <c r="AD307" s="271"/>
      <c r="AE307" s="271"/>
      <c r="AF307" s="271"/>
      <c r="AG307" s="271"/>
      <c r="AH307" s="271"/>
      <c r="AI307" s="271"/>
    </row>
    <row r="308" spans="21:35" ht="12.75">
      <c r="U308" s="271"/>
      <c r="V308" s="271"/>
      <c r="W308" s="271"/>
      <c r="X308" s="271"/>
      <c r="Y308" s="271"/>
      <c r="Z308" s="271"/>
      <c r="AA308" s="271"/>
      <c r="AB308" s="271"/>
      <c r="AC308" s="271"/>
      <c r="AD308" s="271"/>
      <c r="AE308" s="271"/>
      <c r="AF308" s="271"/>
      <c r="AG308" s="271"/>
      <c r="AH308" s="271"/>
      <c r="AI308" s="271"/>
    </row>
    <row r="309" spans="21:35" ht="12.75">
      <c r="U309" s="271"/>
      <c r="V309" s="271"/>
      <c r="W309" s="271"/>
      <c r="X309" s="271"/>
      <c r="Y309" s="271"/>
      <c r="Z309" s="271"/>
      <c r="AA309" s="271"/>
      <c r="AB309" s="271"/>
      <c r="AC309" s="271"/>
      <c r="AD309" s="271"/>
      <c r="AE309" s="271"/>
      <c r="AF309" s="271"/>
      <c r="AG309" s="271"/>
      <c r="AH309" s="271"/>
      <c r="AI309" s="271"/>
    </row>
    <row r="310" spans="21:35" ht="12.75">
      <c r="U310" s="271"/>
      <c r="V310" s="271"/>
      <c r="W310" s="271"/>
      <c r="X310" s="271"/>
      <c r="Y310" s="271"/>
      <c r="Z310" s="271"/>
      <c r="AA310" s="271"/>
      <c r="AB310" s="271"/>
      <c r="AC310" s="271"/>
      <c r="AD310" s="271"/>
      <c r="AE310" s="271"/>
      <c r="AF310" s="271"/>
      <c r="AG310" s="271"/>
      <c r="AH310" s="271"/>
      <c r="AI310" s="271"/>
    </row>
    <row r="311" spans="21:35" ht="12.75">
      <c r="U311" s="271"/>
      <c r="V311" s="271"/>
      <c r="W311" s="271"/>
      <c r="X311" s="271"/>
      <c r="Y311" s="271"/>
      <c r="Z311" s="271"/>
      <c r="AA311" s="271"/>
      <c r="AB311" s="271"/>
      <c r="AC311" s="271"/>
      <c r="AD311" s="271"/>
      <c r="AE311" s="271"/>
      <c r="AF311" s="271"/>
      <c r="AG311" s="271"/>
      <c r="AH311" s="271"/>
      <c r="AI311" s="271"/>
    </row>
    <row r="312" spans="21:35" ht="12.75">
      <c r="U312" s="271"/>
      <c r="V312" s="271"/>
      <c r="W312" s="271"/>
      <c r="X312" s="271"/>
      <c r="Y312" s="271"/>
      <c r="Z312" s="271"/>
      <c r="AA312" s="271"/>
      <c r="AB312" s="271"/>
      <c r="AC312" s="271"/>
      <c r="AD312" s="271"/>
      <c r="AE312" s="271"/>
      <c r="AF312" s="271"/>
      <c r="AG312" s="271"/>
      <c r="AH312" s="271"/>
      <c r="AI312" s="271"/>
    </row>
    <row r="313" spans="21:35" ht="12.75">
      <c r="U313" s="271"/>
      <c r="V313" s="271"/>
      <c r="W313" s="271"/>
      <c r="X313" s="271"/>
      <c r="Y313" s="271"/>
      <c r="Z313" s="271"/>
      <c r="AA313" s="271"/>
      <c r="AB313" s="271"/>
      <c r="AC313" s="271"/>
      <c r="AD313" s="271"/>
      <c r="AE313" s="271"/>
      <c r="AF313" s="271"/>
      <c r="AG313" s="271"/>
      <c r="AH313" s="271"/>
      <c r="AI313" s="271"/>
    </row>
    <row r="314" spans="21:35" ht="12.75">
      <c r="U314" s="271"/>
      <c r="V314" s="271"/>
      <c r="W314" s="271"/>
      <c r="X314" s="271"/>
      <c r="Y314" s="271"/>
      <c r="Z314" s="271"/>
      <c r="AA314" s="271"/>
      <c r="AB314" s="271"/>
      <c r="AC314" s="271"/>
      <c r="AD314" s="271"/>
      <c r="AE314" s="271"/>
      <c r="AF314" s="271"/>
      <c r="AG314" s="271"/>
      <c r="AH314" s="271"/>
      <c r="AI314" s="271"/>
    </row>
    <row r="315" spans="21:35" ht="12.75">
      <c r="U315" s="271"/>
      <c r="V315" s="271"/>
      <c r="W315" s="271"/>
      <c r="X315" s="271"/>
      <c r="Y315" s="271"/>
      <c r="Z315" s="271"/>
      <c r="AA315" s="271"/>
      <c r="AB315" s="271"/>
      <c r="AC315" s="271"/>
      <c r="AD315" s="271"/>
      <c r="AE315" s="271"/>
      <c r="AF315" s="271"/>
      <c r="AG315" s="271"/>
      <c r="AH315" s="271"/>
      <c r="AI315" s="271"/>
    </row>
    <row r="316" spans="21:35" ht="12.75">
      <c r="U316" s="271"/>
      <c r="V316" s="271"/>
      <c r="W316" s="271"/>
      <c r="X316" s="271"/>
      <c r="Y316" s="271"/>
      <c r="Z316" s="271"/>
      <c r="AA316" s="271"/>
      <c r="AB316" s="271"/>
      <c r="AC316" s="271"/>
      <c r="AD316" s="271"/>
      <c r="AE316" s="271"/>
      <c r="AF316" s="271"/>
      <c r="AG316" s="271"/>
      <c r="AH316" s="271"/>
      <c r="AI316" s="271"/>
    </row>
  </sheetData>
  <sheetProtection/>
  <mergeCells count="11">
    <mergeCell ref="M10:M11"/>
    <mergeCell ref="N10:N11"/>
    <mergeCell ref="O10:O11"/>
    <mergeCell ref="P10:P11"/>
    <mergeCell ref="J1:L1"/>
    <mergeCell ref="G10:G11"/>
    <mergeCell ref="H10:H11"/>
    <mergeCell ref="I10:I11"/>
    <mergeCell ref="J10:J11"/>
    <mergeCell ref="K10:K11"/>
    <mergeCell ref="L10:L11"/>
  </mergeCells>
  <printOptions horizontalCentered="1"/>
  <pageMargins left="0.3937007874015748" right="0.3937007874015748" top="0.3937007874015748" bottom="0.3937007874015748" header="0.11811023622047245" footer="0.11811023622047245"/>
  <pageSetup fitToHeight="1" fitToWidth="1" horizontalDpi="600" verticalDpi="600" orientation="landscape" scale="72"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N80"/>
  <sheetViews>
    <sheetView showGridLines="0" tabSelected="1" zoomScale="75" zoomScaleNormal="75" workbookViewId="0" topLeftCell="D32">
      <selection activeCell="L69" sqref="L69"/>
    </sheetView>
  </sheetViews>
  <sheetFormatPr defaultColWidth="11.421875" defaultRowHeight="12.75"/>
  <cols>
    <col min="1" max="1" width="4.7109375" style="0" customWidth="1"/>
    <col min="2" max="2" width="3.8515625" style="0" customWidth="1"/>
    <col min="3" max="3" width="2.57421875" style="0" customWidth="1"/>
    <col min="4" max="4" width="6.8515625" style="0" customWidth="1"/>
    <col min="5" max="6" width="9.140625" style="0" customWidth="1"/>
    <col min="7" max="7" width="10.7109375" style="0" customWidth="1"/>
    <col min="8" max="8" width="10.28125" style="0" customWidth="1"/>
    <col min="9" max="9" width="1.421875" style="0" customWidth="1"/>
    <col min="10" max="10" width="12.00390625" style="0" customWidth="1"/>
    <col min="11" max="11" width="1.1484375" style="0" customWidth="1"/>
    <col min="12" max="12" width="13.7109375" style="0" customWidth="1"/>
    <col min="13" max="13" width="3.421875" style="0" customWidth="1"/>
    <col min="14" max="16" width="12.28125" style="0" customWidth="1"/>
    <col min="17" max="17" width="8.421875" style="0" customWidth="1"/>
    <col min="18" max="18" width="1.7109375" style="0" customWidth="1"/>
    <col min="19" max="19" width="7.8515625" style="0" customWidth="1"/>
    <col min="20" max="20" width="11.28125" style="0" customWidth="1"/>
    <col min="21" max="21" width="12.00390625" style="0" customWidth="1"/>
    <col min="22" max="22" width="7.57421875" style="0" customWidth="1"/>
    <col min="23" max="25" width="9.140625" style="0" customWidth="1"/>
    <col min="26" max="26" width="9.140625" style="678" customWidth="1"/>
    <col min="27" max="40" width="9.140625" style="678" hidden="1" customWidth="1"/>
    <col min="41" max="41" width="9.140625" style="678" customWidth="1"/>
    <col min="42" max="16384" width="9.140625" style="0" customWidth="1"/>
  </cols>
  <sheetData>
    <row r="1" spans="1:24" ht="24" thickBot="1" thickTop="1">
      <c r="A1" s="920" t="s">
        <v>541</v>
      </c>
      <c r="B1" s="177"/>
      <c r="C1" s="173"/>
      <c r="D1" s="173"/>
      <c r="E1" s="176"/>
      <c r="F1" s="176"/>
      <c r="H1" s="176"/>
      <c r="I1" s="176"/>
      <c r="K1" s="176"/>
      <c r="L1" s="969" t="s">
        <v>471</v>
      </c>
      <c r="M1" s="970"/>
      <c r="N1" s="971"/>
      <c r="O1" s="176"/>
      <c r="P1" s="176"/>
      <c r="Q1" s="176"/>
      <c r="R1" s="176"/>
      <c r="S1" s="176"/>
      <c r="T1" s="176"/>
      <c r="U1" s="444" t="s">
        <v>427</v>
      </c>
      <c r="V1" s="176"/>
      <c r="W1" s="176"/>
      <c r="X1" s="176"/>
    </row>
    <row r="2" spans="2:24" ht="9" customHeight="1" thickBot="1" thickTop="1">
      <c r="B2" s="176"/>
      <c r="C2" s="176"/>
      <c r="D2" s="176"/>
      <c r="E2" s="176"/>
      <c r="F2" s="176"/>
      <c r="G2" s="176"/>
      <c r="H2" s="176"/>
      <c r="I2" s="176"/>
      <c r="J2" s="176"/>
      <c r="K2" s="176"/>
      <c r="L2" s="176"/>
      <c r="M2" s="176"/>
      <c r="N2" s="176"/>
      <c r="O2" s="176"/>
      <c r="P2" s="176"/>
      <c r="Q2" s="176"/>
      <c r="R2" s="176"/>
      <c r="S2" s="176"/>
      <c r="T2" s="176"/>
      <c r="U2" s="176"/>
      <c r="V2" s="176"/>
      <c r="W2" s="176"/>
      <c r="X2" s="176"/>
    </row>
    <row r="3" spans="1:21" ht="3" customHeight="1" thickTop="1">
      <c r="A3" s="3"/>
      <c r="B3" s="4"/>
      <c r="C3" s="4"/>
      <c r="D3" s="4"/>
      <c r="E3" s="4"/>
      <c r="F3" s="4"/>
      <c r="G3" s="4"/>
      <c r="H3" s="4"/>
      <c r="I3" s="4"/>
      <c r="J3" s="4"/>
      <c r="K3" s="4"/>
      <c r="L3" s="4"/>
      <c r="M3" s="4"/>
      <c r="N3" s="4"/>
      <c r="O3" s="4"/>
      <c r="P3" s="4"/>
      <c r="Q3" s="4"/>
      <c r="R3" s="4"/>
      <c r="S3" s="4"/>
      <c r="T3" s="4"/>
      <c r="U3" s="5"/>
    </row>
    <row r="4" spans="1:24" ht="15.75" customHeight="1">
      <c r="A4" s="55"/>
      <c r="B4" s="52" t="s">
        <v>147</v>
      </c>
      <c r="C4" s="7"/>
      <c r="D4" s="7"/>
      <c r="E4" s="149" t="s">
        <v>411</v>
      </c>
      <c r="F4" s="8"/>
      <c r="G4" s="8"/>
      <c r="H4" s="7"/>
      <c r="I4" s="7"/>
      <c r="J4" s="42"/>
      <c r="K4" s="7"/>
      <c r="L4" s="42"/>
      <c r="M4" s="7"/>
      <c r="N4" s="7"/>
      <c r="O4" s="7"/>
      <c r="P4" s="7"/>
      <c r="Q4" s="7"/>
      <c r="R4" s="7"/>
      <c r="S4" s="7"/>
      <c r="T4" s="7"/>
      <c r="U4" s="12"/>
      <c r="V4" s="176"/>
      <c r="W4" s="176"/>
      <c r="X4" s="176"/>
    </row>
    <row r="5" spans="1:24" ht="3" customHeight="1" thickBot="1">
      <c r="A5" s="45"/>
      <c r="B5" s="46"/>
      <c r="C5" s="46"/>
      <c r="D5" s="46"/>
      <c r="E5" s="46"/>
      <c r="F5" s="46"/>
      <c r="G5" s="46"/>
      <c r="H5" s="56"/>
      <c r="I5" s="57"/>
      <c r="J5" s="56"/>
      <c r="K5" s="57"/>
      <c r="L5" s="56"/>
      <c r="M5" s="57"/>
      <c r="N5" s="56"/>
      <c r="O5" s="56"/>
      <c r="P5" s="56"/>
      <c r="Q5" s="56"/>
      <c r="R5" s="56"/>
      <c r="S5" s="56"/>
      <c r="T5" s="56"/>
      <c r="U5" s="58"/>
      <c r="V5" s="176"/>
      <c r="W5" s="176"/>
      <c r="X5" s="176"/>
    </row>
    <row r="6" spans="1:24" ht="5.25" customHeight="1" thickTop="1">
      <c r="A6" s="6"/>
      <c r="B6" s="7"/>
      <c r="C6" s="59"/>
      <c r="D6" s="7"/>
      <c r="E6" s="7"/>
      <c r="F6" s="7"/>
      <c r="G6" s="59"/>
      <c r="H6" s="7"/>
      <c r="I6" s="59"/>
      <c r="J6" s="7"/>
      <c r="K6" s="59"/>
      <c r="L6" s="7"/>
      <c r="M6" s="59"/>
      <c r="N6" s="7"/>
      <c r="O6" s="7"/>
      <c r="P6" s="59"/>
      <c r="Q6" s="7"/>
      <c r="R6" s="59"/>
      <c r="S6" s="7"/>
      <c r="T6" s="59"/>
      <c r="U6" s="12"/>
      <c r="V6" s="176"/>
      <c r="W6" s="176"/>
      <c r="X6" s="176"/>
    </row>
    <row r="7" spans="1:24" ht="12.75">
      <c r="A7" s="6"/>
      <c r="B7" s="7"/>
      <c r="C7" s="59"/>
      <c r="D7" s="7" t="s">
        <v>148</v>
      </c>
      <c r="E7" s="8"/>
      <c r="F7" s="7"/>
      <c r="G7" s="691" t="s">
        <v>465</v>
      </c>
      <c r="H7" s="60" t="s">
        <v>149</v>
      </c>
      <c r="I7" s="61"/>
      <c r="J7" s="41" t="s">
        <v>150</v>
      </c>
      <c r="K7" s="61"/>
      <c r="L7" s="60" t="s">
        <v>119</v>
      </c>
      <c r="M7" s="61"/>
      <c r="N7" s="62" t="s">
        <v>151</v>
      </c>
      <c r="O7" s="19"/>
      <c r="P7" s="63"/>
      <c r="Q7" s="60" t="s">
        <v>152</v>
      </c>
      <c r="R7" s="59"/>
      <c r="S7" s="15" t="s">
        <v>153</v>
      </c>
      <c r="T7" s="64"/>
      <c r="U7" s="65" t="s">
        <v>403</v>
      </c>
      <c r="V7" s="176"/>
      <c r="W7" s="176"/>
      <c r="X7" s="176"/>
    </row>
    <row r="8" spans="1:24" ht="12.75">
      <c r="A8" s="6"/>
      <c r="B8" s="7"/>
      <c r="C8" s="59"/>
      <c r="D8" s="7"/>
      <c r="E8" s="7"/>
      <c r="F8" s="7"/>
      <c r="G8" s="691" t="s">
        <v>466</v>
      </c>
      <c r="H8" s="60" t="s">
        <v>154</v>
      </c>
      <c r="I8" s="61"/>
      <c r="J8" s="60" t="s">
        <v>155</v>
      </c>
      <c r="K8" s="61"/>
      <c r="L8" s="60" t="s">
        <v>71</v>
      </c>
      <c r="M8" s="61"/>
      <c r="N8" s="228" t="s">
        <v>156</v>
      </c>
      <c r="O8" s="533" t="s">
        <v>404</v>
      </c>
      <c r="P8" s="534" t="s">
        <v>405</v>
      </c>
      <c r="Q8" s="60" t="s">
        <v>157</v>
      </c>
      <c r="R8" s="59"/>
      <c r="S8" s="66" t="s">
        <v>158</v>
      </c>
      <c r="T8" s="68"/>
      <c r="U8" s="69" t="s">
        <v>406</v>
      </c>
      <c r="V8" s="176"/>
      <c r="W8" s="176"/>
      <c r="X8" s="176"/>
    </row>
    <row r="9" spans="1:24" ht="15.75">
      <c r="A9" s="6"/>
      <c r="B9" s="7"/>
      <c r="C9" s="59"/>
      <c r="D9" s="7"/>
      <c r="E9" s="97" t="s">
        <v>464</v>
      </c>
      <c r="F9" s="7"/>
      <c r="G9" s="896"/>
      <c r="H9" s="535"/>
      <c r="I9" s="61"/>
      <c r="J9" s="536" t="str">
        <f>'C1-PRODN'!F17</f>
        <v>has</v>
      </c>
      <c r="K9" s="61"/>
      <c r="L9" s="537" t="str">
        <f>J9</f>
        <v>has</v>
      </c>
      <c r="M9" s="538"/>
      <c r="N9" s="539" t="str">
        <f>L9</f>
        <v>has</v>
      </c>
      <c r="O9" s="539" t="str">
        <f>N9</f>
        <v>has</v>
      </c>
      <c r="P9" s="539" t="str">
        <f>O9</f>
        <v>has</v>
      </c>
      <c r="Q9" s="33" t="s">
        <v>160</v>
      </c>
      <c r="R9" s="59"/>
      <c r="S9" s="70" t="s">
        <v>159</v>
      </c>
      <c r="T9" s="539" t="str">
        <f>P9</f>
        <v>has</v>
      </c>
      <c r="U9" s="540" t="str">
        <f>T9</f>
        <v>has</v>
      </c>
      <c r="V9" s="176"/>
      <c r="W9" s="176"/>
      <c r="X9" s="176"/>
    </row>
    <row r="10" spans="1:24" ht="9.75" customHeight="1">
      <c r="A10" s="18"/>
      <c r="B10" s="19"/>
      <c r="C10" s="63"/>
      <c r="D10" s="19"/>
      <c r="E10" s="19"/>
      <c r="F10" s="541"/>
      <c r="G10" s="895">
        <v>1</v>
      </c>
      <c r="H10" s="71">
        <v>2</v>
      </c>
      <c r="I10" s="72"/>
      <c r="J10" s="71">
        <v>3</v>
      </c>
      <c r="K10" s="72"/>
      <c r="L10" s="71" t="s">
        <v>407</v>
      </c>
      <c r="M10" s="72"/>
      <c r="N10" s="73">
        <v>5</v>
      </c>
      <c r="O10" s="73">
        <v>6</v>
      </c>
      <c r="P10" s="72" t="s">
        <v>408</v>
      </c>
      <c r="Q10" s="71">
        <v>8</v>
      </c>
      <c r="R10" s="72"/>
      <c r="S10" s="72">
        <v>9</v>
      </c>
      <c r="T10" s="73" t="s">
        <v>409</v>
      </c>
      <c r="U10" s="74">
        <v>11</v>
      </c>
      <c r="V10" s="176"/>
      <c r="W10" s="176"/>
      <c r="X10" s="176"/>
    </row>
    <row r="11" spans="1:40" ht="18" customHeight="1">
      <c r="A11" s="75" t="s">
        <v>161</v>
      </c>
      <c r="B11" s="7"/>
      <c r="C11" s="59"/>
      <c r="D11" s="262" t="s">
        <v>612</v>
      </c>
      <c r="E11" s="262"/>
      <c r="F11" s="260"/>
      <c r="G11" s="938" t="s">
        <v>618</v>
      </c>
      <c r="H11" s="243">
        <v>67</v>
      </c>
      <c r="I11" s="432"/>
      <c r="J11" s="940">
        <v>1200</v>
      </c>
      <c r="K11" s="542"/>
      <c r="L11" s="630">
        <f aca="true" t="shared" si="0" ref="L11:L32">+(H11*J11)</f>
        <v>80400</v>
      </c>
      <c r="M11" s="77"/>
      <c r="N11" s="671">
        <f>+L11*0.6</f>
        <v>48240</v>
      </c>
      <c r="O11" s="314">
        <f>+L11*0.4</f>
        <v>32160</v>
      </c>
      <c r="P11" s="631">
        <f aca="true" t="shared" si="1" ref="P11:P32">L11-(N11+O11)</f>
        <v>0</v>
      </c>
      <c r="Q11" s="638">
        <v>6</v>
      </c>
      <c r="R11" s="544"/>
      <c r="S11" s="688">
        <v>0.01</v>
      </c>
      <c r="T11" s="639">
        <f aca="true" t="shared" si="2" ref="T11:T32">+S11*L11</f>
        <v>804</v>
      </c>
      <c r="U11" s="634">
        <f>O11*0.3</f>
        <v>9648</v>
      </c>
      <c r="V11" s="176"/>
      <c r="W11" s="176"/>
      <c r="X11" s="176"/>
      <c r="AA11" s="677">
        <f aca="true" t="shared" si="3" ref="AA11:AA16">(L11-U11)/Q11</f>
        <v>11792</v>
      </c>
      <c r="AB11" s="677">
        <f aca="true" t="shared" si="4" ref="AB11:AB72">IF($Q11&gt;12,$AA11*($Q11-12)+$U11,0)</f>
        <v>0</v>
      </c>
      <c r="AC11" s="677">
        <f aca="true" t="shared" si="5" ref="AC11:AC72">IF($Q11=12,($AA11*12)+$U11,0)</f>
        <v>0</v>
      </c>
      <c r="AD11" s="677">
        <f aca="true" t="shared" si="6" ref="AD11:AD72">IF($Q11=11,($AA11*10)+$U11,0)</f>
        <v>0</v>
      </c>
      <c r="AE11" s="677">
        <f aca="true" t="shared" si="7" ref="AE11:AE72">IF($Q11=10,($AA11*8)+$U11,0)</f>
        <v>0</v>
      </c>
      <c r="AF11" s="677">
        <f aca="true" t="shared" si="8" ref="AF11:AF72">IF($Q11=9,($AA11*7)+$U11,0)</f>
        <v>0</v>
      </c>
      <c r="AG11" s="677">
        <f aca="true" t="shared" si="9" ref="AG11:AG72">IF($Q11=8,($AA11*4)+$U11,0)</f>
        <v>0</v>
      </c>
      <c r="AH11" s="677">
        <f aca="true" t="shared" si="10" ref="AH11:AH72">IF($Q11=7,($AA11*2)+$U11,0)</f>
        <v>0</v>
      </c>
      <c r="AI11" s="677">
        <f aca="true" t="shared" si="11" ref="AI11:AI72">IF($Q11=6,($AA11*6)+$U11,0)</f>
        <v>80400</v>
      </c>
      <c r="AJ11" s="677">
        <f aca="true" t="shared" si="12" ref="AJ11:AJ72">IF($Q11=5,($AA11*3)+$U11,0)</f>
        <v>0</v>
      </c>
      <c r="AK11" s="677">
        <f aca="true" t="shared" si="13" ref="AK11:AK72">IF($Q11=4,($AA11*4)+$U11,0)</f>
        <v>0</v>
      </c>
      <c r="AL11" s="677">
        <f aca="true" t="shared" si="14" ref="AL11:AL72">IF($Q11=3,($AA11*3)+$U11,0)</f>
        <v>0</v>
      </c>
      <c r="AM11" s="677">
        <f aca="true" t="shared" si="15" ref="AM11:AM72">IF($Q11=2,($AA11*2)+$U11,0)</f>
        <v>0</v>
      </c>
      <c r="AN11" s="677">
        <f aca="true" t="shared" si="16" ref="AN11:AN16">SUM(AB11:AM11)</f>
        <v>80400</v>
      </c>
    </row>
    <row r="12" spans="1:40" ht="18" customHeight="1">
      <c r="A12" s="75" t="s">
        <v>162</v>
      </c>
      <c r="B12" s="7"/>
      <c r="C12" s="59"/>
      <c r="D12" s="937" t="s">
        <v>613</v>
      </c>
      <c r="E12" s="262"/>
      <c r="F12" s="260"/>
      <c r="G12" s="938" t="s">
        <v>619</v>
      </c>
      <c r="H12" s="939">
        <v>85559</v>
      </c>
      <c r="I12" s="432"/>
      <c r="J12" s="940">
        <v>0.7</v>
      </c>
      <c r="K12" s="542"/>
      <c r="L12" s="630">
        <f t="shared" si="0"/>
        <v>59891.299999999996</v>
      </c>
      <c r="M12" s="77"/>
      <c r="N12" s="671">
        <f>+L12*0.8</f>
        <v>47913.04</v>
      </c>
      <c r="O12" s="314">
        <f>+L12*0.2</f>
        <v>11978.26</v>
      </c>
      <c r="P12" s="631">
        <f t="shared" si="1"/>
        <v>0</v>
      </c>
      <c r="Q12" s="244"/>
      <c r="R12" s="544"/>
      <c r="S12" s="689"/>
      <c r="T12" s="639">
        <f t="shared" si="2"/>
        <v>0</v>
      </c>
      <c r="U12" s="634"/>
      <c r="V12" s="176"/>
      <c r="W12" s="176"/>
      <c r="X12" s="176"/>
      <c r="AA12" s="677" t="e">
        <f t="shared" si="3"/>
        <v>#DIV/0!</v>
      </c>
      <c r="AB12" s="677">
        <f t="shared" si="4"/>
        <v>0</v>
      </c>
      <c r="AC12" s="677">
        <f t="shared" si="5"/>
        <v>0</v>
      </c>
      <c r="AD12" s="677">
        <f t="shared" si="6"/>
        <v>0</v>
      </c>
      <c r="AE12" s="677">
        <f t="shared" si="7"/>
        <v>0</v>
      </c>
      <c r="AF12" s="677">
        <f t="shared" si="8"/>
        <v>0</v>
      </c>
      <c r="AG12" s="677">
        <f t="shared" si="9"/>
        <v>0</v>
      </c>
      <c r="AH12" s="677">
        <f t="shared" si="10"/>
        <v>0</v>
      </c>
      <c r="AI12" s="677">
        <f t="shared" si="11"/>
        <v>0</v>
      </c>
      <c r="AJ12" s="677">
        <f t="shared" si="12"/>
        <v>0</v>
      </c>
      <c r="AK12" s="677">
        <f t="shared" si="13"/>
        <v>0</v>
      </c>
      <c r="AL12" s="677">
        <f t="shared" si="14"/>
        <v>0</v>
      </c>
      <c r="AM12" s="677">
        <f t="shared" si="15"/>
        <v>0</v>
      </c>
      <c r="AN12" s="677">
        <f t="shared" si="16"/>
        <v>0</v>
      </c>
    </row>
    <row r="13" spans="1:40" ht="18" customHeight="1">
      <c r="A13" s="75" t="s">
        <v>163</v>
      </c>
      <c r="B13" s="7"/>
      <c r="C13" s="59"/>
      <c r="D13" s="937" t="s">
        <v>614</v>
      </c>
      <c r="E13" s="262"/>
      <c r="F13" s="260"/>
      <c r="G13" s="938" t="s">
        <v>619</v>
      </c>
      <c r="H13" s="939">
        <f>278*67</f>
        <v>18626</v>
      </c>
      <c r="I13" s="432"/>
      <c r="J13" s="940">
        <v>0.18</v>
      </c>
      <c r="K13" s="542"/>
      <c r="L13" s="630">
        <f t="shared" si="0"/>
        <v>3352.68</v>
      </c>
      <c r="M13" s="77"/>
      <c r="N13" s="671">
        <f>+L13*0.8</f>
        <v>2682.1440000000002</v>
      </c>
      <c r="O13" s="314">
        <f>+L13*0.2</f>
        <v>670.5360000000001</v>
      </c>
      <c r="P13" s="631">
        <f t="shared" si="1"/>
        <v>0</v>
      </c>
      <c r="Q13" s="244"/>
      <c r="R13" s="544"/>
      <c r="S13" s="689"/>
      <c r="T13" s="639">
        <f t="shared" si="2"/>
        <v>0</v>
      </c>
      <c r="U13" s="634"/>
      <c r="V13" s="176"/>
      <c r="W13" s="176"/>
      <c r="X13" s="176"/>
      <c r="AA13" s="677" t="e">
        <f t="shared" si="3"/>
        <v>#DIV/0!</v>
      </c>
      <c r="AB13" s="677">
        <f t="shared" si="4"/>
        <v>0</v>
      </c>
      <c r="AC13" s="677">
        <f t="shared" si="5"/>
        <v>0</v>
      </c>
      <c r="AD13" s="677">
        <f t="shared" si="6"/>
        <v>0</v>
      </c>
      <c r="AE13" s="677">
        <f t="shared" si="7"/>
        <v>0</v>
      </c>
      <c r="AF13" s="677">
        <f t="shared" si="8"/>
        <v>0</v>
      </c>
      <c r="AG13" s="677">
        <f t="shared" si="9"/>
        <v>0</v>
      </c>
      <c r="AH13" s="677">
        <f t="shared" si="10"/>
        <v>0</v>
      </c>
      <c r="AI13" s="677">
        <f t="shared" si="11"/>
        <v>0</v>
      </c>
      <c r="AJ13" s="677">
        <f t="shared" si="12"/>
        <v>0</v>
      </c>
      <c r="AK13" s="677">
        <f t="shared" si="13"/>
        <v>0</v>
      </c>
      <c r="AL13" s="677">
        <f t="shared" si="14"/>
        <v>0</v>
      </c>
      <c r="AM13" s="677">
        <f t="shared" si="15"/>
        <v>0</v>
      </c>
      <c r="AN13" s="677">
        <f t="shared" si="16"/>
        <v>0</v>
      </c>
    </row>
    <row r="14" spans="1:40" ht="18" customHeight="1">
      <c r="A14" s="75" t="s">
        <v>164</v>
      </c>
      <c r="B14" s="7"/>
      <c r="C14" s="59"/>
      <c r="D14" s="937" t="s">
        <v>615</v>
      </c>
      <c r="E14" s="262"/>
      <c r="F14" s="260"/>
      <c r="G14" s="938" t="s">
        <v>620</v>
      </c>
      <c r="H14" s="939">
        <f>278*67</f>
        <v>18626</v>
      </c>
      <c r="I14" s="432"/>
      <c r="J14" s="940">
        <v>0.3</v>
      </c>
      <c r="K14" s="542"/>
      <c r="L14" s="630">
        <f t="shared" si="0"/>
        <v>5587.8</v>
      </c>
      <c r="M14" s="78"/>
      <c r="N14" s="671">
        <f>+L14*0.8</f>
        <v>4470.240000000001</v>
      </c>
      <c r="O14" s="314">
        <f>+L14*0.2</f>
        <v>1117.5600000000002</v>
      </c>
      <c r="P14" s="631">
        <f t="shared" si="1"/>
        <v>0</v>
      </c>
      <c r="Q14" s="244"/>
      <c r="R14" s="544"/>
      <c r="S14" s="689"/>
      <c r="T14" s="639">
        <f t="shared" si="2"/>
        <v>0</v>
      </c>
      <c r="U14" s="634"/>
      <c r="V14" s="176"/>
      <c r="W14" s="176"/>
      <c r="X14" s="176"/>
      <c r="AA14" s="677" t="e">
        <f t="shared" si="3"/>
        <v>#DIV/0!</v>
      </c>
      <c r="AB14" s="677">
        <f t="shared" si="4"/>
        <v>0</v>
      </c>
      <c r="AC14" s="677">
        <f t="shared" si="5"/>
        <v>0</v>
      </c>
      <c r="AD14" s="677">
        <f t="shared" si="6"/>
        <v>0</v>
      </c>
      <c r="AE14" s="677">
        <f t="shared" si="7"/>
        <v>0</v>
      </c>
      <c r="AF14" s="677">
        <f t="shared" si="8"/>
        <v>0</v>
      </c>
      <c r="AG14" s="677">
        <f t="shared" si="9"/>
        <v>0</v>
      </c>
      <c r="AH14" s="677">
        <f t="shared" si="10"/>
        <v>0</v>
      </c>
      <c r="AI14" s="677">
        <f t="shared" si="11"/>
        <v>0</v>
      </c>
      <c r="AJ14" s="677">
        <f t="shared" si="12"/>
        <v>0</v>
      </c>
      <c r="AK14" s="677">
        <f t="shared" si="13"/>
        <v>0</v>
      </c>
      <c r="AL14" s="677">
        <f t="shared" si="14"/>
        <v>0</v>
      </c>
      <c r="AM14" s="677">
        <f t="shared" si="15"/>
        <v>0</v>
      </c>
      <c r="AN14" s="677">
        <f t="shared" si="16"/>
        <v>0</v>
      </c>
    </row>
    <row r="15" spans="1:40" ht="18" customHeight="1">
      <c r="A15" s="75" t="s">
        <v>165</v>
      </c>
      <c r="B15" s="7"/>
      <c r="C15" s="59"/>
      <c r="D15" s="937" t="s">
        <v>616</v>
      </c>
      <c r="E15" s="262"/>
      <c r="F15" s="260"/>
      <c r="G15" s="938" t="s">
        <v>619</v>
      </c>
      <c r="H15" s="939">
        <f>278*67</f>
        <v>18626</v>
      </c>
      <c r="I15" s="432"/>
      <c r="J15" s="940">
        <v>0.2</v>
      </c>
      <c r="K15" s="542"/>
      <c r="L15" s="630">
        <f t="shared" si="0"/>
        <v>3725.2000000000003</v>
      </c>
      <c r="M15" s="78"/>
      <c r="N15" s="671">
        <f>+L15*0.8</f>
        <v>2980.1600000000003</v>
      </c>
      <c r="O15" s="314">
        <f>+L15*0.2</f>
        <v>745.0400000000001</v>
      </c>
      <c r="P15" s="631">
        <f t="shared" si="1"/>
        <v>0</v>
      </c>
      <c r="Q15" s="244"/>
      <c r="R15" s="544"/>
      <c r="S15" s="689"/>
      <c r="T15" s="639">
        <f t="shared" si="2"/>
        <v>0</v>
      </c>
      <c r="U15" s="634"/>
      <c r="V15" s="176"/>
      <c r="W15" s="176"/>
      <c r="X15" s="176"/>
      <c r="AA15" s="677" t="e">
        <f t="shared" si="3"/>
        <v>#DIV/0!</v>
      </c>
      <c r="AB15" s="677">
        <f t="shared" si="4"/>
        <v>0</v>
      </c>
      <c r="AC15" s="677">
        <f t="shared" si="5"/>
        <v>0</v>
      </c>
      <c r="AD15" s="677">
        <f t="shared" si="6"/>
        <v>0</v>
      </c>
      <c r="AE15" s="677">
        <f t="shared" si="7"/>
        <v>0</v>
      </c>
      <c r="AF15" s="677">
        <f t="shared" si="8"/>
        <v>0</v>
      </c>
      <c r="AG15" s="677">
        <f t="shared" si="9"/>
        <v>0</v>
      </c>
      <c r="AH15" s="677">
        <f t="shared" si="10"/>
        <v>0</v>
      </c>
      <c r="AI15" s="677">
        <f t="shared" si="11"/>
        <v>0</v>
      </c>
      <c r="AJ15" s="677">
        <f t="shared" si="12"/>
        <v>0</v>
      </c>
      <c r="AK15" s="677">
        <f t="shared" si="13"/>
        <v>0</v>
      </c>
      <c r="AL15" s="677">
        <f t="shared" si="14"/>
        <v>0</v>
      </c>
      <c r="AM15" s="677">
        <f t="shared" si="15"/>
        <v>0</v>
      </c>
      <c r="AN15" s="677">
        <f t="shared" si="16"/>
        <v>0</v>
      </c>
    </row>
    <row r="16" spans="1:40" ht="18" customHeight="1">
      <c r="A16" s="75" t="s">
        <v>166</v>
      </c>
      <c r="B16" s="7"/>
      <c r="C16" s="59"/>
      <c r="D16" s="937" t="s">
        <v>617</v>
      </c>
      <c r="E16" s="262"/>
      <c r="F16" s="260"/>
      <c r="G16" s="938" t="s">
        <v>621</v>
      </c>
      <c r="H16" s="939">
        <f>1700*67</f>
        <v>113900</v>
      </c>
      <c r="I16" s="432"/>
      <c r="J16" s="940">
        <v>0.08</v>
      </c>
      <c r="K16" s="542"/>
      <c r="L16" s="630">
        <f t="shared" si="0"/>
        <v>9112</v>
      </c>
      <c r="M16" s="78"/>
      <c r="N16" s="671">
        <f>+L16*0.6</f>
        <v>5467.2</v>
      </c>
      <c r="O16" s="314">
        <f>+L16*0.4</f>
        <v>3644.8</v>
      </c>
      <c r="P16" s="631">
        <f t="shared" si="1"/>
        <v>0</v>
      </c>
      <c r="Q16" s="244"/>
      <c r="R16" s="544"/>
      <c r="S16" s="689"/>
      <c r="T16" s="639">
        <f t="shared" si="2"/>
        <v>0</v>
      </c>
      <c r="U16" s="635"/>
      <c r="V16" s="176"/>
      <c r="W16" s="176"/>
      <c r="X16" s="176"/>
      <c r="AA16" s="677" t="e">
        <f t="shared" si="3"/>
        <v>#DIV/0!</v>
      </c>
      <c r="AB16" s="677">
        <f t="shared" si="4"/>
        <v>0</v>
      </c>
      <c r="AC16" s="677">
        <f t="shared" si="5"/>
        <v>0</v>
      </c>
      <c r="AD16" s="677">
        <f t="shared" si="6"/>
        <v>0</v>
      </c>
      <c r="AE16" s="677">
        <f t="shared" si="7"/>
        <v>0</v>
      </c>
      <c r="AF16" s="677">
        <f t="shared" si="8"/>
        <v>0</v>
      </c>
      <c r="AG16" s="677">
        <f t="shared" si="9"/>
        <v>0</v>
      </c>
      <c r="AH16" s="677">
        <f t="shared" si="10"/>
        <v>0</v>
      </c>
      <c r="AI16" s="677">
        <f t="shared" si="11"/>
        <v>0</v>
      </c>
      <c r="AJ16" s="677">
        <f t="shared" si="12"/>
        <v>0</v>
      </c>
      <c r="AK16" s="677">
        <f t="shared" si="13"/>
        <v>0</v>
      </c>
      <c r="AL16" s="677">
        <f t="shared" si="14"/>
        <v>0</v>
      </c>
      <c r="AM16" s="677">
        <f t="shared" si="15"/>
        <v>0</v>
      </c>
      <c r="AN16" s="677">
        <f t="shared" si="16"/>
        <v>0</v>
      </c>
    </row>
    <row r="17" spans="1:40" ht="18" customHeight="1">
      <c r="A17" s="75">
        <v>7</v>
      </c>
      <c r="B17" s="7"/>
      <c r="C17" s="59"/>
      <c r="D17" s="937" t="s">
        <v>51</v>
      </c>
      <c r="E17" s="262"/>
      <c r="F17" s="260"/>
      <c r="G17" s="938" t="s">
        <v>622</v>
      </c>
      <c r="H17" s="939">
        <f>580*67</f>
        <v>38860</v>
      </c>
      <c r="I17" s="432"/>
      <c r="J17" s="940">
        <v>0.3</v>
      </c>
      <c r="K17" s="542"/>
      <c r="L17" s="630">
        <f aca="true" t="shared" si="17" ref="L17:L23">+(H17*J17)</f>
        <v>11658</v>
      </c>
      <c r="M17" s="77"/>
      <c r="N17" s="671">
        <f>+L17*0.8</f>
        <v>9326.4</v>
      </c>
      <c r="O17" s="314">
        <f>+L17*0.2</f>
        <v>2331.6</v>
      </c>
      <c r="P17" s="631">
        <f aca="true" t="shared" si="18" ref="P17:P23">L17-(N17+O17)</f>
        <v>0</v>
      </c>
      <c r="Q17" s="244"/>
      <c r="R17" s="544"/>
      <c r="S17" s="689"/>
      <c r="T17" s="639">
        <f aca="true" t="shared" si="19" ref="T17:T23">+S17*L17</f>
        <v>0</v>
      </c>
      <c r="U17" s="635"/>
      <c r="V17" s="176"/>
      <c r="W17" s="176"/>
      <c r="X17" s="176"/>
      <c r="AA17" s="677" t="e">
        <f aca="true" t="shared" si="20" ref="AA17:AA23">(L17-U17)/Q17</f>
        <v>#DIV/0!</v>
      </c>
      <c r="AB17" s="677">
        <f t="shared" si="4"/>
        <v>0</v>
      </c>
      <c r="AC17" s="677">
        <f t="shared" si="5"/>
        <v>0</v>
      </c>
      <c r="AD17" s="677">
        <f t="shared" si="6"/>
        <v>0</v>
      </c>
      <c r="AE17" s="677">
        <f t="shared" si="7"/>
        <v>0</v>
      </c>
      <c r="AF17" s="677">
        <f t="shared" si="8"/>
        <v>0</v>
      </c>
      <c r="AG17" s="677">
        <f t="shared" si="9"/>
        <v>0</v>
      </c>
      <c r="AH17" s="677">
        <f t="shared" si="10"/>
        <v>0</v>
      </c>
      <c r="AI17" s="677">
        <f t="shared" si="11"/>
        <v>0</v>
      </c>
      <c r="AJ17" s="677">
        <f t="shared" si="12"/>
        <v>0</v>
      </c>
      <c r="AK17" s="677">
        <f t="shared" si="13"/>
        <v>0</v>
      </c>
      <c r="AL17" s="677">
        <f t="shared" si="14"/>
        <v>0</v>
      </c>
      <c r="AM17" s="677">
        <f t="shared" si="15"/>
        <v>0</v>
      </c>
      <c r="AN17" s="677">
        <f aca="true" t="shared" si="21" ref="AN17:AN23">SUM(AB17:AM17)</f>
        <v>0</v>
      </c>
    </row>
    <row r="18" spans="1:40" ht="18" customHeight="1">
      <c r="A18" s="75">
        <v>9</v>
      </c>
      <c r="B18" s="7"/>
      <c r="C18" s="59"/>
      <c r="D18" s="543"/>
      <c r="E18" s="262"/>
      <c r="F18" s="928"/>
      <c r="G18" s="929"/>
      <c r="H18" s="930"/>
      <c r="I18" s="931"/>
      <c r="J18" s="932"/>
      <c r="K18" s="542"/>
      <c r="L18" s="630">
        <f>+(H18*J18)</f>
        <v>0</v>
      </c>
      <c r="M18" s="78"/>
      <c r="N18" s="671">
        <f>+L18*0.9</f>
        <v>0</v>
      </c>
      <c r="O18" s="314"/>
      <c r="P18" s="631">
        <f t="shared" si="18"/>
        <v>0</v>
      </c>
      <c r="Q18" s="244"/>
      <c r="R18" s="544"/>
      <c r="S18" s="689"/>
      <c r="T18" s="639">
        <f t="shared" si="19"/>
        <v>0</v>
      </c>
      <c r="U18" s="635">
        <f>+N18*0.4</f>
        <v>0</v>
      </c>
      <c r="V18" s="176"/>
      <c r="W18" s="176"/>
      <c r="X18" s="176"/>
      <c r="AA18" s="677" t="e">
        <f t="shared" si="20"/>
        <v>#DIV/0!</v>
      </c>
      <c r="AB18" s="677">
        <f t="shared" si="4"/>
        <v>0</v>
      </c>
      <c r="AC18" s="677">
        <f t="shared" si="5"/>
        <v>0</v>
      </c>
      <c r="AD18" s="677">
        <f t="shared" si="6"/>
        <v>0</v>
      </c>
      <c r="AE18" s="677">
        <f t="shared" si="7"/>
        <v>0</v>
      </c>
      <c r="AF18" s="677">
        <f t="shared" si="8"/>
        <v>0</v>
      </c>
      <c r="AG18" s="677">
        <f t="shared" si="9"/>
        <v>0</v>
      </c>
      <c r="AH18" s="677">
        <f t="shared" si="10"/>
        <v>0</v>
      </c>
      <c r="AI18" s="677">
        <f t="shared" si="11"/>
        <v>0</v>
      </c>
      <c r="AJ18" s="677">
        <f t="shared" si="12"/>
        <v>0</v>
      </c>
      <c r="AK18" s="677">
        <f t="shared" si="13"/>
        <v>0</v>
      </c>
      <c r="AL18" s="677">
        <f t="shared" si="14"/>
        <v>0</v>
      </c>
      <c r="AM18" s="677">
        <f t="shared" si="15"/>
        <v>0</v>
      </c>
      <c r="AN18" s="677">
        <f t="shared" si="21"/>
        <v>0</v>
      </c>
    </row>
    <row r="19" spans="1:40" ht="18" customHeight="1">
      <c r="A19" s="75">
        <v>10</v>
      </c>
      <c r="B19" s="7"/>
      <c r="C19" s="59"/>
      <c r="D19" s="543"/>
      <c r="E19" s="262"/>
      <c r="F19" s="260"/>
      <c r="G19" s="892"/>
      <c r="H19" s="243"/>
      <c r="I19" s="432"/>
      <c r="J19" s="570"/>
      <c r="K19" s="542"/>
      <c r="L19" s="630">
        <f t="shared" si="17"/>
        <v>0</v>
      </c>
      <c r="M19" s="78"/>
      <c r="N19" s="671">
        <f>+L19-O19</f>
        <v>0</v>
      </c>
      <c r="O19" s="314"/>
      <c r="P19" s="631">
        <f t="shared" si="18"/>
        <v>0</v>
      </c>
      <c r="Q19" s="244"/>
      <c r="R19" s="544"/>
      <c r="S19" s="689"/>
      <c r="T19" s="639">
        <f t="shared" si="19"/>
        <v>0</v>
      </c>
      <c r="U19" s="635"/>
      <c r="V19" s="176"/>
      <c r="W19" s="176"/>
      <c r="X19" s="176"/>
      <c r="AA19" s="677" t="e">
        <f t="shared" si="20"/>
        <v>#DIV/0!</v>
      </c>
      <c r="AB19" s="677">
        <f t="shared" si="4"/>
        <v>0</v>
      </c>
      <c r="AC19" s="677">
        <f t="shared" si="5"/>
        <v>0</v>
      </c>
      <c r="AD19" s="677">
        <f t="shared" si="6"/>
        <v>0</v>
      </c>
      <c r="AE19" s="677">
        <f t="shared" si="7"/>
        <v>0</v>
      </c>
      <c r="AF19" s="677">
        <f t="shared" si="8"/>
        <v>0</v>
      </c>
      <c r="AG19" s="677">
        <f t="shared" si="9"/>
        <v>0</v>
      </c>
      <c r="AH19" s="677">
        <f t="shared" si="10"/>
        <v>0</v>
      </c>
      <c r="AI19" s="677">
        <f t="shared" si="11"/>
        <v>0</v>
      </c>
      <c r="AJ19" s="677">
        <f t="shared" si="12"/>
        <v>0</v>
      </c>
      <c r="AK19" s="677">
        <f t="shared" si="13"/>
        <v>0</v>
      </c>
      <c r="AL19" s="677">
        <f t="shared" si="14"/>
        <v>0</v>
      </c>
      <c r="AM19" s="677">
        <f t="shared" si="15"/>
        <v>0</v>
      </c>
      <c r="AN19" s="677">
        <f t="shared" si="21"/>
        <v>0</v>
      </c>
    </row>
    <row r="20" spans="1:40" ht="18" customHeight="1">
      <c r="A20" s="75">
        <v>18</v>
      </c>
      <c r="B20" s="7"/>
      <c r="C20" s="59"/>
      <c r="D20" s="262"/>
      <c r="E20" s="262"/>
      <c r="F20" s="260"/>
      <c r="G20" s="892"/>
      <c r="H20" s="243"/>
      <c r="I20" s="432"/>
      <c r="J20" s="570"/>
      <c r="K20" s="542"/>
      <c r="L20" s="630">
        <f>+(H20*J20)</f>
        <v>0</v>
      </c>
      <c r="M20" s="77"/>
      <c r="N20" s="671">
        <f>+L20*0.5</f>
        <v>0</v>
      </c>
      <c r="O20" s="314"/>
      <c r="P20" s="631">
        <f>L20-(N20+O20)</f>
        <v>0</v>
      </c>
      <c r="Q20" s="244"/>
      <c r="R20" s="544"/>
      <c r="S20" s="689"/>
      <c r="T20" s="639">
        <f t="shared" si="19"/>
        <v>0</v>
      </c>
      <c r="U20" s="635">
        <f>+N20*0.4</f>
        <v>0</v>
      </c>
      <c r="V20" s="176"/>
      <c r="W20" s="176"/>
      <c r="X20" s="176"/>
      <c r="AA20" s="677" t="e">
        <f>(L20-U20)/Q20</f>
        <v>#DIV/0!</v>
      </c>
      <c r="AB20" s="677">
        <f t="shared" si="4"/>
        <v>0</v>
      </c>
      <c r="AC20" s="677">
        <f t="shared" si="5"/>
        <v>0</v>
      </c>
      <c r="AD20" s="677">
        <f t="shared" si="6"/>
        <v>0</v>
      </c>
      <c r="AE20" s="677">
        <f t="shared" si="7"/>
        <v>0</v>
      </c>
      <c r="AF20" s="677">
        <f t="shared" si="8"/>
        <v>0</v>
      </c>
      <c r="AG20" s="677">
        <f t="shared" si="9"/>
        <v>0</v>
      </c>
      <c r="AH20" s="677">
        <f t="shared" si="10"/>
        <v>0</v>
      </c>
      <c r="AI20" s="677">
        <f t="shared" si="11"/>
        <v>0</v>
      </c>
      <c r="AJ20" s="677">
        <f t="shared" si="12"/>
        <v>0</v>
      </c>
      <c r="AK20" s="677">
        <f t="shared" si="13"/>
        <v>0</v>
      </c>
      <c r="AL20" s="677">
        <f t="shared" si="14"/>
        <v>0</v>
      </c>
      <c r="AM20" s="677">
        <f t="shared" si="15"/>
        <v>0</v>
      </c>
      <c r="AN20" s="677">
        <f>SUM(AB20:AM20)</f>
        <v>0</v>
      </c>
    </row>
    <row r="21" spans="1:40" ht="18" customHeight="1">
      <c r="A21" s="75">
        <v>19</v>
      </c>
      <c r="B21" s="7"/>
      <c r="C21" s="59"/>
      <c r="D21" s="543"/>
      <c r="E21" s="262"/>
      <c r="F21" s="260"/>
      <c r="G21" s="892"/>
      <c r="H21" s="243"/>
      <c r="I21" s="432"/>
      <c r="J21" s="570"/>
      <c r="K21" s="542"/>
      <c r="L21" s="630">
        <f>+(H21*J21)</f>
        <v>0</v>
      </c>
      <c r="M21" s="78"/>
      <c r="N21" s="671">
        <f>+L21*0.6</f>
        <v>0</v>
      </c>
      <c r="O21" s="314"/>
      <c r="P21" s="631">
        <f>L21-(N21+O21)</f>
        <v>0</v>
      </c>
      <c r="Q21" s="244"/>
      <c r="R21" s="544"/>
      <c r="S21" s="689"/>
      <c r="T21" s="639">
        <f t="shared" si="19"/>
        <v>0</v>
      </c>
      <c r="U21" s="635">
        <f>+N21*0.4</f>
        <v>0</v>
      </c>
      <c r="V21" s="176"/>
      <c r="W21" s="176"/>
      <c r="X21" s="176"/>
      <c r="AA21" s="677" t="e">
        <f>(L21-U21)/Q21</f>
        <v>#DIV/0!</v>
      </c>
      <c r="AB21" s="677">
        <f t="shared" si="4"/>
        <v>0</v>
      </c>
      <c r="AC21" s="677">
        <f t="shared" si="5"/>
        <v>0</v>
      </c>
      <c r="AD21" s="677">
        <f t="shared" si="6"/>
        <v>0</v>
      </c>
      <c r="AE21" s="677">
        <f t="shared" si="7"/>
        <v>0</v>
      </c>
      <c r="AF21" s="677">
        <f t="shared" si="8"/>
        <v>0</v>
      </c>
      <c r="AG21" s="677">
        <f t="shared" si="9"/>
        <v>0</v>
      </c>
      <c r="AH21" s="677">
        <f t="shared" si="10"/>
        <v>0</v>
      </c>
      <c r="AI21" s="677">
        <f t="shared" si="11"/>
        <v>0</v>
      </c>
      <c r="AJ21" s="677">
        <f t="shared" si="12"/>
        <v>0</v>
      </c>
      <c r="AK21" s="677">
        <f t="shared" si="13"/>
        <v>0</v>
      </c>
      <c r="AL21" s="677">
        <f t="shared" si="14"/>
        <v>0</v>
      </c>
      <c r="AM21" s="677">
        <f t="shared" si="15"/>
        <v>0</v>
      </c>
      <c r="AN21" s="677">
        <f>SUM(AB21:AM21)</f>
        <v>0</v>
      </c>
    </row>
    <row r="22" spans="1:40" ht="18" customHeight="1">
      <c r="A22" s="75">
        <v>20</v>
      </c>
      <c r="B22" s="7"/>
      <c r="C22" s="59"/>
      <c r="D22" s="543"/>
      <c r="E22" s="262"/>
      <c r="F22" s="260"/>
      <c r="G22" s="892"/>
      <c r="H22" s="243"/>
      <c r="I22" s="432"/>
      <c r="J22" s="570"/>
      <c r="K22" s="542"/>
      <c r="L22" s="630">
        <f>+(H22*J22)</f>
        <v>0</v>
      </c>
      <c r="M22" s="78"/>
      <c r="N22" s="671">
        <f>+L22</f>
        <v>0</v>
      </c>
      <c r="O22" s="314"/>
      <c r="P22" s="631">
        <f>L22-(N22+O22)</f>
        <v>0</v>
      </c>
      <c r="Q22" s="244"/>
      <c r="R22" s="544"/>
      <c r="S22" s="689"/>
      <c r="T22" s="639">
        <f t="shared" si="19"/>
        <v>0</v>
      </c>
      <c r="U22" s="635">
        <f>+N22*1</f>
        <v>0</v>
      </c>
      <c r="V22" s="176"/>
      <c r="W22" s="176"/>
      <c r="X22" s="176"/>
      <c r="AA22" s="677" t="e">
        <f>(L22-U22)/Q22</f>
        <v>#DIV/0!</v>
      </c>
      <c r="AB22" s="677">
        <f t="shared" si="4"/>
        <v>0</v>
      </c>
      <c r="AC22" s="677">
        <f t="shared" si="5"/>
        <v>0</v>
      </c>
      <c r="AD22" s="677">
        <f t="shared" si="6"/>
        <v>0</v>
      </c>
      <c r="AE22" s="677">
        <f t="shared" si="7"/>
        <v>0</v>
      </c>
      <c r="AF22" s="677">
        <f t="shared" si="8"/>
        <v>0</v>
      </c>
      <c r="AG22" s="677">
        <f t="shared" si="9"/>
        <v>0</v>
      </c>
      <c r="AH22" s="677">
        <f t="shared" si="10"/>
        <v>0</v>
      </c>
      <c r="AI22" s="677">
        <f t="shared" si="11"/>
        <v>0</v>
      </c>
      <c r="AJ22" s="677">
        <f t="shared" si="12"/>
        <v>0</v>
      </c>
      <c r="AK22" s="677">
        <f t="shared" si="13"/>
        <v>0</v>
      </c>
      <c r="AL22" s="677">
        <f t="shared" si="14"/>
        <v>0</v>
      </c>
      <c r="AM22" s="677">
        <f t="shared" si="15"/>
        <v>0</v>
      </c>
      <c r="AN22" s="677">
        <f>SUM(AB22:AM22)</f>
        <v>0</v>
      </c>
    </row>
    <row r="23" spans="1:40" ht="18" customHeight="1">
      <c r="A23" s="75">
        <v>21</v>
      </c>
      <c r="B23" s="7"/>
      <c r="C23" s="59"/>
      <c r="D23" s="262"/>
      <c r="E23" s="262"/>
      <c r="F23" s="260"/>
      <c r="G23" s="892"/>
      <c r="H23" s="243"/>
      <c r="I23" s="432"/>
      <c r="J23" s="570"/>
      <c r="K23" s="542"/>
      <c r="L23" s="630">
        <f t="shared" si="17"/>
        <v>0</v>
      </c>
      <c r="M23" s="78"/>
      <c r="N23" s="671"/>
      <c r="O23" s="314"/>
      <c r="P23" s="631">
        <f t="shared" si="18"/>
        <v>0</v>
      </c>
      <c r="Q23" s="244"/>
      <c r="R23" s="544"/>
      <c r="S23" s="689"/>
      <c r="T23" s="639">
        <f t="shared" si="19"/>
        <v>0</v>
      </c>
      <c r="U23" s="635"/>
      <c r="V23" s="176"/>
      <c r="W23" s="176"/>
      <c r="X23" s="176"/>
      <c r="AA23" s="677" t="e">
        <f t="shared" si="20"/>
        <v>#DIV/0!</v>
      </c>
      <c r="AB23" s="677">
        <f t="shared" si="4"/>
        <v>0</v>
      </c>
      <c r="AC23" s="677">
        <f t="shared" si="5"/>
        <v>0</v>
      </c>
      <c r="AD23" s="677">
        <f t="shared" si="6"/>
        <v>0</v>
      </c>
      <c r="AE23" s="677">
        <f t="shared" si="7"/>
        <v>0</v>
      </c>
      <c r="AF23" s="677">
        <f t="shared" si="8"/>
        <v>0</v>
      </c>
      <c r="AG23" s="677">
        <f t="shared" si="9"/>
        <v>0</v>
      </c>
      <c r="AH23" s="677">
        <f t="shared" si="10"/>
        <v>0</v>
      </c>
      <c r="AI23" s="677">
        <f t="shared" si="11"/>
        <v>0</v>
      </c>
      <c r="AJ23" s="677">
        <f t="shared" si="12"/>
        <v>0</v>
      </c>
      <c r="AK23" s="677">
        <f t="shared" si="13"/>
        <v>0</v>
      </c>
      <c r="AL23" s="677">
        <f t="shared" si="14"/>
        <v>0</v>
      </c>
      <c r="AM23" s="677">
        <f t="shared" si="15"/>
        <v>0</v>
      </c>
      <c r="AN23" s="677">
        <f t="shared" si="21"/>
        <v>0</v>
      </c>
    </row>
    <row r="24" spans="1:40" ht="18" customHeight="1">
      <c r="A24" s="75">
        <v>22</v>
      </c>
      <c r="B24" s="7"/>
      <c r="C24" s="59"/>
      <c r="D24" s="543"/>
      <c r="E24" s="262"/>
      <c r="F24" s="260"/>
      <c r="G24" s="892"/>
      <c r="H24" s="243"/>
      <c r="I24" s="432"/>
      <c r="J24" s="570"/>
      <c r="K24" s="542"/>
      <c r="L24" s="630">
        <f t="shared" si="0"/>
        <v>0</v>
      </c>
      <c r="M24" s="77"/>
      <c r="N24" s="672"/>
      <c r="O24" s="314"/>
      <c r="P24" s="631">
        <f t="shared" si="1"/>
        <v>0</v>
      </c>
      <c r="Q24" s="244"/>
      <c r="R24" s="544"/>
      <c r="S24" s="689"/>
      <c r="T24" s="639">
        <f t="shared" si="2"/>
        <v>0</v>
      </c>
      <c r="U24" s="634"/>
      <c r="V24" s="176"/>
      <c r="W24" s="176"/>
      <c r="X24" s="176"/>
      <c r="AA24" s="677" t="e">
        <f aca="true" t="shared" si="22" ref="AA24:AA72">(L24-U24)/Q24</f>
        <v>#DIV/0!</v>
      </c>
      <c r="AB24" s="677">
        <f t="shared" si="4"/>
        <v>0</v>
      </c>
      <c r="AC24" s="677">
        <f t="shared" si="5"/>
        <v>0</v>
      </c>
      <c r="AD24" s="677">
        <f t="shared" si="6"/>
        <v>0</v>
      </c>
      <c r="AE24" s="677">
        <f t="shared" si="7"/>
        <v>0</v>
      </c>
      <c r="AF24" s="677">
        <f t="shared" si="8"/>
        <v>0</v>
      </c>
      <c r="AG24" s="677">
        <f t="shared" si="9"/>
        <v>0</v>
      </c>
      <c r="AH24" s="677">
        <f t="shared" si="10"/>
        <v>0</v>
      </c>
      <c r="AI24" s="677">
        <f t="shared" si="11"/>
        <v>0</v>
      </c>
      <c r="AJ24" s="677">
        <f t="shared" si="12"/>
        <v>0</v>
      </c>
      <c r="AK24" s="677">
        <f t="shared" si="13"/>
        <v>0</v>
      </c>
      <c r="AL24" s="677">
        <f t="shared" si="14"/>
        <v>0</v>
      </c>
      <c r="AM24" s="677">
        <f t="shared" si="15"/>
        <v>0</v>
      </c>
      <c r="AN24" s="677">
        <f aca="true" t="shared" si="23" ref="AN24:AN72">SUM(AB24:AM24)</f>
        <v>0</v>
      </c>
    </row>
    <row r="25" spans="1:40" ht="18" customHeight="1">
      <c r="A25" s="75">
        <v>23</v>
      </c>
      <c r="B25" s="7"/>
      <c r="C25" s="59"/>
      <c r="D25" s="262"/>
      <c r="E25" s="262"/>
      <c r="F25" s="260"/>
      <c r="G25" s="892"/>
      <c r="H25" s="243"/>
      <c r="I25" s="432"/>
      <c r="J25" s="570"/>
      <c r="K25" s="542"/>
      <c r="L25" s="630">
        <f t="shared" si="0"/>
        <v>0</v>
      </c>
      <c r="M25" s="77"/>
      <c r="N25" s="671"/>
      <c r="O25" s="314"/>
      <c r="P25" s="631">
        <f t="shared" si="1"/>
        <v>0</v>
      </c>
      <c r="Q25" s="244"/>
      <c r="R25" s="544"/>
      <c r="S25" s="689"/>
      <c r="T25" s="639">
        <f t="shared" si="2"/>
        <v>0</v>
      </c>
      <c r="U25" s="634"/>
      <c r="V25" s="176"/>
      <c r="W25" s="176"/>
      <c r="X25" s="176"/>
      <c r="AA25" s="677" t="e">
        <f t="shared" si="22"/>
        <v>#DIV/0!</v>
      </c>
      <c r="AB25" s="677">
        <f t="shared" si="4"/>
        <v>0</v>
      </c>
      <c r="AC25" s="677">
        <f t="shared" si="5"/>
        <v>0</v>
      </c>
      <c r="AD25" s="677">
        <f t="shared" si="6"/>
        <v>0</v>
      </c>
      <c r="AE25" s="677">
        <f t="shared" si="7"/>
        <v>0</v>
      </c>
      <c r="AF25" s="677">
        <f t="shared" si="8"/>
        <v>0</v>
      </c>
      <c r="AG25" s="677">
        <f t="shared" si="9"/>
        <v>0</v>
      </c>
      <c r="AH25" s="677">
        <f t="shared" si="10"/>
        <v>0</v>
      </c>
      <c r="AI25" s="677">
        <f t="shared" si="11"/>
        <v>0</v>
      </c>
      <c r="AJ25" s="677">
        <f t="shared" si="12"/>
        <v>0</v>
      </c>
      <c r="AK25" s="677">
        <f t="shared" si="13"/>
        <v>0</v>
      </c>
      <c r="AL25" s="677">
        <f t="shared" si="14"/>
        <v>0</v>
      </c>
      <c r="AM25" s="677">
        <f t="shared" si="15"/>
        <v>0</v>
      </c>
      <c r="AN25" s="677">
        <f t="shared" si="23"/>
        <v>0</v>
      </c>
    </row>
    <row r="26" spans="1:40" ht="18" customHeight="1">
      <c r="A26" s="75">
        <v>24</v>
      </c>
      <c r="B26" s="7"/>
      <c r="C26" s="59"/>
      <c r="D26" s="543"/>
      <c r="E26" s="262"/>
      <c r="F26" s="260"/>
      <c r="G26" s="892"/>
      <c r="H26" s="243"/>
      <c r="I26" s="432"/>
      <c r="J26" s="570"/>
      <c r="K26" s="542"/>
      <c r="L26" s="630">
        <f t="shared" si="0"/>
        <v>0</v>
      </c>
      <c r="M26" s="78"/>
      <c r="N26" s="671"/>
      <c r="O26" s="314"/>
      <c r="P26" s="631">
        <f t="shared" si="1"/>
        <v>0</v>
      </c>
      <c r="Q26" s="244"/>
      <c r="R26" s="544"/>
      <c r="S26" s="689"/>
      <c r="T26" s="639">
        <f t="shared" si="2"/>
        <v>0</v>
      </c>
      <c r="U26" s="634"/>
      <c r="V26" s="176"/>
      <c r="W26" s="176"/>
      <c r="X26" s="176"/>
      <c r="AA26" s="677" t="e">
        <f t="shared" si="22"/>
        <v>#DIV/0!</v>
      </c>
      <c r="AB26" s="677">
        <f t="shared" si="4"/>
        <v>0</v>
      </c>
      <c r="AC26" s="677">
        <f t="shared" si="5"/>
        <v>0</v>
      </c>
      <c r="AD26" s="677">
        <f t="shared" si="6"/>
        <v>0</v>
      </c>
      <c r="AE26" s="677">
        <f t="shared" si="7"/>
        <v>0</v>
      </c>
      <c r="AF26" s="677">
        <f t="shared" si="8"/>
        <v>0</v>
      </c>
      <c r="AG26" s="677">
        <f t="shared" si="9"/>
        <v>0</v>
      </c>
      <c r="AH26" s="677">
        <f t="shared" si="10"/>
        <v>0</v>
      </c>
      <c r="AI26" s="677">
        <f t="shared" si="11"/>
        <v>0</v>
      </c>
      <c r="AJ26" s="677">
        <f t="shared" si="12"/>
        <v>0</v>
      </c>
      <c r="AK26" s="677">
        <f t="shared" si="13"/>
        <v>0</v>
      </c>
      <c r="AL26" s="677">
        <f t="shared" si="14"/>
        <v>0</v>
      </c>
      <c r="AM26" s="677">
        <f t="shared" si="15"/>
        <v>0</v>
      </c>
      <c r="AN26" s="677">
        <f t="shared" si="23"/>
        <v>0</v>
      </c>
    </row>
    <row r="27" spans="1:40" ht="18" customHeight="1">
      <c r="A27" s="75">
        <v>25</v>
      </c>
      <c r="B27" s="7"/>
      <c r="C27" s="59"/>
      <c r="D27" s="543"/>
      <c r="E27" s="262"/>
      <c r="F27" s="260"/>
      <c r="G27" s="892"/>
      <c r="H27" s="243"/>
      <c r="I27" s="432"/>
      <c r="J27" s="570"/>
      <c r="K27" s="542"/>
      <c r="L27" s="630">
        <f t="shared" si="0"/>
        <v>0</v>
      </c>
      <c r="M27" s="78"/>
      <c r="N27" s="671"/>
      <c r="O27" s="314"/>
      <c r="P27" s="631">
        <f t="shared" si="1"/>
        <v>0</v>
      </c>
      <c r="Q27" s="244"/>
      <c r="R27" s="544"/>
      <c r="S27" s="689"/>
      <c r="T27" s="639">
        <f t="shared" si="2"/>
        <v>0</v>
      </c>
      <c r="U27" s="634"/>
      <c r="V27" s="176"/>
      <c r="W27" s="176"/>
      <c r="X27" s="176"/>
      <c r="AA27" s="677" t="e">
        <f t="shared" si="22"/>
        <v>#DIV/0!</v>
      </c>
      <c r="AB27" s="677">
        <f t="shared" si="4"/>
        <v>0</v>
      </c>
      <c r="AC27" s="677">
        <f t="shared" si="5"/>
        <v>0</v>
      </c>
      <c r="AD27" s="677">
        <f t="shared" si="6"/>
        <v>0</v>
      </c>
      <c r="AE27" s="677">
        <f t="shared" si="7"/>
        <v>0</v>
      </c>
      <c r="AF27" s="677">
        <f t="shared" si="8"/>
        <v>0</v>
      </c>
      <c r="AG27" s="677">
        <f t="shared" si="9"/>
        <v>0</v>
      </c>
      <c r="AH27" s="677">
        <f t="shared" si="10"/>
        <v>0</v>
      </c>
      <c r="AI27" s="677">
        <f t="shared" si="11"/>
        <v>0</v>
      </c>
      <c r="AJ27" s="677">
        <f t="shared" si="12"/>
        <v>0</v>
      </c>
      <c r="AK27" s="677">
        <f t="shared" si="13"/>
        <v>0</v>
      </c>
      <c r="AL27" s="677">
        <f t="shared" si="14"/>
        <v>0</v>
      </c>
      <c r="AM27" s="677">
        <f t="shared" si="15"/>
        <v>0</v>
      </c>
      <c r="AN27" s="677">
        <f t="shared" si="23"/>
        <v>0</v>
      </c>
    </row>
    <row r="28" spans="1:40" ht="18" customHeight="1">
      <c r="A28" s="75">
        <v>26</v>
      </c>
      <c r="B28" s="7"/>
      <c r="C28" s="59"/>
      <c r="D28" s="262"/>
      <c r="E28" s="262"/>
      <c r="F28" s="260"/>
      <c r="G28" s="892"/>
      <c r="H28" s="243"/>
      <c r="I28" s="432"/>
      <c r="J28" s="570"/>
      <c r="K28" s="542"/>
      <c r="L28" s="630">
        <f t="shared" si="0"/>
        <v>0</v>
      </c>
      <c r="M28" s="78"/>
      <c r="N28" s="671"/>
      <c r="O28" s="314"/>
      <c r="P28" s="631">
        <f t="shared" si="1"/>
        <v>0</v>
      </c>
      <c r="Q28" s="244"/>
      <c r="R28" s="544"/>
      <c r="S28" s="689"/>
      <c r="T28" s="639">
        <f t="shared" si="2"/>
        <v>0</v>
      </c>
      <c r="U28" s="635"/>
      <c r="V28" s="176"/>
      <c r="W28" s="176"/>
      <c r="X28" s="176"/>
      <c r="AA28" s="677" t="e">
        <f t="shared" si="22"/>
        <v>#DIV/0!</v>
      </c>
      <c r="AB28" s="677">
        <f t="shared" si="4"/>
        <v>0</v>
      </c>
      <c r="AC28" s="677">
        <f t="shared" si="5"/>
        <v>0</v>
      </c>
      <c r="AD28" s="677">
        <f t="shared" si="6"/>
        <v>0</v>
      </c>
      <c r="AE28" s="677">
        <f t="shared" si="7"/>
        <v>0</v>
      </c>
      <c r="AF28" s="677">
        <f t="shared" si="8"/>
        <v>0</v>
      </c>
      <c r="AG28" s="677">
        <f t="shared" si="9"/>
        <v>0</v>
      </c>
      <c r="AH28" s="677">
        <f t="shared" si="10"/>
        <v>0</v>
      </c>
      <c r="AI28" s="677">
        <f t="shared" si="11"/>
        <v>0</v>
      </c>
      <c r="AJ28" s="677">
        <f t="shared" si="12"/>
        <v>0</v>
      </c>
      <c r="AK28" s="677">
        <f t="shared" si="13"/>
        <v>0</v>
      </c>
      <c r="AL28" s="677">
        <f t="shared" si="14"/>
        <v>0</v>
      </c>
      <c r="AM28" s="677">
        <f t="shared" si="15"/>
        <v>0</v>
      </c>
      <c r="AN28" s="677">
        <f t="shared" si="23"/>
        <v>0</v>
      </c>
    </row>
    <row r="29" spans="1:40" ht="18" customHeight="1">
      <c r="A29" s="75">
        <v>27</v>
      </c>
      <c r="B29" s="7"/>
      <c r="C29" s="59"/>
      <c r="D29" s="262"/>
      <c r="E29" s="262"/>
      <c r="F29" s="260"/>
      <c r="G29" s="892"/>
      <c r="H29" s="243"/>
      <c r="I29" s="432"/>
      <c r="J29" s="570"/>
      <c r="K29" s="542"/>
      <c r="L29" s="630">
        <f t="shared" si="0"/>
        <v>0</v>
      </c>
      <c r="M29" s="78"/>
      <c r="N29" s="671"/>
      <c r="O29" s="314"/>
      <c r="P29" s="631">
        <f t="shared" si="1"/>
        <v>0</v>
      </c>
      <c r="Q29" s="244"/>
      <c r="R29" s="544"/>
      <c r="S29" s="689"/>
      <c r="T29" s="639">
        <f t="shared" si="2"/>
        <v>0</v>
      </c>
      <c r="U29" s="635"/>
      <c r="V29" s="176"/>
      <c r="W29" s="176"/>
      <c r="X29" s="176"/>
      <c r="AA29" s="677" t="e">
        <f t="shared" si="22"/>
        <v>#DIV/0!</v>
      </c>
      <c r="AB29" s="677">
        <f t="shared" si="4"/>
        <v>0</v>
      </c>
      <c r="AC29" s="677">
        <f t="shared" si="5"/>
        <v>0</v>
      </c>
      <c r="AD29" s="677">
        <f t="shared" si="6"/>
        <v>0</v>
      </c>
      <c r="AE29" s="677">
        <f t="shared" si="7"/>
        <v>0</v>
      </c>
      <c r="AF29" s="677">
        <f t="shared" si="8"/>
        <v>0</v>
      </c>
      <c r="AG29" s="677">
        <f t="shared" si="9"/>
        <v>0</v>
      </c>
      <c r="AH29" s="677">
        <f t="shared" si="10"/>
        <v>0</v>
      </c>
      <c r="AI29" s="677">
        <f t="shared" si="11"/>
        <v>0</v>
      </c>
      <c r="AJ29" s="677">
        <f t="shared" si="12"/>
        <v>0</v>
      </c>
      <c r="AK29" s="677">
        <f t="shared" si="13"/>
        <v>0</v>
      </c>
      <c r="AL29" s="677">
        <f t="shared" si="14"/>
        <v>0</v>
      </c>
      <c r="AM29" s="677">
        <f t="shared" si="15"/>
        <v>0</v>
      </c>
      <c r="AN29" s="677">
        <f t="shared" si="23"/>
        <v>0</v>
      </c>
    </row>
    <row r="30" spans="1:40" ht="18" customHeight="1">
      <c r="A30" s="75">
        <v>28</v>
      </c>
      <c r="B30" s="7"/>
      <c r="C30" s="59"/>
      <c r="D30" s="262"/>
      <c r="E30" s="262"/>
      <c r="F30" s="260"/>
      <c r="G30" s="892"/>
      <c r="H30" s="243"/>
      <c r="I30" s="432"/>
      <c r="J30" s="570"/>
      <c r="K30" s="542"/>
      <c r="L30" s="630">
        <f t="shared" si="0"/>
        <v>0</v>
      </c>
      <c r="M30" s="78"/>
      <c r="N30" s="671"/>
      <c r="O30" s="314"/>
      <c r="P30" s="631">
        <f t="shared" si="1"/>
        <v>0</v>
      </c>
      <c r="Q30" s="244"/>
      <c r="R30" s="544"/>
      <c r="S30" s="689"/>
      <c r="T30" s="639">
        <f t="shared" si="2"/>
        <v>0</v>
      </c>
      <c r="U30" s="635"/>
      <c r="V30" s="176"/>
      <c r="W30" s="176"/>
      <c r="X30" s="176"/>
      <c r="AA30" s="677" t="e">
        <f t="shared" si="22"/>
        <v>#DIV/0!</v>
      </c>
      <c r="AB30" s="677">
        <f t="shared" si="4"/>
        <v>0</v>
      </c>
      <c r="AC30" s="677">
        <f t="shared" si="5"/>
        <v>0</v>
      </c>
      <c r="AD30" s="677">
        <f t="shared" si="6"/>
        <v>0</v>
      </c>
      <c r="AE30" s="677">
        <f t="shared" si="7"/>
        <v>0</v>
      </c>
      <c r="AF30" s="677">
        <f t="shared" si="8"/>
        <v>0</v>
      </c>
      <c r="AG30" s="677">
        <f t="shared" si="9"/>
        <v>0</v>
      </c>
      <c r="AH30" s="677">
        <f t="shared" si="10"/>
        <v>0</v>
      </c>
      <c r="AI30" s="677">
        <f t="shared" si="11"/>
        <v>0</v>
      </c>
      <c r="AJ30" s="677">
        <f t="shared" si="12"/>
        <v>0</v>
      </c>
      <c r="AK30" s="677">
        <f t="shared" si="13"/>
        <v>0</v>
      </c>
      <c r="AL30" s="677">
        <f t="shared" si="14"/>
        <v>0</v>
      </c>
      <c r="AM30" s="677">
        <f t="shared" si="15"/>
        <v>0</v>
      </c>
      <c r="AN30" s="677">
        <f t="shared" si="23"/>
        <v>0</v>
      </c>
    </row>
    <row r="31" spans="1:40" ht="18" customHeight="1">
      <c r="A31" s="75">
        <v>29</v>
      </c>
      <c r="B31" s="7"/>
      <c r="C31" s="59"/>
      <c r="D31" s="263"/>
      <c r="E31" s="262"/>
      <c r="F31" s="260"/>
      <c r="G31" s="892"/>
      <c r="H31" s="243"/>
      <c r="I31" s="432"/>
      <c r="J31" s="570"/>
      <c r="K31" s="542"/>
      <c r="L31" s="630">
        <f t="shared" si="0"/>
        <v>0</v>
      </c>
      <c r="M31" s="78"/>
      <c r="N31" s="671"/>
      <c r="O31" s="314"/>
      <c r="P31" s="631">
        <f t="shared" si="1"/>
        <v>0</v>
      </c>
      <c r="Q31" s="244"/>
      <c r="R31" s="544"/>
      <c r="S31" s="689"/>
      <c r="T31" s="639">
        <f t="shared" si="2"/>
        <v>0</v>
      </c>
      <c r="U31" s="635"/>
      <c r="V31" s="176"/>
      <c r="W31" s="176"/>
      <c r="X31" s="176"/>
      <c r="AA31" s="677" t="e">
        <f t="shared" si="22"/>
        <v>#DIV/0!</v>
      </c>
      <c r="AB31" s="677">
        <f t="shared" si="4"/>
        <v>0</v>
      </c>
      <c r="AC31" s="677">
        <f t="shared" si="5"/>
        <v>0</v>
      </c>
      <c r="AD31" s="677">
        <f t="shared" si="6"/>
        <v>0</v>
      </c>
      <c r="AE31" s="677">
        <f t="shared" si="7"/>
        <v>0</v>
      </c>
      <c r="AF31" s="677">
        <f t="shared" si="8"/>
        <v>0</v>
      </c>
      <c r="AG31" s="677">
        <f t="shared" si="9"/>
        <v>0</v>
      </c>
      <c r="AH31" s="677">
        <f t="shared" si="10"/>
        <v>0</v>
      </c>
      <c r="AI31" s="677">
        <f t="shared" si="11"/>
        <v>0</v>
      </c>
      <c r="AJ31" s="677">
        <f t="shared" si="12"/>
        <v>0</v>
      </c>
      <c r="AK31" s="677">
        <f t="shared" si="13"/>
        <v>0</v>
      </c>
      <c r="AL31" s="677">
        <f t="shared" si="14"/>
        <v>0</v>
      </c>
      <c r="AM31" s="677">
        <f t="shared" si="15"/>
        <v>0</v>
      </c>
      <c r="AN31" s="677">
        <f t="shared" si="23"/>
        <v>0</v>
      </c>
    </row>
    <row r="32" spans="1:40" ht="18" customHeight="1">
      <c r="A32" s="75">
        <v>30</v>
      </c>
      <c r="B32" s="7"/>
      <c r="C32" s="59"/>
      <c r="D32" s="262"/>
      <c r="E32" s="262"/>
      <c r="F32" s="260"/>
      <c r="G32" s="892"/>
      <c r="H32" s="243"/>
      <c r="I32" s="432"/>
      <c r="J32" s="570"/>
      <c r="K32" s="542"/>
      <c r="L32" s="630">
        <f t="shared" si="0"/>
        <v>0</v>
      </c>
      <c r="M32" s="78"/>
      <c r="N32" s="671"/>
      <c r="O32" s="314"/>
      <c r="P32" s="631">
        <f t="shared" si="1"/>
        <v>0</v>
      </c>
      <c r="Q32" s="244"/>
      <c r="R32" s="544"/>
      <c r="S32" s="689"/>
      <c r="T32" s="639">
        <f t="shared" si="2"/>
        <v>0</v>
      </c>
      <c r="U32" s="635"/>
      <c r="V32" s="176"/>
      <c r="W32" s="176"/>
      <c r="X32" s="176"/>
      <c r="AA32" s="677" t="e">
        <f t="shared" si="22"/>
        <v>#DIV/0!</v>
      </c>
      <c r="AB32" s="677">
        <f t="shared" si="4"/>
        <v>0</v>
      </c>
      <c r="AC32" s="677">
        <f t="shared" si="5"/>
        <v>0</v>
      </c>
      <c r="AD32" s="677">
        <f t="shared" si="6"/>
        <v>0</v>
      </c>
      <c r="AE32" s="677">
        <f t="shared" si="7"/>
        <v>0</v>
      </c>
      <c r="AF32" s="677">
        <f t="shared" si="8"/>
        <v>0</v>
      </c>
      <c r="AG32" s="677">
        <f t="shared" si="9"/>
        <v>0</v>
      </c>
      <c r="AH32" s="677">
        <f t="shared" si="10"/>
        <v>0</v>
      </c>
      <c r="AI32" s="677">
        <f t="shared" si="11"/>
        <v>0</v>
      </c>
      <c r="AJ32" s="677">
        <f t="shared" si="12"/>
        <v>0</v>
      </c>
      <c r="AK32" s="677">
        <f t="shared" si="13"/>
        <v>0</v>
      </c>
      <c r="AL32" s="677">
        <f t="shared" si="14"/>
        <v>0</v>
      </c>
      <c r="AM32" s="677">
        <f t="shared" si="15"/>
        <v>0</v>
      </c>
      <c r="AN32" s="677">
        <f t="shared" si="23"/>
        <v>0</v>
      </c>
    </row>
    <row r="33" spans="1:40" ht="3" customHeight="1">
      <c r="A33" s="6"/>
      <c r="B33" s="7"/>
      <c r="C33" s="59"/>
      <c r="D33" s="7"/>
      <c r="E33" s="7"/>
      <c r="F33" s="7"/>
      <c r="G33" s="127"/>
      <c r="H33" s="7"/>
      <c r="I33" s="59"/>
      <c r="J33" s="7"/>
      <c r="K33" s="59"/>
      <c r="L33" s="384"/>
      <c r="M33" s="59"/>
      <c r="N33" s="383"/>
      <c r="O33" s="383"/>
      <c r="P33" s="383"/>
      <c r="Q33" s="246"/>
      <c r="R33" s="247"/>
      <c r="S33" s="248"/>
      <c r="T33" s="640"/>
      <c r="U33" s="636"/>
      <c r="V33" s="176"/>
      <c r="W33" s="176"/>
      <c r="X33" s="176"/>
      <c r="AA33" s="677" t="e">
        <f t="shared" si="22"/>
        <v>#DIV/0!</v>
      </c>
      <c r="AB33" s="677">
        <f t="shared" si="4"/>
        <v>0</v>
      </c>
      <c r="AC33" s="677">
        <f t="shared" si="5"/>
        <v>0</v>
      </c>
      <c r="AD33" s="677">
        <f t="shared" si="6"/>
        <v>0</v>
      </c>
      <c r="AE33" s="677">
        <f t="shared" si="7"/>
        <v>0</v>
      </c>
      <c r="AF33" s="677">
        <f t="shared" si="8"/>
        <v>0</v>
      </c>
      <c r="AG33" s="677">
        <f t="shared" si="9"/>
        <v>0</v>
      </c>
      <c r="AH33" s="677">
        <f t="shared" si="10"/>
        <v>0</v>
      </c>
      <c r="AI33" s="677">
        <f t="shared" si="11"/>
        <v>0</v>
      </c>
      <c r="AJ33" s="677">
        <f t="shared" si="12"/>
        <v>0</v>
      </c>
      <c r="AK33" s="677">
        <f t="shared" si="13"/>
        <v>0</v>
      </c>
      <c r="AL33" s="677">
        <f t="shared" si="14"/>
        <v>0</v>
      </c>
      <c r="AM33" s="677">
        <f t="shared" si="15"/>
        <v>0</v>
      </c>
      <c r="AN33" s="677">
        <f t="shared" si="23"/>
        <v>0</v>
      </c>
    </row>
    <row r="34" spans="1:40" ht="15">
      <c r="A34" s="6" t="s">
        <v>169</v>
      </c>
      <c r="B34" s="7"/>
      <c r="C34" s="59"/>
      <c r="D34" s="7"/>
      <c r="E34" s="7"/>
      <c r="F34" s="7"/>
      <c r="G34" s="127"/>
      <c r="H34" s="7"/>
      <c r="I34" s="59"/>
      <c r="J34" s="83"/>
      <c r="K34" s="59"/>
      <c r="L34" s="553">
        <f>SUM(L11:L33)</f>
        <v>173726.97999999998</v>
      </c>
      <c r="M34" s="59"/>
      <c r="N34" s="673">
        <f>SUM(N11:N32)</f>
        <v>121079.18400000001</v>
      </c>
      <c r="O34" s="632">
        <f>SUM(O11:O33)</f>
        <v>52647.796</v>
      </c>
      <c r="P34" s="632">
        <f>SUM(P11:P33)</f>
        <v>0</v>
      </c>
      <c r="Q34" s="246"/>
      <c r="R34" s="247"/>
      <c r="S34" s="248"/>
      <c r="T34" s="86">
        <f>SUM(T11:T33)</f>
        <v>804</v>
      </c>
      <c r="U34" s="637">
        <f>SUM(U11:U33)</f>
        <v>9648</v>
      </c>
      <c r="V34" s="176"/>
      <c r="W34" s="176"/>
      <c r="X34" s="176"/>
      <c r="AA34" s="677" t="e">
        <f t="shared" si="22"/>
        <v>#DIV/0!</v>
      </c>
      <c r="AB34" s="677">
        <f t="shared" si="4"/>
        <v>0</v>
      </c>
      <c r="AC34" s="677">
        <f t="shared" si="5"/>
        <v>0</v>
      </c>
      <c r="AD34" s="677">
        <f t="shared" si="6"/>
        <v>0</v>
      </c>
      <c r="AE34" s="677">
        <f t="shared" si="7"/>
        <v>0</v>
      </c>
      <c r="AF34" s="677">
        <f t="shared" si="8"/>
        <v>0</v>
      </c>
      <c r="AG34" s="677">
        <f t="shared" si="9"/>
        <v>0</v>
      </c>
      <c r="AH34" s="677">
        <f t="shared" si="10"/>
        <v>0</v>
      </c>
      <c r="AI34" s="677">
        <f t="shared" si="11"/>
        <v>0</v>
      </c>
      <c r="AJ34" s="677">
        <f t="shared" si="12"/>
        <v>0</v>
      </c>
      <c r="AK34" s="677">
        <f t="shared" si="13"/>
        <v>0</v>
      </c>
      <c r="AL34" s="677">
        <f t="shared" si="14"/>
        <v>0</v>
      </c>
      <c r="AM34" s="677">
        <f t="shared" si="15"/>
        <v>0</v>
      </c>
      <c r="AN34" s="677">
        <f t="shared" si="23"/>
        <v>0</v>
      </c>
    </row>
    <row r="35" spans="1:40" ht="3" customHeight="1">
      <c r="A35" s="18"/>
      <c r="B35" s="19"/>
      <c r="C35" s="63"/>
      <c r="D35" s="19"/>
      <c r="E35" s="19"/>
      <c r="F35" s="19"/>
      <c r="G35" s="63"/>
      <c r="H35" s="19"/>
      <c r="I35" s="63"/>
      <c r="J35" s="19"/>
      <c r="K35" s="63"/>
      <c r="L35" s="545"/>
      <c r="M35" s="63"/>
      <c r="N35" s="387"/>
      <c r="O35" s="387"/>
      <c r="P35" s="387"/>
      <c r="Q35" s="94"/>
      <c r="R35" s="63"/>
      <c r="S35" s="93"/>
      <c r="T35" s="546"/>
      <c r="U35" s="670"/>
      <c r="V35" s="176"/>
      <c r="W35" s="176"/>
      <c r="X35" s="176"/>
      <c r="AA35" s="677" t="e">
        <f t="shared" si="22"/>
        <v>#DIV/0!</v>
      </c>
      <c r="AB35" s="677">
        <f t="shared" si="4"/>
        <v>0</v>
      </c>
      <c r="AC35" s="677">
        <f t="shared" si="5"/>
        <v>0</v>
      </c>
      <c r="AD35" s="677">
        <f t="shared" si="6"/>
        <v>0</v>
      </c>
      <c r="AE35" s="677">
        <f t="shared" si="7"/>
        <v>0</v>
      </c>
      <c r="AF35" s="677">
        <f t="shared" si="8"/>
        <v>0</v>
      </c>
      <c r="AG35" s="677">
        <f t="shared" si="9"/>
        <v>0</v>
      </c>
      <c r="AH35" s="677">
        <f t="shared" si="10"/>
        <v>0</v>
      </c>
      <c r="AI35" s="677">
        <f t="shared" si="11"/>
        <v>0</v>
      </c>
      <c r="AJ35" s="677">
        <f t="shared" si="12"/>
        <v>0</v>
      </c>
      <c r="AK35" s="677">
        <f t="shared" si="13"/>
        <v>0</v>
      </c>
      <c r="AL35" s="677">
        <f t="shared" si="14"/>
        <v>0</v>
      </c>
      <c r="AM35" s="677">
        <f t="shared" si="15"/>
        <v>0</v>
      </c>
      <c r="AN35" s="677">
        <f t="shared" si="23"/>
        <v>0</v>
      </c>
    </row>
    <row r="36" spans="1:40" ht="3" customHeight="1">
      <c r="A36" s="6"/>
      <c r="B36" s="7"/>
      <c r="C36" s="7"/>
      <c r="D36" s="7"/>
      <c r="E36" s="7"/>
      <c r="F36" s="7"/>
      <c r="G36" s="7"/>
      <c r="H36" s="7"/>
      <c r="I36" s="7"/>
      <c r="J36" s="7"/>
      <c r="K36" s="7"/>
      <c r="L36" s="381"/>
      <c r="M36" s="7"/>
      <c r="N36" s="381"/>
      <c r="O36" s="381"/>
      <c r="P36" s="384"/>
      <c r="Q36" s="7"/>
      <c r="R36" s="7"/>
      <c r="S36" s="90"/>
      <c r="T36" s="381"/>
      <c r="U36" s="548"/>
      <c r="V36" s="176"/>
      <c r="W36" s="176"/>
      <c r="X36" s="176"/>
      <c r="AA36" s="677" t="e">
        <f t="shared" si="22"/>
        <v>#DIV/0!</v>
      </c>
      <c r="AB36" s="677">
        <f t="shared" si="4"/>
        <v>0</v>
      </c>
      <c r="AC36" s="677">
        <f t="shared" si="5"/>
        <v>0</v>
      </c>
      <c r="AD36" s="677">
        <f t="shared" si="6"/>
        <v>0</v>
      </c>
      <c r="AE36" s="677">
        <f t="shared" si="7"/>
        <v>0</v>
      </c>
      <c r="AF36" s="677">
        <f t="shared" si="8"/>
        <v>0</v>
      </c>
      <c r="AG36" s="677">
        <f t="shared" si="9"/>
        <v>0</v>
      </c>
      <c r="AH36" s="677">
        <f t="shared" si="10"/>
        <v>0</v>
      </c>
      <c r="AI36" s="677">
        <f t="shared" si="11"/>
        <v>0</v>
      </c>
      <c r="AJ36" s="677">
        <f t="shared" si="12"/>
        <v>0</v>
      </c>
      <c r="AK36" s="677">
        <f t="shared" si="13"/>
        <v>0</v>
      </c>
      <c r="AL36" s="677">
        <f t="shared" si="14"/>
        <v>0</v>
      </c>
      <c r="AM36" s="677">
        <f t="shared" si="15"/>
        <v>0</v>
      </c>
      <c r="AN36" s="677">
        <f t="shared" si="23"/>
        <v>0</v>
      </c>
    </row>
    <row r="37" spans="1:40" ht="13.5" customHeight="1">
      <c r="A37" s="148"/>
      <c r="B37" s="52" t="s">
        <v>170</v>
      </c>
      <c r="C37" s="7"/>
      <c r="D37" s="8"/>
      <c r="E37" s="549" t="s">
        <v>412</v>
      </c>
      <c r="F37" s="7"/>
      <c r="G37" s="7"/>
      <c r="H37" s="7"/>
      <c r="I37" s="7"/>
      <c r="J37" s="7"/>
      <c r="K37" s="7"/>
      <c r="L37" s="381"/>
      <c r="M37" s="7"/>
      <c r="N37" s="381"/>
      <c r="O37" s="381"/>
      <c r="P37" s="384"/>
      <c r="Q37" s="7"/>
      <c r="R37" s="7"/>
      <c r="S37" s="90"/>
      <c r="T37" s="381"/>
      <c r="U37" s="548"/>
      <c r="V37" s="176"/>
      <c r="W37" s="176"/>
      <c r="X37" s="176"/>
      <c r="AA37" s="677" t="e">
        <f t="shared" si="22"/>
        <v>#DIV/0!</v>
      </c>
      <c r="AB37" s="677">
        <f t="shared" si="4"/>
        <v>0</v>
      </c>
      <c r="AC37" s="677">
        <f t="shared" si="5"/>
        <v>0</v>
      </c>
      <c r="AD37" s="677">
        <f t="shared" si="6"/>
        <v>0</v>
      </c>
      <c r="AE37" s="677">
        <f t="shared" si="7"/>
        <v>0</v>
      </c>
      <c r="AF37" s="677">
        <f t="shared" si="8"/>
        <v>0</v>
      </c>
      <c r="AG37" s="677">
        <f t="shared" si="9"/>
        <v>0</v>
      </c>
      <c r="AH37" s="677">
        <f t="shared" si="10"/>
        <v>0</v>
      </c>
      <c r="AI37" s="677">
        <f t="shared" si="11"/>
        <v>0</v>
      </c>
      <c r="AJ37" s="677">
        <f t="shared" si="12"/>
        <v>0</v>
      </c>
      <c r="AK37" s="677">
        <f t="shared" si="13"/>
        <v>0</v>
      </c>
      <c r="AL37" s="677">
        <f t="shared" si="14"/>
        <v>0</v>
      </c>
      <c r="AM37" s="677">
        <f t="shared" si="15"/>
        <v>0</v>
      </c>
      <c r="AN37" s="677">
        <f t="shared" si="23"/>
        <v>0</v>
      </c>
    </row>
    <row r="38" spans="1:40" ht="3" customHeight="1">
      <c r="A38" s="6"/>
      <c r="B38" s="7"/>
      <c r="C38" s="7"/>
      <c r="D38" s="19"/>
      <c r="E38" s="19"/>
      <c r="F38" s="19"/>
      <c r="G38" s="19"/>
      <c r="H38" s="19"/>
      <c r="I38" s="19"/>
      <c r="J38" s="19"/>
      <c r="K38" s="19"/>
      <c r="L38" s="545"/>
      <c r="M38" s="19"/>
      <c r="N38" s="545"/>
      <c r="O38" s="545"/>
      <c r="P38" s="545"/>
      <c r="Q38" s="19"/>
      <c r="R38" s="19"/>
      <c r="S38" s="92"/>
      <c r="T38" s="545"/>
      <c r="U38" s="547"/>
      <c r="V38" s="176"/>
      <c r="W38" s="176"/>
      <c r="X38" s="176"/>
      <c r="AA38" s="677" t="e">
        <f t="shared" si="22"/>
        <v>#DIV/0!</v>
      </c>
      <c r="AB38" s="677">
        <f t="shared" si="4"/>
        <v>0</v>
      </c>
      <c r="AC38" s="677">
        <f t="shared" si="5"/>
        <v>0</v>
      </c>
      <c r="AD38" s="677">
        <f t="shared" si="6"/>
        <v>0</v>
      </c>
      <c r="AE38" s="677">
        <f t="shared" si="7"/>
        <v>0</v>
      </c>
      <c r="AF38" s="677">
        <f t="shared" si="8"/>
        <v>0</v>
      </c>
      <c r="AG38" s="677">
        <f t="shared" si="9"/>
        <v>0</v>
      </c>
      <c r="AH38" s="677">
        <f t="shared" si="10"/>
        <v>0</v>
      </c>
      <c r="AI38" s="677">
        <f t="shared" si="11"/>
        <v>0</v>
      </c>
      <c r="AJ38" s="677">
        <f t="shared" si="12"/>
        <v>0</v>
      </c>
      <c r="AK38" s="677">
        <f t="shared" si="13"/>
        <v>0</v>
      </c>
      <c r="AL38" s="677">
        <f t="shared" si="14"/>
        <v>0</v>
      </c>
      <c r="AM38" s="677">
        <f t="shared" si="15"/>
        <v>0</v>
      </c>
      <c r="AN38" s="677">
        <f t="shared" si="23"/>
        <v>0</v>
      </c>
    </row>
    <row r="39" spans="1:40" ht="18" customHeight="1">
      <c r="A39" s="75" t="s">
        <v>161</v>
      </c>
      <c r="B39" s="7"/>
      <c r="C39" s="59"/>
      <c r="D39" s="262" t="s">
        <v>623</v>
      </c>
      <c r="E39" s="262"/>
      <c r="F39" s="898"/>
      <c r="G39" s="897" t="s">
        <v>467</v>
      </c>
      <c r="H39" s="244">
        <f>29*67</f>
        <v>1943</v>
      </c>
      <c r="I39" s="432"/>
      <c r="J39" s="244">
        <v>8</v>
      </c>
      <c r="K39" s="432"/>
      <c r="L39" s="630">
        <f aca="true" t="shared" si="24" ref="L39:L48">+(H39*J39)</f>
        <v>15544</v>
      </c>
      <c r="M39" s="387"/>
      <c r="N39" s="633">
        <v>0</v>
      </c>
      <c r="O39" s="314">
        <f>+L39-N39</f>
        <v>15544</v>
      </c>
      <c r="P39" s="631">
        <f aca="true" t="shared" si="25" ref="P39:P48">L39-(N39+O39)</f>
        <v>0</v>
      </c>
      <c r="Q39" s="145"/>
      <c r="R39" s="145"/>
      <c r="S39" s="550"/>
      <c r="T39" s="551"/>
      <c r="U39" s="552"/>
      <c r="V39" s="176"/>
      <c r="W39" s="176"/>
      <c r="X39" s="176"/>
      <c r="AA39" s="677" t="e">
        <f t="shared" si="22"/>
        <v>#DIV/0!</v>
      </c>
      <c r="AB39" s="677">
        <f t="shared" si="4"/>
        <v>0</v>
      </c>
      <c r="AC39" s="677">
        <f t="shared" si="5"/>
        <v>0</v>
      </c>
      <c r="AD39" s="677">
        <f t="shared" si="6"/>
        <v>0</v>
      </c>
      <c r="AE39" s="677">
        <f t="shared" si="7"/>
        <v>0</v>
      </c>
      <c r="AF39" s="677">
        <f t="shared" si="8"/>
        <v>0</v>
      </c>
      <c r="AG39" s="677">
        <f t="shared" si="9"/>
        <v>0</v>
      </c>
      <c r="AH39" s="677">
        <f t="shared" si="10"/>
        <v>0</v>
      </c>
      <c r="AI39" s="677">
        <f t="shared" si="11"/>
        <v>0</v>
      </c>
      <c r="AJ39" s="677">
        <f t="shared" si="12"/>
        <v>0</v>
      </c>
      <c r="AK39" s="677">
        <f t="shared" si="13"/>
        <v>0</v>
      </c>
      <c r="AL39" s="677">
        <f t="shared" si="14"/>
        <v>0</v>
      </c>
      <c r="AM39" s="677">
        <f t="shared" si="15"/>
        <v>0</v>
      </c>
      <c r="AN39" s="677">
        <f t="shared" si="23"/>
        <v>0</v>
      </c>
    </row>
    <row r="40" spans="1:40" ht="18" customHeight="1">
      <c r="A40" s="75" t="s">
        <v>162</v>
      </c>
      <c r="B40" s="7"/>
      <c r="C40" s="59"/>
      <c r="D40" s="262"/>
      <c r="E40" s="262"/>
      <c r="F40" s="260"/>
      <c r="G40" s="897"/>
      <c r="H40" s="244"/>
      <c r="I40" s="432"/>
      <c r="J40" s="244"/>
      <c r="K40" s="432"/>
      <c r="L40" s="630">
        <f t="shared" si="24"/>
        <v>0</v>
      </c>
      <c r="M40" s="387"/>
      <c r="N40" s="633">
        <v>0</v>
      </c>
      <c r="O40" s="314"/>
      <c r="P40" s="631">
        <f t="shared" si="25"/>
        <v>0</v>
      </c>
      <c r="Q40" s="145"/>
      <c r="R40" s="145"/>
      <c r="S40" s="550"/>
      <c r="T40" s="551"/>
      <c r="U40" s="552"/>
      <c r="V40" s="176"/>
      <c r="W40" s="176"/>
      <c r="X40" s="176"/>
      <c r="AA40" s="677" t="e">
        <f t="shared" si="22"/>
        <v>#DIV/0!</v>
      </c>
      <c r="AB40" s="677">
        <f t="shared" si="4"/>
        <v>0</v>
      </c>
      <c r="AC40" s="677">
        <f t="shared" si="5"/>
        <v>0</v>
      </c>
      <c r="AD40" s="677">
        <f t="shared" si="6"/>
        <v>0</v>
      </c>
      <c r="AE40" s="677">
        <f t="shared" si="7"/>
        <v>0</v>
      </c>
      <c r="AF40" s="677">
        <f t="shared" si="8"/>
        <v>0</v>
      </c>
      <c r="AG40" s="677">
        <f t="shared" si="9"/>
        <v>0</v>
      </c>
      <c r="AH40" s="677">
        <f t="shared" si="10"/>
        <v>0</v>
      </c>
      <c r="AI40" s="677">
        <f t="shared" si="11"/>
        <v>0</v>
      </c>
      <c r="AJ40" s="677">
        <f t="shared" si="12"/>
        <v>0</v>
      </c>
      <c r="AK40" s="677">
        <f t="shared" si="13"/>
        <v>0</v>
      </c>
      <c r="AL40" s="677">
        <f t="shared" si="14"/>
        <v>0</v>
      </c>
      <c r="AM40" s="677">
        <f t="shared" si="15"/>
        <v>0</v>
      </c>
      <c r="AN40" s="677">
        <f t="shared" si="23"/>
        <v>0</v>
      </c>
    </row>
    <row r="41" spans="1:40" ht="18" customHeight="1">
      <c r="A41" s="75" t="s">
        <v>163</v>
      </c>
      <c r="B41" s="7"/>
      <c r="C41" s="59"/>
      <c r="D41" s="262"/>
      <c r="E41" s="262"/>
      <c r="F41" s="260"/>
      <c r="G41" s="897"/>
      <c r="H41" s="244"/>
      <c r="I41" s="432"/>
      <c r="J41" s="244"/>
      <c r="K41" s="432"/>
      <c r="L41" s="630">
        <f t="shared" si="24"/>
        <v>0</v>
      </c>
      <c r="M41" s="387"/>
      <c r="N41" s="633">
        <v>0</v>
      </c>
      <c r="O41" s="314"/>
      <c r="P41" s="631">
        <f t="shared" si="25"/>
        <v>0</v>
      </c>
      <c r="Q41" s="145"/>
      <c r="R41" s="145"/>
      <c r="S41" s="550"/>
      <c r="T41" s="551"/>
      <c r="U41" s="552"/>
      <c r="V41" s="176"/>
      <c r="W41" s="176"/>
      <c r="X41" s="176"/>
      <c r="AA41" s="677" t="e">
        <f t="shared" si="22"/>
        <v>#DIV/0!</v>
      </c>
      <c r="AB41" s="677">
        <f t="shared" si="4"/>
        <v>0</v>
      </c>
      <c r="AC41" s="677">
        <f t="shared" si="5"/>
        <v>0</v>
      </c>
      <c r="AD41" s="677">
        <f t="shared" si="6"/>
        <v>0</v>
      </c>
      <c r="AE41" s="677">
        <f t="shared" si="7"/>
        <v>0</v>
      </c>
      <c r="AF41" s="677">
        <f t="shared" si="8"/>
        <v>0</v>
      </c>
      <c r="AG41" s="677">
        <f t="shared" si="9"/>
        <v>0</v>
      </c>
      <c r="AH41" s="677">
        <f t="shared" si="10"/>
        <v>0</v>
      </c>
      <c r="AI41" s="677">
        <f t="shared" si="11"/>
        <v>0</v>
      </c>
      <c r="AJ41" s="677">
        <f t="shared" si="12"/>
        <v>0</v>
      </c>
      <c r="AK41" s="677">
        <f t="shared" si="13"/>
        <v>0</v>
      </c>
      <c r="AL41" s="677">
        <f t="shared" si="14"/>
        <v>0</v>
      </c>
      <c r="AM41" s="677">
        <f t="shared" si="15"/>
        <v>0</v>
      </c>
      <c r="AN41" s="677">
        <f t="shared" si="23"/>
        <v>0</v>
      </c>
    </row>
    <row r="42" spans="1:40" ht="18" customHeight="1">
      <c r="A42" s="75" t="s">
        <v>164</v>
      </c>
      <c r="B42" s="7"/>
      <c r="C42" s="59"/>
      <c r="D42" s="262"/>
      <c r="E42" s="262"/>
      <c r="F42" s="260"/>
      <c r="G42" s="897" t="s">
        <v>74</v>
      </c>
      <c r="H42" s="244"/>
      <c r="I42" s="432"/>
      <c r="J42" s="244"/>
      <c r="K42" s="432"/>
      <c r="L42" s="630">
        <f t="shared" si="24"/>
        <v>0</v>
      </c>
      <c r="M42" s="387"/>
      <c r="N42" s="633">
        <f>+L42-O42</f>
        <v>0</v>
      </c>
      <c r="O42" s="314">
        <v>0</v>
      </c>
      <c r="P42" s="631">
        <f t="shared" si="25"/>
        <v>0</v>
      </c>
      <c r="Q42" s="145"/>
      <c r="R42" s="145"/>
      <c r="S42" s="550"/>
      <c r="T42" s="551"/>
      <c r="U42" s="552"/>
      <c r="V42" s="176"/>
      <c r="W42" s="176"/>
      <c r="X42" s="176"/>
      <c r="AA42" s="677" t="e">
        <f t="shared" si="22"/>
        <v>#DIV/0!</v>
      </c>
      <c r="AB42" s="677">
        <f t="shared" si="4"/>
        <v>0</v>
      </c>
      <c r="AC42" s="677">
        <f t="shared" si="5"/>
        <v>0</v>
      </c>
      <c r="AD42" s="677">
        <f t="shared" si="6"/>
        <v>0</v>
      </c>
      <c r="AE42" s="677">
        <f t="shared" si="7"/>
        <v>0</v>
      </c>
      <c r="AF42" s="677">
        <f t="shared" si="8"/>
        <v>0</v>
      </c>
      <c r="AG42" s="677">
        <f t="shared" si="9"/>
        <v>0</v>
      </c>
      <c r="AH42" s="677">
        <f t="shared" si="10"/>
        <v>0</v>
      </c>
      <c r="AI42" s="677">
        <f t="shared" si="11"/>
        <v>0</v>
      </c>
      <c r="AJ42" s="677">
        <f t="shared" si="12"/>
        <v>0</v>
      </c>
      <c r="AK42" s="677">
        <f t="shared" si="13"/>
        <v>0</v>
      </c>
      <c r="AL42" s="677">
        <f t="shared" si="14"/>
        <v>0</v>
      </c>
      <c r="AM42" s="677">
        <f t="shared" si="15"/>
        <v>0</v>
      </c>
      <c r="AN42" s="677">
        <f t="shared" si="23"/>
        <v>0</v>
      </c>
    </row>
    <row r="43" spans="1:40" ht="18" customHeight="1">
      <c r="A43" s="75">
        <v>5</v>
      </c>
      <c r="B43" s="7"/>
      <c r="C43" s="59"/>
      <c r="D43" s="262"/>
      <c r="E43" s="262"/>
      <c r="F43" s="260"/>
      <c r="G43" s="897" t="s">
        <v>74</v>
      </c>
      <c r="H43" s="244"/>
      <c r="I43" s="432"/>
      <c r="J43" s="244"/>
      <c r="K43" s="432"/>
      <c r="L43" s="630">
        <f t="shared" si="24"/>
        <v>0</v>
      </c>
      <c r="M43" s="387"/>
      <c r="N43" s="633"/>
      <c r="O43" s="314">
        <f>+L43-N43</f>
        <v>0</v>
      </c>
      <c r="P43" s="631">
        <f t="shared" si="25"/>
        <v>0</v>
      </c>
      <c r="Q43" s="145"/>
      <c r="R43" s="145"/>
      <c r="S43" s="550"/>
      <c r="T43" s="551"/>
      <c r="U43" s="552"/>
      <c r="V43" s="176"/>
      <c r="W43" s="176"/>
      <c r="X43" s="176"/>
      <c r="AA43" s="677" t="e">
        <f>(L43-U43)/Q43</f>
        <v>#DIV/0!</v>
      </c>
      <c r="AB43" s="677">
        <f t="shared" si="4"/>
        <v>0</v>
      </c>
      <c r="AC43" s="677">
        <f t="shared" si="5"/>
        <v>0</v>
      </c>
      <c r="AD43" s="677">
        <f t="shared" si="6"/>
        <v>0</v>
      </c>
      <c r="AE43" s="677">
        <f t="shared" si="7"/>
        <v>0</v>
      </c>
      <c r="AF43" s="677">
        <f t="shared" si="8"/>
        <v>0</v>
      </c>
      <c r="AG43" s="677">
        <f t="shared" si="9"/>
        <v>0</v>
      </c>
      <c r="AH43" s="677">
        <f t="shared" si="10"/>
        <v>0</v>
      </c>
      <c r="AI43" s="677">
        <f t="shared" si="11"/>
        <v>0</v>
      </c>
      <c r="AJ43" s="677">
        <f t="shared" si="12"/>
        <v>0</v>
      </c>
      <c r="AK43" s="677">
        <f t="shared" si="13"/>
        <v>0</v>
      </c>
      <c r="AL43" s="677">
        <f t="shared" si="14"/>
        <v>0</v>
      </c>
      <c r="AM43" s="677">
        <f t="shared" si="15"/>
        <v>0</v>
      </c>
      <c r="AN43" s="677">
        <f>SUM(AB43:AM43)</f>
        <v>0</v>
      </c>
    </row>
    <row r="44" spans="1:40" ht="18" customHeight="1">
      <c r="A44" s="75">
        <v>6</v>
      </c>
      <c r="B44" s="7"/>
      <c r="C44" s="59"/>
      <c r="D44" s="262"/>
      <c r="E44" s="262"/>
      <c r="F44" s="260"/>
      <c r="G44" s="897" t="s">
        <v>74</v>
      </c>
      <c r="H44" s="244"/>
      <c r="I44" s="432"/>
      <c r="J44" s="244"/>
      <c r="K44" s="432"/>
      <c r="L44" s="630">
        <f t="shared" si="24"/>
        <v>0</v>
      </c>
      <c r="M44" s="387"/>
      <c r="N44" s="633"/>
      <c r="O44" s="314"/>
      <c r="P44" s="631">
        <f t="shared" si="25"/>
        <v>0</v>
      </c>
      <c r="Q44" s="145"/>
      <c r="R44" s="145"/>
      <c r="S44" s="550"/>
      <c r="T44" s="551"/>
      <c r="U44" s="552"/>
      <c r="V44" s="176"/>
      <c r="W44" s="176"/>
      <c r="X44" s="176"/>
      <c r="AA44" s="677" t="e">
        <f>(L44-U44)/Q44</f>
        <v>#DIV/0!</v>
      </c>
      <c r="AB44" s="677">
        <f t="shared" si="4"/>
        <v>0</v>
      </c>
      <c r="AC44" s="677">
        <f t="shared" si="5"/>
        <v>0</v>
      </c>
      <c r="AD44" s="677">
        <f t="shared" si="6"/>
        <v>0</v>
      </c>
      <c r="AE44" s="677">
        <f t="shared" si="7"/>
        <v>0</v>
      </c>
      <c r="AF44" s="677">
        <f t="shared" si="8"/>
        <v>0</v>
      </c>
      <c r="AG44" s="677">
        <f t="shared" si="9"/>
        <v>0</v>
      </c>
      <c r="AH44" s="677">
        <f t="shared" si="10"/>
        <v>0</v>
      </c>
      <c r="AI44" s="677">
        <f t="shared" si="11"/>
        <v>0</v>
      </c>
      <c r="AJ44" s="677">
        <f t="shared" si="12"/>
        <v>0</v>
      </c>
      <c r="AK44" s="677">
        <f t="shared" si="13"/>
        <v>0</v>
      </c>
      <c r="AL44" s="677">
        <f t="shared" si="14"/>
        <v>0</v>
      </c>
      <c r="AM44" s="677">
        <f t="shared" si="15"/>
        <v>0</v>
      </c>
      <c r="AN44" s="677">
        <f>SUM(AB44:AM44)</f>
        <v>0</v>
      </c>
    </row>
    <row r="45" spans="1:40" ht="18" customHeight="1">
      <c r="A45" s="75">
        <v>7</v>
      </c>
      <c r="B45" s="7"/>
      <c r="C45" s="59"/>
      <c r="D45" s="262"/>
      <c r="E45" s="262"/>
      <c r="F45" s="260"/>
      <c r="G45" s="897" t="s">
        <v>74</v>
      </c>
      <c r="H45" s="244"/>
      <c r="I45" s="432"/>
      <c r="J45" s="244"/>
      <c r="K45" s="432"/>
      <c r="L45" s="630">
        <f t="shared" si="24"/>
        <v>0</v>
      </c>
      <c r="M45" s="387"/>
      <c r="N45" s="633"/>
      <c r="O45" s="314"/>
      <c r="P45" s="631">
        <f t="shared" si="25"/>
        <v>0</v>
      </c>
      <c r="Q45" s="145"/>
      <c r="R45" s="145"/>
      <c r="S45" s="550"/>
      <c r="T45" s="551"/>
      <c r="U45" s="552"/>
      <c r="V45" s="176"/>
      <c r="W45" s="176"/>
      <c r="X45" s="176"/>
      <c r="AA45" s="677" t="e">
        <f>(L45-U45)/Q45</f>
        <v>#DIV/0!</v>
      </c>
      <c r="AB45" s="677">
        <f t="shared" si="4"/>
        <v>0</v>
      </c>
      <c r="AC45" s="677">
        <f t="shared" si="5"/>
        <v>0</v>
      </c>
      <c r="AD45" s="677">
        <f t="shared" si="6"/>
        <v>0</v>
      </c>
      <c r="AE45" s="677">
        <f t="shared" si="7"/>
        <v>0</v>
      </c>
      <c r="AF45" s="677">
        <f t="shared" si="8"/>
        <v>0</v>
      </c>
      <c r="AG45" s="677">
        <f t="shared" si="9"/>
        <v>0</v>
      </c>
      <c r="AH45" s="677">
        <f t="shared" si="10"/>
        <v>0</v>
      </c>
      <c r="AI45" s="677">
        <f t="shared" si="11"/>
        <v>0</v>
      </c>
      <c r="AJ45" s="677">
        <f t="shared" si="12"/>
        <v>0</v>
      </c>
      <c r="AK45" s="677">
        <f t="shared" si="13"/>
        <v>0</v>
      </c>
      <c r="AL45" s="677">
        <f t="shared" si="14"/>
        <v>0</v>
      </c>
      <c r="AM45" s="677">
        <f t="shared" si="15"/>
        <v>0</v>
      </c>
      <c r="AN45" s="677">
        <f>SUM(AB45:AM45)</f>
        <v>0</v>
      </c>
    </row>
    <row r="46" spans="1:40" ht="18" customHeight="1">
      <c r="A46" s="75">
        <v>8</v>
      </c>
      <c r="B46" s="7"/>
      <c r="C46" s="59"/>
      <c r="D46" s="262"/>
      <c r="E46" s="262"/>
      <c r="F46" s="260"/>
      <c r="G46" s="897" t="s">
        <v>74</v>
      </c>
      <c r="H46" s="244"/>
      <c r="I46" s="432"/>
      <c r="J46" s="244"/>
      <c r="K46" s="432"/>
      <c r="L46" s="630">
        <f t="shared" si="24"/>
        <v>0</v>
      </c>
      <c r="M46" s="387"/>
      <c r="N46" s="633"/>
      <c r="O46" s="314"/>
      <c r="P46" s="631">
        <f t="shared" si="25"/>
        <v>0</v>
      </c>
      <c r="Q46" s="145"/>
      <c r="R46" s="145"/>
      <c r="S46" s="550"/>
      <c r="T46" s="551"/>
      <c r="U46" s="552"/>
      <c r="V46" s="176"/>
      <c r="W46" s="176"/>
      <c r="X46" s="176"/>
      <c r="AA46" s="677" t="e">
        <f>(L46-U46)/Q46</f>
        <v>#DIV/0!</v>
      </c>
      <c r="AB46" s="677">
        <f t="shared" si="4"/>
        <v>0</v>
      </c>
      <c r="AC46" s="677">
        <f t="shared" si="5"/>
        <v>0</v>
      </c>
      <c r="AD46" s="677">
        <f t="shared" si="6"/>
        <v>0</v>
      </c>
      <c r="AE46" s="677">
        <f t="shared" si="7"/>
        <v>0</v>
      </c>
      <c r="AF46" s="677">
        <f t="shared" si="8"/>
        <v>0</v>
      </c>
      <c r="AG46" s="677">
        <f t="shared" si="9"/>
        <v>0</v>
      </c>
      <c r="AH46" s="677">
        <f t="shared" si="10"/>
        <v>0</v>
      </c>
      <c r="AI46" s="677">
        <f t="shared" si="11"/>
        <v>0</v>
      </c>
      <c r="AJ46" s="677">
        <f t="shared" si="12"/>
        <v>0</v>
      </c>
      <c r="AK46" s="677">
        <f t="shared" si="13"/>
        <v>0</v>
      </c>
      <c r="AL46" s="677">
        <f t="shared" si="14"/>
        <v>0</v>
      </c>
      <c r="AM46" s="677">
        <f t="shared" si="15"/>
        <v>0</v>
      </c>
      <c r="AN46" s="677">
        <f>SUM(AB46:AM46)</f>
        <v>0</v>
      </c>
    </row>
    <row r="47" spans="1:40" ht="18" customHeight="1">
      <c r="A47" s="75">
        <v>9</v>
      </c>
      <c r="B47" s="7"/>
      <c r="C47" s="59"/>
      <c r="D47" s="262"/>
      <c r="E47" s="262"/>
      <c r="F47" s="260"/>
      <c r="G47" s="897" t="s">
        <v>74</v>
      </c>
      <c r="H47" s="244"/>
      <c r="I47" s="432"/>
      <c r="J47" s="244"/>
      <c r="K47" s="432"/>
      <c r="L47" s="630">
        <f t="shared" si="24"/>
        <v>0</v>
      </c>
      <c r="M47" s="387"/>
      <c r="N47" s="633"/>
      <c r="O47" s="314"/>
      <c r="P47" s="631">
        <f t="shared" si="25"/>
        <v>0</v>
      </c>
      <c r="Q47" s="145"/>
      <c r="R47" s="145"/>
      <c r="S47" s="550"/>
      <c r="T47" s="551"/>
      <c r="U47" s="552"/>
      <c r="V47" s="176"/>
      <c r="W47" s="176"/>
      <c r="X47" s="176"/>
      <c r="AA47" s="677" t="e">
        <f>(L47-U47)/Q47</f>
        <v>#DIV/0!</v>
      </c>
      <c r="AB47" s="677">
        <f t="shared" si="4"/>
        <v>0</v>
      </c>
      <c r="AC47" s="677">
        <f t="shared" si="5"/>
        <v>0</v>
      </c>
      <c r="AD47" s="677">
        <f t="shared" si="6"/>
        <v>0</v>
      </c>
      <c r="AE47" s="677">
        <f t="shared" si="7"/>
        <v>0</v>
      </c>
      <c r="AF47" s="677">
        <f t="shared" si="8"/>
        <v>0</v>
      </c>
      <c r="AG47" s="677">
        <f t="shared" si="9"/>
        <v>0</v>
      </c>
      <c r="AH47" s="677">
        <f t="shared" si="10"/>
        <v>0</v>
      </c>
      <c r="AI47" s="677">
        <f t="shared" si="11"/>
        <v>0</v>
      </c>
      <c r="AJ47" s="677">
        <f t="shared" si="12"/>
        <v>0</v>
      </c>
      <c r="AK47" s="677">
        <f t="shared" si="13"/>
        <v>0</v>
      </c>
      <c r="AL47" s="677">
        <f t="shared" si="14"/>
        <v>0</v>
      </c>
      <c r="AM47" s="677">
        <f t="shared" si="15"/>
        <v>0</v>
      </c>
      <c r="AN47" s="677">
        <f>SUM(AB47:AM47)</f>
        <v>0</v>
      </c>
    </row>
    <row r="48" spans="1:40" ht="18" customHeight="1">
      <c r="A48" s="75">
        <v>10</v>
      </c>
      <c r="B48" s="7"/>
      <c r="C48" s="59"/>
      <c r="D48" s="263"/>
      <c r="E48" s="262"/>
      <c r="F48" s="260"/>
      <c r="G48" s="897" t="s">
        <v>74</v>
      </c>
      <c r="H48" s="244"/>
      <c r="I48" s="432"/>
      <c r="J48" s="244"/>
      <c r="K48" s="432"/>
      <c r="L48" s="630">
        <f t="shared" si="24"/>
        <v>0</v>
      </c>
      <c r="M48" s="387"/>
      <c r="N48" s="633"/>
      <c r="O48" s="314"/>
      <c r="P48" s="631">
        <f t="shared" si="25"/>
        <v>0</v>
      </c>
      <c r="Q48" s="145"/>
      <c r="R48" s="145"/>
      <c r="S48" s="550"/>
      <c r="T48" s="551"/>
      <c r="U48" s="552"/>
      <c r="V48" s="176"/>
      <c r="W48" s="176"/>
      <c r="X48" s="176"/>
      <c r="AA48" s="677" t="e">
        <f t="shared" si="22"/>
        <v>#DIV/0!</v>
      </c>
      <c r="AB48" s="677">
        <f t="shared" si="4"/>
        <v>0</v>
      </c>
      <c r="AC48" s="677">
        <f t="shared" si="5"/>
        <v>0</v>
      </c>
      <c r="AD48" s="677">
        <f t="shared" si="6"/>
        <v>0</v>
      </c>
      <c r="AE48" s="677">
        <f t="shared" si="7"/>
        <v>0</v>
      </c>
      <c r="AF48" s="677">
        <f t="shared" si="8"/>
        <v>0</v>
      </c>
      <c r="AG48" s="677">
        <f t="shared" si="9"/>
        <v>0</v>
      </c>
      <c r="AH48" s="677">
        <f t="shared" si="10"/>
        <v>0</v>
      </c>
      <c r="AI48" s="677">
        <f t="shared" si="11"/>
        <v>0</v>
      </c>
      <c r="AJ48" s="677">
        <f t="shared" si="12"/>
        <v>0</v>
      </c>
      <c r="AK48" s="677">
        <f t="shared" si="13"/>
        <v>0</v>
      </c>
      <c r="AL48" s="677">
        <f t="shared" si="14"/>
        <v>0</v>
      </c>
      <c r="AM48" s="677">
        <f t="shared" si="15"/>
        <v>0</v>
      </c>
      <c r="AN48" s="677">
        <f t="shared" si="23"/>
        <v>0</v>
      </c>
    </row>
    <row r="49" spans="1:40" ht="3" customHeight="1">
      <c r="A49" s="6"/>
      <c r="B49" s="7"/>
      <c r="C49" s="59"/>
      <c r="D49" s="7"/>
      <c r="E49" s="7"/>
      <c r="F49" s="7"/>
      <c r="G49" s="127"/>
      <c r="H49" s="646"/>
      <c r="I49" s="59"/>
      <c r="J49" s="7"/>
      <c r="K49" s="59"/>
      <c r="L49" s="384"/>
      <c r="M49" s="383"/>
      <c r="N49" s="383"/>
      <c r="O49" s="383"/>
      <c r="P49" s="641"/>
      <c r="Q49" s="145"/>
      <c r="R49" s="145"/>
      <c r="S49" s="550"/>
      <c r="T49" s="551"/>
      <c r="U49" s="552"/>
      <c r="V49" s="176"/>
      <c r="W49" s="176"/>
      <c r="X49" s="176"/>
      <c r="AA49" s="677" t="e">
        <f t="shared" si="22"/>
        <v>#DIV/0!</v>
      </c>
      <c r="AB49" s="677">
        <f t="shared" si="4"/>
        <v>0</v>
      </c>
      <c r="AC49" s="677">
        <f t="shared" si="5"/>
        <v>0</v>
      </c>
      <c r="AD49" s="677">
        <f t="shared" si="6"/>
        <v>0</v>
      </c>
      <c r="AE49" s="677">
        <f t="shared" si="7"/>
        <v>0</v>
      </c>
      <c r="AF49" s="677">
        <f t="shared" si="8"/>
        <v>0</v>
      </c>
      <c r="AG49" s="677">
        <f t="shared" si="9"/>
        <v>0</v>
      </c>
      <c r="AH49" s="677">
        <f t="shared" si="10"/>
        <v>0</v>
      </c>
      <c r="AI49" s="677">
        <f t="shared" si="11"/>
        <v>0</v>
      </c>
      <c r="AJ49" s="677">
        <f t="shared" si="12"/>
        <v>0</v>
      </c>
      <c r="AK49" s="677">
        <f t="shared" si="13"/>
        <v>0</v>
      </c>
      <c r="AL49" s="677">
        <f t="shared" si="14"/>
        <v>0</v>
      </c>
      <c r="AM49" s="677">
        <f t="shared" si="15"/>
        <v>0</v>
      </c>
      <c r="AN49" s="677">
        <f t="shared" si="23"/>
        <v>0</v>
      </c>
    </row>
    <row r="50" spans="1:40" ht="15" customHeight="1">
      <c r="A50" s="6" t="s">
        <v>169</v>
      </c>
      <c r="B50" s="7"/>
      <c r="C50" s="59"/>
      <c r="D50" s="7"/>
      <c r="E50" s="7"/>
      <c r="F50" s="7"/>
      <c r="G50" s="127"/>
      <c r="H50" s="647">
        <f>SUM(H39:H49)</f>
        <v>1943</v>
      </c>
      <c r="I50" s="59"/>
      <c r="J50" s="7"/>
      <c r="K50" s="59"/>
      <c r="L50" s="553">
        <f>SUM(L39:L49)</f>
        <v>15544</v>
      </c>
      <c r="M50" s="383"/>
      <c r="N50" s="632">
        <f>SUM(N39:N48)</f>
        <v>0</v>
      </c>
      <c r="O50" s="632">
        <f>SUM(O39:O49)</f>
        <v>15544</v>
      </c>
      <c r="P50" s="632">
        <f>SUM(P39:P49)</f>
        <v>0</v>
      </c>
      <c r="Q50" s="145"/>
      <c r="R50" s="145"/>
      <c r="S50" s="550"/>
      <c r="T50" s="551"/>
      <c r="U50" s="552"/>
      <c r="V50" s="176"/>
      <c r="W50" s="176"/>
      <c r="X50" s="176"/>
      <c r="AA50" s="677" t="e">
        <f t="shared" si="22"/>
        <v>#DIV/0!</v>
      </c>
      <c r="AB50" s="677">
        <f t="shared" si="4"/>
        <v>0</v>
      </c>
      <c r="AC50" s="677">
        <f t="shared" si="5"/>
        <v>0</v>
      </c>
      <c r="AD50" s="677">
        <f t="shared" si="6"/>
        <v>0</v>
      </c>
      <c r="AE50" s="677">
        <f t="shared" si="7"/>
        <v>0</v>
      </c>
      <c r="AF50" s="677">
        <f t="shared" si="8"/>
        <v>0</v>
      </c>
      <c r="AG50" s="677">
        <f t="shared" si="9"/>
        <v>0</v>
      </c>
      <c r="AH50" s="677">
        <f t="shared" si="10"/>
        <v>0</v>
      </c>
      <c r="AI50" s="677">
        <f t="shared" si="11"/>
        <v>0</v>
      </c>
      <c r="AJ50" s="677">
        <f t="shared" si="12"/>
        <v>0</v>
      </c>
      <c r="AK50" s="677">
        <f t="shared" si="13"/>
        <v>0</v>
      </c>
      <c r="AL50" s="677">
        <f t="shared" si="14"/>
        <v>0</v>
      </c>
      <c r="AM50" s="677">
        <f t="shared" si="15"/>
        <v>0</v>
      </c>
      <c r="AN50" s="677">
        <f t="shared" si="23"/>
        <v>0</v>
      </c>
    </row>
    <row r="51" spans="1:40" ht="4.5" customHeight="1">
      <c r="A51" s="18"/>
      <c r="B51" s="19"/>
      <c r="C51" s="63"/>
      <c r="D51" s="19"/>
      <c r="E51" s="19"/>
      <c r="F51" s="19"/>
      <c r="G51" s="891"/>
      <c r="H51" s="19"/>
      <c r="I51" s="63"/>
      <c r="J51" s="19"/>
      <c r="K51" s="63"/>
      <c r="L51" s="642"/>
      <c r="M51" s="643"/>
      <c r="N51" s="644"/>
      <c r="O51" s="644"/>
      <c r="P51" s="645"/>
      <c r="Q51" s="554"/>
      <c r="R51" s="554"/>
      <c r="S51" s="555"/>
      <c r="T51" s="556"/>
      <c r="U51" s="557"/>
      <c r="V51" s="176"/>
      <c r="W51" s="176"/>
      <c r="X51" s="176"/>
      <c r="AA51" s="677" t="e">
        <f t="shared" si="22"/>
        <v>#DIV/0!</v>
      </c>
      <c r="AB51" s="677">
        <f t="shared" si="4"/>
        <v>0</v>
      </c>
      <c r="AC51" s="677">
        <f t="shared" si="5"/>
        <v>0</v>
      </c>
      <c r="AD51" s="677">
        <f t="shared" si="6"/>
        <v>0</v>
      </c>
      <c r="AE51" s="677">
        <f t="shared" si="7"/>
        <v>0</v>
      </c>
      <c r="AF51" s="677">
        <f t="shared" si="8"/>
        <v>0</v>
      </c>
      <c r="AG51" s="677">
        <f t="shared" si="9"/>
        <v>0</v>
      </c>
      <c r="AH51" s="677">
        <f t="shared" si="10"/>
        <v>0</v>
      </c>
      <c r="AI51" s="677">
        <f t="shared" si="11"/>
        <v>0</v>
      </c>
      <c r="AJ51" s="677">
        <f t="shared" si="12"/>
        <v>0</v>
      </c>
      <c r="AK51" s="677">
        <f t="shared" si="13"/>
        <v>0</v>
      </c>
      <c r="AL51" s="677">
        <f t="shared" si="14"/>
        <v>0</v>
      </c>
      <c r="AM51" s="677">
        <f t="shared" si="15"/>
        <v>0</v>
      </c>
      <c r="AN51" s="677">
        <f t="shared" si="23"/>
        <v>0</v>
      </c>
    </row>
    <row r="52" spans="1:40" ht="3" customHeight="1">
      <c r="A52" s="6"/>
      <c r="B52" s="7"/>
      <c r="C52" s="7"/>
      <c r="D52" s="7"/>
      <c r="E52" s="7"/>
      <c r="F52" s="7"/>
      <c r="G52" s="7"/>
      <c r="H52" s="7"/>
      <c r="I52" s="7"/>
      <c r="J52" s="7"/>
      <c r="K52" s="7"/>
      <c r="L52" s="381"/>
      <c r="M52" s="7"/>
      <c r="N52" s="381"/>
      <c r="O52" s="381"/>
      <c r="P52" s="381"/>
      <c r="Q52" s="7"/>
      <c r="R52" s="7"/>
      <c r="S52" s="7"/>
      <c r="T52" s="381"/>
      <c r="U52" s="548"/>
      <c r="V52" s="176"/>
      <c r="W52" s="176"/>
      <c r="X52" s="176"/>
      <c r="AA52" s="677" t="e">
        <f t="shared" si="22"/>
        <v>#DIV/0!</v>
      </c>
      <c r="AB52" s="677">
        <f t="shared" si="4"/>
        <v>0</v>
      </c>
      <c r="AC52" s="677">
        <f t="shared" si="5"/>
        <v>0</v>
      </c>
      <c r="AD52" s="677">
        <f t="shared" si="6"/>
        <v>0</v>
      </c>
      <c r="AE52" s="677">
        <f t="shared" si="7"/>
        <v>0</v>
      </c>
      <c r="AF52" s="677">
        <f t="shared" si="8"/>
        <v>0</v>
      </c>
      <c r="AG52" s="677">
        <f t="shared" si="9"/>
        <v>0</v>
      </c>
      <c r="AH52" s="677">
        <f t="shared" si="10"/>
        <v>0</v>
      </c>
      <c r="AI52" s="677">
        <f t="shared" si="11"/>
        <v>0</v>
      </c>
      <c r="AJ52" s="677">
        <f t="shared" si="12"/>
        <v>0</v>
      </c>
      <c r="AK52" s="677">
        <f t="shared" si="13"/>
        <v>0</v>
      </c>
      <c r="AL52" s="677">
        <f t="shared" si="14"/>
        <v>0</v>
      </c>
      <c r="AM52" s="677">
        <f t="shared" si="15"/>
        <v>0</v>
      </c>
      <c r="AN52" s="677">
        <f t="shared" si="23"/>
        <v>0</v>
      </c>
    </row>
    <row r="53" spans="1:40" ht="18" customHeight="1">
      <c r="A53" s="55"/>
      <c r="B53" s="149" t="s">
        <v>171</v>
      </c>
      <c r="C53" s="7"/>
      <c r="D53" s="7"/>
      <c r="E53" s="549" t="s">
        <v>413</v>
      </c>
      <c r="F53" s="8"/>
      <c r="G53" s="8"/>
      <c r="H53" s="7"/>
      <c r="I53" s="7"/>
      <c r="J53" s="42"/>
      <c r="K53" s="7"/>
      <c r="L53" s="558"/>
      <c r="M53" s="7"/>
      <c r="N53" s="381"/>
      <c r="O53" s="381"/>
      <c r="P53" s="381"/>
      <c r="Q53" s="7"/>
      <c r="R53" s="7"/>
      <c r="S53" s="7"/>
      <c r="T53" s="381"/>
      <c r="U53" s="548"/>
      <c r="V53" s="176"/>
      <c r="W53" s="176"/>
      <c r="X53" s="176"/>
      <c r="AA53" s="677" t="e">
        <f t="shared" si="22"/>
        <v>#DIV/0!</v>
      </c>
      <c r="AB53" s="677">
        <f t="shared" si="4"/>
        <v>0</v>
      </c>
      <c r="AC53" s="677">
        <f t="shared" si="5"/>
        <v>0</v>
      </c>
      <c r="AD53" s="677">
        <f t="shared" si="6"/>
        <v>0</v>
      </c>
      <c r="AE53" s="677">
        <f t="shared" si="7"/>
        <v>0</v>
      </c>
      <c r="AF53" s="677">
        <f t="shared" si="8"/>
        <v>0</v>
      </c>
      <c r="AG53" s="677">
        <f t="shared" si="9"/>
        <v>0</v>
      </c>
      <c r="AH53" s="677">
        <f t="shared" si="10"/>
        <v>0</v>
      </c>
      <c r="AI53" s="677">
        <f t="shared" si="11"/>
        <v>0</v>
      </c>
      <c r="AJ53" s="677">
        <f t="shared" si="12"/>
        <v>0</v>
      </c>
      <c r="AK53" s="677">
        <f t="shared" si="13"/>
        <v>0</v>
      </c>
      <c r="AL53" s="677">
        <f t="shared" si="14"/>
        <v>0</v>
      </c>
      <c r="AM53" s="677">
        <f t="shared" si="15"/>
        <v>0</v>
      </c>
      <c r="AN53" s="677">
        <f t="shared" si="23"/>
        <v>0</v>
      </c>
    </row>
    <row r="54" spans="1:40" ht="6" customHeight="1">
      <c r="A54" s="6"/>
      <c r="B54" s="7"/>
      <c r="C54" s="7"/>
      <c r="D54" s="7"/>
      <c r="E54" s="7"/>
      <c r="F54" s="7"/>
      <c r="G54" s="7"/>
      <c r="H54" s="7"/>
      <c r="I54" s="7"/>
      <c r="J54" s="7"/>
      <c r="K54" s="7"/>
      <c r="L54" s="545"/>
      <c r="M54" s="7"/>
      <c r="N54" s="545"/>
      <c r="O54" s="545"/>
      <c r="P54" s="545"/>
      <c r="Q54" s="7"/>
      <c r="R54" s="7"/>
      <c r="S54" s="90"/>
      <c r="T54" s="381"/>
      <c r="U54" s="548"/>
      <c r="V54" s="176"/>
      <c r="W54" s="176"/>
      <c r="X54" s="176"/>
      <c r="AA54" s="677" t="e">
        <f t="shared" si="22"/>
        <v>#DIV/0!</v>
      </c>
      <c r="AB54" s="677">
        <f t="shared" si="4"/>
        <v>0</v>
      </c>
      <c r="AC54" s="677">
        <f t="shared" si="5"/>
        <v>0</v>
      </c>
      <c r="AD54" s="677">
        <f t="shared" si="6"/>
        <v>0</v>
      </c>
      <c r="AE54" s="677">
        <f t="shared" si="7"/>
        <v>0</v>
      </c>
      <c r="AF54" s="677">
        <f t="shared" si="8"/>
        <v>0</v>
      </c>
      <c r="AG54" s="677">
        <f t="shared" si="9"/>
        <v>0</v>
      </c>
      <c r="AH54" s="677">
        <f t="shared" si="10"/>
        <v>0</v>
      </c>
      <c r="AI54" s="677">
        <f t="shared" si="11"/>
        <v>0</v>
      </c>
      <c r="AJ54" s="677">
        <f t="shared" si="12"/>
        <v>0</v>
      </c>
      <c r="AK54" s="677">
        <f t="shared" si="13"/>
        <v>0</v>
      </c>
      <c r="AL54" s="677">
        <f t="shared" si="14"/>
        <v>0</v>
      </c>
      <c r="AM54" s="677">
        <f t="shared" si="15"/>
        <v>0</v>
      </c>
      <c r="AN54" s="677">
        <f t="shared" si="23"/>
        <v>0</v>
      </c>
    </row>
    <row r="55" spans="1:40" ht="18" customHeight="1">
      <c r="A55" s="75" t="s">
        <v>161</v>
      </c>
      <c r="B55" s="7"/>
      <c r="C55" s="59"/>
      <c r="D55" s="937" t="s">
        <v>624</v>
      </c>
      <c r="E55" s="559"/>
      <c r="F55" s="559"/>
      <c r="G55" s="893" t="s">
        <v>628</v>
      </c>
      <c r="H55" s="561">
        <v>1</v>
      </c>
      <c r="I55" s="560"/>
      <c r="J55" s="561">
        <f>12*900</f>
        <v>10800</v>
      </c>
      <c r="K55" s="562"/>
      <c r="L55" s="630">
        <f aca="true" t="shared" si="26" ref="L55:L65">+(H55*J55)</f>
        <v>10800</v>
      </c>
      <c r="M55" s="648"/>
      <c r="N55" s="633">
        <f>L55</f>
        <v>10800</v>
      </c>
      <c r="O55" s="314"/>
      <c r="P55" s="631">
        <f aca="true" t="shared" si="27" ref="P55:P65">L55-(N55+O55)</f>
        <v>0</v>
      </c>
      <c r="Q55" s="563"/>
      <c r="R55" s="564"/>
      <c r="S55" s="565"/>
      <c r="T55" s="566"/>
      <c r="U55" s="567"/>
      <c r="V55" s="176"/>
      <c r="W55" s="176"/>
      <c r="X55" s="176"/>
      <c r="AA55" s="677" t="e">
        <f t="shared" si="22"/>
        <v>#DIV/0!</v>
      </c>
      <c r="AB55" s="677">
        <f t="shared" si="4"/>
        <v>0</v>
      </c>
      <c r="AC55" s="677">
        <f t="shared" si="5"/>
        <v>0</v>
      </c>
      <c r="AD55" s="677">
        <f t="shared" si="6"/>
        <v>0</v>
      </c>
      <c r="AE55" s="677">
        <f t="shared" si="7"/>
        <v>0</v>
      </c>
      <c r="AF55" s="677">
        <f t="shared" si="8"/>
        <v>0</v>
      </c>
      <c r="AG55" s="677">
        <f t="shared" si="9"/>
        <v>0</v>
      </c>
      <c r="AH55" s="677">
        <f t="shared" si="10"/>
        <v>0</v>
      </c>
      <c r="AI55" s="677">
        <f t="shared" si="11"/>
        <v>0</v>
      </c>
      <c r="AJ55" s="677">
        <f t="shared" si="12"/>
        <v>0</v>
      </c>
      <c r="AK55" s="677">
        <f t="shared" si="13"/>
        <v>0</v>
      </c>
      <c r="AL55" s="677">
        <f t="shared" si="14"/>
        <v>0</v>
      </c>
      <c r="AM55" s="677">
        <f t="shared" si="15"/>
        <v>0</v>
      </c>
      <c r="AN55" s="677">
        <f t="shared" si="23"/>
        <v>0</v>
      </c>
    </row>
    <row r="56" spans="1:40" ht="18" customHeight="1">
      <c r="A56" s="75" t="s">
        <v>162</v>
      </c>
      <c r="B56" s="7"/>
      <c r="C56" s="59"/>
      <c r="D56" s="941" t="s">
        <v>629</v>
      </c>
      <c r="E56" s="568"/>
      <c r="F56" s="568"/>
      <c r="G56" s="894" t="s">
        <v>628</v>
      </c>
      <c r="H56" s="570">
        <v>1</v>
      </c>
      <c r="I56" s="569"/>
      <c r="J56" s="570">
        <f>700*12</f>
        <v>8400</v>
      </c>
      <c r="K56" s="542"/>
      <c r="L56" s="630">
        <f t="shared" si="26"/>
        <v>8400</v>
      </c>
      <c r="M56" s="649"/>
      <c r="N56" s="633">
        <f aca="true" t="shared" si="28" ref="N56:N62">+L56</f>
        <v>8400</v>
      </c>
      <c r="O56" s="314"/>
      <c r="P56" s="631">
        <f t="shared" si="27"/>
        <v>0</v>
      </c>
      <c r="Q56" s="571"/>
      <c r="R56" s="572"/>
      <c r="S56" s="573"/>
      <c r="T56" s="574"/>
      <c r="U56" s="575"/>
      <c r="V56" s="176"/>
      <c r="W56" s="176"/>
      <c r="X56" s="176"/>
      <c r="AA56" s="677" t="e">
        <f>(L56-U56)/Q56</f>
        <v>#DIV/0!</v>
      </c>
      <c r="AB56" s="677">
        <f t="shared" si="4"/>
        <v>0</v>
      </c>
      <c r="AC56" s="677">
        <f t="shared" si="5"/>
        <v>0</v>
      </c>
      <c r="AD56" s="677">
        <f t="shared" si="6"/>
        <v>0</v>
      </c>
      <c r="AE56" s="677">
        <f t="shared" si="7"/>
        <v>0</v>
      </c>
      <c r="AF56" s="677">
        <f t="shared" si="8"/>
        <v>0</v>
      </c>
      <c r="AG56" s="677">
        <f t="shared" si="9"/>
        <v>0</v>
      </c>
      <c r="AH56" s="677">
        <f t="shared" si="10"/>
        <v>0</v>
      </c>
      <c r="AI56" s="677">
        <f t="shared" si="11"/>
        <v>0</v>
      </c>
      <c r="AJ56" s="677">
        <f t="shared" si="12"/>
        <v>0</v>
      </c>
      <c r="AK56" s="677">
        <f t="shared" si="13"/>
        <v>0</v>
      </c>
      <c r="AL56" s="677">
        <f t="shared" si="14"/>
        <v>0</v>
      </c>
      <c r="AM56" s="677">
        <f t="shared" si="15"/>
        <v>0</v>
      </c>
      <c r="AN56" s="677">
        <f>SUM(AB56:AM56)</f>
        <v>0</v>
      </c>
    </row>
    <row r="57" spans="1:40" ht="18" customHeight="1">
      <c r="A57" s="75" t="s">
        <v>163</v>
      </c>
      <c r="B57" s="7"/>
      <c r="C57" s="59"/>
      <c r="D57" s="942" t="s">
        <v>608</v>
      </c>
      <c r="E57" s="262"/>
      <c r="F57" s="262"/>
      <c r="G57" s="944" t="s">
        <v>547</v>
      </c>
      <c r="H57" s="570">
        <v>12</v>
      </c>
      <c r="I57" s="423"/>
      <c r="J57" s="244">
        <v>300</v>
      </c>
      <c r="K57" s="542"/>
      <c r="L57" s="630">
        <f t="shared" si="26"/>
        <v>3600</v>
      </c>
      <c r="M57" s="649"/>
      <c r="N57" s="633">
        <f t="shared" si="28"/>
        <v>3600</v>
      </c>
      <c r="O57" s="314"/>
      <c r="P57" s="631">
        <f t="shared" si="27"/>
        <v>0</v>
      </c>
      <c r="Q57" s="571"/>
      <c r="R57" s="572"/>
      <c r="S57" s="573"/>
      <c r="T57" s="574"/>
      <c r="U57" s="575"/>
      <c r="V57" s="176"/>
      <c r="W57" s="176"/>
      <c r="X57" s="176"/>
      <c r="AA57" s="677" t="e">
        <f>(L57-U57)/Q57</f>
        <v>#DIV/0!</v>
      </c>
      <c r="AB57" s="677">
        <f t="shared" si="4"/>
        <v>0</v>
      </c>
      <c r="AC57" s="677">
        <f t="shared" si="5"/>
        <v>0</v>
      </c>
      <c r="AD57" s="677">
        <f t="shared" si="6"/>
        <v>0</v>
      </c>
      <c r="AE57" s="677">
        <f t="shared" si="7"/>
        <v>0</v>
      </c>
      <c r="AF57" s="677">
        <f t="shared" si="8"/>
        <v>0</v>
      </c>
      <c r="AG57" s="677">
        <f t="shared" si="9"/>
        <v>0</v>
      </c>
      <c r="AH57" s="677">
        <f t="shared" si="10"/>
        <v>0</v>
      </c>
      <c r="AI57" s="677">
        <f t="shared" si="11"/>
        <v>0</v>
      </c>
      <c r="AJ57" s="677">
        <f t="shared" si="12"/>
        <v>0</v>
      </c>
      <c r="AK57" s="677">
        <f t="shared" si="13"/>
        <v>0</v>
      </c>
      <c r="AL57" s="677">
        <f t="shared" si="14"/>
        <v>0</v>
      </c>
      <c r="AM57" s="677">
        <f t="shared" si="15"/>
        <v>0</v>
      </c>
      <c r="AN57" s="677">
        <f>SUM(AB57:AM57)</f>
        <v>0</v>
      </c>
    </row>
    <row r="58" spans="1:40" ht="18" customHeight="1">
      <c r="A58" s="75"/>
      <c r="B58" s="7"/>
      <c r="C58" s="59"/>
      <c r="D58" s="937" t="s">
        <v>625</v>
      </c>
      <c r="E58" s="262"/>
      <c r="F58" s="262"/>
      <c r="G58" s="945" t="s">
        <v>630</v>
      </c>
      <c r="H58" s="570">
        <v>1</v>
      </c>
      <c r="I58" s="423"/>
      <c r="J58" s="244">
        <v>700</v>
      </c>
      <c r="K58" s="542"/>
      <c r="L58" s="630">
        <f>+(H58*J58)</f>
        <v>700</v>
      </c>
      <c r="M58" s="649"/>
      <c r="N58" s="633">
        <f t="shared" si="28"/>
        <v>700</v>
      </c>
      <c r="O58" s="314"/>
      <c r="P58" s="631"/>
      <c r="Q58" s="571"/>
      <c r="R58" s="572"/>
      <c r="S58" s="573"/>
      <c r="T58" s="574"/>
      <c r="U58" s="575"/>
      <c r="V58" s="176"/>
      <c r="W58" s="176"/>
      <c r="X58" s="176"/>
      <c r="AA58" s="677"/>
      <c r="AB58" s="677"/>
      <c r="AC58" s="677"/>
      <c r="AD58" s="677"/>
      <c r="AE58" s="677"/>
      <c r="AF58" s="677"/>
      <c r="AG58" s="677"/>
      <c r="AH58" s="677"/>
      <c r="AI58" s="677"/>
      <c r="AJ58" s="677"/>
      <c r="AK58" s="677"/>
      <c r="AL58" s="677"/>
      <c r="AM58" s="677"/>
      <c r="AN58" s="677"/>
    </row>
    <row r="59" spans="1:40" ht="18" customHeight="1">
      <c r="A59" s="75">
        <v>4</v>
      </c>
      <c r="B59" s="7"/>
      <c r="C59" s="59"/>
      <c r="D59" s="942" t="s">
        <v>626</v>
      </c>
      <c r="E59" s="568"/>
      <c r="F59" s="568"/>
      <c r="G59" s="944" t="s">
        <v>631</v>
      </c>
      <c r="H59" s="570">
        <v>18</v>
      </c>
      <c r="I59" s="569"/>
      <c r="J59" s="570">
        <v>200</v>
      </c>
      <c r="K59" s="542"/>
      <c r="L59" s="630">
        <f t="shared" si="26"/>
        <v>3600</v>
      </c>
      <c r="M59" s="649"/>
      <c r="N59" s="633">
        <f t="shared" si="28"/>
        <v>3600</v>
      </c>
      <c r="O59" s="314"/>
      <c r="P59" s="631">
        <f t="shared" si="27"/>
        <v>0</v>
      </c>
      <c r="Q59" s="571"/>
      <c r="R59" s="572"/>
      <c r="S59" s="573"/>
      <c r="T59" s="574"/>
      <c r="U59" s="575"/>
      <c r="V59" s="176"/>
      <c r="W59" s="176"/>
      <c r="X59" s="176"/>
      <c r="AA59" s="677" t="e">
        <f t="shared" si="22"/>
        <v>#DIV/0!</v>
      </c>
      <c r="AB59" s="677">
        <f t="shared" si="4"/>
        <v>0</v>
      </c>
      <c r="AC59" s="677">
        <f t="shared" si="5"/>
        <v>0</v>
      </c>
      <c r="AD59" s="677">
        <f t="shared" si="6"/>
        <v>0</v>
      </c>
      <c r="AE59" s="677">
        <f t="shared" si="7"/>
        <v>0</v>
      </c>
      <c r="AF59" s="677">
        <f t="shared" si="8"/>
        <v>0</v>
      </c>
      <c r="AG59" s="677">
        <f t="shared" si="9"/>
        <v>0</v>
      </c>
      <c r="AH59" s="677">
        <f t="shared" si="10"/>
        <v>0</v>
      </c>
      <c r="AI59" s="677">
        <f t="shared" si="11"/>
        <v>0</v>
      </c>
      <c r="AJ59" s="677">
        <f t="shared" si="12"/>
        <v>0</v>
      </c>
      <c r="AK59" s="677">
        <f t="shared" si="13"/>
        <v>0</v>
      </c>
      <c r="AL59" s="677">
        <f t="shared" si="14"/>
        <v>0</v>
      </c>
      <c r="AM59" s="677">
        <f t="shared" si="15"/>
        <v>0</v>
      </c>
      <c r="AN59" s="677">
        <f t="shared" si="23"/>
        <v>0</v>
      </c>
    </row>
    <row r="60" spans="1:40" ht="18" customHeight="1">
      <c r="A60" s="75">
        <v>5</v>
      </c>
      <c r="B60" s="7"/>
      <c r="C60" s="59"/>
      <c r="D60" s="943" t="s">
        <v>627</v>
      </c>
      <c r="E60" s="262"/>
      <c r="F60" s="262"/>
      <c r="G60" s="946" t="s">
        <v>630</v>
      </c>
      <c r="H60" s="244">
        <v>1</v>
      </c>
      <c r="I60" s="423"/>
      <c r="J60" s="244">
        <v>4000</v>
      </c>
      <c r="K60" s="542"/>
      <c r="L60" s="630">
        <f t="shared" si="26"/>
        <v>4000</v>
      </c>
      <c r="M60" s="649"/>
      <c r="N60" s="633">
        <f t="shared" si="28"/>
        <v>4000</v>
      </c>
      <c r="O60" s="314"/>
      <c r="P60" s="631">
        <f t="shared" si="27"/>
        <v>0</v>
      </c>
      <c r="Q60" s="571"/>
      <c r="R60" s="572"/>
      <c r="S60" s="573"/>
      <c r="T60" s="574"/>
      <c r="U60" s="575"/>
      <c r="V60" s="176"/>
      <c r="W60" s="176"/>
      <c r="X60" s="176"/>
      <c r="AA60" s="677" t="e">
        <f t="shared" si="22"/>
        <v>#DIV/0!</v>
      </c>
      <c r="AB60" s="677">
        <f t="shared" si="4"/>
        <v>0</v>
      </c>
      <c r="AC60" s="677">
        <f t="shared" si="5"/>
        <v>0</v>
      </c>
      <c r="AD60" s="677">
        <f t="shared" si="6"/>
        <v>0</v>
      </c>
      <c r="AE60" s="677">
        <f t="shared" si="7"/>
        <v>0</v>
      </c>
      <c r="AF60" s="677">
        <f t="shared" si="8"/>
        <v>0</v>
      </c>
      <c r="AG60" s="677">
        <f t="shared" si="9"/>
        <v>0</v>
      </c>
      <c r="AH60" s="677">
        <f t="shared" si="10"/>
        <v>0</v>
      </c>
      <c r="AI60" s="677">
        <f t="shared" si="11"/>
        <v>0</v>
      </c>
      <c r="AJ60" s="677">
        <f t="shared" si="12"/>
        <v>0</v>
      </c>
      <c r="AK60" s="677">
        <f t="shared" si="13"/>
        <v>0</v>
      </c>
      <c r="AL60" s="677">
        <f t="shared" si="14"/>
        <v>0</v>
      </c>
      <c r="AM60" s="677">
        <f t="shared" si="15"/>
        <v>0</v>
      </c>
      <c r="AN60" s="677">
        <f t="shared" si="23"/>
        <v>0</v>
      </c>
    </row>
    <row r="61" spans="1:40" ht="18" customHeight="1">
      <c r="A61" s="75">
        <v>6</v>
      </c>
      <c r="B61" s="7"/>
      <c r="C61" s="59"/>
      <c r="D61" s="262" t="s">
        <v>647</v>
      </c>
      <c r="E61" s="568"/>
      <c r="F61" s="568"/>
      <c r="G61" s="894" t="s">
        <v>628</v>
      </c>
      <c r="H61" s="244">
        <v>1</v>
      </c>
      <c r="I61" s="569">
        <v>1030</v>
      </c>
      <c r="J61" s="244">
        <f>12*300</f>
        <v>3600</v>
      </c>
      <c r="K61" s="542"/>
      <c r="L61" s="630">
        <f t="shared" si="26"/>
        <v>3600</v>
      </c>
      <c r="M61" s="649"/>
      <c r="N61" s="633">
        <f t="shared" si="28"/>
        <v>3600</v>
      </c>
      <c r="O61" s="314"/>
      <c r="P61" s="631">
        <f t="shared" si="27"/>
        <v>0</v>
      </c>
      <c r="Q61" s="571"/>
      <c r="R61" s="572"/>
      <c r="S61" s="573"/>
      <c r="T61" s="574"/>
      <c r="U61" s="575"/>
      <c r="V61" s="176"/>
      <c r="W61" s="176"/>
      <c r="X61" s="176"/>
      <c r="AA61" s="677" t="e">
        <f>(L61-U61)/Q61</f>
        <v>#DIV/0!</v>
      </c>
      <c r="AB61" s="677">
        <f t="shared" si="4"/>
        <v>0</v>
      </c>
      <c r="AC61" s="677">
        <f t="shared" si="5"/>
        <v>0</v>
      </c>
      <c r="AD61" s="677">
        <f t="shared" si="6"/>
        <v>0</v>
      </c>
      <c r="AE61" s="677">
        <f t="shared" si="7"/>
        <v>0</v>
      </c>
      <c r="AF61" s="677">
        <f t="shared" si="8"/>
        <v>0</v>
      </c>
      <c r="AG61" s="677">
        <f t="shared" si="9"/>
        <v>0</v>
      </c>
      <c r="AH61" s="677">
        <f t="shared" si="10"/>
        <v>0</v>
      </c>
      <c r="AI61" s="677">
        <f t="shared" si="11"/>
        <v>0</v>
      </c>
      <c r="AJ61" s="677">
        <f t="shared" si="12"/>
        <v>0</v>
      </c>
      <c r="AK61" s="677">
        <f t="shared" si="13"/>
        <v>0</v>
      </c>
      <c r="AL61" s="677">
        <f t="shared" si="14"/>
        <v>0</v>
      </c>
      <c r="AM61" s="677">
        <f t="shared" si="15"/>
        <v>0</v>
      </c>
      <c r="AN61" s="677">
        <f>SUM(AB61:AM61)</f>
        <v>0</v>
      </c>
    </row>
    <row r="62" spans="1:40" ht="18" customHeight="1">
      <c r="A62" s="75">
        <v>7</v>
      </c>
      <c r="B62" s="7"/>
      <c r="C62" s="59"/>
      <c r="D62" s="262"/>
      <c r="E62" s="262"/>
      <c r="F62" s="262"/>
      <c r="G62" s="892"/>
      <c r="H62" s="244"/>
      <c r="I62" s="423"/>
      <c r="J62" s="244"/>
      <c r="K62" s="542"/>
      <c r="L62" s="630">
        <f t="shared" si="26"/>
        <v>0</v>
      </c>
      <c r="M62" s="649"/>
      <c r="N62" s="633">
        <f t="shared" si="28"/>
        <v>0</v>
      </c>
      <c r="O62" s="314"/>
      <c r="P62" s="631">
        <f t="shared" si="27"/>
        <v>0</v>
      </c>
      <c r="Q62" s="571"/>
      <c r="R62" s="572"/>
      <c r="S62" s="573"/>
      <c r="T62" s="574"/>
      <c r="U62" s="575"/>
      <c r="V62" s="176"/>
      <c r="W62" s="176"/>
      <c r="X62" s="176"/>
      <c r="AA62" s="677" t="e">
        <f>(L62-U62)/Q62</f>
        <v>#DIV/0!</v>
      </c>
      <c r="AB62" s="677">
        <f t="shared" si="4"/>
        <v>0</v>
      </c>
      <c r="AC62" s="677">
        <f t="shared" si="5"/>
        <v>0</v>
      </c>
      <c r="AD62" s="677">
        <f t="shared" si="6"/>
        <v>0</v>
      </c>
      <c r="AE62" s="677">
        <f t="shared" si="7"/>
        <v>0</v>
      </c>
      <c r="AF62" s="677">
        <f t="shared" si="8"/>
        <v>0</v>
      </c>
      <c r="AG62" s="677">
        <f t="shared" si="9"/>
        <v>0</v>
      </c>
      <c r="AH62" s="677">
        <f t="shared" si="10"/>
        <v>0</v>
      </c>
      <c r="AI62" s="677">
        <f t="shared" si="11"/>
        <v>0</v>
      </c>
      <c r="AJ62" s="677">
        <f t="shared" si="12"/>
        <v>0</v>
      </c>
      <c r="AK62" s="677">
        <f t="shared" si="13"/>
        <v>0</v>
      </c>
      <c r="AL62" s="677">
        <f t="shared" si="14"/>
        <v>0</v>
      </c>
      <c r="AM62" s="677">
        <f t="shared" si="15"/>
        <v>0</v>
      </c>
      <c r="AN62" s="677">
        <f>SUM(AB62:AM62)</f>
        <v>0</v>
      </c>
    </row>
    <row r="63" spans="1:40" ht="18" customHeight="1">
      <c r="A63" s="75">
        <v>8</v>
      </c>
      <c r="B63" s="7"/>
      <c r="C63" s="59"/>
      <c r="D63" s="568"/>
      <c r="E63" s="568"/>
      <c r="F63" s="568"/>
      <c r="G63" s="894"/>
      <c r="H63" s="570"/>
      <c r="I63" s="569"/>
      <c r="J63" s="570"/>
      <c r="K63" s="542"/>
      <c r="L63" s="630">
        <f t="shared" si="26"/>
        <v>0</v>
      </c>
      <c r="M63" s="649"/>
      <c r="N63" s="633"/>
      <c r="O63" s="314"/>
      <c r="P63" s="631">
        <f t="shared" si="27"/>
        <v>0</v>
      </c>
      <c r="Q63" s="571"/>
      <c r="R63" s="572"/>
      <c r="S63" s="573"/>
      <c r="T63" s="574"/>
      <c r="U63" s="575"/>
      <c r="V63" s="176"/>
      <c r="W63" s="176"/>
      <c r="X63" s="176"/>
      <c r="AA63" s="677" t="e">
        <f t="shared" si="22"/>
        <v>#DIV/0!</v>
      </c>
      <c r="AB63" s="677">
        <f t="shared" si="4"/>
        <v>0</v>
      </c>
      <c r="AC63" s="677">
        <f t="shared" si="5"/>
        <v>0</v>
      </c>
      <c r="AD63" s="677">
        <f t="shared" si="6"/>
        <v>0</v>
      </c>
      <c r="AE63" s="677">
        <f t="shared" si="7"/>
        <v>0</v>
      </c>
      <c r="AF63" s="677">
        <f t="shared" si="8"/>
        <v>0</v>
      </c>
      <c r="AG63" s="677">
        <f t="shared" si="9"/>
        <v>0</v>
      </c>
      <c r="AH63" s="677">
        <f t="shared" si="10"/>
        <v>0</v>
      </c>
      <c r="AI63" s="677">
        <f t="shared" si="11"/>
        <v>0</v>
      </c>
      <c r="AJ63" s="677">
        <f t="shared" si="12"/>
        <v>0</v>
      </c>
      <c r="AK63" s="677">
        <f t="shared" si="13"/>
        <v>0</v>
      </c>
      <c r="AL63" s="677">
        <f t="shared" si="14"/>
        <v>0</v>
      </c>
      <c r="AM63" s="677">
        <f t="shared" si="15"/>
        <v>0</v>
      </c>
      <c r="AN63" s="677">
        <f t="shared" si="23"/>
        <v>0</v>
      </c>
    </row>
    <row r="64" spans="1:40" ht="18" customHeight="1">
      <c r="A64" s="75">
        <v>9</v>
      </c>
      <c r="B64" s="7"/>
      <c r="C64" s="59"/>
      <c r="D64" s="262"/>
      <c r="E64" s="262"/>
      <c r="F64" s="262"/>
      <c r="G64" s="892"/>
      <c r="H64" s="570"/>
      <c r="I64" s="423"/>
      <c r="J64" s="244"/>
      <c r="K64" s="542"/>
      <c r="L64" s="630">
        <f t="shared" si="26"/>
        <v>0</v>
      </c>
      <c r="M64" s="649"/>
      <c r="N64" s="633"/>
      <c r="O64" s="314"/>
      <c r="P64" s="631">
        <f t="shared" si="27"/>
        <v>0</v>
      </c>
      <c r="Q64" s="571"/>
      <c r="R64" s="572"/>
      <c r="S64" s="573"/>
      <c r="T64" s="574"/>
      <c r="U64" s="575"/>
      <c r="V64" s="176"/>
      <c r="W64" s="176"/>
      <c r="X64" s="176"/>
      <c r="AA64" s="677" t="e">
        <f t="shared" si="22"/>
        <v>#DIV/0!</v>
      </c>
      <c r="AB64" s="677">
        <f t="shared" si="4"/>
        <v>0</v>
      </c>
      <c r="AC64" s="677">
        <f t="shared" si="5"/>
        <v>0</v>
      </c>
      <c r="AD64" s="677">
        <f t="shared" si="6"/>
        <v>0</v>
      </c>
      <c r="AE64" s="677">
        <f t="shared" si="7"/>
        <v>0</v>
      </c>
      <c r="AF64" s="677">
        <f t="shared" si="8"/>
        <v>0</v>
      </c>
      <c r="AG64" s="677">
        <f t="shared" si="9"/>
        <v>0</v>
      </c>
      <c r="AH64" s="677">
        <f t="shared" si="10"/>
        <v>0</v>
      </c>
      <c r="AI64" s="677">
        <f t="shared" si="11"/>
        <v>0</v>
      </c>
      <c r="AJ64" s="677">
        <f t="shared" si="12"/>
        <v>0</v>
      </c>
      <c r="AK64" s="677">
        <f t="shared" si="13"/>
        <v>0</v>
      </c>
      <c r="AL64" s="677">
        <f t="shared" si="14"/>
        <v>0</v>
      </c>
      <c r="AM64" s="677">
        <f t="shared" si="15"/>
        <v>0</v>
      </c>
      <c r="AN64" s="677">
        <f t="shared" si="23"/>
        <v>0</v>
      </c>
    </row>
    <row r="65" spans="1:40" ht="18" customHeight="1">
      <c r="A65" s="75">
        <v>10</v>
      </c>
      <c r="B65" s="7"/>
      <c r="C65" s="59"/>
      <c r="D65" s="260"/>
      <c r="E65" s="260"/>
      <c r="F65" s="260"/>
      <c r="G65" s="892"/>
      <c r="H65" s="570"/>
      <c r="I65" s="423"/>
      <c r="J65" s="244"/>
      <c r="K65" s="542"/>
      <c r="L65" s="630">
        <f t="shared" si="26"/>
        <v>0</v>
      </c>
      <c r="M65" s="649"/>
      <c r="N65" s="633"/>
      <c r="O65" s="314"/>
      <c r="P65" s="631">
        <f t="shared" si="27"/>
        <v>0</v>
      </c>
      <c r="Q65" s="576"/>
      <c r="R65" s="572"/>
      <c r="S65" s="573"/>
      <c r="T65" s="574"/>
      <c r="U65" s="575"/>
      <c r="V65" s="176"/>
      <c r="W65" s="176"/>
      <c r="X65" s="176"/>
      <c r="AA65" s="677" t="e">
        <f t="shared" si="22"/>
        <v>#DIV/0!</v>
      </c>
      <c r="AB65" s="677">
        <f t="shared" si="4"/>
        <v>0</v>
      </c>
      <c r="AC65" s="677">
        <f t="shared" si="5"/>
        <v>0</v>
      </c>
      <c r="AD65" s="677">
        <f t="shared" si="6"/>
        <v>0</v>
      </c>
      <c r="AE65" s="677">
        <f t="shared" si="7"/>
        <v>0</v>
      </c>
      <c r="AF65" s="677">
        <f t="shared" si="8"/>
        <v>0</v>
      </c>
      <c r="AG65" s="677">
        <f t="shared" si="9"/>
        <v>0</v>
      </c>
      <c r="AH65" s="677">
        <f t="shared" si="10"/>
        <v>0</v>
      </c>
      <c r="AI65" s="677">
        <f t="shared" si="11"/>
        <v>0</v>
      </c>
      <c r="AJ65" s="677">
        <f t="shared" si="12"/>
        <v>0</v>
      </c>
      <c r="AK65" s="677">
        <f t="shared" si="13"/>
        <v>0</v>
      </c>
      <c r="AL65" s="677">
        <f t="shared" si="14"/>
        <v>0</v>
      </c>
      <c r="AM65" s="677">
        <f t="shared" si="15"/>
        <v>0</v>
      </c>
      <c r="AN65" s="677">
        <f t="shared" si="23"/>
        <v>0</v>
      </c>
    </row>
    <row r="66" spans="1:40" ht="4.5" customHeight="1">
      <c r="A66" s="6"/>
      <c r="B66" s="7"/>
      <c r="C66" s="7"/>
      <c r="D66" s="7"/>
      <c r="E66" s="7"/>
      <c r="F66" s="7"/>
      <c r="G66" s="7"/>
      <c r="H66" s="7"/>
      <c r="I66" s="7"/>
      <c r="J66" s="7"/>
      <c r="K66" s="7"/>
      <c r="L66" s="650"/>
      <c r="M66" s="651"/>
      <c r="N66" s="652"/>
      <c r="O66" s="653"/>
      <c r="P66" s="652"/>
      <c r="Q66" s="145"/>
      <c r="R66" s="145"/>
      <c r="S66" s="550"/>
      <c r="T66" s="551"/>
      <c r="U66" s="552"/>
      <c r="V66" s="176"/>
      <c r="W66" s="176"/>
      <c r="X66" s="176"/>
      <c r="AA66" s="677" t="e">
        <f t="shared" si="22"/>
        <v>#DIV/0!</v>
      </c>
      <c r="AB66" s="677">
        <f t="shared" si="4"/>
        <v>0</v>
      </c>
      <c r="AC66" s="677">
        <f t="shared" si="5"/>
        <v>0</v>
      </c>
      <c r="AD66" s="677">
        <f t="shared" si="6"/>
        <v>0</v>
      </c>
      <c r="AE66" s="677">
        <f t="shared" si="7"/>
        <v>0</v>
      </c>
      <c r="AF66" s="677">
        <f t="shared" si="8"/>
        <v>0</v>
      </c>
      <c r="AG66" s="677">
        <f t="shared" si="9"/>
        <v>0</v>
      </c>
      <c r="AH66" s="677">
        <f t="shared" si="10"/>
        <v>0</v>
      </c>
      <c r="AI66" s="677">
        <f t="shared" si="11"/>
        <v>0</v>
      </c>
      <c r="AJ66" s="677">
        <f t="shared" si="12"/>
        <v>0</v>
      </c>
      <c r="AK66" s="677">
        <f t="shared" si="13"/>
        <v>0</v>
      </c>
      <c r="AL66" s="677">
        <f t="shared" si="14"/>
        <v>0</v>
      </c>
      <c r="AM66" s="677">
        <f t="shared" si="15"/>
        <v>0</v>
      </c>
      <c r="AN66" s="677">
        <f t="shared" si="23"/>
        <v>0</v>
      </c>
    </row>
    <row r="67" spans="1:40" ht="15" customHeight="1">
      <c r="A67" s="6" t="s">
        <v>169</v>
      </c>
      <c r="B67" s="7"/>
      <c r="C67" s="7"/>
      <c r="D67" s="7"/>
      <c r="E67" s="7"/>
      <c r="F67" s="7"/>
      <c r="G67" s="7"/>
      <c r="H67" s="7"/>
      <c r="I67" s="7"/>
      <c r="J67" s="7"/>
      <c r="K67" s="7"/>
      <c r="L67" s="654">
        <f>SUM(L55:L66)</f>
        <v>34700</v>
      </c>
      <c r="M67" s="655"/>
      <c r="N67" s="656">
        <f>SUM(N55:N65)</f>
        <v>34700</v>
      </c>
      <c r="O67" s="383">
        <f>SUM(O55:O65)</f>
        <v>0</v>
      </c>
      <c r="P67" s="383">
        <f>SUM(P55:P65)</f>
        <v>0</v>
      </c>
      <c r="Q67" s="577"/>
      <c r="R67" s="145"/>
      <c r="S67" s="550"/>
      <c r="T67" s="578"/>
      <c r="U67" s="552"/>
      <c r="V67" s="176"/>
      <c r="W67" s="176"/>
      <c r="X67" s="176"/>
      <c r="AA67" s="677" t="e">
        <f t="shared" si="22"/>
        <v>#DIV/0!</v>
      </c>
      <c r="AB67" s="677">
        <f t="shared" si="4"/>
        <v>0</v>
      </c>
      <c r="AC67" s="677">
        <f t="shared" si="5"/>
        <v>0</v>
      </c>
      <c r="AD67" s="677">
        <f t="shared" si="6"/>
        <v>0</v>
      </c>
      <c r="AE67" s="677">
        <f t="shared" si="7"/>
        <v>0</v>
      </c>
      <c r="AF67" s="677">
        <f t="shared" si="8"/>
        <v>0</v>
      </c>
      <c r="AG67" s="677">
        <f t="shared" si="9"/>
        <v>0</v>
      </c>
      <c r="AH67" s="677">
        <f t="shared" si="10"/>
        <v>0</v>
      </c>
      <c r="AI67" s="677">
        <f t="shared" si="11"/>
        <v>0</v>
      </c>
      <c r="AJ67" s="677">
        <f t="shared" si="12"/>
        <v>0</v>
      </c>
      <c r="AK67" s="677">
        <f t="shared" si="13"/>
        <v>0</v>
      </c>
      <c r="AL67" s="677">
        <f t="shared" si="14"/>
        <v>0</v>
      </c>
      <c r="AM67" s="677">
        <f t="shared" si="15"/>
        <v>0</v>
      </c>
      <c r="AN67" s="677">
        <f t="shared" si="23"/>
        <v>0</v>
      </c>
    </row>
    <row r="68" spans="1:40" ht="4.5" customHeight="1" thickBot="1">
      <c r="A68" s="45"/>
      <c r="B68" s="46"/>
      <c r="C68" s="46"/>
      <c r="D68" s="46"/>
      <c r="E68" s="46"/>
      <c r="F68" s="46"/>
      <c r="G68" s="46"/>
      <c r="H68" s="46"/>
      <c r="I68" s="46"/>
      <c r="J68" s="46"/>
      <c r="K68" s="46"/>
      <c r="L68" s="579"/>
      <c r="M68" s="109"/>
      <c r="N68" s="580"/>
      <c r="O68" s="581"/>
      <c r="P68" s="582"/>
      <c r="Q68" s="583"/>
      <c r="R68" s="146"/>
      <c r="S68" s="584"/>
      <c r="T68" s="585"/>
      <c r="U68" s="586"/>
      <c r="V68" s="176"/>
      <c r="W68" s="176"/>
      <c r="X68" s="176"/>
      <c r="AA68" s="677" t="e">
        <f t="shared" si="22"/>
        <v>#DIV/0!</v>
      </c>
      <c r="AB68" s="677">
        <f t="shared" si="4"/>
        <v>0</v>
      </c>
      <c r="AC68" s="677">
        <f t="shared" si="5"/>
        <v>0</v>
      </c>
      <c r="AD68" s="677">
        <f t="shared" si="6"/>
        <v>0</v>
      </c>
      <c r="AE68" s="677">
        <f t="shared" si="7"/>
        <v>0</v>
      </c>
      <c r="AF68" s="677">
        <f t="shared" si="8"/>
        <v>0</v>
      </c>
      <c r="AG68" s="677">
        <f t="shared" si="9"/>
        <v>0</v>
      </c>
      <c r="AH68" s="677">
        <f t="shared" si="10"/>
        <v>0</v>
      </c>
      <c r="AI68" s="677">
        <f t="shared" si="11"/>
        <v>0</v>
      </c>
      <c r="AJ68" s="677">
        <f t="shared" si="12"/>
        <v>0</v>
      </c>
      <c r="AK68" s="677">
        <f t="shared" si="13"/>
        <v>0</v>
      </c>
      <c r="AL68" s="677">
        <f t="shared" si="14"/>
        <v>0</v>
      </c>
      <c r="AM68" s="677">
        <f t="shared" si="15"/>
        <v>0</v>
      </c>
      <c r="AN68" s="677">
        <f t="shared" si="23"/>
        <v>0</v>
      </c>
    </row>
    <row r="69" spans="1:40" ht="4.5" customHeight="1" thickTop="1">
      <c r="A69" s="6"/>
      <c r="B69" s="7"/>
      <c r="C69" s="7"/>
      <c r="D69" s="7"/>
      <c r="E69" s="7"/>
      <c r="F69" s="7"/>
      <c r="G69" s="7"/>
      <c r="H69" s="7"/>
      <c r="I69" s="7"/>
      <c r="J69" s="7"/>
      <c r="K69" s="7"/>
      <c r="L69" s="587"/>
      <c r="M69" s="80"/>
      <c r="N69" s="588"/>
      <c r="O69" s="589"/>
      <c r="P69" s="590"/>
      <c r="Q69" s="147"/>
      <c r="R69" s="7"/>
      <c r="S69" s="90"/>
      <c r="T69" s="591"/>
      <c r="U69" s="548"/>
      <c r="V69" s="176"/>
      <c r="W69" s="176"/>
      <c r="X69" s="176"/>
      <c r="AA69" s="677" t="e">
        <f t="shared" si="22"/>
        <v>#DIV/0!</v>
      </c>
      <c r="AB69" s="677">
        <f t="shared" si="4"/>
        <v>0</v>
      </c>
      <c r="AC69" s="677">
        <f t="shared" si="5"/>
        <v>0</v>
      </c>
      <c r="AD69" s="677">
        <f t="shared" si="6"/>
        <v>0</v>
      </c>
      <c r="AE69" s="677">
        <f t="shared" si="7"/>
        <v>0</v>
      </c>
      <c r="AF69" s="677">
        <f t="shared" si="8"/>
        <v>0</v>
      </c>
      <c r="AG69" s="677">
        <f t="shared" si="9"/>
        <v>0</v>
      </c>
      <c r="AH69" s="677">
        <f t="shared" si="10"/>
        <v>0</v>
      </c>
      <c r="AI69" s="677">
        <f t="shared" si="11"/>
        <v>0</v>
      </c>
      <c r="AJ69" s="677">
        <f t="shared" si="12"/>
        <v>0</v>
      </c>
      <c r="AK69" s="677">
        <f t="shared" si="13"/>
        <v>0</v>
      </c>
      <c r="AL69" s="677">
        <f t="shared" si="14"/>
        <v>0</v>
      </c>
      <c r="AM69" s="677">
        <f t="shared" si="15"/>
        <v>0</v>
      </c>
      <c r="AN69" s="677">
        <f t="shared" si="23"/>
        <v>0</v>
      </c>
    </row>
    <row r="70" spans="1:40" ht="19.5" customHeight="1">
      <c r="A70" s="6"/>
      <c r="B70" s="13" t="s">
        <v>410</v>
      </c>
      <c r="C70" s="7"/>
      <c r="D70" s="7"/>
      <c r="E70" s="7"/>
      <c r="F70" s="7"/>
      <c r="G70" s="7"/>
      <c r="H70" s="7"/>
      <c r="I70" s="7"/>
      <c r="J70" s="7"/>
      <c r="K70" s="7"/>
      <c r="L70" s="106">
        <f>L34+L50+L67</f>
        <v>223970.97999999998</v>
      </c>
      <c r="M70" s="657"/>
      <c r="N70" s="658">
        <f>N34+N50+N67</f>
        <v>155779.184</v>
      </c>
      <c r="O70" s="659">
        <f>O34+O50+O67</f>
        <v>68191.796</v>
      </c>
      <c r="P70" s="660">
        <f>P34+P50+P67</f>
        <v>0</v>
      </c>
      <c r="Q70" s="661"/>
      <c r="R70" s="646"/>
      <c r="S70" s="88"/>
      <c r="T70" s="658">
        <f>T34</f>
        <v>804</v>
      </c>
      <c r="U70" s="91"/>
      <c r="V70" s="176"/>
      <c r="W70" s="176"/>
      <c r="X70" s="176"/>
      <c r="AA70" s="677" t="e">
        <f t="shared" si="22"/>
        <v>#DIV/0!</v>
      </c>
      <c r="AB70" s="677">
        <f t="shared" si="4"/>
        <v>0</v>
      </c>
      <c r="AC70" s="677">
        <f t="shared" si="5"/>
        <v>0</v>
      </c>
      <c r="AD70" s="677">
        <f t="shared" si="6"/>
        <v>0</v>
      </c>
      <c r="AE70" s="677">
        <f t="shared" si="7"/>
        <v>0</v>
      </c>
      <c r="AF70" s="677">
        <f t="shared" si="8"/>
        <v>0</v>
      </c>
      <c r="AG70" s="677">
        <f t="shared" si="9"/>
        <v>0</v>
      </c>
      <c r="AH70" s="677">
        <f t="shared" si="10"/>
        <v>0</v>
      </c>
      <c r="AI70" s="677">
        <f t="shared" si="11"/>
        <v>0</v>
      </c>
      <c r="AJ70" s="677">
        <f t="shared" si="12"/>
        <v>0</v>
      </c>
      <c r="AK70" s="677">
        <f t="shared" si="13"/>
        <v>0</v>
      </c>
      <c r="AL70" s="677">
        <f t="shared" si="14"/>
        <v>0</v>
      </c>
      <c r="AM70" s="677">
        <f t="shared" si="15"/>
        <v>0</v>
      </c>
      <c r="AN70" s="677">
        <f t="shared" si="23"/>
        <v>0</v>
      </c>
    </row>
    <row r="71" spans="1:40" ht="4.5" customHeight="1" thickBot="1">
      <c r="A71" s="45"/>
      <c r="B71" s="46"/>
      <c r="C71" s="46"/>
      <c r="D71" s="46"/>
      <c r="E71" s="46"/>
      <c r="F71" s="46"/>
      <c r="G71" s="46"/>
      <c r="H71" s="46"/>
      <c r="I71" s="46"/>
      <c r="J71" s="46"/>
      <c r="K71" s="46"/>
      <c r="L71" s="81"/>
      <c r="M71" s="82"/>
      <c r="N71" s="593"/>
      <c r="O71" s="411"/>
      <c r="P71" s="593"/>
      <c r="Q71" s="46"/>
      <c r="R71" s="46"/>
      <c r="S71" s="594"/>
      <c r="T71" s="595"/>
      <c r="U71" s="115"/>
      <c r="V71" s="176"/>
      <c r="W71" s="176"/>
      <c r="X71" s="176"/>
      <c r="AA71" s="677" t="e">
        <f t="shared" si="22"/>
        <v>#DIV/0!</v>
      </c>
      <c r="AB71" s="677">
        <f t="shared" si="4"/>
        <v>0</v>
      </c>
      <c r="AC71" s="677">
        <f t="shared" si="5"/>
        <v>0</v>
      </c>
      <c r="AD71" s="677">
        <f t="shared" si="6"/>
        <v>0</v>
      </c>
      <c r="AE71" s="677">
        <f t="shared" si="7"/>
        <v>0</v>
      </c>
      <c r="AF71" s="677">
        <f t="shared" si="8"/>
        <v>0</v>
      </c>
      <c r="AG71" s="677">
        <f t="shared" si="9"/>
        <v>0</v>
      </c>
      <c r="AH71" s="677">
        <f t="shared" si="10"/>
        <v>0</v>
      </c>
      <c r="AI71" s="677">
        <f t="shared" si="11"/>
        <v>0</v>
      </c>
      <c r="AJ71" s="677">
        <f t="shared" si="12"/>
        <v>0</v>
      </c>
      <c r="AK71" s="677">
        <f t="shared" si="13"/>
        <v>0</v>
      </c>
      <c r="AL71" s="677">
        <f t="shared" si="14"/>
        <v>0</v>
      </c>
      <c r="AM71" s="677">
        <f t="shared" si="15"/>
        <v>0</v>
      </c>
      <c r="AN71" s="677">
        <f t="shared" si="23"/>
        <v>0</v>
      </c>
    </row>
    <row r="72" spans="1:40" ht="8.25" customHeight="1" thickBot="1" thickTop="1">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AA72" s="677" t="e">
        <f t="shared" si="22"/>
        <v>#DIV/0!</v>
      </c>
      <c r="AB72" s="677">
        <f t="shared" si="4"/>
        <v>0</v>
      </c>
      <c r="AC72" s="677">
        <f t="shared" si="5"/>
        <v>0</v>
      </c>
      <c r="AD72" s="677">
        <f t="shared" si="6"/>
        <v>0</v>
      </c>
      <c r="AE72" s="677">
        <f t="shared" si="7"/>
        <v>0</v>
      </c>
      <c r="AF72" s="677">
        <f t="shared" si="8"/>
        <v>0</v>
      </c>
      <c r="AG72" s="677">
        <f t="shared" si="9"/>
        <v>0</v>
      </c>
      <c r="AH72" s="677">
        <f t="shared" si="10"/>
        <v>0</v>
      </c>
      <c r="AI72" s="677">
        <f t="shared" si="11"/>
        <v>0</v>
      </c>
      <c r="AJ72" s="677">
        <f t="shared" si="12"/>
        <v>0</v>
      </c>
      <c r="AK72" s="677">
        <f t="shared" si="13"/>
        <v>0</v>
      </c>
      <c r="AL72" s="677">
        <f t="shared" si="14"/>
        <v>0</v>
      </c>
      <c r="AM72" s="677">
        <f t="shared" si="15"/>
        <v>0</v>
      </c>
      <c r="AN72" s="677">
        <f t="shared" si="23"/>
        <v>0</v>
      </c>
    </row>
    <row r="73" spans="1:24" ht="18" customHeight="1" thickBot="1">
      <c r="A73" s="599"/>
      <c r="B73" s="599" t="s">
        <v>422</v>
      </c>
      <c r="C73" s="176"/>
      <c r="E73" s="176"/>
      <c r="F73" s="176"/>
      <c r="G73" s="430"/>
      <c r="I73" s="176"/>
      <c r="J73" s="176"/>
      <c r="K73" s="176"/>
      <c r="L73" s="600" t="s">
        <v>414</v>
      </c>
      <c r="M73" s="176"/>
      <c r="N73" s="662">
        <f>P70-G73</f>
        <v>0</v>
      </c>
      <c r="Q73" s="186" t="s">
        <v>415</v>
      </c>
      <c r="R73" s="176"/>
      <c r="S73" s="176"/>
      <c r="T73" s="176"/>
      <c r="U73" s="188"/>
      <c r="V73" s="176"/>
      <c r="W73" s="176"/>
      <c r="X73" s="176"/>
    </row>
    <row r="74" spans="1:24" ht="5.25" customHeight="1">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row>
    <row r="75" spans="1:24" ht="18" customHeight="1">
      <c r="A75" s="187"/>
      <c r="B75" s="176"/>
      <c r="C75" s="176"/>
      <c r="D75" s="176"/>
      <c r="E75" s="176"/>
      <c r="F75" s="176"/>
      <c r="G75" s="176"/>
      <c r="H75" s="176"/>
      <c r="I75" s="176"/>
      <c r="J75" s="176"/>
      <c r="K75" s="176"/>
      <c r="L75" s="176"/>
      <c r="M75" s="176"/>
      <c r="N75" s="176"/>
      <c r="O75" s="176"/>
      <c r="P75" s="176"/>
      <c r="Q75" s="176"/>
      <c r="R75" s="176"/>
      <c r="S75" s="176"/>
      <c r="T75" s="176"/>
      <c r="U75" s="176"/>
      <c r="V75" s="176"/>
      <c r="W75" s="176"/>
      <c r="X75" s="176"/>
    </row>
    <row r="76" spans="1:24" ht="5.25" customHeight="1">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row>
    <row r="77" spans="1:24" ht="12.75">
      <c r="A77" s="176"/>
      <c r="B77" s="176"/>
      <c r="D77" s="176"/>
      <c r="E77" s="176"/>
      <c r="F77" s="176"/>
      <c r="G77" s="176"/>
      <c r="H77" s="176"/>
      <c r="I77" s="176"/>
      <c r="J77" s="176"/>
      <c r="K77" s="176"/>
      <c r="L77" s="176"/>
      <c r="M77" s="176"/>
      <c r="N77" s="176"/>
      <c r="O77" s="176"/>
      <c r="P77" s="176"/>
      <c r="Q77" s="176"/>
      <c r="R77" s="176"/>
      <c r="S77" s="176"/>
      <c r="T77" s="176"/>
      <c r="U77" s="176"/>
      <c r="V77" s="176"/>
      <c r="W77" s="176"/>
      <c r="X77" s="176"/>
    </row>
    <row r="78" spans="1:24" ht="12.75">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row>
    <row r="79" spans="1:24" ht="12.75">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row>
    <row r="80" spans="1:24" ht="12.7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row>
  </sheetData>
  <sheetProtection password="CB61" sheet="1" objects="1" scenarios="1"/>
  <mergeCells count="1">
    <mergeCell ref="L1:N1"/>
  </mergeCells>
  <printOptions horizontalCentered="1"/>
  <pageMargins left="0.3937007874015748" right="0.3937007874015748" top="0.3937007874015748" bottom="0.3937007874015748" header="0" footer="0"/>
  <pageSetup fitToHeight="2" fitToWidth="1" horizontalDpi="300" verticalDpi="300" orientation="portrait"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PROLOCAL</dc:title>
  <dc:subject/>
  <dc:creator>FAO - Centro de Inversiones</dc:creator>
  <cp:keywords/>
  <dc:description/>
  <cp:lastModifiedBy>luisa</cp:lastModifiedBy>
  <cp:lastPrinted>2006-07-24T19:04:49Z</cp:lastPrinted>
  <dcterms:created xsi:type="dcterms:W3CDTF">1997-12-31T19:37:51Z</dcterms:created>
  <dcterms:modified xsi:type="dcterms:W3CDTF">2006-08-15T05:44:47Z</dcterms:modified>
  <cp:category/>
  <cp:version/>
  <cp:contentType/>
  <cp:contentStatus/>
</cp:coreProperties>
</file>