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35" windowWidth="12390" windowHeight="4140" activeTab="5"/>
  </bookViews>
  <sheets>
    <sheet name="A2-2" sheetId="1" r:id="rId1"/>
    <sheet name="A2-3" sheetId="2" r:id="rId2"/>
    <sheet name="A2-4" sheetId="3" r:id="rId3"/>
    <sheet name="A2-5" sheetId="4" r:id="rId4"/>
    <sheet name="A2-6" sheetId="5" r:id="rId5"/>
    <sheet name="A2-7" sheetId="6" r:id="rId6"/>
  </sheets>
  <definedNames>
    <definedName name="_xlnm.Print_Area" localSheetId="2">'A2-4'!$A$1:$D$48</definedName>
    <definedName name="_xlnm.Print_Area" localSheetId="3">'A2-5'!$A$1:$E$46</definedName>
    <definedName name="_xlnm.Print_Area" localSheetId="4">'A2-6'!$A$1:$D$38</definedName>
  </definedNames>
  <calcPr fullCalcOnLoad="1"/>
</workbook>
</file>

<file path=xl/sharedStrings.xml><?xml version="1.0" encoding="utf-8"?>
<sst xmlns="http://schemas.openxmlformats.org/spreadsheetml/2006/main" count="203" uniqueCount="146">
  <si>
    <t>CALCULOS DE OD</t>
  </si>
  <si>
    <t>OD MEDIDO</t>
  </si>
  <si>
    <t>OD CALCULADO</t>
  </si>
  <si>
    <t>TEMPERATURA MEDIDA EN KELVIN</t>
  </si>
  <si>
    <t>CALCULO DE OD</t>
  </si>
  <si>
    <t>OD=</t>
  </si>
  <si>
    <t>TEMPERATURA EN CENTIGRADOS</t>
  </si>
  <si>
    <t>SUMA=LN(OD)</t>
  </si>
  <si>
    <t>INGRESE ESTE DATO</t>
  </si>
  <si>
    <t>I(OD)=</t>
  </si>
  <si>
    <t>ppm o mg/l</t>
  </si>
  <si>
    <t>CALCULOS DE DBO</t>
  </si>
  <si>
    <t>VALOR MEDIDO DE DBO</t>
  </si>
  <si>
    <t>I(DBO)=</t>
  </si>
  <si>
    <t>CALCULOS DE PH</t>
  </si>
  <si>
    <t>SI EL PH ES MENOR QUE 6.7</t>
  </si>
  <si>
    <t>PH=</t>
  </si>
  <si>
    <t>SI EL PH ESTA ENTRE 6.7 Y 7.3</t>
  </si>
  <si>
    <t>SI EL PH ES MAYOR QUE 7.3</t>
  </si>
  <si>
    <t>I(PH)&lt;6.7</t>
  </si>
  <si>
    <t>6.7&lt;I(PH)&lt;7.3</t>
  </si>
  <si>
    <t>I(PH)&gt;7.3</t>
  </si>
  <si>
    <t>VALORES DE COMPARACION</t>
  </si>
  <si>
    <t>COMO RESULTADO TENEMOS I(PH)=</t>
  </si>
  <si>
    <t>CALCULOS DE SOLIDOS SUSPENDIDOS</t>
  </si>
  <si>
    <t>TSS=</t>
  </si>
  <si>
    <t>CALCULOS DE SOLIDOS DISUELTOS</t>
  </si>
  <si>
    <t>TSD=</t>
  </si>
  <si>
    <t>CALCULOS DE CONDUCTIVIDAD ELECTRICA</t>
  </si>
  <si>
    <t>CONDUCTIVIDAD ELECTRICA=</t>
  </si>
  <si>
    <t>RESULTADOS</t>
  </si>
  <si>
    <t>PH</t>
  </si>
  <si>
    <t>SOLIDOS SUSPENDIDOS</t>
  </si>
  <si>
    <t>SOLIDOS DISUELTOS</t>
  </si>
  <si>
    <t>CONDUCTIVIDAD ELECTRICA</t>
  </si>
  <si>
    <t>OD</t>
  </si>
  <si>
    <t>DBO</t>
  </si>
  <si>
    <t>IMPORTANCIA</t>
  </si>
  <si>
    <t>PESO TOTAL</t>
  </si>
  <si>
    <t>I</t>
  </si>
  <si>
    <t>I*W</t>
  </si>
  <si>
    <t>INDICE DE CALIDADAD DEL AGUA GLOBAL</t>
  </si>
  <si>
    <t>ICA=</t>
  </si>
  <si>
    <t>NO CONTAMINADO</t>
  </si>
  <si>
    <t>ACEPTABLE</t>
  </si>
  <si>
    <t>POCO CONTAMINADO</t>
  </si>
  <si>
    <t>CONTAMINADO</t>
  </si>
  <si>
    <t>ALTAMENTE CONTAMINADO</t>
  </si>
  <si>
    <t>85-100</t>
  </si>
  <si>
    <t>70-84</t>
  </si>
  <si>
    <t>50-69</t>
  </si>
  <si>
    <t>30-49</t>
  </si>
  <si>
    <t>0-29</t>
  </si>
  <si>
    <t>CRITERIOS</t>
  </si>
  <si>
    <t>TSD&lt;520</t>
  </si>
  <si>
    <t>520&lt;TSD&lt;6234</t>
  </si>
  <si>
    <t>TSD&gt;6234</t>
  </si>
  <si>
    <t>TSS&lt;14.144</t>
  </si>
  <si>
    <t>TSS&gt;14.44</t>
  </si>
  <si>
    <t>COND&lt;85.60</t>
  </si>
  <si>
    <t>COND&gt;85.60</t>
  </si>
  <si>
    <t>DBO&lt;1.311</t>
  </si>
  <si>
    <t>DBO&gt;1.311</t>
  </si>
  <si>
    <t>EIA CUENCA DEL RIO CHAGUANA</t>
  </si>
  <si>
    <t>HDA. AGRICOLA LETICIA</t>
  </si>
  <si>
    <t>Fecha: Nov-2001</t>
  </si>
  <si>
    <t>Fecha: Nov/ 2001</t>
  </si>
  <si>
    <t>Campaña de Campo No. 1</t>
  </si>
  <si>
    <t>1era Campaña de Campo</t>
  </si>
  <si>
    <r>
      <t>I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</t>
    </r>
  </si>
  <si>
    <t>turbiedad ( T )=</t>
  </si>
  <si>
    <t>unidades  Pt-Co</t>
  </si>
  <si>
    <t>validacion</t>
  </si>
  <si>
    <t>Resultado=</t>
  </si>
  <si>
    <t>ingrese este dato</t>
  </si>
  <si>
    <t>Turbiedad</t>
  </si>
  <si>
    <t>Grasas y Aceites</t>
  </si>
  <si>
    <t>Grasas y aceites</t>
  </si>
  <si>
    <r>
      <t xml:space="preserve">I </t>
    </r>
    <r>
      <rPr>
        <vertAlign val="subscript"/>
        <sz val="10"/>
        <rFont val="Arial"/>
        <family val="2"/>
      </rPr>
      <t xml:space="preserve">G y A </t>
    </r>
    <r>
      <rPr>
        <sz val="10"/>
        <rFont val="Arial"/>
        <family val="2"/>
      </rPr>
      <t>=</t>
    </r>
  </si>
  <si>
    <t>Color</t>
  </si>
  <si>
    <t>color</t>
  </si>
  <si>
    <r>
      <t>I</t>
    </r>
    <r>
      <rPr>
        <vertAlign val="subscript"/>
        <sz val="10"/>
        <rFont val="Arial"/>
        <family val="2"/>
      </rPr>
      <t xml:space="preserve"> C </t>
    </r>
    <r>
      <rPr>
        <sz val="10"/>
        <rFont val="Arial"/>
        <family val="0"/>
      </rPr>
      <t>=</t>
    </r>
  </si>
  <si>
    <t>si C&gt;2.018=</t>
  </si>
  <si>
    <t>si t&lt;1.54=</t>
  </si>
  <si>
    <t>si t&gt;1.54=</t>
  </si>
  <si>
    <t>unidades  UTJ</t>
  </si>
  <si>
    <t>unidades  mg/l</t>
  </si>
  <si>
    <t>si G y A&lt;0.633=</t>
  </si>
  <si>
    <t>si G y A&gt;0.633=</t>
  </si>
  <si>
    <t>Alcalinidad</t>
  </si>
  <si>
    <r>
      <t>unidades mg/l como CaCO</t>
    </r>
    <r>
      <rPr>
        <vertAlign val="subscript"/>
        <sz val="7.5"/>
        <rFont val="Arial"/>
        <family val="2"/>
      </rPr>
      <t>3</t>
    </r>
  </si>
  <si>
    <r>
      <t xml:space="preserve">I 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</si>
  <si>
    <t>si A&lt;1.3=</t>
  </si>
  <si>
    <t>si A&gt;1.3=</t>
  </si>
  <si>
    <t>Nitrogeno Amoniacal</t>
  </si>
  <si>
    <t>nitrogeno amoniacal</t>
  </si>
  <si>
    <r>
      <t>I</t>
    </r>
    <r>
      <rPr>
        <vertAlign val="subscript"/>
        <sz val="10"/>
        <rFont val="Arial"/>
        <family val="2"/>
      </rPr>
      <t>NH3</t>
    </r>
    <r>
      <rPr>
        <sz val="10"/>
        <rFont val="Arial"/>
        <family val="0"/>
      </rPr>
      <t>=</t>
    </r>
  </si>
  <si>
    <r>
      <t>si NH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&lt;0.11=</t>
    </r>
  </si>
  <si>
    <t xml:space="preserve">unidades mg/l </t>
  </si>
  <si>
    <r>
      <t>I</t>
    </r>
    <r>
      <rPr>
        <b/>
        <vertAlign val="subscript"/>
        <sz val="7.5"/>
        <rFont val="Arial"/>
        <family val="2"/>
      </rPr>
      <t>SD</t>
    </r>
    <r>
      <rPr>
        <b/>
        <sz val="10"/>
        <rFont val="Arial"/>
        <family val="2"/>
      </rPr>
      <t>=</t>
    </r>
  </si>
  <si>
    <r>
      <t>I</t>
    </r>
    <r>
      <rPr>
        <b/>
        <vertAlign val="subscript"/>
        <sz val="7.5"/>
        <rFont val="Arial"/>
        <family val="2"/>
      </rPr>
      <t>SS</t>
    </r>
    <r>
      <rPr>
        <b/>
        <sz val="10"/>
        <rFont val="Arial"/>
        <family val="2"/>
      </rPr>
      <t>=</t>
    </r>
  </si>
  <si>
    <r>
      <t>I</t>
    </r>
    <r>
      <rPr>
        <b/>
        <vertAlign val="subscript"/>
        <sz val="7.5"/>
        <rFont val="Arial"/>
        <family val="2"/>
      </rPr>
      <t>COND</t>
    </r>
    <r>
      <rPr>
        <b/>
        <sz val="10"/>
        <rFont val="Arial"/>
        <family val="2"/>
      </rPr>
      <t>=</t>
    </r>
  </si>
  <si>
    <t>Dureza total</t>
  </si>
  <si>
    <t>unidades mg/l</t>
  </si>
  <si>
    <r>
      <t>I</t>
    </r>
    <r>
      <rPr>
        <vertAlign val="subscript"/>
        <sz val="7.5"/>
        <rFont val="Arial"/>
        <family val="2"/>
      </rPr>
      <t>DT</t>
    </r>
    <r>
      <rPr>
        <sz val="10"/>
        <rFont val="Arial"/>
        <family val="0"/>
      </rPr>
      <t>=</t>
    </r>
  </si>
  <si>
    <r>
      <t>unidades mg/l como CaCo</t>
    </r>
    <r>
      <rPr>
        <vertAlign val="subscript"/>
        <sz val="12"/>
        <rFont val="Arial"/>
        <family val="2"/>
      </rPr>
      <t>3</t>
    </r>
  </si>
  <si>
    <t>si DT&lt;2500=</t>
  </si>
  <si>
    <t>si DT&gt;2500=</t>
  </si>
  <si>
    <t>Nitrogeno de Nitratos</t>
  </si>
  <si>
    <r>
      <t>I</t>
    </r>
    <r>
      <rPr>
        <vertAlign val="subscript"/>
        <sz val="7.5"/>
        <rFont val="Arial"/>
        <family val="2"/>
      </rPr>
      <t>N-NH3</t>
    </r>
    <r>
      <rPr>
        <sz val="10"/>
        <rFont val="Arial"/>
        <family val="0"/>
      </rPr>
      <t>=</t>
    </r>
  </si>
  <si>
    <r>
      <t>si N-NO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&lt;4.097=</t>
    </r>
  </si>
  <si>
    <r>
      <t>si N-NO</t>
    </r>
    <r>
      <rPr>
        <vertAlign val="subscript"/>
        <sz val="7.5"/>
        <rFont val="Arial"/>
        <family val="2"/>
      </rPr>
      <t>3</t>
    </r>
    <r>
      <rPr>
        <sz val="10"/>
        <rFont val="Arial"/>
        <family val="0"/>
      </rPr>
      <t>&gt;4.097=</t>
    </r>
  </si>
  <si>
    <t>Fosfatos Totales</t>
  </si>
  <si>
    <r>
      <t>I</t>
    </r>
    <r>
      <rPr>
        <vertAlign val="subscript"/>
        <sz val="7.5"/>
        <rFont val="Arial"/>
        <family val="2"/>
      </rPr>
      <t>PO4</t>
    </r>
    <r>
      <rPr>
        <sz val="10"/>
        <rFont val="Arial"/>
        <family val="0"/>
      </rPr>
      <t>=</t>
    </r>
  </si>
  <si>
    <r>
      <t>si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&lt;0.0971=</t>
    </r>
  </si>
  <si>
    <r>
      <t>si 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&gt;0.0971=</t>
    </r>
  </si>
  <si>
    <t>Fosfatos totales</t>
  </si>
  <si>
    <t>Cloruros</t>
  </si>
  <si>
    <r>
      <t>I</t>
    </r>
    <r>
      <rPr>
        <vertAlign val="subscript"/>
        <sz val="7.5"/>
        <rFont val="Arial"/>
        <family val="2"/>
      </rPr>
      <t>Cl</t>
    </r>
    <r>
      <rPr>
        <sz val="10"/>
        <rFont val="Arial"/>
        <family val="0"/>
      </rPr>
      <t>-=</t>
    </r>
  </si>
  <si>
    <r>
      <t>si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&lt;2.351=</t>
    </r>
  </si>
  <si>
    <r>
      <t>si 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&gt;2.351=</t>
    </r>
  </si>
  <si>
    <t>Coliformes Totales</t>
  </si>
  <si>
    <t>unidades NMP/ 100ml</t>
  </si>
  <si>
    <r>
      <t>I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0"/>
      </rPr>
      <t>=</t>
    </r>
  </si>
  <si>
    <t>Coliformes Fecales</t>
  </si>
  <si>
    <r>
      <t>I</t>
    </r>
    <r>
      <rPr>
        <vertAlign val="subscript"/>
        <sz val="10"/>
        <rFont val="Arial"/>
        <family val="2"/>
      </rPr>
      <t>Ec</t>
    </r>
    <r>
      <rPr>
        <sz val="10"/>
        <rFont val="Arial"/>
        <family val="0"/>
      </rPr>
      <t>=</t>
    </r>
  </si>
  <si>
    <t>si CT&lt;=0=</t>
  </si>
  <si>
    <t>si CT&gt;0=</t>
  </si>
  <si>
    <t>Sustancias Activas al Azul de Metileno (SAAM)</t>
  </si>
  <si>
    <t>unidades en mg/l</t>
  </si>
  <si>
    <t>SAAM</t>
  </si>
  <si>
    <t>si Ec&lt;0=</t>
  </si>
  <si>
    <t>si Ec&gt;0=</t>
  </si>
  <si>
    <t>si SAAM&lt;6.384=</t>
  </si>
  <si>
    <t>si SAAM&gt;6.384=</t>
  </si>
  <si>
    <t>DUREZ TOTAL</t>
  </si>
  <si>
    <t>CLORUROS</t>
  </si>
  <si>
    <t>ALCALINIDAD</t>
  </si>
  <si>
    <t>GRASAS Y ACEITES</t>
  </si>
  <si>
    <t>NITROGENO DE NITRATOS</t>
  </si>
  <si>
    <t>NITROGENO AMONIACAL</t>
  </si>
  <si>
    <t>FOSFATOS TOTALES</t>
  </si>
  <si>
    <t xml:space="preserve">COLOR </t>
  </si>
  <si>
    <t>TURBIEDAD</t>
  </si>
  <si>
    <t xml:space="preserve">COLIFORMES FECALES </t>
  </si>
  <si>
    <t>COLIFORMES TOTALES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</si>
</sst>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0.000"/>
    <numFmt numFmtId="171" formatCode="0.0000"/>
    <numFmt numFmtId="172" formatCode="0.0"/>
    <numFmt numFmtId="173" formatCode="0.00000"/>
    <numFmt numFmtId="174" formatCode="0.000000"/>
    <numFmt numFmtId="175" formatCode="0.0000000"/>
    <numFmt numFmtId="176" formatCode="0.00000000"/>
    <numFmt numFmtId="177" formatCode="0.0E+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26"/>
      <color indexed="8"/>
      <name val="Arial"/>
      <family val="2"/>
    </font>
    <font>
      <vertAlign val="subscript"/>
      <sz val="10"/>
      <name val="Arial"/>
      <family val="2"/>
    </font>
    <font>
      <sz val="16"/>
      <name val="Arial"/>
      <family val="2"/>
    </font>
    <font>
      <vertAlign val="subscript"/>
      <sz val="7.5"/>
      <name val="Arial"/>
      <family val="2"/>
    </font>
    <font>
      <b/>
      <vertAlign val="subscript"/>
      <sz val="7.5"/>
      <name val="Arial"/>
      <family val="2"/>
    </font>
    <font>
      <vertAlign val="subscript"/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72" fontId="0" fillId="0" borderId="1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2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5" fillId="0" borderId="6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172" fontId="2" fillId="0" borderId="1" xfId="0" applyNumberFormat="1" applyFont="1" applyBorder="1" applyAlignment="1" quotePrefix="1">
      <alignment/>
    </xf>
    <xf numFmtId="0" fontId="2" fillId="0" borderId="1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border/>
    </dxf>
    <dxf>
      <fill>
        <patternFill>
          <bgColor rgb="FF0000FF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view="pageBreakPreview" zoomScale="60" workbookViewId="0" topLeftCell="A4">
      <selection activeCell="E9" sqref="E9"/>
    </sheetView>
  </sheetViews>
  <sheetFormatPr defaultColWidth="11.421875" defaultRowHeight="12.75"/>
  <cols>
    <col min="1" max="1" width="24.7109375" style="0" customWidth="1"/>
    <col min="2" max="2" width="12.8515625" style="0" customWidth="1"/>
    <col min="3" max="3" width="15.28125" style="0" customWidth="1"/>
    <col min="4" max="4" width="11.7109375" style="0" bestFit="1" customWidth="1"/>
    <col min="5" max="5" width="13.8515625" style="0" customWidth="1"/>
    <col min="7" max="7" width="12.28125" style="0" customWidth="1"/>
  </cols>
  <sheetData>
    <row r="2" spans="1:7" ht="15.75">
      <c r="A2" s="46" t="s">
        <v>63</v>
      </c>
      <c r="B2" s="46"/>
      <c r="C2" s="46"/>
      <c r="D2" s="46"/>
      <c r="E2" s="46"/>
      <c r="F2" s="46"/>
      <c r="G2" s="46"/>
    </row>
    <row r="3" spans="1:7" ht="12.75">
      <c r="A3" s="47" t="s">
        <v>64</v>
      </c>
      <c r="B3" s="47"/>
      <c r="C3" s="47"/>
      <c r="D3" s="47"/>
      <c r="E3" s="47"/>
      <c r="F3" s="47"/>
      <c r="G3" s="47"/>
    </row>
    <row r="5" spans="1:3" ht="12.75">
      <c r="A5" s="3" t="s">
        <v>68</v>
      </c>
      <c r="C5" s="3" t="s">
        <v>65</v>
      </c>
    </row>
    <row r="6" ht="9.75" customHeight="1"/>
    <row r="7" ht="12.75" hidden="1"/>
    <row r="8" spans="1:5" ht="29.25" customHeight="1">
      <c r="A8" s="45" t="s">
        <v>0</v>
      </c>
      <c r="B8" s="45"/>
      <c r="C8" s="45"/>
      <c r="D8" s="45"/>
      <c r="E8" s="45"/>
    </row>
    <row r="9" spans="1:5" ht="12.75">
      <c r="A9" s="2" t="s">
        <v>8</v>
      </c>
      <c r="B9" s="22" t="s">
        <v>1</v>
      </c>
      <c r="C9" s="22"/>
      <c r="D9" s="22"/>
      <c r="E9" s="36">
        <v>6.965</v>
      </c>
    </row>
    <row r="10" spans="2:5" ht="12.75">
      <c r="B10" s="22" t="s">
        <v>2</v>
      </c>
      <c r="C10" s="22"/>
      <c r="D10" s="22"/>
      <c r="E10" s="36">
        <f>B23</f>
        <v>8.388154396885831</v>
      </c>
    </row>
    <row r="11" spans="1:5" ht="12.75">
      <c r="A11" s="2" t="s">
        <v>8</v>
      </c>
      <c r="B11" s="22" t="s">
        <v>6</v>
      </c>
      <c r="C11" s="22"/>
      <c r="D11" s="22"/>
      <c r="E11" s="36">
        <v>24.1923077</v>
      </c>
    </row>
    <row r="12" spans="2:5" ht="12.75">
      <c r="B12" s="22" t="s">
        <v>3</v>
      </c>
      <c r="C12" s="22"/>
      <c r="D12" s="22"/>
      <c r="E12" s="37">
        <f>E11+273.15</f>
        <v>297.3423077</v>
      </c>
    </row>
    <row r="15" ht="13.5" thickBot="1"/>
    <row r="16" spans="2:3" ht="14.25" thickBot="1" thickTop="1">
      <c r="B16" s="43" t="s">
        <v>4</v>
      </c>
      <c r="C16" s="44"/>
    </row>
    <row r="17" ht="13.5" thickTop="1">
      <c r="B17" s="29">
        <v>-139.3441</v>
      </c>
    </row>
    <row r="18" ht="12.75">
      <c r="B18" s="29">
        <f>(1.575701)*(100000/E12)</f>
        <v>529.9282877664974</v>
      </c>
    </row>
    <row r="19" ht="12.75">
      <c r="B19" s="29">
        <f>-(6.642308)*(10000000/(E12*E12))</f>
        <v>-751.2865161113436</v>
      </c>
    </row>
    <row r="20" ht="12.75">
      <c r="B20" s="29">
        <f>(1.2438)*(10000000000/(E12*E12*E12))</f>
        <v>473.1299378064561</v>
      </c>
    </row>
    <row r="21" ht="12.75">
      <c r="B21" s="29">
        <f>-(8.621949)*(100000000000/(E12*E12*E12*E12))</f>
        <v>-110.3007889418624</v>
      </c>
    </row>
    <row r="22" spans="1:2" ht="12.75">
      <c r="A22" s="5" t="s">
        <v>7</v>
      </c>
      <c r="B22" s="29">
        <f>SUM(B17:B21)</f>
        <v>2.1268205197474543</v>
      </c>
    </row>
    <row r="23" spans="1:3" ht="12.75">
      <c r="A23" s="5" t="s">
        <v>5</v>
      </c>
      <c r="B23" s="29">
        <f>EXP(B22)</f>
        <v>8.388154396885831</v>
      </c>
      <c r="C23" t="s">
        <v>10</v>
      </c>
    </row>
    <row r="26" spans="3:4" ht="12.75">
      <c r="C26" s="21" t="s">
        <v>9</v>
      </c>
      <c r="D26" s="30">
        <f>(E9/E10)*100</f>
        <v>83.03376011516683</v>
      </c>
    </row>
    <row r="29" ht="33">
      <c r="B29" s="6" t="s">
        <v>11</v>
      </c>
    </row>
    <row r="32" spans="1:7" ht="12.75">
      <c r="A32" s="2" t="s">
        <v>8</v>
      </c>
      <c r="B32" s="23" t="s">
        <v>12</v>
      </c>
      <c r="C32" s="23"/>
      <c r="D32" s="28">
        <v>0.001</v>
      </c>
      <c r="F32" s="23" t="s">
        <v>61</v>
      </c>
      <c r="G32" s="28">
        <v>100</v>
      </c>
    </row>
    <row r="33" spans="4:7" ht="12.75">
      <c r="D33" s="31"/>
      <c r="F33" s="23" t="s">
        <v>62</v>
      </c>
      <c r="G33" s="28">
        <f>120*POWER(D32,-0.673)</f>
        <v>12536.642630649605</v>
      </c>
    </row>
    <row r="34" spans="3:4" ht="12.75">
      <c r="C34" t="s">
        <v>53</v>
      </c>
      <c r="D34" s="27">
        <f>IF(D32&lt;1.311,G32,0)</f>
        <v>100</v>
      </c>
    </row>
    <row r="35" ht="12.75">
      <c r="D35" s="27">
        <f>IF(D32&gt;1.311,G33,0)</f>
        <v>0</v>
      </c>
    </row>
    <row r="36" ht="12.75">
      <c r="D36" s="29"/>
    </row>
    <row r="37" spans="3:4" ht="12.75">
      <c r="C37" s="21" t="s">
        <v>13</v>
      </c>
      <c r="D37" s="30">
        <f>SUM(D34:D35)</f>
        <v>100</v>
      </c>
    </row>
    <row r="39" spans="2:3" ht="33">
      <c r="B39" s="6" t="s">
        <v>14</v>
      </c>
      <c r="C39" s="3"/>
    </row>
    <row r="41" spans="1:3" ht="12.75">
      <c r="A41" s="2" t="s">
        <v>8</v>
      </c>
      <c r="B41" s="24" t="s">
        <v>16</v>
      </c>
      <c r="C41" s="28">
        <v>6.86538462</v>
      </c>
    </row>
    <row r="42" spans="1:5" ht="12.75">
      <c r="A42" s="7"/>
      <c r="B42" s="25" t="s">
        <v>15</v>
      </c>
      <c r="C42" s="23"/>
      <c r="E42" s="31">
        <f>0.2335*C41+0.44</f>
        <v>2.0430673087700004</v>
      </c>
    </row>
    <row r="43" spans="1:5" ht="12.75">
      <c r="A43" s="3"/>
      <c r="B43" s="25" t="s">
        <v>17</v>
      </c>
      <c r="C43" s="23"/>
      <c r="E43" s="31">
        <v>100</v>
      </c>
    </row>
    <row r="44" spans="2:5" ht="12.75">
      <c r="B44" s="25" t="s">
        <v>18</v>
      </c>
      <c r="C44" s="23"/>
      <c r="E44" s="31">
        <f>4.22-(0.293*C41)</f>
        <v>2.20844230634</v>
      </c>
    </row>
    <row r="46" spans="3:4" ht="12.75">
      <c r="C46" s="23" t="s">
        <v>19</v>
      </c>
      <c r="D46" s="31">
        <f>POWER(10,E42)</f>
        <v>110.424974787179</v>
      </c>
    </row>
    <row r="47" spans="3:4" ht="12.75">
      <c r="C47" s="23" t="s">
        <v>20</v>
      </c>
      <c r="D47" s="31">
        <f>E43</f>
        <v>100</v>
      </c>
    </row>
    <row r="48" spans="3:4" ht="12.75">
      <c r="C48" s="23" t="s">
        <v>21</v>
      </c>
      <c r="D48" s="31">
        <f>POWER(10,E44)</f>
        <v>161.6003534565733</v>
      </c>
    </row>
    <row r="50" ht="12.75">
      <c r="E50" s="23" t="s">
        <v>22</v>
      </c>
    </row>
    <row r="51" ht="12.75">
      <c r="E51" s="31">
        <f>IF(C41&lt;6.7,D46,0)</f>
        <v>0</v>
      </c>
    </row>
    <row r="52" ht="12.75">
      <c r="E52" s="31">
        <f>IF(AND(IF(C41&gt;=6.7,D47,0),IF(C41&lt;=7.3,D47,0)),D47,0)</f>
        <v>100</v>
      </c>
    </row>
    <row r="53" ht="12.75">
      <c r="E53" s="31">
        <f>IF(C41&gt;7.3,D48,0)</f>
        <v>0</v>
      </c>
    </row>
    <row r="54" ht="12.75">
      <c r="C54" s="8"/>
    </row>
    <row r="55" spans="2:5" ht="12.75">
      <c r="B55" s="42" t="s">
        <v>23</v>
      </c>
      <c r="C55" s="42"/>
      <c r="D55" s="42"/>
      <c r="E55" s="30">
        <f>SUM(E51:E53)</f>
        <v>100</v>
      </c>
    </row>
    <row r="84" ht="70.5" customHeight="1"/>
    <row r="96" ht="12.75">
      <c r="C96" s="3"/>
    </row>
  </sheetData>
  <mergeCells count="5">
    <mergeCell ref="B55:D55"/>
    <mergeCell ref="B16:C16"/>
    <mergeCell ref="A8:E8"/>
    <mergeCell ref="A2:G2"/>
    <mergeCell ref="A3:G3"/>
  </mergeCells>
  <conditionalFormatting sqref="C41:C43">
    <cfRule type="cellIs" priority="1" dxfId="0" operator="lessThan" stopIfTrue="1">
      <formula>6.7</formula>
    </cfRule>
  </conditionalFormatting>
  <printOptions horizontalCentered="1" verticalCentered="1"/>
  <pageMargins left="0.6299212598425197" right="0.6299212598425197" top="0.984251968503937" bottom="0.984251968503937" header="0.11811023622047245" footer="0"/>
  <pageSetup horizontalDpi="360" verticalDpi="360" orientation="portrait" paperSize="9" scale="87" r:id="rId1"/>
  <headerFooter alignWithMargins="0">
    <oddHeader>&amp;L&amp;8COMPONENTE 4 PROYECTO VLIR-ESPOL&amp;R&amp;8CEMA-ESPOL</oddHeader>
    <oddFooter>&amp;L&amp;8CALCULOS ICA
&amp;C&amp;8DIAGNOSTICO AMBIENTAL
CUENCA DEL RIO CHAGUANA
HDA.AGRICOLA LETICIA&amp;R&amp;8A2-2
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="75" zoomScaleNormal="75" zoomScaleSheetLayoutView="75" workbookViewId="0" topLeftCell="A5">
      <selection activeCell="D31" sqref="D31"/>
    </sheetView>
  </sheetViews>
  <sheetFormatPr defaultColWidth="11.421875" defaultRowHeight="12.75"/>
  <cols>
    <col min="1" max="1" width="22.7109375" style="0" customWidth="1"/>
    <col min="2" max="2" width="10.57421875" style="0" customWidth="1"/>
    <col min="3" max="3" width="16.00390625" style="0" customWidth="1"/>
    <col min="4" max="4" width="9.8515625" style="0" customWidth="1"/>
    <col min="5" max="5" width="12.00390625" style="0" customWidth="1"/>
    <col min="7" max="7" width="7.8515625" style="0" customWidth="1"/>
  </cols>
  <sheetData>
    <row r="2" spans="1:6" ht="65.25" customHeight="1">
      <c r="A2" s="48" t="s">
        <v>24</v>
      </c>
      <c r="B2" s="48"/>
      <c r="C2" s="48"/>
      <c r="D2" s="48"/>
      <c r="E2" s="48"/>
      <c r="F2" s="48"/>
    </row>
    <row r="5" spans="1:6" ht="12.75">
      <c r="A5" s="2" t="s">
        <v>8</v>
      </c>
      <c r="B5" s="24" t="s">
        <v>25</v>
      </c>
      <c r="C5" s="28">
        <v>43.2023077</v>
      </c>
      <c r="E5" t="s">
        <v>57</v>
      </c>
      <c r="F5" s="31">
        <v>100</v>
      </c>
    </row>
    <row r="6" spans="3:6" ht="12.75">
      <c r="C6" s="31"/>
      <c r="E6" t="s">
        <v>58</v>
      </c>
      <c r="F6" s="28">
        <f>266.5*POWER(C5,-0.37)</f>
        <v>66.15453839674574</v>
      </c>
    </row>
    <row r="7" spans="2:6" ht="12.75">
      <c r="B7" s="49" t="s">
        <v>53</v>
      </c>
      <c r="C7" s="27">
        <f>IF(C5&lt;14.44,F5,0)</f>
        <v>0</v>
      </c>
      <c r="F7" s="1"/>
    </row>
    <row r="8" spans="2:6" ht="12.75">
      <c r="B8" s="49"/>
      <c r="C8" s="27">
        <f>IF(C5&gt;14.44,F6,0)</f>
        <v>66.15453839674574</v>
      </c>
      <c r="F8" s="1"/>
    </row>
    <row r="9" spans="2:6" ht="12.75">
      <c r="B9" s="4"/>
      <c r="C9" s="29"/>
      <c r="F9" s="1"/>
    </row>
    <row r="10" spans="2:3" ht="12.75">
      <c r="B10" s="21" t="s">
        <v>100</v>
      </c>
      <c r="C10" s="30">
        <f>SUM(C7:C8)</f>
        <v>66.15453839674574</v>
      </c>
    </row>
    <row r="12" spans="1:6" ht="66" customHeight="1">
      <c r="A12" s="48" t="s">
        <v>26</v>
      </c>
      <c r="B12" s="48"/>
      <c r="C12" s="48"/>
      <c r="D12" s="48"/>
      <c r="E12" s="48"/>
      <c r="F12" s="48"/>
    </row>
    <row r="15" spans="1:6" ht="12.75">
      <c r="A15" s="2" t="s">
        <v>8</v>
      </c>
      <c r="B15" s="24" t="s">
        <v>27</v>
      </c>
      <c r="C15" s="28">
        <v>0.13653846</v>
      </c>
      <c r="E15" s="23" t="s">
        <v>54</v>
      </c>
      <c r="F15" s="28">
        <v>100</v>
      </c>
    </row>
    <row r="16" spans="2:6" ht="12.75">
      <c r="B16" s="4"/>
      <c r="C16" s="32"/>
      <c r="E16" s="23" t="s">
        <v>55</v>
      </c>
      <c r="F16" s="28">
        <f>109.1-0.0175*C15</f>
        <v>109.09761057694999</v>
      </c>
    </row>
    <row r="17" spans="2:6" ht="12.75">
      <c r="B17" s="50" t="s">
        <v>53</v>
      </c>
      <c r="C17" s="27">
        <f>IF(C15&lt;520,F15,0)</f>
        <v>100</v>
      </c>
      <c r="E17" s="23" t="s">
        <v>56</v>
      </c>
      <c r="F17" s="28">
        <v>0</v>
      </c>
    </row>
    <row r="18" spans="2:3" ht="12.75">
      <c r="B18" s="51"/>
      <c r="C18" s="27">
        <f>IF(AND(IF(C15&lt;=6234,C15,0),IF(C15&gt;=520,C15,0)),F16,0)</f>
        <v>0</v>
      </c>
    </row>
    <row r="19" spans="2:3" ht="12.75">
      <c r="B19" s="52"/>
      <c r="C19" s="27">
        <f>IF(C16&gt;6234,F17,0)</f>
        <v>0</v>
      </c>
    </row>
    <row r="20" spans="2:3" ht="12.75">
      <c r="B20" s="20"/>
      <c r="C20" s="29"/>
    </row>
    <row r="21" spans="2:3" ht="12.75">
      <c r="B21" s="21" t="s">
        <v>99</v>
      </c>
      <c r="C21" s="30">
        <f>SUM(C17:C19)</f>
        <v>100</v>
      </c>
    </row>
    <row r="22" spans="2:3" ht="12.75">
      <c r="B22" s="4"/>
      <c r="C22" s="3"/>
    </row>
    <row r="23" spans="2:3" ht="12.75">
      <c r="B23" s="4"/>
      <c r="C23" s="3"/>
    </row>
    <row r="25" ht="12.75">
      <c r="A25" s="3"/>
    </row>
    <row r="28" spans="1:7" ht="65.25" customHeight="1">
      <c r="A28" s="48" t="s">
        <v>28</v>
      </c>
      <c r="B28" s="48"/>
      <c r="C28" s="48"/>
      <c r="D28" s="48"/>
      <c r="E28" s="48"/>
      <c r="F28" s="48"/>
      <c r="G28" s="26"/>
    </row>
    <row r="31" spans="1:7" ht="12.75">
      <c r="A31" s="2" t="s">
        <v>8</v>
      </c>
      <c r="B31" s="53" t="s">
        <v>29</v>
      </c>
      <c r="C31" s="53"/>
      <c r="D31" s="28">
        <v>201.409615</v>
      </c>
      <c r="F31" s="23" t="s">
        <v>59</v>
      </c>
      <c r="G31" s="28">
        <v>100</v>
      </c>
    </row>
    <row r="32" spans="3:7" ht="12.75">
      <c r="C32" s="4"/>
      <c r="D32" s="31"/>
      <c r="F32" s="23" t="s">
        <v>60</v>
      </c>
      <c r="G32" s="28">
        <f>540*POWER(D31,-0.379)</f>
        <v>72.30150946110807</v>
      </c>
    </row>
    <row r="33" spans="3:4" ht="12.75">
      <c r="C33" s="49" t="s">
        <v>53</v>
      </c>
      <c r="D33" s="33">
        <f>IF(D31&lt;85.6,G31,0)</f>
        <v>0</v>
      </c>
    </row>
    <row r="34" spans="3:4" ht="12.75">
      <c r="C34" s="49"/>
      <c r="D34" s="33">
        <f>IF(D31&gt;85.6,G32,0)</f>
        <v>72.30150946110807</v>
      </c>
    </row>
    <row r="35" spans="3:4" ht="12.75">
      <c r="C35" s="20"/>
      <c r="D35" s="34"/>
    </row>
    <row r="36" spans="3:4" ht="12.75">
      <c r="C36" s="21" t="s">
        <v>101</v>
      </c>
      <c r="D36" s="30">
        <f>SUM(D33:D34)</f>
        <v>72.30150946110807</v>
      </c>
    </row>
  </sheetData>
  <mergeCells count="7">
    <mergeCell ref="A2:F2"/>
    <mergeCell ref="C33:C34"/>
    <mergeCell ref="B17:B19"/>
    <mergeCell ref="B7:B8"/>
    <mergeCell ref="B31:C31"/>
    <mergeCell ref="A28:F28"/>
    <mergeCell ref="A12:F12"/>
  </mergeCells>
  <printOptions horizontalCentered="1" verticalCentered="1"/>
  <pageMargins left="0.6299212598425197" right="0.6299212598425197" top="0.984251968503937" bottom="0.984251968503937" header="0.11811023622047245" footer="0"/>
  <pageSetup horizontalDpi="600" verticalDpi="600" orientation="portrait" paperSize="9" scale="87" r:id="rId1"/>
  <headerFooter alignWithMargins="0">
    <oddHeader>&amp;L&amp;8COMPONENTE 4 PROYECTO VLIR-ESPOL&amp;R&amp;8CEMA-ESPOL</oddHeader>
    <oddFooter>&amp;L&amp;8CALCULOS ICA&amp;C&amp;8DIAGNOSTICO AMBIENTAL
CUENCA DEL RIO CHAGUANA 
HDA. AGRICOLA LETICIA&amp;R&amp;8A2-3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46"/>
  <sheetViews>
    <sheetView view="pageBreakPreview" zoomScaleSheetLayoutView="100" workbookViewId="0" topLeftCell="A1">
      <selection activeCell="B39" sqref="B39"/>
    </sheetView>
  </sheetViews>
  <sheetFormatPr defaultColWidth="11.421875" defaultRowHeight="12.75"/>
  <cols>
    <col min="1" max="1" width="29.421875" style="0" bestFit="1" customWidth="1"/>
    <col min="2" max="2" width="16.421875" style="0" customWidth="1"/>
    <col min="3" max="3" width="14.28125" style="0" bestFit="1" customWidth="1"/>
  </cols>
  <sheetData>
    <row r="2" spans="1:2" ht="20.25">
      <c r="A2" s="38" t="s">
        <v>79</v>
      </c>
      <c r="B2" s="38" t="s">
        <v>71</v>
      </c>
    </row>
    <row r="4" spans="1:3" ht="12.75">
      <c r="A4" t="s">
        <v>74</v>
      </c>
      <c r="B4" t="s">
        <v>80</v>
      </c>
      <c r="C4">
        <v>2</v>
      </c>
    </row>
    <row r="5" spans="2:3" ht="15.75">
      <c r="B5" t="s">
        <v>81</v>
      </c>
      <c r="C5" s="31">
        <f>123*POWER(C4,-0.295)</f>
        <v>100.25389688552293</v>
      </c>
    </row>
    <row r="6" ht="12.75">
      <c r="C6" s="31"/>
    </row>
    <row r="7" spans="2:4" ht="12.75">
      <c r="B7" t="s">
        <v>72</v>
      </c>
      <c r="C7" t="s">
        <v>82</v>
      </c>
      <c r="D7">
        <f>IF(C4&lt;2.018,100,0)</f>
        <v>100</v>
      </c>
    </row>
    <row r="8" spans="3:4" ht="12.75">
      <c r="C8" t="s">
        <v>82</v>
      </c>
      <c r="D8" s="31">
        <f>IF(C4&gt;2.018,C5,0)</f>
        <v>0</v>
      </c>
    </row>
    <row r="9" spans="3:4" ht="12.75">
      <c r="C9" t="s">
        <v>73</v>
      </c>
      <c r="D9" s="31">
        <f>SUM(D7:D8)</f>
        <v>100</v>
      </c>
    </row>
    <row r="12" spans="1:2" s="38" customFormat="1" ht="20.25">
      <c r="A12" s="38" t="s">
        <v>75</v>
      </c>
      <c r="B12" s="38" t="s">
        <v>85</v>
      </c>
    </row>
    <row r="14" spans="1:3" ht="12.75">
      <c r="A14" t="s">
        <v>74</v>
      </c>
      <c r="B14" t="s">
        <v>70</v>
      </c>
      <c r="C14">
        <v>2</v>
      </c>
    </row>
    <row r="15" spans="2:3" ht="15.75">
      <c r="B15" t="s">
        <v>69</v>
      </c>
      <c r="C15" s="31">
        <f>108*POWER(C14,-0.178)</f>
        <v>95.4641733548765</v>
      </c>
    </row>
    <row r="17" spans="2:4" ht="12.75">
      <c r="B17" t="s">
        <v>72</v>
      </c>
      <c r="C17" t="s">
        <v>83</v>
      </c>
      <c r="D17">
        <f>IF(C14&lt;1.54,100,0)</f>
        <v>0</v>
      </c>
    </row>
    <row r="18" spans="3:4" ht="12.75">
      <c r="C18" t="s">
        <v>84</v>
      </c>
      <c r="D18" s="31">
        <f>IF(C14&gt;1.54,C15,0)</f>
        <v>95.4641733548765</v>
      </c>
    </row>
    <row r="19" spans="3:4" ht="12.75">
      <c r="C19" t="s">
        <v>73</v>
      </c>
      <c r="D19" s="31">
        <f>SUM(D17:D18)</f>
        <v>95.4641733548765</v>
      </c>
    </row>
    <row r="21" spans="1:2" ht="20.25">
      <c r="A21" s="38" t="s">
        <v>76</v>
      </c>
      <c r="B21" s="38" t="s">
        <v>86</v>
      </c>
    </row>
    <row r="23" spans="1:3" ht="12.75">
      <c r="A23" t="s">
        <v>74</v>
      </c>
      <c r="B23" t="s">
        <v>77</v>
      </c>
      <c r="C23">
        <v>2</v>
      </c>
    </row>
    <row r="24" spans="2:3" ht="15.75">
      <c r="B24" t="s">
        <v>78</v>
      </c>
      <c r="C24" s="31">
        <f>87.25*POWER(C23,-0.298)</f>
        <v>70.96733503702798</v>
      </c>
    </row>
    <row r="26" spans="2:4" ht="12.75">
      <c r="B26" t="s">
        <v>72</v>
      </c>
      <c r="C26" t="s">
        <v>87</v>
      </c>
      <c r="D26">
        <f>IF(C23&lt;0.633,100,0)</f>
        <v>0</v>
      </c>
    </row>
    <row r="27" spans="3:4" ht="12.75">
      <c r="C27" t="s">
        <v>88</v>
      </c>
      <c r="D27" s="31">
        <f>IF(C23&gt;0.633,C24,0)</f>
        <v>70.96733503702798</v>
      </c>
    </row>
    <row r="28" spans="3:4" ht="12.75">
      <c r="C28" t="s">
        <v>73</v>
      </c>
      <c r="D28" s="31">
        <f>SUM(D26:D27)</f>
        <v>70.96733503702798</v>
      </c>
    </row>
    <row r="30" spans="1:2" ht="20.25">
      <c r="A30" s="38" t="s">
        <v>89</v>
      </c>
      <c r="B30" s="38" t="s">
        <v>90</v>
      </c>
    </row>
    <row r="32" spans="1:3" ht="12.75">
      <c r="A32" t="s">
        <v>74</v>
      </c>
      <c r="B32" t="s">
        <v>89</v>
      </c>
      <c r="C32">
        <v>2</v>
      </c>
    </row>
    <row r="33" spans="2:3" ht="15.75">
      <c r="B33" t="s">
        <v>91</v>
      </c>
      <c r="C33" s="31">
        <f>105*POWER(C32,-0.186)</f>
        <v>92.29915389573763</v>
      </c>
    </row>
    <row r="35" spans="2:4" ht="12.75">
      <c r="B35" t="s">
        <v>72</v>
      </c>
      <c r="C35" t="s">
        <v>92</v>
      </c>
      <c r="D35">
        <f>IF(C32&lt;1.3,100,0)</f>
        <v>0</v>
      </c>
    </row>
    <row r="36" spans="3:4" ht="12.75">
      <c r="C36" t="s">
        <v>93</v>
      </c>
      <c r="D36" s="31">
        <f>IF(C32&gt;1.3,C33,0)</f>
        <v>92.29915389573763</v>
      </c>
    </row>
    <row r="37" spans="3:4" ht="12.75">
      <c r="C37" t="s">
        <v>73</v>
      </c>
      <c r="D37" s="31">
        <f>SUM(D35:D36)</f>
        <v>92.29915389573763</v>
      </c>
    </row>
    <row r="39" spans="1:2" ht="20.25">
      <c r="A39" s="38" t="s">
        <v>94</v>
      </c>
      <c r="B39" s="38" t="s">
        <v>98</v>
      </c>
    </row>
    <row r="41" spans="1:3" ht="12.75">
      <c r="A41" t="s">
        <v>74</v>
      </c>
      <c r="B41" t="s">
        <v>95</v>
      </c>
      <c r="C41">
        <v>0.02</v>
      </c>
    </row>
    <row r="42" spans="2:3" ht="15.75">
      <c r="B42" t="s">
        <v>96</v>
      </c>
      <c r="C42" s="31">
        <f>45.8*POWER(C41,-0.343)</f>
        <v>175.23150440185952</v>
      </c>
    </row>
    <row r="44" spans="2:4" ht="12.75">
      <c r="B44" t="s">
        <v>72</v>
      </c>
      <c r="C44" t="s">
        <v>97</v>
      </c>
      <c r="D44">
        <f>IF(C41&lt;0.11,100,0)</f>
        <v>100</v>
      </c>
    </row>
    <row r="45" spans="3:4" ht="12.75">
      <c r="C45" t="s">
        <v>97</v>
      </c>
      <c r="D45" s="31">
        <f>IF(C41&gt;0.11,C42,0)</f>
        <v>0</v>
      </c>
    </row>
    <row r="46" spans="3:4" ht="12.75">
      <c r="C46" t="s">
        <v>73</v>
      </c>
      <c r="D46" s="31">
        <f>SUM(D44:D45)</f>
        <v>100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5"/>
  <sheetViews>
    <sheetView view="pageBreakPreview" zoomScaleSheetLayoutView="100" workbookViewId="0" topLeftCell="A21">
      <selection activeCell="A38" sqref="A38"/>
    </sheetView>
  </sheetViews>
  <sheetFormatPr defaultColWidth="11.421875" defaultRowHeight="12.75"/>
  <cols>
    <col min="1" max="1" width="30.57421875" style="0" customWidth="1"/>
    <col min="2" max="2" width="18.00390625" style="0" customWidth="1"/>
    <col min="3" max="3" width="14.57421875" style="0" bestFit="1" customWidth="1"/>
    <col min="5" max="5" width="13.28125" style="0" customWidth="1"/>
  </cols>
  <sheetData>
    <row r="2" spans="1:2" ht="21">
      <c r="A2" s="38" t="s">
        <v>102</v>
      </c>
      <c r="B2" s="38" t="s">
        <v>105</v>
      </c>
    </row>
    <row r="4" spans="1:3" ht="12.75">
      <c r="A4" t="s">
        <v>74</v>
      </c>
      <c r="B4" t="s">
        <v>102</v>
      </c>
      <c r="C4">
        <v>5</v>
      </c>
    </row>
    <row r="5" spans="2:3" ht="12.75">
      <c r="B5" t="s">
        <v>104</v>
      </c>
      <c r="C5" s="31">
        <f>POWER(10,1.974-(0.00174*C4))</f>
        <v>92.32089370821589</v>
      </c>
    </row>
    <row r="7" spans="2:4" ht="12.75">
      <c r="B7" t="s">
        <v>72</v>
      </c>
      <c r="C7" t="s">
        <v>106</v>
      </c>
      <c r="D7" s="31">
        <f>IF(C4&lt;2500,C5,0)</f>
        <v>92.32089370821589</v>
      </c>
    </row>
    <row r="8" spans="3:4" ht="12.75">
      <c r="C8" t="s">
        <v>107</v>
      </c>
      <c r="D8" s="31">
        <f>IF(C4&gt;2500,0,0)</f>
        <v>0</v>
      </c>
    </row>
    <row r="9" spans="3:4" ht="12.75">
      <c r="C9" t="s">
        <v>73</v>
      </c>
      <c r="D9" s="31">
        <f>SUM(D7:D8)</f>
        <v>92.32089370821589</v>
      </c>
    </row>
    <row r="11" spans="1:3" ht="20.25">
      <c r="A11" s="38" t="s">
        <v>108</v>
      </c>
      <c r="B11" s="54" t="s">
        <v>103</v>
      </c>
      <c r="C11" s="54"/>
    </row>
    <row r="13" spans="1:3" ht="12.75">
      <c r="A13" t="s">
        <v>74</v>
      </c>
      <c r="B13" t="s">
        <v>108</v>
      </c>
      <c r="C13">
        <v>5</v>
      </c>
    </row>
    <row r="14" spans="2:3" ht="12.75">
      <c r="B14" t="s">
        <v>109</v>
      </c>
      <c r="C14" s="31">
        <f>162.2*POWER(C13,-0.343)</f>
        <v>93.39080919001304</v>
      </c>
    </row>
    <row r="16" spans="2:4" ht="12.75">
      <c r="B16" t="s">
        <v>72</v>
      </c>
      <c r="C16" t="s">
        <v>110</v>
      </c>
      <c r="D16" s="31">
        <f>IF(C13&lt;4.097,100,0)</f>
        <v>0</v>
      </c>
    </row>
    <row r="17" spans="3:4" ht="12.75">
      <c r="C17" t="s">
        <v>111</v>
      </c>
      <c r="D17" s="31">
        <f>IF(C13&gt;4.097,C14,0)</f>
        <v>93.39080919001304</v>
      </c>
    </row>
    <row r="18" spans="3:4" ht="12.75">
      <c r="C18" t="s">
        <v>73</v>
      </c>
      <c r="D18" s="31">
        <f>SUM(D16:D17)</f>
        <v>93.39080919001304</v>
      </c>
    </row>
    <row r="20" spans="1:2" ht="20.25">
      <c r="A20" s="38" t="s">
        <v>116</v>
      </c>
      <c r="B20" s="38" t="s">
        <v>103</v>
      </c>
    </row>
    <row r="22" spans="1:3" ht="12.75">
      <c r="A22" t="s">
        <v>74</v>
      </c>
      <c r="B22" t="s">
        <v>112</v>
      </c>
      <c r="C22">
        <v>5</v>
      </c>
    </row>
    <row r="23" spans="2:3" ht="12.75">
      <c r="B23" t="s">
        <v>113</v>
      </c>
      <c r="C23" s="31">
        <f>34.215*POWER(C22,-0.46)</f>
        <v>16.318879754478626</v>
      </c>
    </row>
    <row r="25" spans="2:4" ht="15.75">
      <c r="B25" t="s">
        <v>72</v>
      </c>
      <c r="C25" t="s">
        <v>114</v>
      </c>
      <c r="D25" s="31">
        <f>IF(C22&lt;=0.0971,100,0)</f>
        <v>0</v>
      </c>
    </row>
    <row r="26" spans="3:4" ht="15.75">
      <c r="C26" t="s">
        <v>115</v>
      </c>
      <c r="D26" s="31">
        <f>IF(C22&gt;0.0971,C23,0)</f>
        <v>16.318879754478626</v>
      </c>
    </row>
    <row r="27" spans="3:4" ht="12.75">
      <c r="C27" t="s">
        <v>73</v>
      </c>
      <c r="D27" s="31">
        <f>SUM(D25:D26)</f>
        <v>16.318879754478626</v>
      </c>
    </row>
    <row r="29" spans="1:2" ht="20.25">
      <c r="A29" s="38" t="s">
        <v>117</v>
      </c>
      <c r="B29" s="38" t="s">
        <v>103</v>
      </c>
    </row>
    <row r="31" spans="1:3" ht="12.75">
      <c r="A31" t="s">
        <v>74</v>
      </c>
      <c r="B31" t="s">
        <v>117</v>
      </c>
      <c r="C31">
        <v>5</v>
      </c>
    </row>
    <row r="32" spans="2:3" ht="12.75">
      <c r="B32" t="s">
        <v>118</v>
      </c>
      <c r="C32" s="31">
        <f>34.215*POWER(C31,-0.46)</f>
        <v>16.318879754478626</v>
      </c>
    </row>
    <row r="34" spans="2:4" ht="14.25">
      <c r="B34" t="s">
        <v>72</v>
      </c>
      <c r="C34" t="s">
        <v>119</v>
      </c>
      <c r="D34" s="31">
        <f>IF(C31&lt;2.351,100,0)</f>
        <v>0</v>
      </c>
    </row>
    <row r="35" spans="3:4" ht="14.25">
      <c r="C35" t="s">
        <v>120</v>
      </c>
      <c r="D35" s="31">
        <f>IF(C31&gt;2.351,C32,0)</f>
        <v>16.318879754478626</v>
      </c>
    </row>
    <row r="36" spans="3:4" ht="12.75">
      <c r="C36" t="s">
        <v>73</v>
      </c>
      <c r="D36" s="31">
        <f>SUM(D34:D35)</f>
        <v>16.318879754478626</v>
      </c>
    </row>
    <row r="38" spans="1:2" ht="20.25">
      <c r="A38" s="38" t="s">
        <v>121</v>
      </c>
      <c r="B38" s="38" t="s">
        <v>122</v>
      </c>
    </row>
    <row r="40" spans="1:3" ht="12.75">
      <c r="A40" t="s">
        <v>74</v>
      </c>
      <c r="B40" t="s">
        <v>121</v>
      </c>
      <c r="C40">
        <v>5</v>
      </c>
    </row>
    <row r="41" spans="2:3" ht="15.75">
      <c r="B41" t="s">
        <v>123</v>
      </c>
      <c r="C41" s="39">
        <f>IF(C40&lt;=0,0,97.5*POWER(C40,-0.27))</f>
        <v>63.136821518752924</v>
      </c>
    </row>
    <row r="43" spans="2:4" ht="12.75">
      <c r="B43" t="s">
        <v>72</v>
      </c>
      <c r="C43" t="s">
        <v>126</v>
      </c>
      <c r="D43" s="31">
        <f>IF(C40&lt;=0,100,0)</f>
        <v>0</v>
      </c>
    </row>
    <row r="44" spans="3:4" ht="12.75">
      <c r="C44" t="s">
        <v>127</v>
      </c>
      <c r="D44" s="31">
        <f>IF(C40&gt;0,C41,0)</f>
        <v>63.136821518752924</v>
      </c>
    </row>
    <row r="45" spans="3:4" ht="12.75">
      <c r="C45" t="s">
        <v>73</v>
      </c>
      <c r="D45" s="31">
        <f>SUM(D43:D44)</f>
        <v>63.136821518752924</v>
      </c>
    </row>
  </sheetData>
  <mergeCells count="1">
    <mergeCell ref="B11:C11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"/>
  <sheetViews>
    <sheetView view="pageBreakPreview" zoomScale="60" workbookViewId="0" topLeftCell="A1">
      <selection activeCell="D10" sqref="D10"/>
    </sheetView>
  </sheetViews>
  <sheetFormatPr defaultColWidth="11.421875" defaultRowHeight="12.75"/>
  <cols>
    <col min="1" max="1" width="30.8515625" style="0" customWidth="1"/>
    <col min="2" max="2" width="16.8515625" style="0" customWidth="1"/>
    <col min="3" max="3" width="15.421875" style="0" customWidth="1"/>
  </cols>
  <sheetData>
    <row r="3" spans="1:3" ht="20.25">
      <c r="A3" s="40" t="s">
        <v>124</v>
      </c>
      <c r="B3" s="56" t="s">
        <v>122</v>
      </c>
      <c r="C3" s="56"/>
    </row>
    <row r="5" spans="1:3" ht="12.75">
      <c r="A5" t="s">
        <v>74</v>
      </c>
      <c r="B5" t="s">
        <v>124</v>
      </c>
      <c r="C5">
        <v>5</v>
      </c>
    </row>
    <row r="6" spans="2:3" ht="15.75">
      <c r="B6" t="s">
        <v>125</v>
      </c>
      <c r="C6" s="39">
        <f>IF(C5&lt;=0,0,97.5*POWER(5*C5,-0.27))</f>
        <v>40.88469981016269</v>
      </c>
    </row>
    <row r="8" spans="2:4" ht="12.75">
      <c r="B8" t="s">
        <v>72</v>
      </c>
      <c r="C8" t="s">
        <v>131</v>
      </c>
      <c r="D8" s="31">
        <f>IF(C6&lt;1.311,100,0)</f>
        <v>0</v>
      </c>
    </row>
    <row r="9" spans="3:4" ht="12.75">
      <c r="C9" t="s">
        <v>132</v>
      </c>
      <c r="D9" s="31">
        <f>IF(C6&gt;1.311,C6,0)</f>
        <v>40.88469981016269</v>
      </c>
    </row>
    <row r="10" spans="3:4" ht="12.75">
      <c r="C10" t="s">
        <v>73</v>
      </c>
      <c r="D10" s="31">
        <f>SUM(D8:D9)</f>
        <v>40.88469981016269</v>
      </c>
    </row>
    <row r="13" spans="1:4" ht="20.25">
      <c r="A13" s="55" t="s">
        <v>128</v>
      </c>
      <c r="B13" s="55"/>
      <c r="C13" s="55"/>
      <c r="D13" s="55"/>
    </row>
    <row r="14" spans="1:2" ht="20.25">
      <c r="A14" s="40" t="s">
        <v>129</v>
      </c>
      <c r="B14" s="40"/>
    </row>
    <row r="16" spans="1:3" ht="12.75">
      <c r="A16" t="s">
        <v>74</v>
      </c>
      <c r="B16" t="s">
        <v>130</v>
      </c>
      <c r="C16">
        <v>5</v>
      </c>
    </row>
    <row r="17" spans="2:3" ht="15.75">
      <c r="B17" t="s">
        <v>125</v>
      </c>
      <c r="C17" s="39">
        <f>(100-(16.678*C16)+(0.1587*POWER(C16,2)))</f>
        <v>20.5775</v>
      </c>
    </row>
    <row r="19" spans="2:4" ht="12.75">
      <c r="B19" t="s">
        <v>72</v>
      </c>
      <c r="C19" t="s">
        <v>133</v>
      </c>
      <c r="D19" s="31">
        <f>IF(C16&lt;6.384,C17,0)</f>
        <v>20.5775</v>
      </c>
    </row>
    <row r="20" spans="3:4" ht="12.75">
      <c r="C20" t="s">
        <v>134</v>
      </c>
      <c r="D20" s="31">
        <f>IF(C16&gt;6.384,0,0)</f>
        <v>0</v>
      </c>
    </row>
    <row r="21" spans="3:4" ht="12.75">
      <c r="C21" t="s">
        <v>73</v>
      </c>
      <c r="D21" s="31">
        <f>SUM(D19:D20)</f>
        <v>20.5775</v>
      </c>
    </row>
  </sheetData>
  <mergeCells count="2">
    <mergeCell ref="A13:D13"/>
    <mergeCell ref="B3:C3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1"/>
  <sheetViews>
    <sheetView tabSelected="1" view="pageBreakPreview" zoomScale="80" zoomScaleSheetLayoutView="80" workbookViewId="0" topLeftCell="A1">
      <selection activeCell="D31" sqref="D31"/>
    </sheetView>
  </sheetViews>
  <sheetFormatPr defaultColWidth="11.421875" defaultRowHeight="12.75"/>
  <cols>
    <col min="3" max="3" width="14.28125" style="0" customWidth="1"/>
    <col min="4" max="4" width="14.00390625" style="0" customWidth="1"/>
    <col min="5" max="5" width="12.28125" style="0" customWidth="1"/>
  </cols>
  <sheetData>
    <row r="3" spans="1:6" ht="15.75">
      <c r="A3" s="46" t="s">
        <v>63</v>
      </c>
      <c r="B3" s="46"/>
      <c r="C3" s="46"/>
      <c r="D3" s="46"/>
      <c r="E3" s="46"/>
      <c r="F3" s="46"/>
    </row>
    <row r="4" spans="1:6" ht="15.75">
      <c r="A4" s="46" t="s">
        <v>64</v>
      </c>
      <c r="B4" s="46"/>
      <c r="C4" s="46"/>
      <c r="D4" s="46"/>
      <c r="E4" s="46"/>
      <c r="F4" s="46"/>
    </row>
    <row r="6" spans="1:4" ht="12.75">
      <c r="A6" s="3" t="s">
        <v>67</v>
      </c>
      <c r="D6" s="3" t="s">
        <v>66</v>
      </c>
    </row>
    <row r="8" spans="1:6" ht="23.25">
      <c r="A8" s="71" t="s">
        <v>41</v>
      </c>
      <c r="B8" s="71"/>
      <c r="C8" s="71"/>
      <c r="D8" s="71"/>
      <c r="E8" s="71"/>
      <c r="F8" s="71"/>
    </row>
    <row r="10" ht="17.25" customHeight="1">
      <c r="B10" s="12"/>
    </row>
    <row r="12" spans="1:6" ht="12.75">
      <c r="A12" s="57" t="s">
        <v>30</v>
      </c>
      <c r="B12" s="57"/>
      <c r="C12" s="57"/>
      <c r="D12" s="9" t="s">
        <v>37</v>
      </c>
      <c r="E12" s="10" t="s">
        <v>39</v>
      </c>
      <c r="F12" s="10" t="s">
        <v>40</v>
      </c>
    </row>
    <row r="13" spans="1:6" ht="12.75">
      <c r="A13" s="57" t="s">
        <v>31</v>
      </c>
      <c r="B13" s="57"/>
      <c r="C13" s="57"/>
      <c r="D13" s="9">
        <f>IF('A2-2'!C41&gt;0,1,0)</f>
        <v>1</v>
      </c>
      <c r="E13" s="30">
        <f>'A2-2'!E55</f>
        <v>100</v>
      </c>
      <c r="F13" s="30">
        <f aca="true" t="shared" si="0" ref="F13:F30">D13*E13</f>
        <v>100</v>
      </c>
    </row>
    <row r="14" spans="1:6" ht="12.75">
      <c r="A14" s="57" t="s">
        <v>32</v>
      </c>
      <c r="B14" s="57"/>
      <c r="C14" s="57"/>
      <c r="D14" s="9">
        <f>IF('A2-3'!C5&gt;0,1,0)</f>
        <v>1</v>
      </c>
      <c r="E14" s="30">
        <f>'A2-3'!C10</f>
        <v>66.15453839674574</v>
      </c>
      <c r="F14" s="30">
        <f t="shared" si="0"/>
        <v>66.15453839674574</v>
      </c>
    </row>
    <row r="15" spans="1:6" ht="12.75">
      <c r="A15" s="57" t="s">
        <v>33</v>
      </c>
      <c r="B15" s="57"/>
      <c r="C15" s="57"/>
      <c r="D15" s="9">
        <f>IF('A2-3'!C15&gt;0,0.5,0)</f>
        <v>0.5</v>
      </c>
      <c r="E15" s="30">
        <f>'A2-3'!C21</f>
        <v>100</v>
      </c>
      <c r="F15" s="30">
        <f t="shared" si="0"/>
        <v>50</v>
      </c>
    </row>
    <row r="16" spans="1:6" ht="12.75">
      <c r="A16" s="57" t="s">
        <v>34</v>
      </c>
      <c r="B16" s="57"/>
      <c r="C16" s="57"/>
      <c r="D16" s="9">
        <f>IF('A2-3'!D31&gt;0,2,0)</f>
        <v>2</v>
      </c>
      <c r="E16" s="30">
        <f>'A2-3'!D36</f>
        <v>72.30150946110807</v>
      </c>
      <c r="F16" s="30">
        <f t="shared" si="0"/>
        <v>144.60301892221614</v>
      </c>
    </row>
    <row r="17" spans="1:6" ht="12.75">
      <c r="A17" s="57" t="s">
        <v>35</v>
      </c>
      <c r="B17" s="57"/>
      <c r="C17" s="57"/>
      <c r="D17" s="9">
        <f>IF('A2-2'!E9&gt;0,5,0)</f>
        <v>5</v>
      </c>
      <c r="E17" s="30">
        <f>'A2-2'!D26</f>
        <v>83.03376011516683</v>
      </c>
      <c r="F17" s="30">
        <f t="shared" si="0"/>
        <v>415.16880057583415</v>
      </c>
    </row>
    <row r="18" spans="1:6" ht="12.75">
      <c r="A18" s="57" t="s">
        <v>36</v>
      </c>
      <c r="B18" s="57"/>
      <c r="C18" s="57"/>
      <c r="D18" s="9">
        <f>IF('A2-2'!D32&gt;0.1,5,0)</f>
        <v>0</v>
      </c>
      <c r="E18" s="30">
        <f>'A2-2'!D37</f>
        <v>100</v>
      </c>
      <c r="F18" s="30">
        <f t="shared" si="0"/>
        <v>0</v>
      </c>
    </row>
    <row r="19" spans="1:6" ht="12.75">
      <c r="A19" s="60" t="s">
        <v>135</v>
      </c>
      <c r="B19" s="61"/>
      <c r="C19" s="62"/>
      <c r="D19" s="9">
        <f>IF('A2-5'!C4&gt;0,1,0)</f>
        <v>1</v>
      </c>
      <c r="E19" s="41">
        <f>'A2-5'!D9</f>
        <v>92.32089370821589</v>
      </c>
      <c r="F19" s="30">
        <f t="shared" si="0"/>
        <v>92.32089370821589</v>
      </c>
    </row>
    <row r="20" spans="1:6" ht="12.75">
      <c r="A20" s="60" t="s">
        <v>136</v>
      </c>
      <c r="B20" s="61"/>
      <c r="C20" s="62"/>
      <c r="D20" s="9">
        <f>IF('A2-5'!C31&gt;0,0.5,0)</f>
        <v>0.5</v>
      </c>
      <c r="E20" s="41">
        <f>'A2-5'!D36</f>
        <v>16.318879754478626</v>
      </c>
      <c r="F20" s="30">
        <f t="shared" si="0"/>
        <v>8.159439877239313</v>
      </c>
    </row>
    <row r="21" spans="1:6" ht="12.75">
      <c r="A21" s="60" t="s">
        <v>137</v>
      </c>
      <c r="B21" s="61"/>
      <c r="C21" s="62"/>
      <c r="D21" s="9">
        <f>IF('A2-4'!C32&gt;0,1,0)</f>
        <v>1</v>
      </c>
      <c r="E21" s="41">
        <f>'A2-4'!D37</f>
        <v>92.29915389573763</v>
      </c>
      <c r="F21" s="30">
        <f t="shared" si="0"/>
        <v>92.29915389573763</v>
      </c>
    </row>
    <row r="22" spans="1:6" ht="12.75">
      <c r="A22" s="60" t="s">
        <v>138</v>
      </c>
      <c r="B22" s="61"/>
      <c r="C22" s="62"/>
      <c r="D22" s="9">
        <f>IF('A2-4'!C23&gt;0,2,0)</f>
        <v>2</v>
      </c>
      <c r="E22" s="41">
        <f>'A2-4'!D28</f>
        <v>70.96733503702798</v>
      </c>
      <c r="F22" s="30">
        <f t="shared" si="0"/>
        <v>141.93467007405596</v>
      </c>
    </row>
    <row r="23" spans="1:6" ht="12.75">
      <c r="A23" s="60" t="s">
        <v>139</v>
      </c>
      <c r="B23" s="61"/>
      <c r="C23" s="62"/>
      <c r="D23" s="9">
        <f>IF('A2-5'!C13&gt;0,2,0)</f>
        <v>2</v>
      </c>
      <c r="E23" s="41">
        <f>'A2-5'!D18</f>
        <v>93.39080919001304</v>
      </c>
      <c r="F23" s="30">
        <f t="shared" si="0"/>
        <v>186.7816183800261</v>
      </c>
    </row>
    <row r="24" spans="1:6" ht="12.75">
      <c r="A24" s="60" t="s">
        <v>140</v>
      </c>
      <c r="B24" s="61"/>
      <c r="C24" s="62"/>
      <c r="D24" s="9">
        <f>IF('A2-4'!C41&gt;0,2,0)</f>
        <v>2</v>
      </c>
      <c r="E24" s="41">
        <f>'A2-4'!D46</f>
        <v>100</v>
      </c>
      <c r="F24" s="30">
        <f t="shared" si="0"/>
        <v>200</v>
      </c>
    </row>
    <row r="25" spans="1:6" ht="12.75">
      <c r="A25" s="60" t="s">
        <v>141</v>
      </c>
      <c r="B25" s="61"/>
      <c r="C25" s="62"/>
      <c r="D25" s="9">
        <f>IF('A2-5'!C22&gt;0,2,0)</f>
        <v>2</v>
      </c>
      <c r="E25" s="41">
        <f>'A2-5'!D27</f>
        <v>16.318879754478626</v>
      </c>
      <c r="F25" s="30">
        <f t="shared" si="0"/>
        <v>32.63775950895725</v>
      </c>
    </row>
    <row r="26" spans="1:6" ht="12.75">
      <c r="A26" s="60" t="s">
        <v>142</v>
      </c>
      <c r="B26" s="61"/>
      <c r="C26" s="62"/>
      <c r="D26" s="9">
        <f>IF('A2-4'!C4&gt;0,1,0)</f>
        <v>1</v>
      </c>
      <c r="E26" s="41">
        <f>'A2-4'!D9</f>
        <v>100</v>
      </c>
      <c r="F26" s="30">
        <f t="shared" si="0"/>
        <v>100</v>
      </c>
    </row>
    <row r="27" spans="1:6" ht="12.75">
      <c r="A27" s="60" t="s">
        <v>143</v>
      </c>
      <c r="B27" s="61"/>
      <c r="C27" s="62"/>
      <c r="D27" s="9">
        <f>IF('A2-4'!C14&gt;0,0.5,0)</f>
        <v>0.5</v>
      </c>
      <c r="E27" s="41">
        <f>'A2-4'!D19</f>
        <v>95.4641733548765</v>
      </c>
      <c r="F27" s="30">
        <f t="shared" si="0"/>
        <v>47.73208667743825</v>
      </c>
    </row>
    <row r="28" spans="1:6" ht="12.75">
      <c r="A28" s="60" t="s">
        <v>130</v>
      </c>
      <c r="B28" s="61"/>
      <c r="C28" s="62"/>
      <c r="D28" s="9">
        <f>IF('A2-6'!C16&gt;0,3,0)</f>
        <v>3</v>
      </c>
      <c r="E28" s="41">
        <f>'A2-6'!D21</f>
        <v>20.5775</v>
      </c>
      <c r="F28" s="30">
        <f t="shared" si="0"/>
        <v>61.7325</v>
      </c>
    </row>
    <row r="29" spans="1:6" ht="12.75">
      <c r="A29" s="60" t="s">
        <v>144</v>
      </c>
      <c r="B29" s="61"/>
      <c r="C29" s="62"/>
      <c r="D29" s="9">
        <f>IF('A2-6'!C5&gt;0,4,0)</f>
        <v>4</v>
      </c>
      <c r="E29" s="41">
        <f>'A2-6'!D10</f>
        <v>40.88469981016269</v>
      </c>
      <c r="F29" s="30">
        <f t="shared" si="0"/>
        <v>163.53879924065075</v>
      </c>
    </row>
    <row r="30" spans="1:6" ht="12.75">
      <c r="A30" s="60" t="s">
        <v>145</v>
      </c>
      <c r="B30" s="61"/>
      <c r="C30" s="62"/>
      <c r="D30" s="9">
        <f>IF('A2-5'!C41&gt;0,3,0)</f>
        <v>3</v>
      </c>
      <c r="E30" s="41">
        <f>'A2-5'!D45</f>
        <v>63.136821518752924</v>
      </c>
      <c r="F30" s="30">
        <f t="shared" si="0"/>
        <v>189.41046455625877</v>
      </c>
    </row>
    <row r="31" spans="1:6" ht="12.75">
      <c r="A31" s="57" t="s">
        <v>38</v>
      </c>
      <c r="B31" s="57"/>
      <c r="C31" s="57"/>
      <c r="D31" s="9">
        <f>SUM(D13:D30)</f>
        <v>31.5</v>
      </c>
      <c r="E31" s="27"/>
      <c r="F31" s="30">
        <f>SUM(F13:F30)</f>
        <v>2092.473743813376</v>
      </c>
    </row>
    <row r="33" ht="13.5" thickBot="1"/>
    <row r="34" spans="2:4" ht="34.5" thickBot="1" thickTop="1">
      <c r="B34" s="18" t="s">
        <v>42</v>
      </c>
      <c r="C34" s="35">
        <f>F31/D31</f>
        <v>66.42773789883734</v>
      </c>
      <c r="D34" s="19">
        <f>F31/D31</f>
        <v>66.42773789883734</v>
      </c>
    </row>
    <row r="35" ht="13.5" thickTop="1">
      <c r="D35" s="11"/>
    </row>
    <row r="36" ht="13.5" thickBot="1"/>
    <row r="37" spans="2:4" ht="13.5" thickTop="1">
      <c r="B37" s="65" t="s">
        <v>43</v>
      </c>
      <c r="C37" s="66"/>
      <c r="D37" s="13" t="s">
        <v>48</v>
      </c>
    </row>
    <row r="38" spans="2:4" ht="12.75">
      <c r="B38" s="67" t="s">
        <v>44</v>
      </c>
      <c r="C38" s="68"/>
      <c r="D38" s="16" t="s">
        <v>49</v>
      </c>
    </row>
    <row r="39" spans="2:4" ht="12.75">
      <c r="B39" s="69" t="s">
        <v>45</v>
      </c>
      <c r="C39" s="70"/>
      <c r="D39" s="17" t="s">
        <v>50</v>
      </c>
    </row>
    <row r="40" spans="2:4" ht="12.75">
      <c r="B40" s="58" t="s">
        <v>46</v>
      </c>
      <c r="C40" s="59"/>
      <c r="D40" s="14" t="s">
        <v>51</v>
      </c>
    </row>
    <row r="41" spans="2:4" ht="13.5" thickBot="1">
      <c r="B41" s="63" t="s">
        <v>47</v>
      </c>
      <c r="C41" s="64"/>
      <c r="D41" s="15" t="s">
        <v>52</v>
      </c>
    </row>
    <row r="42" ht="13.5" thickTop="1"/>
  </sheetData>
  <mergeCells count="28">
    <mergeCell ref="A22:C22"/>
    <mergeCell ref="A23:C23"/>
    <mergeCell ref="A28:C28"/>
    <mergeCell ref="A30:C30"/>
    <mergeCell ref="A24:C24"/>
    <mergeCell ref="A25:C25"/>
    <mergeCell ref="A26:C26"/>
    <mergeCell ref="A27:C27"/>
    <mergeCell ref="A29:C29"/>
    <mergeCell ref="A3:F3"/>
    <mergeCell ref="A4:F4"/>
    <mergeCell ref="A12:C12"/>
    <mergeCell ref="A13:C13"/>
    <mergeCell ref="A8:F8"/>
    <mergeCell ref="B41:C41"/>
    <mergeCell ref="B37:C37"/>
    <mergeCell ref="B38:C38"/>
    <mergeCell ref="B39:C39"/>
    <mergeCell ref="A31:C31"/>
    <mergeCell ref="A14:C14"/>
    <mergeCell ref="A15:C15"/>
    <mergeCell ref="B40:C40"/>
    <mergeCell ref="A16:C16"/>
    <mergeCell ref="A17:C17"/>
    <mergeCell ref="A18:C18"/>
    <mergeCell ref="A19:C19"/>
    <mergeCell ref="A20:C20"/>
    <mergeCell ref="A21:C21"/>
  </mergeCells>
  <conditionalFormatting sqref="C34">
    <cfRule type="cellIs" priority="1" dxfId="1" operator="between" stopIfTrue="1">
      <formula>85</formula>
      <formula>100</formula>
    </cfRule>
    <cfRule type="cellIs" priority="2" dxfId="2" operator="between" stopIfTrue="1">
      <formula>70</formula>
      <formula>84</formula>
    </cfRule>
    <cfRule type="cellIs" priority="3" dxfId="3" operator="between" stopIfTrue="1">
      <formula>50</formula>
      <formula>69</formula>
    </cfRule>
  </conditionalFormatting>
  <conditionalFormatting sqref="D34">
    <cfRule type="cellIs" priority="4" dxfId="4" operator="between" stopIfTrue="1">
      <formula>30</formula>
      <formula>49</formula>
    </cfRule>
    <cfRule type="cellIs" priority="5" dxfId="5" operator="between" stopIfTrue="1">
      <formula>0</formula>
      <formula>29</formula>
    </cfRule>
  </conditionalFormatting>
  <printOptions horizontalCentered="1"/>
  <pageMargins left="0.6299212598425197" right="0.6299212598425197" top="0.984251968503937" bottom="0.984251968503937" header="0.11811023622047245" footer="0"/>
  <pageSetup horizontalDpi="360" verticalDpi="360" orientation="portrait" paperSize="9" r:id="rId1"/>
  <headerFooter alignWithMargins="0">
    <oddHeader>&amp;L&amp;8COMPONENTE 4 PROYECTO VLIR-ESPOL
&amp;R&amp;8CEMA-ESPOL</oddHeader>
    <oddFooter>&amp;L&amp;8INDICE AMBIENTAL&amp;C&amp;8DIAGNOSTICO AMBIENTAL
CUENCA DEL RIO CHAGUANA
HDA. AGRICOLA LETICIA&amp;R&amp;8A2-4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</dc:creator>
  <cp:keywords/>
  <dc:description/>
  <cp:lastModifiedBy> José Chang</cp:lastModifiedBy>
  <cp:lastPrinted>2003-04-11T13:55:18Z</cp:lastPrinted>
  <dcterms:created xsi:type="dcterms:W3CDTF">2003-03-14T19:02:31Z</dcterms:created>
  <dcterms:modified xsi:type="dcterms:W3CDTF">2003-05-15T21:59:44Z</dcterms:modified>
  <cp:category/>
  <cp:version/>
  <cp:contentType/>
  <cp:contentStatus/>
</cp:coreProperties>
</file>