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activeTab="0"/>
  </bookViews>
  <sheets>
    <sheet name="ICA" sheetId="1" r:id="rId1"/>
    <sheet name="Indices" sheetId="2" r:id="rId2"/>
  </sheets>
  <definedNames/>
  <calcPr fullCalcOnLoad="1"/>
</workbook>
</file>

<file path=xl/sharedStrings.xml><?xml version="1.0" encoding="utf-8"?>
<sst xmlns="http://schemas.openxmlformats.org/spreadsheetml/2006/main" count="152" uniqueCount="122">
  <si>
    <t>x&lt;6.7</t>
  </si>
  <si>
    <t>x&gt;7.3</t>
  </si>
  <si>
    <t>6.7&lt;=x&lt;=7.3</t>
  </si>
  <si>
    <t>valor del PH</t>
  </si>
  <si>
    <t>rango de Ph</t>
  </si>
  <si>
    <t>ph en formula</t>
  </si>
  <si>
    <t>unidades de color pt-co</t>
  </si>
  <si>
    <t>turbiedad en UTJ</t>
  </si>
  <si>
    <t>indice de turbiedad</t>
  </si>
  <si>
    <t>grasas y aceites</t>
  </si>
  <si>
    <t>indice de ph</t>
  </si>
  <si>
    <t>indice de grasas y aceites en mg/l</t>
  </si>
  <si>
    <t>indice de grasa y aceites</t>
  </si>
  <si>
    <t>indice de turbiedad en UTJ</t>
  </si>
  <si>
    <t>indice de color en escala pt-co</t>
  </si>
  <si>
    <t>indice de solidos suspendidos en mg/l</t>
  </si>
  <si>
    <t>solidos suspendidos</t>
  </si>
  <si>
    <t>indice de solidos sus</t>
  </si>
  <si>
    <t>indice de solidos disueltos en mg/l</t>
  </si>
  <si>
    <t>solidos disueltos</t>
  </si>
  <si>
    <t>indice de solidos disuel</t>
  </si>
  <si>
    <t>indice de conductividad electrica en umhos/cm</t>
  </si>
  <si>
    <t>conductividad electrica</t>
  </si>
  <si>
    <t xml:space="preserve">indice de conductividad </t>
  </si>
  <si>
    <t>indice de alcalinidad</t>
  </si>
  <si>
    <t>indice de alcalinidad en mg/l como en CaCo3</t>
  </si>
  <si>
    <t>alcalinidad</t>
  </si>
  <si>
    <t>indice de dureza total en mg/l como en CaCo3</t>
  </si>
  <si>
    <t>dureza total</t>
  </si>
  <si>
    <t>indice de dureza total</t>
  </si>
  <si>
    <t>indice de nitrogenos de nitratos en mg/l</t>
  </si>
  <si>
    <t>nitrogenos de nitrato</t>
  </si>
  <si>
    <t>indice de nitrogenos de ni</t>
  </si>
  <si>
    <t>indice de nitrogeno amodiacal en mg/l</t>
  </si>
  <si>
    <t>nitrogeno amodiacal</t>
  </si>
  <si>
    <t>indice de nitrogeno amodi</t>
  </si>
  <si>
    <t>indice de fosfatos totales en mg/l</t>
  </si>
  <si>
    <t>fosfatos totales</t>
  </si>
  <si>
    <t>indice de fosfatos totales</t>
  </si>
  <si>
    <t>indice de cloruros en mg/l</t>
  </si>
  <si>
    <t>cloruros</t>
  </si>
  <si>
    <t>indice de cloruros</t>
  </si>
  <si>
    <t>indice de oxigeno disuelto</t>
  </si>
  <si>
    <t>O disuelto en mg/l y tem-
peratura campo</t>
  </si>
  <si>
    <t>O disuelto en mg/l de saturacion</t>
  </si>
  <si>
    <t>indice de DBO en mg/l</t>
  </si>
  <si>
    <t>DBO</t>
  </si>
  <si>
    <t>indice de DBO</t>
  </si>
  <si>
    <t>indice de coliformes totales en NMP/100ml</t>
  </si>
  <si>
    <t>coliformes totales</t>
  </si>
  <si>
    <t xml:space="preserve">indice de coliformes totales </t>
  </si>
  <si>
    <t>indice de coliformes fecales en NMP/100ml</t>
  </si>
  <si>
    <t>coliformes fecales</t>
  </si>
  <si>
    <t xml:space="preserve">indice de coliformes fecales </t>
  </si>
  <si>
    <t>indice de sustancia activas al azul de metileno en mg/l</t>
  </si>
  <si>
    <t>sustancias activas</t>
  </si>
  <si>
    <t>indice de sustancias activas</t>
  </si>
  <si>
    <t>observaciones</t>
  </si>
  <si>
    <t>x&lt;2.018=100</t>
  </si>
  <si>
    <t xml:space="preserve">indice de color </t>
  </si>
  <si>
    <t>x&lt;1.54=100</t>
  </si>
  <si>
    <t>x&lt;0.633=100</t>
  </si>
  <si>
    <t>x&lt;14.144=100</t>
  </si>
  <si>
    <t>x&lt;520=100</t>
  </si>
  <si>
    <t>x&gt;6234=0</t>
  </si>
  <si>
    <t>x&lt;85.60=100</t>
  </si>
  <si>
    <t>x&lt;1.3=100</t>
  </si>
  <si>
    <t>x&gt;2500=0</t>
  </si>
  <si>
    <t>x&lt;4.097=100</t>
  </si>
  <si>
    <t>x&lt;0.11=100</t>
  </si>
  <si>
    <t>x&lt;0.0972=100</t>
  </si>
  <si>
    <t>x&lt;2.351=100</t>
  </si>
  <si>
    <t>x&lt;1.311=100</t>
  </si>
  <si>
    <t>x=0=100</t>
  </si>
  <si>
    <t>x&gt;6.384=0</t>
  </si>
  <si>
    <t>RESULTADOS</t>
  </si>
  <si>
    <t>PH</t>
  </si>
  <si>
    <t>SOLIDOS SUSPENDIDOS</t>
  </si>
  <si>
    <t>SOLIDOS DISUELTOS</t>
  </si>
  <si>
    <t>CONDUCTIVIDAD ELECTRICA</t>
  </si>
  <si>
    <t>OD</t>
  </si>
  <si>
    <t>DUREZ TOTAL</t>
  </si>
  <si>
    <t>CLORUROS</t>
  </si>
  <si>
    <t>ALCALINIDAD</t>
  </si>
  <si>
    <t>GRASAS Y ACEITES</t>
  </si>
  <si>
    <t>NITROGENO DE NITRATOS</t>
  </si>
  <si>
    <t>NITROGENO AMONIACAL</t>
  </si>
  <si>
    <t>FOSFATOS TOTALES</t>
  </si>
  <si>
    <t xml:space="preserve">COLOR </t>
  </si>
  <si>
    <t>TURBIEDAD</t>
  </si>
  <si>
    <t>SAAM</t>
  </si>
  <si>
    <t xml:space="preserve">COLIFORMES FECALES </t>
  </si>
  <si>
    <t>COLIFORMES TOTALES</t>
  </si>
  <si>
    <t>PESO TOTAL</t>
  </si>
  <si>
    <t>I*W</t>
  </si>
  <si>
    <t>T en grados C</t>
  </si>
  <si>
    <t>T en grados K</t>
  </si>
  <si>
    <t>ln(OD)=</t>
  </si>
  <si>
    <t>ICA</t>
  </si>
  <si>
    <t>ABASTECIMIENTO 
PUBLICO</t>
  </si>
  <si>
    <t>RECREACION</t>
  </si>
  <si>
    <t>PESCA Y VIDA
ACUATICA</t>
  </si>
  <si>
    <t>INDUSTRIAL Y 
AGRICOLA</t>
  </si>
  <si>
    <t>CRITERIO
 GENERAL</t>
  </si>
  <si>
    <t>OD=</t>
  </si>
  <si>
    <t>Peso 
General</t>
  </si>
  <si>
    <t>Indicadores
considerados</t>
  </si>
  <si>
    <t>Ingrese los valores obtenidos de sus muestras en las casilla  de color celeste</t>
  </si>
  <si>
    <t>Tabla de Datos Tabulados y Calculo del ICA</t>
  </si>
  <si>
    <t>TABLA DE ANALISIS DE EL INDICE DE CALIDAD DE AGUA OBTENIDO</t>
  </si>
  <si>
    <t>ICA GLOBAL  =</t>
  </si>
  <si>
    <t xml:space="preserve">Parametros Totales </t>
  </si>
  <si>
    <t>Indicadores</t>
  </si>
  <si>
    <t>OXIGENO
DISUELTO</t>
  </si>
  <si>
    <t>Indicadores
Utilizados</t>
  </si>
  <si>
    <t>ICA de 
Parametros</t>
  </si>
  <si>
    <t>ICA GENERAL  =</t>
  </si>
  <si>
    <t>Introduzca los datos en la columna celeste y obtendra:
El ICA general y 
el analisis en la tabla.</t>
  </si>
  <si>
    <t>Introduzca 
Datos</t>
  </si>
  <si>
    <t>Peso de Cada
Parametro</t>
  </si>
  <si>
    <t>Ica de 
Indicadores</t>
  </si>
  <si>
    <t>temperatura para OD saturado c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</si>
</sst>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0000"/>
    <numFmt numFmtId="200" formatCode="0.00000E+00"/>
    <numFmt numFmtId="201" formatCode="0.000000E+00"/>
    <numFmt numFmtId="202" formatCode="0.0000E+00"/>
    <numFmt numFmtId="203" formatCode="0.000E+00"/>
    <numFmt numFmtId="204" formatCode="0.0E+00"/>
    <numFmt numFmtId="205" formatCode="d\-m"/>
  </numFmts>
  <fonts count="1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2" borderId="1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200" fontId="0" fillId="0" borderId="0" xfId="0" applyNumberForma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97" fontId="0" fillId="0" borderId="11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7" borderId="0" xfId="0" applyFill="1" applyAlignment="1">
      <alignment/>
    </xf>
    <xf numFmtId="0" fontId="0" fillId="7" borderId="2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8" fillId="8" borderId="0" xfId="0" applyFont="1" applyFill="1" applyAlignment="1">
      <alignment/>
    </xf>
    <xf numFmtId="0" fontId="0" fillId="8" borderId="0" xfId="0" applyFill="1" applyAlignment="1">
      <alignment/>
    </xf>
    <xf numFmtId="1" fontId="0" fillId="8" borderId="0" xfId="0" applyNumberFormat="1" applyFill="1" applyAlignment="1">
      <alignment/>
    </xf>
    <xf numFmtId="0" fontId="0" fillId="0" borderId="0" xfId="0" applyFill="1" applyAlignment="1">
      <alignment/>
    </xf>
    <xf numFmtId="0" fontId="9" fillId="7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" fontId="9" fillId="7" borderId="0" xfId="0" applyNumberFormat="1" applyFont="1" applyFill="1" applyAlignment="1">
      <alignment/>
    </xf>
    <xf numFmtId="0" fontId="0" fillId="7" borderId="5" xfId="0" applyFill="1" applyBorder="1" applyAlignment="1">
      <alignment horizontal="center" vertical="center" wrapText="1"/>
    </xf>
    <xf numFmtId="197" fontId="0" fillId="0" borderId="10" xfId="0" applyNumberFormat="1" applyBorder="1" applyAlignment="1">
      <alignment/>
    </xf>
    <xf numFmtId="197" fontId="0" fillId="0" borderId="9" xfId="0" applyNumberFormat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7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7" borderId="0" xfId="0" applyFont="1" applyFill="1" applyAlignment="1">
      <alignment horizontal="center" wrapText="1"/>
    </xf>
    <xf numFmtId="0" fontId="8" fillId="7" borderId="0" xfId="0" applyFont="1" applyFill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5" fontId="4" fillId="0" borderId="36" xfId="0" applyNumberFormat="1" applyFont="1" applyBorder="1" applyAlignment="1">
      <alignment horizontal="center"/>
    </xf>
    <xf numFmtId="205" fontId="4" fillId="0" borderId="11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29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zoomScale="75" zoomScaleNormal="75" workbookViewId="0" topLeftCell="A1">
      <selection activeCell="F27" sqref="F27"/>
    </sheetView>
  </sheetViews>
  <sheetFormatPr defaultColWidth="11.421875" defaultRowHeight="12.75"/>
  <cols>
    <col min="5" max="5" width="14.7109375" style="0" customWidth="1"/>
    <col min="10" max="10" width="6.8515625" style="0" customWidth="1"/>
    <col min="11" max="11" width="6.7109375" style="0" customWidth="1"/>
    <col min="12" max="12" width="17.00390625" style="0" customWidth="1"/>
    <col min="13" max="13" width="18.421875" style="0" customWidth="1"/>
    <col min="14" max="15" width="14.421875" style="0" customWidth="1"/>
    <col min="16" max="16" width="14.140625" style="0" customWidth="1"/>
  </cols>
  <sheetData>
    <row r="2" spans="2:12" ht="42.75" customHeight="1">
      <c r="B2" s="103" t="s">
        <v>117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4" ht="13.5" thickBot="1"/>
    <row r="5" spans="11:16" ht="13.5" thickBot="1">
      <c r="K5" s="100" t="s">
        <v>109</v>
      </c>
      <c r="L5" s="101"/>
      <c r="M5" s="101"/>
      <c r="N5" s="101"/>
      <c r="O5" s="101"/>
      <c r="P5" s="102"/>
    </row>
    <row r="6" spans="2:16" ht="37.5" customHeight="1" thickBot="1">
      <c r="B6" s="111" t="s">
        <v>111</v>
      </c>
      <c r="C6" s="112"/>
      <c r="D6" s="113"/>
      <c r="E6" s="91" t="s">
        <v>119</v>
      </c>
      <c r="F6" s="94" t="s">
        <v>118</v>
      </c>
      <c r="G6" s="91" t="s">
        <v>114</v>
      </c>
      <c r="H6" s="64" t="s">
        <v>115</v>
      </c>
      <c r="I6" s="92" t="s">
        <v>120</v>
      </c>
      <c r="K6" s="27" t="s">
        <v>98</v>
      </c>
      <c r="L6" s="28" t="s">
        <v>103</v>
      </c>
      <c r="M6" s="29" t="s">
        <v>99</v>
      </c>
      <c r="N6" s="30" t="s">
        <v>100</v>
      </c>
      <c r="O6" s="29" t="s">
        <v>101</v>
      </c>
      <c r="P6" s="31" t="s">
        <v>102</v>
      </c>
    </row>
    <row r="7" spans="2:16" ht="12.75">
      <c r="B7" s="105" t="s">
        <v>76</v>
      </c>
      <c r="C7" s="106"/>
      <c r="D7" s="106"/>
      <c r="E7" s="80">
        <v>1</v>
      </c>
      <c r="F7" s="85">
        <v>8.1</v>
      </c>
      <c r="G7" s="95">
        <f>Indices!L8</f>
        <v>1</v>
      </c>
      <c r="H7" s="24">
        <f>IF(F7="","",Indices!K8)</f>
        <v>70.25868224350984</v>
      </c>
      <c r="I7" s="86">
        <f>IF(F7="","",H7*G7)</f>
        <v>70.25868224350984</v>
      </c>
      <c r="K7" s="8">
        <v>100</v>
      </c>
      <c r="L7" s="46" t="str">
        <f>IF(G29&gt;=80,"NO","")</f>
        <v>NO</v>
      </c>
      <c r="M7" s="49" t="str">
        <f>IF(G29&gt;85,"NO REQUIERE","")</f>
        <v>NO REQUIERE</v>
      </c>
      <c r="N7" s="8"/>
      <c r="O7" s="8" t="str">
        <f>IF(G29&gt;=70,"ACEPTABLE","")</f>
        <v>ACEPTABLE</v>
      </c>
      <c r="P7" s="8" t="str">
        <f>IF(G29&gt;=90,"NO","")</f>
        <v>NO</v>
      </c>
    </row>
    <row r="8" spans="2:16" ht="12.75">
      <c r="B8" s="107" t="s">
        <v>77</v>
      </c>
      <c r="C8" s="108"/>
      <c r="D8" s="108"/>
      <c r="E8" s="81">
        <v>1</v>
      </c>
      <c r="F8" s="87">
        <v>19</v>
      </c>
      <c r="G8" s="96">
        <f>Indices!L9</f>
        <v>1</v>
      </c>
      <c r="H8" s="22">
        <f>IF(F8="","",Indices!K9)</f>
        <v>89.65166941178683</v>
      </c>
      <c r="I8" s="88">
        <f>IF(F8="","",H8*G8)</f>
        <v>89.65166941178683</v>
      </c>
      <c r="K8" s="9"/>
      <c r="L8" s="44" t="str">
        <f>IF(G29&gt;=80,"CONTAMINADO","")</f>
        <v>CONTAMINADO</v>
      </c>
      <c r="M8" s="50" t="str">
        <f>IF(G29&gt;=85,"PURIFICACION","")</f>
        <v>PURIFICACION</v>
      </c>
      <c r="N8" s="9" t="str">
        <f>IF(G29&gt;=70,"ACEPTABLE","")</f>
        <v>ACEPTABLE</v>
      </c>
      <c r="O8" s="9" t="str">
        <f>IF(G29&gt;=70,"PARA TODO","")</f>
        <v>PARA TODO</v>
      </c>
      <c r="P8" s="9" t="str">
        <f>IF(G29&gt;=90,"REQUIERE","")</f>
        <v>REQUIERE</v>
      </c>
    </row>
    <row r="9" spans="2:16" ht="13.5" thickBot="1">
      <c r="B9" s="107" t="s">
        <v>78</v>
      </c>
      <c r="C9" s="108"/>
      <c r="D9" s="108"/>
      <c r="E9" s="81">
        <v>0.5</v>
      </c>
      <c r="F9" s="87">
        <v>30960</v>
      </c>
      <c r="G9" s="96">
        <f>Indices!L10</f>
        <v>0.5</v>
      </c>
      <c r="H9" s="22">
        <f>IF(F9="","",Indices!K10)</f>
        <v>0</v>
      </c>
      <c r="I9" s="88">
        <f>IF(F9="","",H9*G9)</f>
        <v>0</v>
      </c>
      <c r="K9" s="9">
        <v>90</v>
      </c>
      <c r="L9" s="44"/>
      <c r="M9" s="10"/>
      <c r="N9" s="9" t="str">
        <f>IF(G29&gt;=70,"PARA ","")</f>
        <v>PARA </v>
      </c>
      <c r="O9" s="9" t="str">
        <f>IF(G29&gt;=70,"ORGANISMOS","")</f>
        <v>ORGANISMOS</v>
      </c>
      <c r="P9" s="10" t="str">
        <f>IF(G29&gt;=90,"PURIFICACION","")</f>
        <v>PURIFICACION</v>
      </c>
    </row>
    <row r="10" spans="2:16" ht="13.5" thickBot="1">
      <c r="B10" s="118" t="s">
        <v>79</v>
      </c>
      <c r="C10" s="119"/>
      <c r="D10" s="119"/>
      <c r="E10" s="82">
        <v>2</v>
      </c>
      <c r="F10" s="87"/>
      <c r="G10" s="96">
        <f>Indices!L11</f>
      </c>
      <c r="H10" s="22">
        <f>IF(F10="","",Indices!K11)</f>
      </c>
      <c r="I10" s="88">
        <f>IF(F10="","",H10*G10)</f>
      </c>
      <c r="K10" s="9"/>
      <c r="L10" s="45"/>
      <c r="M10" s="49">
        <f>IF(G29&lt;85,IF(G29&gt;=80,"LIGERA",""),"")</f>
      </c>
      <c r="N10" s="9" t="str">
        <f>IF(G29&gt;=70,"CUALQUIER ","")</f>
        <v>CUALQUIER </v>
      </c>
      <c r="P10" s="8">
        <f>IF(G29&lt;90,IF(G29&gt;=70,"LIGERA",""),"")</f>
      </c>
    </row>
    <row r="11" spans="1:16" ht="12.75" customHeight="1" thickBot="1">
      <c r="A11" s="97" t="s">
        <v>113</v>
      </c>
      <c r="B11" s="105" t="s">
        <v>80</v>
      </c>
      <c r="C11" s="106"/>
      <c r="D11" s="106"/>
      <c r="E11" s="80">
        <v>5</v>
      </c>
      <c r="F11" s="87"/>
      <c r="G11" s="96">
        <f>Indices!L12</f>
      </c>
      <c r="H11" s="22">
        <f>IF(F11="","",Indices!K12)</f>
      </c>
      <c r="I11" s="88">
        <f>IF(F11="","",H11*G11)</f>
      </c>
      <c r="K11" s="9">
        <v>80</v>
      </c>
      <c r="L11" s="41">
        <f>IF(G29&lt;80,IF(G29&gt;=70,"ACEPTABLE",""),"")</f>
      </c>
      <c r="M11" s="51">
        <f>IF(G29&lt;85,IF(G29&gt;=80,"PURIFICACION",""),"")</f>
      </c>
      <c r="N11" s="9" t="str">
        <f>IF(G29&gt;=70,"DEPORTE","")</f>
        <v>DEPORTE</v>
      </c>
      <c r="O11" s="9"/>
      <c r="P11" s="9" t="b">
        <f>IF(G29&lt;90,IF(G29&gt;=70,"PURIFICACION",""))</f>
        <v>0</v>
      </c>
    </row>
    <row r="12" spans="1:16" ht="13.5" thickBot="1">
      <c r="A12" s="98"/>
      <c r="B12" s="114" t="s">
        <v>121</v>
      </c>
      <c r="C12" s="115"/>
      <c r="D12" s="115"/>
      <c r="E12" s="83"/>
      <c r="F12" s="87"/>
      <c r="G12" s="96"/>
      <c r="H12" s="22"/>
      <c r="I12" s="88"/>
      <c r="K12" s="9"/>
      <c r="L12" s="42"/>
      <c r="M12" s="8"/>
      <c r="N12" s="9"/>
      <c r="O12" s="9"/>
      <c r="P12" s="9">
        <f>IF(G29&lt;90,IF(G29&gt;=70,"EN CIERTOS",""),"")</f>
      </c>
    </row>
    <row r="13" spans="2:16" ht="13.5" thickBot="1">
      <c r="B13" s="116" t="s">
        <v>46</v>
      </c>
      <c r="C13" s="117"/>
      <c r="D13" s="117"/>
      <c r="E13" s="84">
        <v>5</v>
      </c>
      <c r="F13" s="87">
        <v>2.99</v>
      </c>
      <c r="G13" s="96">
        <f>Indices!L13</f>
        <v>5</v>
      </c>
      <c r="H13" s="22">
        <f>IF(F13="","",Indices!K13)</f>
        <v>57.41885611123767</v>
      </c>
      <c r="I13" s="88">
        <f>IF(F13="","",H13*G13)</f>
        <v>287.0942805561884</v>
      </c>
      <c r="K13" s="9">
        <v>70</v>
      </c>
      <c r="L13" s="43"/>
      <c r="M13" s="9">
        <f>IF(G29&lt;80,IF(G29&gt;=50,"MAYOR",""),"")</f>
      </c>
      <c r="N13" s="10"/>
      <c r="O13" s="10"/>
      <c r="P13" s="10" t="b">
        <f>IF(G29&lt;90,IF(G29&gt;=70,"PROCESOS",""))</f>
        <v>0</v>
      </c>
    </row>
    <row r="14" spans="2:16" ht="12.75">
      <c r="B14" s="107" t="s">
        <v>81</v>
      </c>
      <c r="C14" s="108"/>
      <c r="D14" s="108"/>
      <c r="E14" s="81">
        <v>1</v>
      </c>
      <c r="F14" s="87"/>
      <c r="G14" s="96">
        <f>Indices!L14</f>
      </c>
      <c r="H14" s="22">
        <f>IF(F14="","",Indices!K14)</f>
      </c>
      <c r="I14" s="88">
        <f aca="true" t="shared" si="0" ref="I14:I25">IF(F14="","",H14*G14)</f>
      </c>
      <c r="K14" s="9"/>
      <c r="L14" s="38"/>
      <c r="M14" s="9">
        <f>IF(G29&lt;80,IF(G29&gt;=50,"NECESIDAD DE",""),"")</f>
      </c>
      <c r="N14" s="8"/>
      <c r="O14" s="8">
        <f>IF(G29&lt;70,IF(G29&gt;=60,"EXCEPTO",""),"")</f>
      </c>
      <c r="P14" s="8">
        <f>IF(G29&lt;70,IF(G29&gt;=50,"SIN",""),"")</f>
      </c>
    </row>
    <row r="15" spans="2:16" ht="13.5" thickBot="1">
      <c r="B15" s="107" t="s">
        <v>82</v>
      </c>
      <c r="C15" s="108"/>
      <c r="D15" s="108"/>
      <c r="E15" s="81">
        <v>0.5</v>
      </c>
      <c r="F15" s="87"/>
      <c r="G15" s="96">
        <f>Indices!L15</f>
      </c>
      <c r="H15" s="22">
        <f>IF(F15="","",Indices!K15)</f>
      </c>
      <c r="I15" s="88">
        <f t="shared" si="0"/>
      </c>
      <c r="K15" s="9">
        <v>60</v>
      </c>
      <c r="L15" s="47">
        <f>IF(G29&lt;70,IF(G29&gt;=50,"POCO",""),"")</f>
      </c>
      <c r="M15" s="9">
        <f>IF(G29&lt;80,IF(G29&gt;=50,"TRATAMIENTO",""),"")</f>
      </c>
      <c r="N15" s="9">
        <f>IF(G29&lt;70,IF(G29&gt;=50,"ACEPTABLE",""),"")</f>
      </c>
      <c r="O15" s="10">
        <f>IF(G29&lt;70,IF(G29&gt;=60,"ESPECIES",""),"")</f>
      </c>
      <c r="P15" s="9">
        <f>IF(G29&lt;70,IF(G29&gt;=50,"TRATAMIENTO",""),"")</f>
      </c>
    </row>
    <row r="16" spans="2:16" ht="12.75">
      <c r="B16" s="107" t="s">
        <v>83</v>
      </c>
      <c r="C16" s="108"/>
      <c r="D16" s="108"/>
      <c r="E16" s="81">
        <v>1</v>
      </c>
      <c r="F16" s="87"/>
      <c r="G16" s="96">
        <f>Indices!L16</f>
      </c>
      <c r="H16" s="22">
        <f>IF(F16="","",Indices!K16)</f>
      </c>
      <c r="I16" s="88">
        <f t="shared" si="0"/>
      </c>
      <c r="K16" s="9"/>
      <c r="L16" s="39">
        <f>IF(G29&lt;70,IF(G29&gt;=50,"CONTAMINADO",""),"")</f>
      </c>
      <c r="M16" s="9"/>
      <c r="N16" s="9">
        <f>IF(G29&lt;70,IF(G29&gt;=50,"NO",""),"")</f>
      </c>
      <c r="O16" s="8">
        <f>IF(G29&lt;60,IF(G29&gt;=50,"DUDOSO PARA",""),"")</f>
      </c>
      <c r="P16" s="9">
        <f>IF(G29&lt;70,IF(G29&gt;=50,"INDUSTRIA",""),"")</f>
      </c>
    </row>
    <row r="17" spans="2:16" ht="13.5" thickBot="1">
      <c r="B17" s="107" t="s">
        <v>84</v>
      </c>
      <c r="C17" s="108"/>
      <c r="D17" s="108"/>
      <c r="E17" s="81">
        <v>2</v>
      </c>
      <c r="F17" s="87">
        <v>0.199</v>
      </c>
      <c r="G17" s="96">
        <f>Indices!L17</f>
        <v>2</v>
      </c>
      <c r="H17" s="22">
        <f>IF(F17="","",Indices!K17)</f>
        <v>100</v>
      </c>
      <c r="I17" s="88">
        <f t="shared" si="0"/>
        <v>200</v>
      </c>
      <c r="K17" s="9">
        <v>50</v>
      </c>
      <c r="L17" s="40"/>
      <c r="M17" s="10"/>
      <c r="N17" s="10">
        <f>IF(G29&lt;70,IF(G29&gt;=50,"RECOMENDABLE",""),"")</f>
      </c>
      <c r="O17" s="10">
        <f>IF(G29&lt;60,IF(G29&gt;=50,"ESPECIES",""),"")</f>
      </c>
      <c r="P17" s="10">
        <f>IF(G29&lt;70,IF(G29&gt;=50,"NORMAL",""),"")</f>
      </c>
    </row>
    <row r="18" spans="2:16" ht="12.75">
      <c r="B18" s="107" t="s">
        <v>85</v>
      </c>
      <c r="C18" s="108"/>
      <c r="D18" s="108"/>
      <c r="E18" s="81">
        <v>2</v>
      </c>
      <c r="F18" s="87"/>
      <c r="G18" s="96">
        <f>Indices!L18</f>
      </c>
      <c r="H18" s="22">
        <f>IF(F18="","",Indices!K18)</f>
      </c>
      <c r="I18" s="88">
        <f t="shared" si="0"/>
      </c>
      <c r="K18" s="9"/>
      <c r="L18" s="35"/>
      <c r="M18" s="8">
        <f>IF(G29&lt;50,IF(G29&gt;=40,"DUDOSO",""),"")</f>
      </c>
      <c r="N18" s="52">
        <f>IF(G29&lt;50,IF(G29&gt;=40,"DUDOSO AL",""),"")</f>
      </c>
      <c r="O18" s="8">
        <f>IF(G29&lt;50,IF(G29&gt;=30,"SOLO",""),"")</f>
      </c>
      <c r="P18" s="8">
        <f>IF(G29&lt;50,IF(G29&gt;=30,"TRATAMIENTO",""),"")</f>
      </c>
    </row>
    <row r="19" spans="2:16" ht="13.5" thickBot="1">
      <c r="B19" s="107" t="s">
        <v>86</v>
      </c>
      <c r="C19" s="108"/>
      <c r="D19" s="108"/>
      <c r="E19" s="81">
        <v>2</v>
      </c>
      <c r="F19" s="87"/>
      <c r="G19" s="96">
        <f>Indices!L19</f>
      </c>
      <c r="H19" s="22">
        <f>IF(F19="","",Indices!K19)</f>
      </c>
      <c r="I19" s="88">
        <f t="shared" si="0"/>
      </c>
      <c r="K19" s="9">
        <v>40</v>
      </c>
      <c r="L19" s="36"/>
      <c r="M19" s="10"/>
      <c r="N19" s="52">
        <f>IF(G29&lt;50,IF(G29&gt;=40,"CONTACTO",""),"")</f>
      </c>
      <c r="O19" s="9">
        <f>IF(G29&lt;50,IF(G29&gt;=30,"ORGANISMOS",""),"")</f>
      </c>
      <c r="P19" s="9">
        <f>IF(G29&lt;50,IF(G29&gt;=30,"EN LA MAYOR",""),"")</f>
      </c>
    </row>
    <row r="20" spans="2:16" ht="12.75">
      <c r="B20" s="107" t="s">
        <v>87</v>
      </c>
      <c r="C20" s="108"/>
      <c r="D20" s="108"/>
      <c r="E20" s="81">
        <v>2</v>
      </c>
      <c r="F20" s="87"/>
      <c r="G20" s="96">
        <f>Indices!L20</f>
      </c>
      <c r="H20" s="22">
        <f>IF(F20="","",Indices!K20)</f>
      </c>
      <c r="I20" s="88">
        <f t="shared" si="0"/>
      </c>
      <c r="K20" s="9"/>
      <c r="L20" s="36">
        <f>IF(G29&lt;50,IF(G29&gt;=30,"CONTAMINADO",""),"")</f>
      </c>
      <c r="M20" s="8"/>
      <c r="N20" s="8">
        <f>IF(G29&lt;40,IF(G29&gt;=30,"SIN_CONTACTO",""),"")</f>
      </c>
      <c r="O20" s="9">
        <f>IF(G29&lt;50,IF(G29&gt;=30,"MUY",""),"")</f>
      </c>
      <c r="P20" s="9">
        <f>IF(G29&lt;50,IF(G29&gt;=30,"PARTE DE",""),"")</f>
      </c>
    </row>
    <row r="21" spans="2:16" ht="13.5" thickBot="1">
      <c r="B21" s="107" t="s">
        <v>88</v>
      </c>
      <c r="C21" s="108"/>
      <c r="D21" s="108"/>
      <c r="E21" s="81">
        <v>1</v>
      </c>
      <c r="F21" s="87"/>
      <c r="G21" s="96">
        <f>Indices!L21</f>
      </c>
      <c r="H21" s="22">
        <f>IF(F21="","",Indices!K21)</f>
      </c>
      <c r="I21" s="88">
        <f t="shared" si="0"/>
      </c>
      <c r="K21" s="9">
        <v>30</v>
      </c>
      <c r="L21" s="37"/>
      <c r="M21" s="9">
        <f>IF(G29&lt;40,"NO","")</f>
      </c>
      <c r="N21" s="10">
        <f>IF(G29&lt;40,IF(G29&gt;=30,"AL AGUA",""),"")</f>
      </c>
      <c r="O21" s="10">
        <f>IF(G29&lt;50,IF(G29&gt;=30,"RESISTENTES",""),"")</f>
      </c>
      <c r="P21" s="10">
        <f>IF(G29&lt;50,IF(G29&gt;=30,"INDUSTRIA",""),"")</f>
      </c>
    </row>
    <row r="22" spans="2:16" ht="12.75">
      <c r="B22" s="107" t="s">
        <v>89</v>
      </c>
      <c r="C22" s="108"/>
      <c r="D22" s="108"/>
      <c r="E22" s="81">
        <v>0.5</v>
      </c>
      <c r="F22" s="87"/>
      <c r="G22" s="96">
        <f>Indices!L22</f>
      </c>
      <c r="H22" s="22">
        <f>IF(F22="","",Indices!K22)</f>
      </c>
      <c r="I22" s="88">
        <f t="shared" si="0"/>
      </c>
      <c r="K22" s="9"/>
      <c r="L22" s="32"/>
      <c r="M22" s="9">
        <f>IF(G29&lt;40,"ACEPTABLE","")</f>
      </c>
      <c r="N22" s="8">
        <f>IF(G29&lt;30,IF(G29&gt;=20,"SEÑAL DE",""),"")</f>
      </c>
      <c r="O22" s="8"/>
      <c r="P22" s="8">
        <f>IF(G29&lt;30,IF(G29&gt;=20,"USO MUY",""),"")</f>
      </c>
    </row>
    <row r="23" spans="2:16" ht="13.5" thickBot="1">
      <c r="B23" s="107" t="s">
        <v>90</v>
      </c>
      <c r="C23" s="108"/>
      <c r="D23" s="108"/>
      <c r="E23" s="81">
        <v>3</v>
      </c>
      <c r="F23" s="87"/>
      <c r="G23" s="96">
        <f>Indices!L23</f>
      </c>
      <c r="H23" s="22">
        <f>IF(F23="","",Indices!K23)</f>
      </c>
      <c r="I23" s="88">
        <f t="shared" si="0"/>
      </c>
      <c r="K23" s="9">
        <v>20</v>
      </c>
      <c r="L23" s="48">
        <f>IF(G29&lt;30,"ALTAMENTE","")</f>
      </c>
      <c r="M23" s="9"/>
      <c r="N23" s="10">
        <f>IF(G29&lt;30,IF(G29&gt;=20,"CONTAMINACION",""),"")</f>
      </c>
      <c r="O23" s="9">
        <f>IF(G29&lt;30,"NO","")</f>
      </c>
      <c r="P23" s="10">
        <f>IF(G29&lt;30,IF(G29&gt;=20,"RESTRINGIDO",""),"")</f>
      </c>
    </row>
    <row r="24" spans="2:16" ht="12.75">
      <c r="B24" s="107" t="s">
        <v>91</v>
      </c>
      <c r="C24" s="108"/>
      <c r="D24" s="108"/>
      <c r="E24" s="81">
        <v>4</v>
      </c>
      <c r="F24" s="87">
        <v>29</v>
      </c>
      <c r="G24" s="96">
        <f>Indices!L24</f>
        <v>4</v>
      </c>
      <c r="H24" s="22">
        <f>IF(F24="","",Indices!K24)</f>
        <v>196.39352291752766</v>
      </c>
      <c r="I24" s="88">
        <f t="shared" si="0"/>
        <v>785.5740916701106</v>
      </c>
      <c r="K24" s="9"/>
      <c r="L24" s="48">
        <f>IF(G29&lt;30,"CONTAMINADO","")</f>
      </c>
      <c r="M24" s="9"/>
      <c r="N24" s="8">
        <f>IF(G29&lt;20,"NO","")</f>
      </c>
      <c r="O24" s="9">
        <f>IF(G29&lt;30,"ACEPTABLE","")</f>
      </c>
      <c r="P24" s="21"/>
    </row>
    <row r="25" spans="2:16" ht="13.5" thickBot="1">
      <c r="B25" s="107" t="s">
        <v>92</v>
      </c>
      <c r="C25" s="108"/>
      <c r="D25" s="108"/>
      <c r="E25" s="81">
        <v>3</v>
      </c>
      <c r="F25" s="89">
        <v>29</v>
      </c>
      <c r="G25" s="65">
        <f>Indices!L25</f>
        <v>3</v>
      </c>
      <c r="H25" s="25">
        <f>IF(F25="","",Indices!K25)</f>
        <v>39.27870458350554</v>
      </c>
      <c r="I25" s="90">
        <f t="shared" si="0"/>
        <v>117.8361137505166</v>
      </c>
      <c r="K25" s="9">
        <v>10</v>
      </c>
      <c r="L25" s="33"/>
      <c r="M25" s="9"/>
      <c r="N25" s="9">
        <f>IF(G29&lt;20,"ACEPTABLE","")</f>
      </c>
      <c r="O25" s="9"/>
      <c r="P25" s="21">
        <f>IF(G29&lt;20,"NO","")</f>
      </c>
    </row>
    <row r="26" spans="2:16" ht="13.5" thickBot="1">
      <c r="B26" s="109" t="s">
        <v>93</v>
      </c>
      <c r="C26" s="110"/>
      <c r="D26" s="110"/>
      <c r="E26" s="83">
        <f>SUM(E7:E25)</f>
        <v>36.5</v>
      </c>
      <c r="F26" s="5"/>
      <c r="G26" s="16">
        <f>SUM(G7:G25)</f>
        <v>16.5</v>
      </c>
      <c r="H26" s="16">
        <f>SUM(H7:H25)</f>
        <v>553.0014352675676</v>
      </c>
      <c r="I26" s="23">
        <f>SUM(I7:I25)</f>
        <v>1550.4148376321123</v>
      </c>
      <c r="K26" s="10"/>
      <c r="L26" s="34"/>
      <c r="M26" s="10"/>
      <c r="N26" s="10"/>
      <c r="O26" s="10"/>
      <c r="P26" s="26">
        <f>IF(G29&lt;20,"ACEPTABLE","")</f>
      </c>
    </row>
    <row r="29" spans="5:7" ht="18">
      <c r="E29" s="99" t="s">
        <v>116</v>
      </c>
      <c r="F29" s="99"/>
      <c r="G29" s="93">
        <f>I26/G26</f>
        <v>93.96453561406742</v>
      </c>
    </row>
  </sheetData>
  <mergeCells count="25">
    <mergeCell ref="B7:D7"/>
    <mergeCell ref="B8:D8"/>
    <mergeCell ref="B9:D9"/>
    <mergeCell ref="B10:D10"/>
    <mergeCell ref="B12:D12"/>
    <mergeCell ref="B13:D13"/>
    <mergeCell ref="B14:D14"/>
    <mergeCell ref="B15:D15"/>
    <mergeCell ref="B21:D21"/>
    <mergeCell ref="B22:D22"/>
    <mergeCell ref="B23:D23"/>
    <mergeCell ref="B16:D16"/>
    <mergeCell ref="B17:D17"/>
    <mergeCell ref="B18:D18"/>
    <mergeCell ref="B19:D19"/>
    <mergeCell ref="A11:A12"/>
    <mergeCell ref="E29:F29"/>
    <mergeCell ref="K5:P5"/>
    <mergeCell ref="B2:L2"/>
    <mergeCell ref="B11:D11"/>
    <mergeCell ref="B24:D24"/>
    <mergeCell ref="B25:D25"/>
    <mergeCell ref="B26:D26"/>
    <mergeCell ref="B6:D6"/>
    <mergeCell ref="B20:D20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T97"/>
  <sheetViews>
    <sheetView zoomScale="75" zoomScaleNormal="75" workbookViewId="0" topLeftCell="A49">
      <selection activeCell="A95" sqref="A95:D95"/>
    </sheetView>
  </sheetViews>
  <sheetFormatPr defaultColWidth="11.421875" defaultRowHeight="12.75"/>
  <cols>
    <col min="1" max="1" width="24.28125" style="0" customWidth="1"/>
    <col min="2" max="2" width="13.140625" style="0" customWidth="1"/>
    <col min="5" max="5" width="12.8515625" style="0" customWidth="1"/>
    <col min="6" max="6" width="6.00390625" style="0" customWidth="1"/>
    <col min="7" max="7" width="12.7109375" style="0" customWidth="1"/>
    <col min="8" max="8" width="21.7109375" style="0" customWidth="1"/>
    <col min="9" max="9" width="3.7109375" style="0" hidden="1" customWidth="1"/>
    <col min="10" max="10" width="8.8515625" style="0" customWidth="1"/>
    <col min="11" max="11" width="10.140625" style="0" customWidth="1"/>
    <col min="12" max="12" width="12.57421875" style="0" customWidth="1"/>
    <col min="13" max="13" width="8.421875" style="0" customWidth="1"/>
    <col min="15" max="15" width="5.7109375" style="0" customWidth="1"/>
    <col min="16" max="16" width="15.7109375" style="0" customWidth="1"/>
    <col min="17" max="17" width="15.421875" style="0" customWidth="1"/>
    <col min="18" max="18" width="17.00390625" style="0" customWidth="1"/>
    <col min="19" max="19" width="15.57421875" style="0" customWidth="1"/>
    <col min="20" max="20" width="15.28125" style="0" customWidth="1"/>
  </cols>
  <sheetData>
    <row r="1" spans="1:8" ht="18">
      <c r="A1" s="79" t="s">
        <v>107</v>
      </c>
      <c r="B1" s="68"/>
      <c r="C1" s="68"/>
      <c r="D1" s="68"/>
      <c r="E1" s="68"/>
      <c r="F1" s="68"/>
      <c r="G1" s="68"/>
      <c r="H1" s="68"/>
    </row>
    <row r="3" ht="13.5" thickBot="1"/>
    <row r="4" spans="1:5" ht="13.5" thickBot="1">
      <c r="A4" s="122" t="s">
        <v>10</v>
      </c>
      <c r="B4" s="123"/>
      <c r="C4" s="123"/>
      <c r="D4" s="123"/>
      <c r="E4" s="14" t="s">
        <v>57</v>
      </c>
    </row>
    <row r="5" spans="1:5" ht="13.5" thickBot="1">
      <c r="A5" s="7" t="s">
        <v>3</v>
      </c>
      <c r="B5" s="69">
        <f>IF(ICA!F7="","",ICA!F7)</f>
        <v>8.1</v>
      </c>
      <c r="C5" s="3"/>
      <c r="D5" s="3"/>
      <c r="E5" s="9"/>
    </row>
    <row r="6" spans="1:20" ht="16.5" thickBot="1">
      <c r="A6" s="7" t="s">
        <v>4</v>
      </c>
      <c r="B6" s="4" t="s">
        <v>5</v>
      </c>
      <c r="C6" s="4"/>
      <c r="D6" s="13"/>
      <c r="E6" s="9"/>
      <c r="G6" s="100" t="s">
        <v>108</v>
      </c>
      <c r="H6" s="101"/>
      <c r="I6" s="101"/>
      <c r="J6" s="101"/>
      <c r="K6" s="101"/>
      <c r="L6" s="101"/>
      <c r="M6" s="102"/>
      <c r="O6" s="72" t="s">
        <v>109</v>
      </c>
      <c r="P6" s="73"/>
      <c r="Q6" s="73"/>
      <c r="R6" s="73"/>
      <c r="S6" s="73"/>
      <c r="T6" s="74"/>
    </row>
    <row r="7" spans="1:20" ht="36.75" thickBot="1">
      <c r="A7" s="9" t="s">
        <v>0</v>
      </c>
      <c r="B7" s="15">
        <f>10^(0.2335*B5+0.44)</f>
        <v>214.4618262975949</v>
      </c>
      <c r="C7" s="4">
        <f>IF(B5&lt;6.7,1,0)</f>
        <v>0</v>
      </c>
      <c r="D7" s="15">
        <f>+B7*C7</f>
        <v>0</v>
      </c>
      <c r="E7" s="9"/>
      <c r="G7" s="120" t="s">
        <v>75</v>
      </c>
      <c r="H7" s="121"/>
      <c r="I7" s="121"/>
      <c r="J7" s="55" t="s">
        <v>105</v>
      </c>
      <c r="K7" s="56" t="s">
        <v>112</v>
      </c>
      <c r="L7" s="64" t="s">
        <v>106</v>
      </c>
      <c r="M7" s="63" t="s">
        <v>94</v>
      </c>
      <c r="O7" s="27" t="s">
        <v>98</v>
      </c>
      <c r="P7" s="28" t="s">
        <v>103</v>
      </c>
      <c r="Q7" s="29" t="s">
        <v>99</v>
      </c>
      <c r="R7" s="30" t="s">
        <v>100</v>
      </c>
      <c r="S7" s="29" t="s">
        <v>101</v>
      </c>
      <c r="T7" s="31" t="s">
        <v>102</v>
      </c>
    </row>
    <row r="8" spans="1:20" ht="12.75">
      <c r="A8" s="9" t="s">
        <v>2</v>
      </c>
      <c r="B8" s="4">
        <f>100</f>
        <v>100</v>
      </c>
      <c r="C8" s="4">
        <f>IF(AND(B5&gt;=6.7,B5&lt;=7.3),1,0)</f>
        <v>0</v>
      </c>
      <c r="D8" s="4">
        <f>+C8*B8</f>
        <v>0</v>
      </c>
      <c r="E8" s="9"/>
      <c r="G8" s="105" t="s">
        <v>76</v>
      </c>
      <c r="H8" s="106"/>
      <c r="I8" s="106"/>
      <c r="J8" s="19">
        <v>1</v>
      </c>
      <c r="K8" s="57">
        <f>D10</f>
        <v>70.25868224350984</v>
      </c>
      <c r="L8" s="66">
        <f>IF(B5="","",J8)</f>
        <v>1</v>
      </c>
      <c r="M8" s="60">
        <f>J8*K8</f>
        <v>70.25868224350984</v>
      </c>
      <c r="O8" s="8">
        <v>100</v>
      </c>
      <c r="P8" s="46" t="str">
        <f>IF(J28&gt;=80,"NO","")</f>
        <v>NO</v>
      </c>
      <c r="Q8" s="49" t="str">
        <f>IF(J28&gt;85,"NO REQUIERE","")</f>
        <v>NO REQUIERE</v>
      </c>
      <c r="R8" s="8"/>
      <c r="S8" s="8" t="str">
        <f>IF(J28&gt;=70,"ACEPTABLE","")</f>
        <v>ACEPTABLE</v>
      </c>
      <c r="T8" s="8" t="str">
        <f>IF(J28&gt;=90,"NO","")</f>
        <v>NO</v>
      </c>
    </row>
    <row r="9" spans="1:20" ht="13.5" thickBot="1">
      <c r="A9" s="10" t="s">
        <v>1</v>
      </c>
      <c r="B9" s="16">
        <f>10^(4.22-0.293*B5)</f>
        <v>70.25868224350984</v>
      </c>
      <c r="C9" s="6">
        <f>IF(B5&gt;7.3,1,0)</f>
        <v>1</v>
      </c>
      <c r="D9" s="6">
        <f>+C9*B9</f>
        <v>70.25868224350984</v>
      </c>
      <c r="E9" s="9"/>
      <c r="G9" s="107" t="s">
        <v>77</v>
      </c>
      <c r="H9" s="108"/>
      <c r="I9" s="108"/>
      <c r="J9" s="18">
        <v>1</v>
      </c>
      <c r="K9" s="58">
        <f>IF(B31&gt;100,100,B31)</f>
        <v>89.65166941178683</v>
      </c>
      <c r="L9" s="66">
        <f>IF(B30="","",J9)</f>
        <v>1</v>
      </c>
      <c r="M9" s="61">
        <f aca="true" t="shared" si="0" ref="M9:M25">J9*K9</f>
        <v>89.65166941178683</v>
      </c>
      <c r="O9" s="9"/>
      <c r="P9" s="44" t="str">
        <f>IF(J28&gt;=80,"CONTAMINADO","")</f>
        <v>CONTAMINADO</v>
      </c>
      <c r="Q9" s="50" t="str">
        <f>IF(J28&gt;=85,"PURIFICACION","")</f>
        <v>PURIFICACION</v>
      </c>
      <c r="R9" s="9" t="str">
        <f>IF(J28&gt;=70,"ACEPTABLE","")</f>
        <v>ACEPTABLE</v>
      </c>
      <c r="S9" s="9" t="str">
        <f>IF(J28&gt;=70,"PARA TODO","")</f>
        <v>PARA TODO</v>
      </c>
      <c r="T9" s="9" t="str">
        <f>IF(J28&gt;=90,"REQUIERE","")</f>
        <v>REQUIERE</v>
      </c>
    </row>
    <row r="10" spans="1:20" ht="13.5" thickBot="1">
      <c r="A10" s="4"/>
      <c r="B10" s="4"/>
      <c r="C10" s="4"/>
      <c r="D10" s="15">
        <f>IF(B5="",0,+D7+D8+D9)</f>
        <v>70.25868224350984</v>
      </c>
      <c r="E10" s="9"/>
      <c r="G10" s="107" t="s">
        <v>78</v>
      </c>
      <c r="H10" s="108"/>
      <c r="I10" s="108"/>
      <c r="J10" s="18">
        <v>0.5</v>
      </c>
      <c r="K10" s="58">
        <f>IF(B36&gt;100,100,IF(B36&lt;0,0,B36))</f>
        <v>0</v>
      </c>
      <c r="L10" s="66">
        <f>IF(B35="","",J10)</f>
        <v>0.5</v>
      </c>
      <c r="M10" s="61">
        <f t="shared" si="0"/>
        <v>0</v>
      </c>
      <c r="O10" s="9">
        <v>90</v>
      </c>
      <c r="P10" s="44"/>
      <c r="Q10" s="10"/>
      <c r="R10" s="9" t="str">
        <f>IF(J28&gt;=70,"PARA ","")</f>
        <v>PARA </v>
      </c>
      <c r="S10" s="9" t="str">
        <f>IF(J28&gt;=70,"ORGANISMOS","")</f>
        <v>ORGANISMOS</v>
      </c>
      <c r="T10" s="10" t="str">
        <f>IF(J28&gt;=90,"PURIFICACION","")</f>
        <v>PURIFICACION</v>
      </c>
    </row>
    <row r="11" spans="5:20" ht="13.5" thickBot="1">
      <c r="E11" s="9"/>
      <c r="G11" s="107" t="s">
        <v>79</v>
      </c>
      <c r="H11" s="108"/>
      <c r="I11" s="108"/>
      <c r="J11" s="18">
        <v>2</v>
      </c>
      <c r="K11" s="58">
        <f>IF(B41&gt;100,100,B41)</f>
        <v>0</v>
      </c>
      <c r="L11" s="66">
        <f>IF(B40="","",J11)</f>
      </c>
      <c r="M11" s="61">
        <f t="shared" si="0"/>
        <v>0</v>
      </c>
      <c r="O11" s="9"/>
      <c r="P11" s="45"/>
      <c r="Q11" s="49">
        <f>IF(J28&lt;85,IF(J28&gt;=80,"LIGERA",""),"")</f>
      </c>
      <c r="R11" s="9" t="str">
        <f>IF(J28&gt;=70,"CUALQUIER ","")</f>
        <v>CUALQUIER </v>
      </c>
      <c r="T11" s="8">
        <f>IF(J28&lt;90,IF(J28&gt;=70,"LIGERA",""),"")</f>
      </c>
    </row>
    <row r="12" spans="5:20" ht="13.5" thickBot="1">
      <c r="E12" s="9"/>
      <c r="G12" s="107" t="s">
        <v>80</v>
      </c>
      <c r="H12" s="108"/>
      <c r="I12" s="108"/>
      <c r="J12" s="18">
        <v>5</v>
      </c>
      <c r="K12" s="58">
        <f>B77</f>
        <v>0</v>
      </c>
      <c r="L12" s="66">
        <f>IF(B75="","",J12)</f>
      </c>
      <c r="M12" s="61">
        <f t="shared" si="0"/>
        <v>0</v>
      </c>
      <c r="O12" s="9">
        <v>80</v>
      </c>
      <c r="P12" s="41">
        <f>IF(J28&lt;80,IF(J28&gt;=70,"ACEPTABLE",""),"")</f>
      </c>
      <c r="Q12" s="51">
        <f>IF(J28&lt;85,IF(J28&gt;=80,"PURIFICACION",""),"")</f>
      </c>
      <c r="R12" s="9" t="str">
        <f>IF(J28&gt;=70,"DEPORTE","")</f>
        <v>DEPORTE</v>
      </c>
      <c r="S12" s="9"/>
      <c r="T12" s="9" t="b">
        <f>IF(J28&lt;90,IF(J28&gt;=70,"PURIFICACION",""))</f>
        <v>0</v>
      </c>
    </row>
    <row r="13" spans="5:20" ht="13.5" thickBot="1">
      <c r="E13" s="9"/>
      <c r="G13" s="107" t="s">
        <v>46</v>
      </c>
      <c r="H13" s="108"/>
      <c r="I13" s="108"/>
      <c r="J13" s="18">
        <v>5</v>
      </c>
      <c r="K13" s="58">
        <f>IF(B82&gt;100,100,B82)</f>
        <v>57.41885611123767</v>
      </c>
      <c r="L13" s="66">
        <f>IF(B81="","",J13)</f>
        <v>5</v>
      </c>
      <c r="M13" s="61">
        <f t="shared" si="0"/>
        <v>287.0942805561884</v>
      </c>
      <c r="O13" s="9"/>
      <c r="P13" s="42"/>
      <c r="Q13" s="8"/>
      <c r="R13" s="9"/>
      <c r="S13" s="9"/>
      <c r="T13" s="9">
        <f>IF(J28&lt;90,IF(J28&gt;=70,"EN CIERTOS",""),"")</f>
      </c>
    </row>
    <row r="14" spans="1:20" ht="13.5" thickBot="1">
      <c r="A14" s="124" t="s">
        <v>14</v>
      </c>
      <c r="B14" s="125"/>
      <c r="C14" s="125"/>
      <c r="D14" s="125"/>
      <c r="E14" s="9"/>
      <c r="G14" s="107" t="s">
        <v>81</v>
      </c>
      <c r="H14" s="108"/>
      <c r="I14" s="108"/>
      <c r="J14" s="18">
        <v>1</v>
      </c>
      <c r="K14" s="58">
        <f>IF(B51&gt;100,100,B51)</f>
        <v>0</v>
      </c>
      <c r="L14" s="66">
        <f>IF(B50="","",J14)</f>
      </c>
      <c r="M14" s="61">
        <f t="shared" si="0"/>
        <v>0</v>
      </c>
      <c r="O14" s="9">
        <v>70</v>
      </c>
      <c r="P14" s="43"/>
      <c r="Q14" s="9">
        <f>IF(J28&lt;80,IF(J28&gt;=50,"MAYOR",""),"")</f>
      </c>
      <c r="R14" s="10"/>
      <c r="S14" s="10"/>
      <c r="T14" s="10" t="b">
        <f>IF(J28&lt;90,IF(J28&gt;=70,"PROCESOS",""))</f>
        <v>0</v>
      </c>
    </row>
    <row r="15" spans="1:20" ht="12.75">
      <c r="A15" s="8" t="s">
        <v>6</v>
      </c>
      <c r="B15" s="69">
        <f>IF(ICA!F21="","",IF(ICA!F21=0,0.0001,ICA!F21))</f>
      </c>
      <c r="C15" s="3"/>
      <c r="D15" s="3"/>
      <c r="E15" s="9" t="s">
        <v>58</v>
      </c>
      <c r="G15" s="107" t="s">
        <v>82</v>
      </c>
      <c r="H15" s="108"/>
      <c r="I15" s="108"/>
      <c r="J15" s="18">
        <v>0.5</v>
      </c>
      <c r="K15" s="58">
        <f>IF(B71&gt;100,100,B71)</f>
        <v>0</v>
      </c>
      <c r="L15" s="66">
        <f>IF(B70="","",J15)</f>
      </c>
      <c r="M15" s="61">
        <f t="shared" si="0"/>
        <v>0</v>
      </c>
      <c r="O15" s="9"/>
      <c r="P15" s="38"/>
      <c r="Q15" s="9">
        <f>IF(J28&lt;80,IF(J28&gt;=50,"NECESIDAD DE",""),"")</f>
      </c>
      <c r="R15" s="8"/>
      <c r="S15" s="8">
        <f>IF(J28&lt;70,IF(J28&gt;=60,"EXCEPTO",""),"")</f>
      </c>
      <c r="T15" s="8">
        <f>IF(J28&lt;70,IF(J28&gt;=50,"SIN",""),"")</f>
      </c>
    </row>
    <row r="16" spans="1:20" ht="13.5" thickBot="1">
      <c r="A16" s="10" t="s">
        <v>59</v>
      </c>
      <c r="B16" s="17">
        <f>IF(B15="",0,123*(B15^(-0.295)))</f>
        <v>0</v>
      </c>
      <c r="C16" s="6"/>
      <c r="D16" s="6"/>
      <c r="E16" s="9"/>
      <c r="G16" s="107" t="s">
        <v>83</v>
      </c>
      <c r="H16" s="108"/>
      <c r="I16" s="108"/>
      <c r="J16" s="18">
        <v>1</v>
      </c>
      <c r="K16" s="58">
        <f>IF(B46&gt;100,100,B46)</f>
        <v>0</v>
      </c>
      <c r="L16" s="66">
        <f>IF(B45="","",J16)</f>
      </c>
      <c r="M16" s="61">
        <f t="shared" si="0"/>
        <v>0</v>
      </c>
      <c r="O16" s="9">
        <v>60</v>
      </c>
      <c r="P16" s="47">
        <f>IF(J28&lt;70,IF(J28&gt;=50,"POCO",""),"")</f>
      </c>
      <c r="Q16" s="9">
        <f>IF(J28&lt;80,IF(J28&gt;=50,"TRATAMIENTO",""),"")</f>
      </c>
      <c r="R16" s="9">
        <f>IF(J28&lt;70,IF(J28&gt;=50,"ACEPTABLE",""),"")</f>
      </c>
      <c r="S16" s="10">
        <f>IF(J28&lt;70,IF(J28&gt;=60,"ESPECIES",""),"")</f>
      </c>
      <c r="T16" s="9">
        <f>IF(J28&lt;70,IF(J28&gt;=50,"TRATAMIENTO",""),"")</f>
      </c>
    </row>
    <row r="17" spans="5:20" ht="12.75">
      <c r="E17" s="9"/>
      <c r="G17" s="107" t="s">
        <v>84</v>
      </c>
      <c r="H17" s="108"/>
      <c r="I17" s="108"/>
      <c r="J17" s="18">
        <v>2</v>
      </c>
      <c r="K17" s="58">
        <f>IF(B26&gt;100,100,B26)</f>
        <v>100</v>
      </c>
      <c r="L17" s="66">
        <f>IF(B25="","",J17)</f>
        <v>2</v>
      </c>
      <c r="M17" s="61">
        <f t="shared" si="0"/>
        <v>200</v>
      </c>
      <c r="O17" s="9"/>
      <c r="P17" s="39">
        <f>IF(J28&lt;70,IF(J28&gt;=50,"CONTAMINADO",""),"")</f>
      </c>
      <c r="Q17" s="9"/>
      <c r="R17" s="9">
        <f>IF(J28&lt;70,IF(J28&gt;=50,"NO",""),"")</f>
      </c>
      <c r="S17" s="8">
        <f>IF(J28&lt;60,IF(J28&gt;=50,"DUDOSO PARA",""),"")</f>
      </c>
      <c r="T17" s="9">
        <f>IF(J28&lt;70,IF(J28&gt;=50,"INDUSTRIA",""),"")</f>
      </c>
    </row>
    <row r="18" spans="5:20" ht="13.5" thickBot="1">
      <c r="E18" s="9"/>
      <c r="G18" s="107" t="s">
        <v>85</v>
      </c>
      <c r="H18" s="108"/>
      <c r="I18" s="108"/>
      <c r="J18" s="18">
        <v>2</v>
      </c>
      <c r="K18" s="58">
        <f>IF(B56&gt;100,100,B56)</f>
        <v>0</v>
      </c>
      <c r="L18" s="66">
        <f>IF(B55="","",J18)</f>
      </c>
      <c r="M18" s="61">
        <f t="shared" si="0"/>
        <v>0</v>
      </c>
      <c r="O18" s="9">
        <v>50</v>
      </c>
      <c r="P18" s="40"/>
      <c r="Q18" s="10"/>
      <c r="R18" s="10">
        <f>IF(J28&lt;70,IF(J28&gt;=50,"RECOMENDABLE",""),"")</f>
      </c>
      <c r="S18" s="10">
        <f>IF(J28&lt;60,IF(J28&gt;=50,"ESPECIES",""),"")</f>
      </c>
      <c r="T18" s="10">
        <f>IF(J28&lt;70,IF(J28&gt;=50,"NORMAL",""),"")</f>
      </c>
    </row>
    <row r="19" spans="1:20" ht="13.5" thickBot="1">
      <c r="A19" s="126" t="s">
        <v>13</v>
      </c>
      <c r="B19" s="127"/>
      <c r="C19" s="127"/>
      <c r="D19" s="127"/>
      <c r="E19" s="9"/>
      <c r="G19" s="107" t="s">
        <v>86</v>
      </c>
      <c r="H19" s="108"/>
      <c r="I19" s="108"/>
      <c r="J19" s="18">
        <v>2</v>
      </c>
      <c r="K19" s="58">
        <f>IF(B61&gt;100,100,B61)</f>
        <v>0</v>
      </c>
      <c r="L19" s="66">
        <f>IF(B60="","",J19)</f>
      </c>
      <c r="M19" s="61">
        <f t="shared" si="0"/>
        <v>0</v>
      </c>
      <c r="O19" s="9"/>
      <c r="P19" s="35"/>
      <c r="Q19" s="8">
        <f>IF(J28&lt;50,IF(J28&gt;=40,"DUDOSO",""),"")</f>
      </c>
      <c r="R19" s="52">
        <f>IF(J28&lt;50,IF(J28&gt;=40,"DUDOSO AL",""),"")</f>
      </c>
      <c r="S19" s="8">
        <f>IF(J28&lt;50,IF(J28&gt;=30,"SOLO",""),"")</f>
      </c>
      <c r="T19" s="8">
        <f>IF(J28&lt;50,IF(J28&gt;=30,"TRATAMIENTO",""),"")</f>
      </c>
    </row>
    <row r="20" spans="1:20" ht="13.5" thickBot="1">
      <c r="A20" s="8" t="s">
        <v>7</v>
      </c>
      <c r="B20" s="69">
        <f>IF(ICA!F22="","",IF(ICA!F22=0,0.00001,ICA!F22))</f>
      </c>
      <c r="C20" s="3"/>
      <c r="D20" s="3"/>
      <c r="E20" s="9" t="s">
        <v>60</v>
      </c>
      <c r="G20" s="107" t="s">
        <v>87</v>
      </c>
      <c r="H20" s="108"/>
      <c r="I20" s="108"/>
      <c r="J20" s="18">
        <v>2</v>
      </c>
      <c r="K20" s="58">
        <f>IF(B66&gt;100,100,B66)</f>
        <v>0</v>
      </c>
      <c r="L20" s="66">
        <f>IF(B65="","",J20)</f>
      </c>
      <c r="M20" s="61">
        <f t="shared" si="0"/>
        <v>0</v>
      </c>
      <c r="O20" s="9">
        <v>40</v>
      </c>
      <c r="P20" s="36"/>
      <c r="Q20" s="10"/>
      <c r="R20" s="52">
        <f>IF(J28&lt;50,IF(J28&gt;=40,"CONTACTO",""),"")</f>
      </c>
      <c r="S20" s="9">
        <f>IF(J28&lt;50,IF(J28&gt;=30,"ORGANISMOS",""),"")</f>
      </c>
      <c r="T20" s="9">
        <f>IF(J28&lt;50,IF(J28&gt;=30,"EN LA MAYOR",""),"")</f>
      </c>
    </row>
    <row r="21" spans="1:20" ht="13.5" thickBot="1">
      <c r="A21" s="10" t="s">
        <v>8</v>
      </c>
      <c r="B21" s="17">
        <f>IF(B20="",0,108*B20^(-0.178))</f>
        <v>0</v>
      </c>
      <c r="C21" s="6"/>
      <c r="D21" s="6"/>
      <c r="E21" s="9"/>
      <c r="G21" s="107" t="s">
        <v>88</v>
      </c>
      <c r="H21" s="108"/>
      <c r="I21" s="108"/>
      <c r="J21" s="18">
        <v>1</v>
      </c>
      <c r="K21" s="58">
        <f>IF(B16&gt;100,100,B16)</f>
        <v>0</v>
      </c>
      <c r="L21" s="66">
        <f>IF(B15="","",J21)</f>
      </c>
      <c r="M21" s="61">
        <f t="shared" si="0"/>
        <v>0</v>
      </c>
      <c r="O21" s="9"/>
      <c r="P21" s="36">
        <f>IF(J28&lt;50,IF(J28&gt;=30,"CONTAMINADO",""),"")</f>
      </c>
      <c r="Q21" s="8"/>
      <c r="R21" s="8">
        <f>IF(J28&lt;40,IF(J28&gt;=30,"SIN_CONTACTO",""),"")</f>
      </c>
      <c r="S21" s="9">
        <f>IF(J28&lt;50,IF(J28&gt;=30,"MUY",""),"")</f>
      </c>
      <c r="T21" s="9">
        <f>IF(J28&lt;50,IF(J28&gt;=30,"PARTE DE",""),"")</f>
      </c>
    </row>
    <row r="22" spans="5:20" ht="13.5" thickBot="1">
      <c r="E22" s="9"/>
      <c r="G22" s="107" t="s">
        <v>89</v>
      </c>
      <c r="H22" s="108"/>
      <c r="I22" s="108"/>
      <c r="J22" s="18">
        <v>0.5</v>
      </c>
      <c r="K22" s="58">
        <f>IF(B21&gt;100,100,B21)</f>
        <v>0</v>
      </c>
      <c r="L22" s="66">
        <f>IF(B20="","",J22)</f>
      </c>
      <c r="M22" s="61">
        <f t="shared" si="0"/>
        <v>0</v>
      </c>
      <c r="O22" s="9">
        <v>30</v>
      </c>
      <c r="P22" s="37"/>
      <c r="Q22" s="9">
        <f>IF(J28&lt;40,"NO","")</f>
      </c>
      <c r="R22" s="10">
        <f>IF(J28&lt;40,IF(J28&gt;=30,"AL AGUA",""),"")</f>
      </c>
      <c r="S22" s="10">
        <f>IF(J28&lt;50,IF(J28&gt;=30,"RESISTENTES",""),"")</f>
      </c>
      <c r="T22" s="10">
        <f>IF(J28&lt;50,IF(J28&gt;=30,"INDUSTRIA",""),"")</f>
      </c>
    </row>
    <row r="23" spans="5:20" ht="13.5" thickBot="1">
      <c r="E23" s="9"/>
      <c r="G23" s="107" t="s">
        <v>90</v>
      </c>
      <c r="H23" s="108"/>
      <c r="I23" s="108"/>
      <c r="J23" s="18">
        <v>3</v>
      </c>
      <c r="K23" s="58">
        <f>IF(B96&gt;6.384,0,B97)</f>
        <v>0</v>
      </c>
      <c r="L23" s="66">
        <f>IF(B96="","",J23)</f>
      </c>
      <c r="M23" s="61">
        <f t="shared" si="0"/>
        <v>0</v>
      </c>
      <c r="O23" s="9"/>
      <c r="P23" s="32"/>
      <c r="Q23" s="9">
        <f>IF(J28&lt;40,"ACEPTABLE","")</f>
      </c>
      <c r="R23" s="8">
        <f>IF(J28&lt;30,IF(J28&gt;=20,"SEÑAL DE",""),"")</f>
      </c>
      <c r="S23" s="8"/>
      <c r="T23" s="8">
        <f>IF(J28&lt;30,IF(J28&gt;=20,"USO MUY",""),"")</f>
      </c>
    </row>
    <row r="24" spans="1:20" ht="13.5" thickBot="1">
      <c r="A24" s="128" t="s">
        <v>11</v>
      </c>
      <c r="B24" s="129"/>
      <c r="C24" s="129"/>
      <c r="D24" s="129"/>
      <c r="E24" s="9"/>
      <c r="G24" s="107" t="s">
        <v>91</v>
      </c>
      <c r="H24" s="108"/>
      <c r="I24" s="108"/>
      <c r="J24" s="18">
        <v>4</v>
      </c>
      <c r="K24" s="58">
        <f>IF(B91="",0,IF(B91&lt;0.001,100,B92))</f>
        <v>196.39352291752766</v>
      </c>
      <c r="L24" s="66">
        <f>IF(B91="","",J24)</f>
        <v>4</v>
      </c>
      <c r="M24" s="61">
        <f t="shared" si="0"/>
        <v>785.5740916701106</v>
      </c>
      <c r="O24" s="9">
        <v>20</v>
      </c>
      <c r="P24" s="48">
        <f>IF(J28&lt;30,"ALTAMENTE","")</f>
      </c>
      <c r="Q24" s="9"/>
      <c r="R24" s="10">
        <f>IF(J28&lt;30,IF(J28&gt;=20,"CONTAMINACION",""),"")</f>
      </c>
      <c r="S24" s="9">
        <f>IF(J28&lt;30,"NO","")</f>
      </c>
      <c r="T24" s="10">
        <f>IF(J28&lt;30,IF(J28&gt;=20,"RESTRINGIDO",""),"")</f>
      </c>
    </row>
    <row r="25" spans="1:20" ht="12.75">
      <c r="A25" s="8" t="s">
        <v>9</v>
      </c>
      <c r="B25" s="70">
        <f>IF(ICA!F17="","",IF(ICA!F17=0,0.0001,ICA!F17))</f>
        <v>0.199</v>
      </c>
      <c r="C25" s="4"/>
      <c r="D25" s="4"/>
      <c r="E25" s="9" t="s">
        <v>61</v>
      </c>
      <c r="G25" s="107" t="s">
        <v>92</v>
      </c>
      <c r="H25" s="108"/>
      <c r="I25" s="108"/>
      <c r="J25" s="18">
        <v>3</v>
      </c>
      <c r="K25" s="58">
        <f>IF(B86="",0,IF(B86&lt;0.001,100,B87))</f>
        <v>39.27870458350554</v>
      </c>
      <c r="L25" s="66">
        <f>IF(B86="","",J25)</f>
        <v>3</v>
      </c>
      <c r="M25" s="61">
        <f t="shared" si="0"/>
        <v>117.8361137505166</v>
      </c>
      <c r="O25" s="9"/>
      <c r="P25" s="48">
        <f>IF(J28&lt;30,"CONTAMINADO","")</f>
      </c>
      <c r="Q25" s="9"/>
      <c r="R25" s="8">
        <f>IF(J28&lt;20,"NO","")</f>
      </c>
      <c r="S25" s="9">
        <f>IF(J28&lt;30,"ACEPTABLE","")</f>
      </c>
      <c r="T25" s="21"/>
    </row>
    <row r="26" spans="1:20" ht="13.5" thickBot="1">
      <c r="A26" s="10" t="s">
        <v>12</v>
      </c>
      <c r="B26" s="16">
        <f>IF(B25="",0,87.25*(B25^(-0.298)))</f>
        <v>141.1585598428082</v>
      </c>
      <c r="C26" s="6"/>
      <c r="D26" s="6"/>
      <c r="E26" s="9"/>
      <c r="G26" s="109" t="s">
        <v>93</v>
      </c>
      <c r="H26" s="110"/>
      <c r="I26" s="110"/>
      <c r="J26" s="20">
        <f>SUM(J8:J25)</f>
        <v>36.5</v>
      </c>
      <c r="K26" s="59">
        <f>SUM(K8:K25)</f>
        <v>553.0014352675676</v>
      </c>
      <c r="L26" s="67">
        <f>SUM(L8:L25)</f>
        <v>16.5</v>
      </c>
      <c r="M26" s="62">
        <f>SUM(M8:M25)</f>
        <v>1550.4148376321123</v>
      </c>
      <c r="O26" s="9">
        <v>10</v>
      </c>
      <c r="P26" s="33"/>
      <c r="Q26" s="9"/>
      <c r="R26" s="9">
        <f>IF(J28&lt;20,"ACEPTABLE","")</f>
      </c>
      <c r="S26" s="9"/>
      <c r="T26" s="21">
        <f>IF(J28&lt;20,"NO","")</f>
      </c>
    </row>
    <row r="27" spans="5:20" ht="13.5" thickBot="1">
      <c r="E27" s="9"/>
      <c r="O27" s="10"/>
      <c r="P27" s="34"/>
      <c r="Q27" s="10"/>
      <c r="R27" s="10"/>
      <c r="S27" s="10"/>
      <c r="T27" s="26">
        <f>IF(J28&lt;20,"ACEPTABLE","")</f>
      </c>
    </row>
    <row r="28" spans="5:12" ht="15.75" thickBot="1">
      <c r="E28" s="9"/>
      <c r="H28" s="75" t="s">
        <v>110</v>
      </c>
      <c r="I28" s="76"/>
      <c r="J28" s="77">
        <f>IF(L26=0,"NO EXISTEN DATOS",M26/L26)</f>
        <v>93.96453561406742</v>
      </c>
      <c r="K28" s="76"/>
      <c r="L28" s="76"/>
    </row>
    <row r="29" spans="1:7" ht="16.5" thickBot="1">
      <c r="A29" s="130" t="s">
        <v>15</v>
      </c>
      <c r="B29" s="131"/>
      <c r="C29" s="131"/>
      <c r="D29" s="131"/>
      <c r="E29" s="9"/>
      <c r="G29" s="1"/>
    </row>
    <row r="30" spans="1:5" ht="12.75">
      <c r="A30" s="8" t="s">
        <v>16</v>
      </c>
      <c r="B30" s="69">
        <f>IF(ICA!F8="","",IF(ICA!F8=0,0.0001,ICA!F8))</f>
        <v>19</v>
      </c>
      <c r="C30" s="3"/>
      <c r="D30" s="3"/>
      <c r="E30" s="9" t="s">
        <v>62</v>
      </c>
    </row>
    <row r="31" spans="1:5" ht="13.5" thickBot="1">
      <c r="A31" s="10" t="s">
        <v>17</v>
      </c>
      <c r="B31" s="17">
        <f>IF(B30="",0,266.5*(B30^(-0.37)))</f>
        <v>89.65166941178683</v>
      </c>
      <c r="C31" s="6"/>
      <c r="D31" s="6"/>
      <c r="E31" s="9"/>
    </row>
    <row r="32" spans="5:11" ht="12.75">
      <c r="E32" s="9"/>
      <c r="K32" s="78"/>
    </row>
    <row r="33" spans="5:7" ht="16.5" thickBot="1">
      <c r="E33" s="9"/>
      <c r="G33" s="1"/>
    </row>
    <row r="34" spans="1:5" ht="13.5" thickBot="1">
      <c r="A34" s="126" t="s">
        <v>18</v>
      </c>
      <c r="B34" s="127"/>
      <c r="C34" s="127"/>
      <c r="D34" s="127"/>
      <c r="E34" s="9"/>
    </row>
    <row r="35" spans="1:5" ht="12.75">
      <c r="A35" s="8" t="s">
        <v>19</v>
      </c>
      <c r="B35" s="69">
        <f>IF(ICA!F9="","",IF(ICA!F9=0,0.0001,ICA!F9))</f>
        <v>30960</v>
      </c>
      <c r="C35" s="3"/>
      <c r="D35" s="3"/>
      <c r="E35" s="9" t="s">
        <v>63</v>
      </c>
    </row>
    <row r="36" spans="1:5" ht="13.5" thickBot="1">
      <c r="A36" s="10" t="s">
        <v>20</v>
      </c>
      <c r="B36" s="6">
        <f>IF(B35="",0,109.1-0.0175*(B35))</f>
        <v>-432.70000000000005</v>
      </c>
      <c r="C36" s="6"/>
      <c r="D36" s="6"/>
      <c r="E36" s="9" t="s">
        <v>64</v>
      </c>
    </row>
    <row r="37" ht="12.75">
      <c r="E37" s="9"/>
    </row>
    <row r="38" spans="5:7" ht="16.5" thickBot="1">
      <c r="E38" s="9"/>
      <c r="G38" s="1"/>
    </row>
    <row r="39" spans="1:5" ht="13.5" thickBot="1">
      <c r="A39" s="132" t="s">
        <v>21</v>
      </c>
      <c r="B39" s="133"/>
      <c r="C39" s="133"/>
      <c r="D39" s="133"/>
      <c r="E39" s="9"/>
    </row>
    <row r="40" spans="1:5" ht="12.75">
      <c r="A40" s="8" t="s">
        <v>22</v>
      </c>
      <c r="B40" s="69">
        <f>IF(ICA!F10="","",IF(ICA!F10=0,0.0001,ICA!F10))</f>
      </c>
      <c r="C40" s="3"/>
      <c r="D40" s="3"/>
      <c r="E40" s="9" t="s">
        <v>65</v>
      </c>
    </row>
    <row r="41" spans="1:5" ht="13.5" thickBot="1">
      <c r="A41" s="10" t="s">
        <v>23</v>
      </c>
      <c r="B41" s="6">
        <f>IF(B40="",0,540*(B40^(-0.379)))</f>
        <v>0</v>
      </c>
      <c r="C41" s="6"/>
      <c r="D41" s="6"/>
      <c r="E41" s="9"/>
    </row>
    <row r="42" ht="12.75">
      <c r="E42" s="9"/>
    </row>
    <row r="43" spans="5:7" ht="16.5" thickBot="1">
      <c r="E43" s="9"/>
      <c r="G43" s="1"/>
    </row>
    <row r="44" spans="1:5" ht="13.5" thickBot="1">
      <c r="A44" s="134" t="s">
        <v>25</v>
      </c>
      <c r="B44" s="135"/>
      <c r="C44" s="135"/>
      <c r="D44" s="135"/>
      <c r="E44" s="9"/>
    </row>
    <row r="45" spans="1:5" ht="12.75">
      <c r="A45" s="8" t="s">
        <v>26</v>
      </c>
      <c r="B45" s="69">
        <f>IF(ICA!F16="","",IF(ICA!F16=0,0.0001,ICA!F16))</f>
      </c>
      <c r="C45" s="3"/>
      <c r="D45" s="3"/>
      <c r="E45" s="9" t="s">
        <v>66</v>
      </c>
    </row>
    <row r="46" spans="1:5" ht="13.5" thickBot="1">
      <c r="A46" s="10" t="s">
        <v>24</v>
      </c>
      <c r="B46" s="6">
        <f>IF(B45="",0,105*(B45^(-0.186)))</f>
        <v>0</v>
      </c>
      <c r="C46" s="6"/>
      <c r="D46" s="6"/>
      <c r="E46" s="9"/>
    </row>
    <row r="47" ht="12.75">
      <c r="E47" s="9"/>
    </row>
    <row r="48" spans="5:7" ht="16.5" thickBot="1">
      <c r="E48" s="9"/>
      <c r="G48" s="1"/>
    </row>
    <row r="49" spans="1:5" ht="13.5" thickBot="1">
      <c r="A49" s="136" t="s">
        <v>27</v>
      </c>
      <c r="B49" s="137"/>
      <c r="C49" s="137"/>
      <c r="D49" s="137"/>
      <c r="E49" s="9"/>
    </row>
    <row r="50" spans="1:5" ht="12.75">
      <c r="A50" s="8" t="s">
        <v>28</v>
      </c>
      <c r="B50" s="69">
        <f>IF(ICA!F14="","",IF(ICA!F14=0,0.0001,ICA!F14))</f>
      </c>
      <c r="C50" s="3"/>
      <c r="D50" s="3"/>
      <c r="E50" s="9" t="s">
        <v>67</v>
      </c>
    </row>
    <row r="51" spans="1:5" ht="13.5" thickBot="1">
      <c r="A51" s="10" t="s">
        <v>29</v>
      </c>
      <c r="B51" s="17">
        <f>IF(B50="",0,10*(1.974-0.00174*(B50)))</f>
        <v>0</v>
      </c>
      <c r="C51" s="6"/>
      <c r="D51" s="6"/>
      <c r="E51" s="9"/>
    </row>
    <row r="52" ht="12.75">
      <c r="E52" s="9"/>
    </row>
    <row r="53" spans="5:7" ht="16.5" thickBot="1">
      <c r="E53" s="9"/>
      <c r="G53" s="1"/>
    </row>
    <row r="54" spans="1:5" ht="13.5" thickBot="1">
      <c r="A54" s="132" t="s">
        <v>30</v>
      </c>
      <c r="B54" s="133"/>
      <c r="C54" s="133"/>
      <c r="D54" s="133"/>
      <c r="E54" s="9"/>
    </row>
    <row r="55" spans="1:5" ht="12.75">
      <c r="A55" s="8" t="s">
        <v>31</v>
      </c>
      <c r="B55" s="69">
        <f>IF(ICA!F18="","",IF(ICA!F18=0,0.0001,ICA!F18))</f>
      </c>
      <c r="C55" s="3"/>
      <c r="D55" s="3"/>
      <c r="E55" s="9" t="s">
        <v>68</v>
      </c>
    </row>
    <row r="56" spans="1:5" ht="13.5" thickBot="1">
      <c r="A56" s="10" t="s">
        <v>32</v>
      </c>
      <c r="B56" s="6">
        <f>IF(B55="",0,162.2*(B55^(-0.3434)))</f>
        <v>0</v>
      </c>
      <c r="C56" s="6"/>
      <c r="D56" s="6"/>
      <c r="E56" s="9"/>
    </row>
    <row r="57" ht="12.75">
      <c r="E57" s="9"/>
    </row>
    <row r="58" spans="5:7" ht="16.5" thickBot="1">
      <c r="E58" s="9"/>
      <c r="G58" s="1"/>
    </row>
    <row r="59" spans="1:5" ht="13.5" thickBot="1">
      <c r="A59" s="126" t="s">
        <v>33</v>
      </c>
      <c r="B59" s="127"/>
      <c r="C59" s="127"/>
      <c r="D59" s="127"/>
      <c r="E59" s="9"/>
    </row>
    <row r="60" spans="1:5" ht="12.75">
      <c r="A60" s="8" t="s">
        <v>34</v>
      </c>
      <c r="B60" s="69">
        <f>IF(ICA!F19="","",IF(ICA!F19=0,0.0001,ICA!F19))</f>
      </c>
      <c r="C60" s="3"/>
      <c r="D60" s="3"/>
      <c r="E60" s="9" t="s">
        <v>69</v>
      </c>
    </row>
    <row r="61" spans="1:5" ht="13.5" thickBot="1">
      <c r="A61" s="10" t="s">
        <v>35</v>
      </c>
      <c r="B61" s="6">
        <f>IF(B60="",0,45.8*(B60^(-0.343)))</f>
        <v>0</v>
      </c>
      <c r="C61" s="6"/>
      <c r="D61" s="6"/>
      <c r="E61" s="9"/>
    </row>
    <row r="62" ht="12.75">
      <c r="E62" s="9"/>
    </row>
    <row r="63" spans="5:7" ht="16.5" thickBot="1">
      <c r="E63" s="9"/>
      <c r="G63" s="1"/>
    </row>
    <row r="64" spans="1:5" ht="13.5" thickBot="1">
      <c r="A64" s="124" t="s">
        <v>36</v>
      </c>
      <c r="B64" s="125"/>
      <c r="C64" s="125"/>
      <c r="D64" s="125"/>
      <c r="E64" s="9"/>
    </row>
    <row r="65" spans="1:5" ht="12.75">
      <c r="A65" s="8" t="s">
        <v>37</v>
      </c>
      <c r="B65" s="69">
        <f>IF(ICA!F20="","",IF(ICA!F20=0,0.0001,ICA!F20))</f>
      </c>
      <c r="C65" s="3"/>
      <c r="D65" s="3"/>
      <c r="E65" s="9" t="s">
        <v>70</v>
      </c>
    </row>
    <row r="66" spans="1:5" ht="13.5" thickBot="1">
      <c r="A66" s="10" t="s">
        <v>38</v>
      </c>
      <c r="B66" s="17">
        <f>IF(B65="",0,34.215*(B65^(-0.46)))</f>
        <v>0</v>
      </c>
      <c r="C66" s="6"/>
      <c r="D66" s="6"/>
      <c r="E66" s="9"/>
    </row>
    <row r="67" ht="12.75">
      <c r="E67" s="9"/>
    </row>
    <row r="68" spans="5:7" ht="16.5" thickBot="1">
      <c r="E68" s="9"/>
      <c r="G68" s="1"/>
    </row>
    <row r="69" spans="1:5" ht="13.5" thickBot="1">
      <c r="A69" s="138" t="s">
        <v>39</v>
      </c>
      <c r="B69" s="139"/>
      <c r="C69" s="139"/>
      <c r="D69" s="139"/>
      <c r="E69" s="9"/>
    </row>
    <row r="70" spans="1:5" ht="12.75">
      <c r="A70" s="8" t="s">
        <v>40</v>
      </c>
      <c r="B70" s="69">
        <f>IF(ICA!F15="","",IF(ICA!F15=0,0.0001,ICA!F15))</f>
      </c>
      <c r="C70" s="3"/>
      <c r="D70" s="3"/>
      <c r="E70" s="9" t="s">
        <v>71</v>
      </c>
    </row>
    <row r="71" spans="1:5" ht="13.5" thickBot="1">
      <c r="A71" s="10" t="s">
        <v>41</v>
      </c>
      <c r="B71" s="6">
        <f>IF(B70="",0,121*(B70^(-0.223)))</f>
        <v>0</v>
      </c>
      <c r="C71" s="6"/>
      <c r="D71" s="6"/>
      <c r="E71" s="9"/>
    </row>
    <row r="72" ht="12.75">
      <c r="E72" s="9"/>
    </row>
    <row r="73" ht="13.5" thickBot="1">
      <c r="E73" s="9"/>
    </row>
    <row r="74" spans="1:8" ht="13.5" thickBot="1">
      <c r="A74" s="124" t="s">
        <v>42</v>
      </c>
      <c r="B74" s="125"/>
      <c r="C74" s="125"/>
      <c r="D74" s="125"/>
      <c r="E74" s="9"/>
      <c r="G74" s="100" t="s">
        <v>42</v>
      </c>
      <c r="H74" s="102"/>
    </row>
    <row r="75" spans="1:8" ht="25.5">
      <c r="A75" s="11" t="s">
        <v>43</v>
      </c>
      <c r="B75" s="69">
        <f>IF(ICA!F11="","",IF(ICA!F11=0,0.0001,ICA!F11))</f>
      </c>
      <c r="C75" s="3"/>
      <c r="D75" s="3"/>
      <c r="E75" s="9"/>
      <c r="G75" s="8" t="s">
        <v>95</v>
      </c>
      <c r="H75" s="71">
        <f>IF(ICA!F12="","",IF(ICA!F12=0,0.0001,ICA!F12))</f>
      </c>
    </row>
    <row r="76" spans="1:8" ht="25.5">
      <c r="A76" s="12" t="s">
        <v>44</v>
      </c>
      <c r="B76" s="4">
        <f>H78</f>
        <v>1</v>
      </c>
      <c r="C76" s="4"/>
      <c r="D76" s="4"/>
      <c r="E76" s="9"/>
      <c r="G76" s="9" t="s">
        <v>96</v>
      </c>
      <c r="H76" s="21" t="e">
        <f>H75+273.15</f>
        <v>#VALUE!</v>
      </c>
    </row>
    <row r="77" spans="1:8" ht="13.5" thickBot="1">
      <c r="A77" s="10" t="s">
        <v>42</v>
      </c>
      <c r="B77" s="6">
        <f>IF(B76="",0,IF(H75="",0,(B75/B76)*100))</f>
        <v>0</v>
      </c>
      <c r="C77" s="6"/>
      <c r="D77" s="6"/>
      <c r="E77" s="9"/>
      <c r="G77" s="10" t="s">
        <v>97</v>
      </c>
      <c r="H77" s="23">
        <f>IF(H75="",0,-139.3441+(1.575701*(10^5/H76))-(6.642308*(10^7/H76^2))+(1.2438*(10^10/H76^3)))</f>
        <v>0</v>
      </c>
    </row>
    <row r="78" spans="5:8" ht="12.75">
      <c r="E78" s="9"/>
      <c r="G78" s="53" t="s">
        <v>104</v>
      </c>
      <c r="H78" s="54">
        <f>EXP(H77)</f>
        <v>1</v>
      </c>
    </row>
    <row r="79" spans="5:7" ht="16.5" thickBot="1">
      <c r="E79" s="9"/>
      <c r="G79" s="1"/>
    </row>
    <row r="80" spans="1:5" ht="13.5" thickBot="1">
      <c r="A80" s="140" t="s">
        <v>45</v>
      </c>
      <c r="B80" s="135"/>
      <c r="C80" s="135"/>
      <c r="D80" s="135"/>
      <c r="E80" s="9"/>
    </row>
    <row r="81" spans="1:5" ht="12.75">
      <c r="A81" s="8" t="s">
        <v>46</v>
      </c>
      <c r="B81" s="69">
        <f>IF(ICA!F13="","",IF(ICA!F13=0,0.0001,ICA!F13))</f>
        <v>2.99</v>
      </c>
      <c r="C81" s="3"/>
      <c r="D81" s="3"/>
      <c r="E81" s="9" t="s">
        <v>72</v>
      </c>
    </row>
    <row r="82" spans="1:5" ht="13.5" thickBot="1">
      <c r="A82" s="10" t="s">
        <v>47</v>
      </c>
      <c r="B82" s="17">
        <f>IF(B81="",0,120*(B81^(-0.673)))</f>
        <v>57.41885611123767</v>
      </c>
      <c r="C82" s="6"/>
      <c r="D82" s="6"/>
      <c r="E82" s="9"/>
    </row>
    <row r="83" ht="12.75">
      <c r="E83" s="9"/>
    </row>
    <row r="84" spans="5:7" ht="16.5" thickBot="1">
      <c r="E84" s="9"/>
      <c r="G84" s="1"/>
    </row>
    <row r="85" spans="1:5" ht="13.5" thickBot="1">
      <c r="A85" s="132" t="s">
        <v>48</v>
      </c>
      <c r="B85" s="133"/>
      <c r="C85" s="133"/>
      <c r="D85" s="133"/>
      <c r="E85" s="9"/>
    </row>
    <row r="86" spans="1:5" ht="12.75">
      <c r="A86" s="2" t="s">
        <v>49</v>
      </c>
      <c r="B86" s="69">
        <f>IF(ICA!F25="","",IF(ICA!F25=0,0.0001,ICA!F25))</f>
        <v>29</v>
      </c>
      <c r="C86" s="3"/>
      <c r="D86" s="3"/>
      <c r="E86" s="9" t="s">
        <v>73</v>
      </c>
    </row>
    <row r="87" spans="1:5" ht="13.5" thickBot="1">
      <c r="A87" s="5" t="s">
        <v>50</v>
      </c>
      <c r="B87" s="6">
        <f>IF(B86="",0,97.5*(B86^(-0.27)))</f>
        <v>39.27870458350554</v>
      </c>
      <c r="C87" s="6"/>
      <c r="D87" s="6"/>
      <c r="E87" s="9"/>
    </row>
    <row r="88" ht="12.75">
      <c r="E88" s="9"/>
    </row>
    <row r="89" spans="5:7" ht="16.5" thickBot="1">
      <c r="E89" s="9"/>
      <c r="G89" s="1"/>
    </row>
    <row r="90" spans="1:5" ht="13.5" thickBot="1">
      <c r="A90" s="141" t="s">
        <v>51</v>
      </c>
      <c r="B90" s="142"/>
      <c r="C90" s="142"/>
      <c r="D90" s="142"/>
      <c r="E90" s="9"/>
    </row>
    <row r="91" spans="1:5" ht="12.75">
      <c r="A91" s="8" t="s">
        <v>52</v>
      </c>
      <c r="B91" s="69">
        <f>IF(ICA!F24="","",IF(ICA!F24=0,0.0001,ICA!F24))</f>
        <v>29</v>
      </c>
      <c r="C91" s="3"/>
      <c r="D91" s="3"/>
      <c r="E91" s="9" t="s">
        <v>73</v>
      </c>
    </row>
    <row r="92" spans="1:5" ht="13.5" thickBot="1">
      <c r="A92" s="10" t="s">
        <v>53</v>
      </c>
      <c r="B92" s="6">
        <f>IF(B91="",0,97.5*(5*(B91^(-0.27))))</f>
        <v>196.39352291752766</v>
      </c>
      <c r="C92" s="6"/>
      <c r="D92" s="6"/>
      <c r="E92" s="9"/>
    </row>
    <row r="93" ht="12.75">
      <c r="E93" s="9"/>
    </row>
    <row r="94" spans="5:7" ht="16.5" thickBot="1">
      <c r="E94" s="9"/>
      <c r="G94" s="1"/>
    </row>
    <row r="95" spans="1:5" ht="13.5" thickBot="1">
      <c r="A95" s="126" t="s">
        <v>54</v>
      </c>
      <c r="B95" s="127"/>
      <c r="C95" s="127"/>
      <c r="D95" s="127"/>
      <c r="E95" s="9"/>
    </row>
    <row r="96" spans="1:5" ht="12.75">
      <c r="A96" s="8" t="s">
        <v>55</v>
      </c>
      <c r="B96" s="69">
        <f>IF(ICA!F23="","",IF(ICA!F23=0,0.0001,ICA!F23))</f>
      </c>
      <c r="C96" s="3"/>
      <c r="D96" s="3"/>
      <c r="E96" s="9" t="s">
        <v>74</v>
      </c>
    </row>
    <row r="97" spans="1:5" ht="13.5" thickBot="1">
      <c r="A97" s="10" t="s">
        <v>56</v>
      </c>
      <c r="B97" s="17">
        <f>IF(B96="",0,100-16.678*(B96)+0.1587*(B96^2))</f>
        <v>0</v>
      </c>
      <c r="C97" s="6"/>
      <c r="D97" s="6"/>
      <c r="E97" s="10"/>
    </row>
  </sheetData>
  <mergeCells count="40">
    <mergeCell ref="G74:H74"/>
    <mergeCell ref="G23:I23"/>
    <mergeCell ref="G24:I24"/>
    <mergeCell ref="G25:I25"/>
    <mergeCell ref="G26:I26"/>
    <mergeCell ref="G19:I19"/>
    <mergeCell ref="G20:I20"/>
    <mergeCell ref="G21:I21"/>
    <mergeCell ref="G22:I22"/>
    <mergeCell ref="G15:I15"/>
    <mergeCell ref="G16:I16"/>
    <mergeCell ref="G17:I17"/>
    <mergeCell ref="G18:I18"/>
    <mergeCell ref="G11:I11"/>
    <mergeCell ref="G12:I12"/>
    <mergeCell ref="G13:I13"/>
    <mergeCell ref="G14:I14"/>
    <mergeCell ref="G7:I7"/>
    <mergeCell ref="G8:I8"/>
    <mergeCell ref="G9:I9"/>
    <mergeCell ref="G10:I10"/>
    <mergeCell ref="A4:D4"/>
    <mergeCell ref="A14:D14"/>
    <mergeCell ref="A19:D19"/>
    <mergeCell ref="A24:D24"/>
    <mergeCell ref="A64:D64"/>
    <mergeCell ref="A29:D29"/>
    <mergeCell ref="A34:D34"/>
    <mergeCell ref="A39:D39"/>
    <mergeCell ref="A44:D44"/>
    <mergeCell ref="G6:M6"/>
    <mergeCell ref="A90:D90"/>
    <mergeCell ref="A95:D95"/>
    <mergeCell ref="A69:D69"/>
    <mergeCell ref="A74:D74"/>
    <mergeCell ref="A80:D80"/>
    <mergeCell ref="A85:D85"/>
    <mergeCell ref="A49:D49"/>
    <mergeCell ref="A54:D54"/>
    <mergeCell ref="A59:D59"/>
  </mergeCells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ICM - 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betalab</dc:creator>
  <cp:keywords/>
  <dc:description/>
  <cp:lastModifiedBy>aeicm</cp:lastModifiedBy>
  <dcterms:created xsi:type="dcterms:W3CDTF">2007-06-05T13:36:48Z</dcterms:created>
  <dcterms:modified xsi:type="dcterms:W3CDTF">2007-06-26T19:53:31Z</dcterms:modified>
  <cp:category/>
  <cp:version/>
  <cp:contentType/>
  <cp:contentStatus/>
</cp:coreProperties>
</file>