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940" windowHeight="4740" activeTab="1"/>
  </bookViews>
  <sheets>
    <sheet name="tablas" sheetId="1" r:id="rId1"/>
    <sheet name="HOJA DE DATOS y calculos" sheetId="2" r:id="rId2"/>
    <sheet name="HOJA DE CALCULOS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ABACO 2 FIGURA 20,10
 LOPEZ JIMENO(1994),   MANUAL DE PERFORACION Y VOLADURA, PAG 273</t>
        </r>
      </text>
    </comment>
    <comment ref="B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ABACO 2 FIGURA 20,10
 LOPEZ JIMENO(1994),   MANUAL DE PERFORACION Y VOLADURA, PAG 273</t>
        </r>
      </text>
    </comment>
  </commentList>
</comments>
</file>

<file path=xl/sharedStrings.xml><?xml version="1.0" encoding="utf-8"?>
<sst xmlns="http://schemas.openxmlformats.org/spreadsheetml/2006/main" count="155" uniqueCount="120">
  <si>
    <t>BARRENO (mm)</t>
  </si>
  <si>
    <t>DIAMETRO DEL</t>
  </si>
  <si>
    <t>Roca Blanda Media &lt;120MPa</t>
  </si>
  <si>
    <t>Roca Dura-Muy Dura&gt;120MPa</t>
  </si>
  <si>
    <t>ALTURA DE BANCO</t>
  </si>
  <si>
    <t>H (m)</t>
  </si>
  <si>
    <t>DIAMETRO DEL BARRENO</t>
  </si>
  <si>
    <t>D (mm)</t>
  </si>
  <si>
    <t xml:space="preserve">EQUIPO DE CARGA </t>
  </si>
  <si>
    <t>RECOMEDADO</t>
  </si>
  <si>
    <t>8 - 10</t>
  </si>
  <si>
    <t>10 - 15</t>
  </si>
  <si>
    <t>65 - 90</t>
  </si>
  <si>
    <t>100 - 150</t>
  </si>
  <si>
    <t xml:space="preserve">Pala de ruedas </t>
  </si>
  <si>
    <t>excavadora hidraulica o de cables</t>
  </si>
  <si>
    <t>TABLA 3.4.3.1</t>
  </si>
  <si>
    <t xml:space="preserve">VARIABLE DE </t>
  </si>
  <si>
    <t>DISEÑO</t>
  </si>
  <si>
    <t>PIEDRA - B</t>
  </si>
  <si>
    <t>ESPACIAMENTO - S</t>
  </si>
  <si>
    <t>RETACADO - T</t>
  </si>
  <si>
    <t>SOBREPERFORACION - J</t>
  </si>
  <si>
    <r>
      <t xml:space="preserve">                 PRODUCCION HORARIA MEDIA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b/h)</t>
    </r>
  </si>
  <si>
    <t>RESISTENCIA A LA COMPRESION SIMPLE (MPa)</t>
  </si>
  <si>
    <t xml:space="preserve">Blanda </t>
  </si>
  <si>
    <t>&lt;70</t>
  </si>
  <si>
    <t>70-120</t>
  </si>
  <si>
    <t>Media</t>
  </si>
  <si>
    <t>Dura</t>
  </si>
  <si>
    <t>120-180</t>
  </si>
  <si>
    <t>Muy Dura</t>
  </si>
  <si>
    <t>&gt;180</t>
  </si>
  <si>
    <t>39 D</t>
  </si>
  <si>
    <t>37 D</t>
  </si>
  <si>
    <t>35 D</t>
  </si>
  <si>
    <t>33 D</t>
  </si>
  <si>
    <t>40 D</t>
  </si>
  <si>
    <t>51 D</t>
  </si>
  <si>
    <t>10 D</t>
  </si>
  <si>
    <t>38 D</t>
  </si>
  <si>
    <t>47 D</t>
  </si>
  <si>
    <t>34 D</t>
  </si>
  <si>
    <t>11 D</t>
  </si>
  <si>
    <t>43 D</t>
  </si>
  <si>
    <t>32 D</t>
  </si>
  <si>
    <t>12 D</t>
  </si>
  <si>
    <t>30 D</t>
  </si>
  <si>
    <t xml:space="preserve"> TABLA 3.4.3.2</t>
  </si>
  <si>
    <t xml:space="preserve">TABLA 3.4.3.3 </t>
  </si>
  <si>
    <t xml:space="preserve">TABLA 3.4.3.4 </t>
  </si>
  <si>
    <t>LONGUITUD CARGA DE FONDO</t>
  </si>
  <si>
    <t>46 D</t>
  </si>
  <si>
    <t xml:space="preserve">DATOS </t>
  </si>
  <si>
    <t>DIMENSIONES</t>
  </si>
  <si>
    <t>DIAMETRO DE LA BROCA (mm)</t>
  </si>
  <si>
    <t>150-200</t>
  </si>
  <si>
    <t>RESISTENCIA  A LA COMPRESION ( Mpa)</t>
  </si>
  <si>
    <t>DENSIDAD DE LA ROCA (Tn/m3)</t>
  </si>
  <si>
    <t>DENSIDAD DEL ANFO [EXPLOSIVO] (Tn/m3)</t>
  </si>
  <si>
    <t>PESO DE LA DINAMITA (gr)</t>
  </si>
  <si>
    <t>VELOCIDAD DE DETONACION [dinamita] (m/s)</t>
  </si>
  <si>
    <t>TABLA DE DATOS</t>
  </si>
  <si>
    <t>COMPRESION SIMPLE (MPa)</t>
  </si>
  <si>
    <t xml:space="preserve"> ALTURA DE BANCO (m)</t>
  </si>
  <si>
    <t>DENSIDAD DE DINAMITA [EXPLOSIVO] (Tn/m3)</t>
  </si>
  <si>
    <t>DENSIDAD DEL DINAMITA [EXPLOSIVO] (Tn/m3)</t>
  </si>
  <si>
    <t>Sobreperforación [J] (m)</t>
  </si>
  <si>
    <t>Longuitud de Barreno (m)</t>
  </si>
  <si>
    <t>Espaciamiento[S] (m)</t>
  </si>
  <si>
    <t>Retacado [T](m)</t>
  </si>
  <si>
    <t>Piedra(m)[B]</t>
  </si>
  <si>
    <t>ANGULO DE PERFORACION [VERTICAL] (GRADOS)</t>
  </si>
  <si>
    <t>Rendimiento de arranque</t>
  </si>
  <si>
    <t>Longuitud de carga de fondo (m)</t>
  </si>
  <si>
    <t>Carga de fondo (Kg)</t>
  </si>
  <si>
    <t>Carga de columna (Kg)</t>
  </si>
  <si>
    <t>Carga de Barreno(Kg)</t>
  </si>
  <si>
    <t>longuitud de la carga de Columna (m)</t>
  </si>
  <si>
    <r>
      <t>VOLUMEN ARRANCADO (m</t>
    </r>
    <r>
      <rPr>
        <b/>
        <vertAlign val="superscript"/>
        <sz val="10"/>
        <color indexed="12"/>
        <rFont val="Arial"/>
        <family val="2"/>
      </rPr>
      <t>3</t>
    </r>
    <r>
      <rPr>
        <b/>
        <sz val="10"/>
        <color indexed="12"/>
        <rFont val="Arial"/>
        <family val="2"/>
      </rPr>
      <t>)</t>
    </r>
  </si>
  <si>
    <r>
      <t>Consumo Especifico (Kg/m</t>
    </r>
    <r>
      <rPr>
        <b/>
        <vertAlign val="superscript"/>
        <sz val="10"/>
        <color indexed="12"/>
        <rFont val="Arial"/>
        <family val="2"/>
      </rPr>
      <t>3</t>
    </r>
    <r>
      <rPr>
        <b/>
        <sz val="10"/>
        <color indexed="12"/>
        <rFont val="Arial"/>
        <family val="2"/>
      </rPr>
      <t>)</t>
    </r>
  </si>
  <si>
    <t>Piedra Maxima teorica (m)</t>
  </si>
  <si>
    <t>Sobreperforación (m)</t>
  </si>
  <si>
    <t>Profundidad del Taladro (m)</t>
  </si>
  <si>
    <t>Error de Perforación (m)</t>
  </si>
  <si>
    <t>Piedra Practica (m)</t>
  </si>
  <si>
    <t>Espaciamiento Practico (m)</t>
  </si>
  <si>
    <t>Concentración Carga de Fondo (kg/m)</t>
  </si>
  <si>
    <t>Altura de carga de Fondo (m)</t>
  </si>
  <si>
    <t>Carga de Fondo (kg)</t>
  </si>
  <si>
    <t>Concentración de Carga de Columna (kg/m)</t>
  </si>
  <si>
    <t>Altura de la carga de Columna (m)</t>
  </si>
  <si>
    <t>Carga de Columna (kg)</t>
  </si>
  <si>
    <t>Retacado (m)</t>
  </si>
  <si>
    <t>Carga Total de explosivo (Kg)</t>
  </si>
  <si>
    <r>
      <t>Carga especifica (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</si>
  <si>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Perforación Específica (m perforación/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</si>
  <si>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Relación de Burden</t>
  </si>
  <si>
    <t>Burden</t>
  </si>
  <si>
    <t>Profundidad del Barreno</t>
  </si>
  <si>
    <t>Relación de profundidad del Barreno</t>
  </si>
  <si>
    <t>Pasadura</t>
  </si>
  <si>
    <t>Relación de Pasadura</t>
  </si>
  <si>
    <t xml:space="preserve">Taco </t>
  </si>
  <si>
    <t>Relación de Taco</t>
  </si>
  <si>
    <t>Espaciamiento</t>
  </si>
  <si>
    <t>Relación de espaciamiento</t>
  </si>
  <si>
    <t>METODO LOPEZ JIMENO(VOL. BAN. PEQUEÑO)</t>
  </si>
  <si>
    <t>METODO DE LANGEFORS</t>
  </si>
  <si>
    <t>METODO ASH</t>
  </si>
  <si>
    <t>Concentracion de la Carga de Fondo (Kg/m)</t>
  </si>
  <si>
    <t>Ancho de la pega(m)</t>
  </si>
  <si>
    <t xml:space="preserve">   Resultados de Langefors</t>
  </si>
  <si>
    <t>Resultado de Lopez Jimeno</t>
  </si>
  <si>
    <t>Resultado de Ash</t>
  </si>
  <si>
    <t>Metodos</t>
  </si>
  <si>
    <t>Concentracion de laCarga de columna (Kg/m)</t>
  </si>
  <si>
    <r>
      <t>Perforación Especifica (m/m</t>
    </r>
    <r>
      <rPr>
        <b/>
        <vertAlign val="superscript"/>
        <sz val="10"/>
        <color indexed="12"/>
        <rFont val="Arial"/>
        <family val="2"/>
      </rPr>
      <t>3</t>
    </r>
    <r>
      <rPr>
        <b/>
        <sz val="10"/>
        <color indexed="12"/>
        <rFont val="Arial"/>
        <family val="2"/>
      </rPr>
      <t>)</t>
    </r>
  </si>
  <si>
    <t>DIAMETRO DE PERFORACION (mm) (D+6%D)     (pul)</t>
  </si>
  <si>
    <t>DISEÑO DE VOLADURA.doc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</si>
</sst>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3" fillId="2" borderId="16" xfId="0" applyFont="1" applyFill="1" applyBorder="1" applyAlignment="1">
      <alignment/>
    </xf>
    <xf numFmtId="170" fontId="2" fillId="3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170" fontId="2" fillId="3" borderId="19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/>
    </xf>
    <xf numFmtId="170" fontId="2" fillId="3" borderId="21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70" fontId="0" fillId="3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170" fontId="0" fillId="3" borderId="19" xfId="0" applyNumberFormat="1" applyFill="1" applyBorder="1" applyAlignment="1">
      <alignment horizontal="center"/>
    </xf>
    <xf numFmtId="0" fontId="9" fillId="2" borderId="20" xfId="0" applyFont="1" applyFill="1" applyBorder="1" applyAlignment="1">
      <alignment/>
    </xf>
    <xf numFmtId="170" fontId="0" fillId="3" borderId="21" xfId="0" applyNumberFormat="1" applyFill="1" applyBorder="1" applyAlignment="1">
      <alignment horizontal="center"/>
    </xf>
    <xf numFmtId="0" fontId="0" fillId="0" borderId="0" xfId="0" applyFont="1" applyFill="1" applyAlignment="1">
      <alignment textRotation="26" wrapText="1"/>
    </xf>
    <xf numFmtId="0" fontId="0" fillId="2" borderId="16" xfId="0" applyFill="1" applyBorder="1" applyAlignment="1">
      <alignment/>
    </xf>
    <xf numFmtId="170" fontId="0" fillId="3" borderId="17" xfId="0" applyNumberFormat="1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20" xfId="0" applyFill="1" applyBorder="1" applyAlignment="1">
      <alignment/>
    </xf>
    <xf numFmtId="0" fontId="3" fillId="4" borderId="0" xfId="0" applyFont="1" applyFill="1" applyAlignment="1">
      <alignment/>
    </xf>
    <xf numFmtId="170" fontId="2" fillId="4" borderId="0" xfId="0" applyNumberFormat="1" applyFont="1" applyFill="1" applyAlignment="1">
      <alignment horizontal="center"/>
    </xf>
    <xf numFmtId="170" fontId="0" fillId="4" borderId="0" xfId="0" applyNumberFormat="1" applyFill="1" applyAlignment="1">
      <alignment horizontal="center"/>
    </xf>
    <xf numFmtId="0" fontId="5" fillId="4" borderId="22" xfId="0" applyFont="1" applyFill="1" applyBorder="1" applyAlignment="1">
      <alignment/>
    </xf>
    <xf numFmtId="170" fontId="5" fillId="4" borderId="22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70" fontId="0" fillId="4" borderId="0" xfId="0" applyNumberFormat="1" applyFont="1" applyFill="1" applyAlignment="1">
      <alignment horizontal="center"/>
    </xf>
    <xf numFmtId="0" fontId="0" fillId="2" borderId="23" xfId="0" applyFill="1" applyBorder="1" applyAlignment="1">
      <alignment/>
    </xf>
    <xf numFmtId="170" fontId="0" fillId="3" borderId="24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170" fontId="0" fillId="3" borderId="28" xfId="0" applyNumberFormat="1" applyFont="1" applyFill="1" applyBorder="1" applyAlignment="1">
      <alignment horizontal="center"/>
    </xf>
    <xf numFmtId="170" fontId="0" fillId="3" borderId="29" xfId="0" applyNumberFormat="1" applyFill="1" applyBorder="1" applyAlignment="1">
      <alignment horizontal="center"/>
    </xf>
    <xf numFmtId="170" fontId="0" fillId="3" borderId="30" xfId="0" applyNumberFormat="1" applyFill="1" applyBorder="1" applyAlignment="1">
      <alignment horizontal="center"/>
    </xf>
    <xf numFmtId="170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12" fillId="4" borderId="15" xfId="0" applyFont="1" applyFill="1" applyBorder="1" applyAlignment="1">
      <alignment/>
    </xf>
    <xf numFmtId="0" fontId="0" fillId="4" borderId="6" xfId="0" applyFill="1" applyBorder="1" applyAlignment="1">
      <alignment/>
    </xf>
    <xf numFmtId="0" fontId="12" fillId="4" borderId="5" xfId="0" applyFont="1" applyFill="1" applyBorder="1" applyAlignment="1">
      <alignment horizontal="center"/>
    </xf>
    <xf numFmtId="0" fontId="9" fillId="2" borderId="37" xfId="0" applyFont="1" applyFill="1" applyBorder="1" applyAlignment="1">
      <alignment/>
    </xf>
    <xf numFmtId="170" fontId="0" fillId="3" borderId="36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26" xfId="0" applyFont="1" applyFill="1" applyBorder="1" applyAlignment="1">
      <alignment/>
    </xf>
    <xf numFmtId="170" fontId="0" fillId="3" borderId="38" xfId="0" applyNumberFormat="1" applyFont="1" applyFill="1" applyBorder="1" applyAlignment="1">
      <alignment horizontal="center"/>
    </xf>
    <xf numFmtId="170" fontId="0" fillId="3" borderId="2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170" fontId="0" fillId="3" borderId="4" xfId="0" applyNumberFormat="1" applyFill="1" applyBorder="1" applyAlignment="1">
      <alignment horizontal="center"/>
    </xf>
    <xf numFmtId="170" fontId="0" fillId="3" borderId="28" xfId="0" applyNumberForma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6" fillId="2" borderId="0" xfId="20" applyFill="1" applyBorder="1" applyAlignment="1">
      <alignment/>
    </xf>
    <xf numFmtId="170" fontId="6" fillId="3" borderId="19" xfId="20" applyNumberFormat="1" applyFill="1" applyBorder="1" applyAlignment="1">
      <alignment horizontal="center"/>
    </xf>
    <xf numFmtId="170" fontId="6" fillId="3" borderId="39" xfId="2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ISE&#65533;O%20DE%20VOLADURA.doc" TargetMode="External" /><Relationship Id="rId2" Type="http://schemas.openxmlformats.org/officeDocument/2006/relationships/hyperlink" Target="../ANEXOS/ABACO%202.doc" TargetMode="External" /><Relationship Id="rId3" Type="http://schemas.openxmlformats.org/officeDocument/2006/relationships/hyperlink" Target="../ANEXOS/ABACO%202.doc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workbookViewId="0" topLeftCell="C10">
      <selection activeCell="D27" sqref="D27:H33"/>
    </sheetView>
  </sheetViews>
  <sheetFormatPr defaultColWidth="9.140625" defaultRowHeight="12.75"/>
  <cols>
    <col min="1" max="1" width="11.421875" style="0" customWidth="1"/>
    <col min="2" max="2" width="25.00390625" style="0" customWidth="1"/>
    <col min="3" max="3" width="33.421875" style="0" customWidth="1"/>
    <col min="4" max="4" width="35.421875" style="0" customWidth="1"/>
    <col min="5" max="5" width="14.28125" style="0" customWidth="1"/>
    <col min="6" max="6" width="13.421875" style="0" customWidth="1"/>
    <col min="7" max="7" width="13.140625" style="0" customWidth="1"/>
    <col min="8" max="8" width="13.7109375" style="0" customWidth="1"/>
    <col min="9" max="16384" width="11.421875" style="0" customWidth="1"/>
  </cols>
  <sheetData>
    <row r="2" spans="2:4" ht="15.75" thickBot="1">
      <c r="B2" s="3" t="s">
        <v>16</v>
      </c>
      <c r="C2" s="3"/>
      <c r="D2" s="3"/>
    </row>
    <row r="3" spans="2:4" ht="19.5" thickBot="1">
      <c r="B3" s="4" t="s">
        <v>1</v>
      </c>
      <c r="C3" s="5" t="s">
        <v>23</v>
      </c>
      <c r="D3" s="6"/>
    </row>
    <row r="4" spans="2:4" ht="16.5" thickBot="1">
      <c r="B4" s="7" t="s">
        <v>0</v>
      </c>
      <c r="C4" s="8" t="s">
        <v>2</v>
      </c>
      <c r="D4" s="9" t="s">
        <v>3</v>
      </c>
    </row>
    <row r="5" spans="2:4" ht="15">
      <c r="B5" s="10"/>
      <c r="C5" s="11"/>
      <c r="D5" s="12"/>
    </row>
    <row r="6" spans="2:4" ht="15">
      <c r="B6" s="10">
        <v>65</v>
      </c>
      <c r="C6" s="11">
        <v>190</v>
      </c>
      <c r="D6" s="12">
        <v>60</v>
      </c>
    </row>
    <row r="7" spans="2:4" ht="15">
      <c r="B7" s="10">
        <v>89</v>
      </c>
      <c r="C7" s="11">
        <v>250</v>
      </c>
      <c r="D7" s="12">
        <v>110</v>
      </c>
    </row>
    <row r="8" spans="2:4" ht="15.75" thickBot="1">
      <c r="B8" s="13">
        <v>150</v>
      </c>
      <c r="C8" s="14">
        <v>550</v>
      </c>
      <c r="D8" s="15">
        <v>270</v>
      </c>
    </row>
    <row r="9" spans="2:4" ht="15">
      <c r="B9" s="3"/>
      <c r="C9" s="3"/>
      <c r="D9" s="3"/>
    </row>
    <row r="10" spans="2:4" ht="15.75" thickBot="1">
      <c r="B10" s="3" t="s">
        <v>48</v>
      </c>
      <c r="C10" s="3"/>
      <c r="D10" s="3"/>
    </row>
    <row r="11" spans="2:4" ht="15.75">
      <c r="B11" s="4" t="s">
        <v>4</v>
      </c>
      <c r="C11" s="4" t="s">
        <v>6</v>
      </c>
      <c r="D11" s="16" t="s">
        <v>8</v>
      </c>
    </row>
    <row r="12" spans="2:5" ht="16.5" thickBot="1">
      <c r="B12" s="7" t="s">
        <v>5</v>
      </c>
      <c r="C12" s="7" t="s">
        <v>7</v>
      </c>
      <c r="D12" s="17" t="s">
        <v>9</v>
      </c>
      <c r="E12" s="2"/>
    </row>
    <row r="13" spans="2:4" ht="15">
      <c r="B13" s="18" t="s">
        <v>10</v>
      </c>
      <c r="C13" s="19" t="s">
        <v>12</v>
      </c>
      <c r="D13" s="12" t="s">
        <v>14</v>
      </c>
    </row>
    <row r="14" spans="2:4" ht="15.75" thickBot="1">
      <c r="B14" s="20" t="s">
        <v>11</v>
      </c>
      <c r="C14" s="21" t="s">
        <v>13</v>
      </c>
      <c r="D14" s="15" t="s">
        <v>15</v>
      </c>
    </row>
    <row r="17" ht="15.75" thickBot="1">
      <c r="D17" s="3" t="s">
        <v>49</v>
      </c>
    </row>
    <row r="18" spans="4:8" ht="16.5" thickBot="1">
      <c r="D18" s="24" t="s">
        <v>17</v>
      </c>
      <c r="E18" s="28" t="s">
        <v>24</v>
      </c>
      <c r="F18" s="29"/>
      <c r="G18" s="29"/>
      <c r="H18" s="30"/>
    </row>
    <row r="19" spans="4:8" ht="15.75">
      <c r="D19" s="25" t="s">
        <v>18</v>
      </c>
      <c r="E19" s="4" t="s">
        <v>25</v>
      </c>
      <c r="F19" s="4" t="s">
        <v>28</v>
      </c>
      <c r="G19" s="4" t="s">
        <v>29</v>
      </c>
      <c r="H19" s="26" t="s">
        <v>31</v>
      </c>
    </row>
    <row r="20" spans="4:8" ht="16.5" thickBot="1">
      <c r="D20" s="27"/>
      <c r="E20" s="7" t="s">
        <v>26</v>
      </c>
      <c r="F20" s="7" t="s">
        <v>27</v>
      </c>
      <c r="G20" s="7" t="s">
        <v>30</v>
      </c>
      <c r="H20" s="17" t="s">
        <v>32</v>
      </c>
    </row>
    <row r="21" spans="4:8" ht="15">
      <c r="D21" s="31" t="s">
        <v>19</v>
      </c>
      <c r="E21" s="34" t="s">
        <v>33</v>
      </c>
      <c r="F21" s="10" t="s">
        <v>34</v>
      </c>
      <c r="G21" s="10" t="s">
        <v>35</v>
      </c>
      <c r="H21" s="12" t="s">
        <v>36</v>
      </c>
    </row>
    <row r="22" spans="4:8" ht="15">
      <c r="D22" s="32" t="s">
        <v>20</v>
      </c>
      <c r="E22" s="10" t="s">
        <v>38</v>
      </c>
      <c r="F22" s="10" t="s">
        <v>41</v>
      </c>
      <c r="G22" s="10" t="s">
        <v>44</v>
      </c>
      <c r="H22" s="12" t="s">
        <v>40</v>
      </c>
    </row>
    <row r="23" spans="4:8" ht="15">
      <c r="D23" s="32" t="s">
        <v>21</v>
      </c>
      <c r="E23" s="10" t="s">
        <v>35</v>
      </c>
      <c r="F23" s="10" t="s">
        <v>42</v>
      </c>
      <c r="G23" s="10" t="s">
        <v>45</v>
      </c>
      <c r="H23" s="12" t="s">
        <v>47</v>
      </c>
    </row>
    <row r="24" spans="4:8" ht="15.75" thickBot="1">
      <c r="D24" s="33" t="s">
        <v>22</v>
      </c>
      <c r="E24" s="13" t="s">
        <v>39</v>
      </c>
      <c r="F24" s="13" t="s">
        <v>43</v>
      </c>
      <c r="G24" s="13" t="s">
        <v>46</v>
      </c>
      <c r="H24" s="15" t="s">
        <v>46</v>
      </c>
    </row>
    <row r="25" spans="4:8" ht="12.75">
      <c r="D25" s="1"/>
      <c r="E25" s="1"/>
      <c r="F25" s="1"/>
      <c r="G25" s="1"/>
      <c r="H25" s="1"/>
    </row>
    <row r="27" ht="15.75" thickBot="1">
      <c r="D27" s="3" t="s">
        <v>50</v>
      </c>
    </row>
    <row r="28" spans="4:8" ht="16.5" thickBot="1">
      <c r="D28" s="24" t="s">
        <v>17</v>
      </c>
      <c r="E28" s="28" t="s">
        <v>24</v>
      </c>
      <c r="F28" s="29"/>
      <c r="G28" s="29"/>
      <c r="H28" s="30"/>
    </row>
    <row r="29" spans="4:8" ht="15.75">
      <c r="D29" s="25" t="s">
        <v>18</v>
      </c>
      <c r="E29" s="4" t="s">
        <v>25</v>
      </c>
      <c r="F29" s="4" t="s">
        <v>28</v>
      </c>
      <c r="G29" s="4" t="s">
        <v>29</v>
      </c>
      <c r="H29" s="26" t="s">
        <v>31</v>
      </c>
    </row>
    <row r="30" spans="4:8" ht="16.5" thickBot="1">
      <c r="D30" s="27"/>
      <c r="E30" s="7" t="s">
        <v>26</v>
      </c>
      <c r="F30" s="7" t="s">
        <v>27</v>
      </c>
      <c r="G30" s="7" t="s">
        <v>30</v>
      </c>
      <c r="H30" s="17" t="s">
        <v>32</v>
      </c>
    </row>
    <row r="31" spans="4:8" ht="15">
      <c r="D31" s="31"/>
      <c r="E31" s="34"/>
      <c r="F31" s="34"/>
      <c r="G31" s="34"/>
      <c r="H31" s="35"/>
    </row>
    <row r="32" spans="4:8" ht="15">
      <c r="D32" s="32" t="s">
        <v>51</v>
      </c>
      <c r="E32" s="10" t="s">
        <v>47</v>
      </c>
      <c r="F32" s="10" t="s">
        <v>35</v>
      </c>
      <c r="G32" s="10" t="s">
        <v>37</v>
      </c>
      <c r="H32" s="12" t="s">
        <v>52</v>
      </c>
    </row>
    <row r="33" spans="4:8" ht="15.75" thickBot="1">
      <c r="D33" s="33"/>
      <c r="E33" s="13"/>
      <c r="F33" s="13"/>
      <c r="G33" s="13"/>
      <c r="H33" s="15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0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52.28125" style="0" customWidth="1"/>
    <col min="2" max="2" width="20.57421875" style="38" customWidth="1"/>
    <col min="3" max="3" width="19.421875" style="0" customWidth="1"/>
    <col min="4" max="4" width="35.57421875" style="0" customWidth="1"/>
    <col min="5" max="5" width="36.00390625" style="0" customWidth="1"/>
    <col min="6" max="6" width="36.140625" style="0" customWidth="1"/>
    <col min="7" max="7" width="0.13671875" style="0" hidden="1" customWidth="1"/>
    <col min="8" max="8" width="12.00390625" style="0" hidden="1" customWidth="1"/>
    <col min="9" max="9" width="34.00390625" style="0" customWidth="1"/>
    <col min="10" max="10" width="0.2890625" style="0" hidden="1" customWidth="1"/>
    <col min="11" max="11" width="11.421875" style="0" hidden="1" customWidth="1"/>
    <col min="12" max="16384" width="11.421875" style="0" customWidth="1"/>
  </cols>
  <sheetData>
    <row r="1" ht="12.75"/>
    <row r="2" spans="1:15" ht="15.75" thickBot="1">
      <c r="A2" s="63" t="s">
        <v>53</v>
      </c>
      <c r="B2" s="64" t="s">
        <v>54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9" t="s">
        <v>55</v>
      </c>
      <c r="B3" s="40">
        <v>76.2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1" t="s">
        <v>57</v>
      </c>
      <c r="B4" s="42" t="s">
        <v>56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41" t="s">
        <v>58</v>
      </c>
      <c r="B5" s="42">
        <v>2.85</v>
      </c>
      <c r="C5" s="2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>
      <c r="A6" s="41" t="s">
        <v>59</v>
      </c>
      <c r="B6" s="42">
        <v>0.8</v>
      </c>
      <c r="C6" s="2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41" t="s">
        <v>65</v>
      </c>
      <c r="B7" s="42">
        <v>1.37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41" t="s">
        <v>61</v>
      </c>
      <c r="B8" s="42">
        <v>3600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5" thickBot="1">
      <c r="A9" s="43" t="s">
        <v>60</v>
      </c>
      <c r="B9" s="44">
        <v>260</v>
      </c>
      <c r="C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>
      <c r="A10" s="22"/>
      <c r="B10" s="37"/>
      <c r="C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 thickBot="1">
      <c r="A11" s="65" t="s">
        <v>62</v>
      </c>
      <c r="B11" s="66"/>
      <c r="C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 thickBot="1">
      <c r="A12" s="45" t="s">
        <v>64</v>
      </c>
      <c r="B12" s="92">
        <v>10</v>
      </c>
      <c r="C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 thickBot="1">
      <c r="A13" s="91" t="s">
        <v>118</v>
      </c>
      <c r="B13" s="47">
        <f>B3+(B3*6/100)</f>
        <v>80.772</v>
      </c>
      <c r="C13" s="94">
        <v>3.2</v>
      </c>
      <c r="D13" s="36"/>
      <c r="E13" s="36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46" t="s">
        <v>63</v>
      </c>
      <c r="B14" s="93">
        <v>175</v>
      </c>
      <c r="C14" s="3"/>
      <c r="D14" s="36"/>
      <c r="E14" s="36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">
      <c r="A15" s="46" t="s">
        <v>58</v>
      </c>
      <c r="B15" s="42">
        <v>2.85</v>
      </c>
      <c r="C15" s="3"/>
      <c r="D15" s="36"/>
      <c r="E15" s="36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6" t="s">
        <v>59</v>
      </c>
      <c r="B16" s="42">
        <v>0.8</v>
      </c>
      <c r="C16" s="3"/>
      <c r="D16" s="36"/>
      <c r="E16" s="36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>
      <c r="A17" s="46" t="s">
        <v>66</v>
      </c>
      <c r="B17" s="42">
        <v>1.37</v>
      </c>
      <c r="C17" s="3"/>
      <c r="D17" s="36"/>
      <c r="E17" s="36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 thickBot="1">
      <c r="A18" s="48" t="s">
        <v>72</v>
      </c>
      <c r="B18" s="44">
        <v>90</v>
      </c>
      <c r="C18" s="3"/>
      <c r="D18" s="36"/>
      <c r="E18" s="36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22"/>
      <c r="B19" s="37"/>
      <c r="C19" s="3"/>
      <c r="D19" s="36"/>
      <c r="E19" s="36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thickBot="1">
      <c r="A20" s="60" t="s">
        <v>107</v>
      </c>
      <c r="B20" s="61"/>
      <c r="C20" s="3"/>
      <c r="D20" s="55"/>
      <c r="E20" s="36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49" t="s">
        <v>67</v>
      </c>
      <c r="B21" s="40">
        <f>12*B13*0.001</f>
        <v>0.9692640000000001</v>
      </c>
      <c r="C21" s="3"/>
      <c r="D21" s="36"/>
      <c r="E21" s="36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5" ht="15.75">
      <c r="A22" s="50" t="s">
        <v>68</v>
      </c>
      <c r="B22" s="42">
        <f>B12+B21</f>
        <v>10.969264</v>
      </c>
      <c r="D22" s="36"/>
      <c r="E22" s="36"/>
    </row>
    <row r="23" spans="1:5" ht="15.75">
      <c r="A23" s="50" t="s">
        <v>70</v>
      </c>
      <c r="B23" s="42">
        <f>32*B13*0.001</f>
        <v>2.5847040000000003</v>
      </c>
      <c r="C23" s="3"/>
      <c r="D23" s="36"/>
      <c r="E23" s="36"/>
    </row>
    <row r="24" spans="1:5" ht="15.75">
      <c r="A24" s="50" t="s">
        <v>71</v>
      </c>
      <c r="B24" s="42">
        <f>35*B13*0.001</f>
        <v>2.82702</v>
      </c>
      <c r="C24" s="3"/>
      <c r="D24" s="36"/>
      <c r="E24" s="36"/>
    </row>
    <row r="25" spans="1:5" ht="15.75">
      <c r="A25" s="50" t="s">
        <v>69</v>
      </c>
      <c r="B25" s="42">
        <f>43*B13*0.001</f>
        <v>3.4731960000000006</v>
      </c>
      <c r="C25" s="3"/>
      <c r="D25" s="36"/>
      <c r="E25" s="36"/>
    </row>
    <row r="26" spans="1:3" ht="15">
      <c r="A26" s="51" t="s">
        <v>79</v>
      </c>
      <c r="B26" s="42">
        <f>B24*B25*B12</f>
        <v>98.18794555920002</v>
      </c>
      <c r="C26" s="3"/>
    </row>
    <row r="27" spans="1:3" ht="15">
      <c r="A27" s="51" t="s">
        <v>73</v>
      </c>
      <c r="B27" s="42">
        <f>B26/B22</f>
        <v>8.951188116103324</v>
      </c>
      <c r="C27" s="3"/>
    </row>
    <row r="28" spans="1:2" ht="15">
      <c r="A28" s="51" t="s">
        <v>74</v>
      </c>
      <c r="B28" s="42">
        <f>40*B13*0.001</f>
        <v>3.23088</v>
      </c>
    </row>
    <row r="29" spans="1:2" ht="12.75">
      <c r="A29" s="51" t="s">
        <v>110</v>
      </c>
      <c r="B29" s="101">
        <v>8</v>
      </c>
    </row>
    <row r="30" spans="1:2" ht="12.75">
      <c r="A30" s="51" t="s">
        <v>75</v>
      </c>
      <c r="B30" s="52">
        <f>B29*B28</f>
        <v>25.84704</v>
      </c>
    </row>
    <row r="31" spans="1:2" ht="12.75">
      <c r="A31" s="51" t="s">
        <v>78</v>
      </c>
      <c r="B31" s="52">
        <f>B22-(B28+B23)</f>
        <v>5.1536800000000005</v>
      </c>
    </row>
    <row r="32" spans="1:2" ht="12.75">
      <c r="A32" s="51" t="s">
        <v>116</v>
      </c>
      <c r="B32" s="52">
        <f>B33/B31</f>
        <v>16.328712686856772</v>
      </c>
    </row>
    <row r="33" spans="1:2" ht="12.75">
      <c r="A33" s="51" t="s">
        <v>76</v>
      </c>
      <c r="B33" s="52">
        <f>B34-B30</f>
        <v>84.15296000000001</v>
      </c>
    </row>
    <row r="34" spans="1:2" ht="12.75">
      <c r="A34" s="88" t="s">
        <v>77</v>
      </c>
      <c r="B34" s="102">
        <v>110</v>
      </c>
    </row>
    <row r="35" spans="1:2" ht="14.25">
      <c r="A35" s="51" t="s">
        <v>80</v>
      </c>
      <c r="B35" s="52">
        <f>(7*B34)/(B24*B55*B12)</f>
        <v>1.3618580696280889</v>
      </c>
    </row>
    <row r="36" spans="1:2" ht="15" thickBot="1">
      <c r="A36" s="53" t="s">
        <v>117</v>
      </c>
      <c r="B36" s="54">
        <f>(7*B22)/(B24*B55*B12)</f>
        <v>0.13580527905709902</v>
      </c>
    </row>
    <row r="37" ht="13.5" thickBot="1"/>
    <row r="38" spans="1:11" ht="18.75" thickBot="1">
      <c r="A38" s="60" t="s">
        <v>108</v>
      </c>
      <c r="B38" s="62"/>
      <c r="D38" s="87" t="s">
        <v>115</v>
      </c>
      <c r="E38" s="87" t="s">
        <v>112</v>
      </c>
      <c r="F38" s="99" t="s">
        <v>113</v>
      </c>
      <c r="G38" s="69"/>
      <c r="H38" s="70"/>
      <c r="I38" s="87" t="s">
        <v>114</v>
      </c>
      <c r="J38" s="85"/>
      <c r="K38" s="86"/>
    </row>
    <row r="39" spans="1:11" ht="12.75">
      <c r="A39" s="56" t="s">
        <v>81</v>
      </c>
      <c r="B39" s="57">
        <f>45*B13*0.001</f>
        <v>3.6347400000000003</v>
      </c>
      <c r="D39" s="73" t="s">
        <v>64</v>
      </c>
      <c r="E39" s="76">
        <f>LOOKUP(A12,A12:B18)</f>
        <v>10</v>
      </c>
      <c r="F39" s="98">
        <f>LOOKUP(A12,A12:B18)</f>
        <v>10</v>
      </c>
      <c r="G39" s="80"/>
      <c r="H39" s="80"/>
      <c r="I39" s="98">
        <f>LOOKUP(A12,A12:B18)</f>
        <v>10</v>
      </c>
      <c r="J39" s="80"/>
      <c r="K39" s="81"/>
    </row>
    <row r="40" spans="1:11" ht="12.75">
      <c r="A40" s="58" t="s">
        <v>82</v>
      </c>
      <c r="B40" s="52">
        <f>0.3*B39</f>
        <v>1.090422</v>
      </c>
      <c r="D40" s="74" t="s">
        <v>83</v>
      </c>
      <c r="E40" s="77">
        <f>B12+B40+0.05*(B12+B40)</f>
        <v>11.6449431</v>
      </c>
      <c r="F40" s="77">
        <f>LOOKUP(A22,A21:B35)</f>
        <v>10.969264</v>
      </c>
      <c r="G40" s="83"/>
      <c r="H40" s="83"/>
      <c r="I40" s="77">
        <f>3*B59</f>
        <v>7.013547083347647</v>
      </c>
      <c r="J40" s="83"/>
      <c r="K40" s="84"/>
    </row>
    <row r="41" spans="1:11" ht="12.75">
      <c r="A41" s="58" t="s">
        <v>83</v>
      </c>
      <c r="B41" s="52">
        <f>B12+B40+0.05*(B12+B40)</f>
        <v>11.6449431</v>
      </c>
      <c r="D41" s="74" t="s">
        <v>85</v>
      </c>
      <c r="E41" s="77">
        <f>B39-B42</f>
        <v>3.2353917070000002</v>
      </c>
      <c r="F41" s="77">
        <f>35*B13*0.001</f>
        <v>2.82702</v>
      </c>
      <c r="G41" s="83"/>
      <c r="H41" s="83"/>
      <c r="I41" s="77">
        <f>B58*B13*0.001</f>
        <v>2.337849027782549</v>
      </c>
      <c r="J41" s="83"/>
      <c r="K41" s="84"/>
    </row>
    <row r="42" spans="1:11" ht="12.75">
      <c r="A42" s="58" t="s">
        <v>84</v>
      </c>
      <c r="B42" s="52">
        <f>0.05+0.03*B41</f>
        <v>0.399348293</v>
      </c>
      <c r="D42" s="74" t="s">
        <v>86</v>
      </c>
      <c r="E42" s="77">
        <f>1.25*B43</f>
        <v>4.04423963375</v>
      </c>
      <c r="F42" s="77">
        <f>43*B13*0.001</f>
        <v>3.4731960000000006</v>
      </c>
      <c r="G42" s="83"/>
      <c r="H42" s="83"/>
      <c r="I42" s="77">
        <f>1.2*B59</f>
        <v>2.8054188333390586</v>
      </c>
      <c r="J42" s="83"/>
      <c r="K42" s="84"/>
    </row>
    <row r="43" spans="1:11" ht="12.75">
      <c r="A43" s="58" t="s">
        <v>85</v>
      </c>
      <c r="B43" s="52">
        <f>B39-B42</f>
        <v>3.2353917070000002</v>
      </c>
      <c r="D43" s="74" t="s">
        <v>89</v>
      </c>
      <c r="E43" s="77">
        <f>B46*B45</f>
        <v>30.827504931189416</v>
      </c>
      <c r="F43" s="77">
        <f>B28*B29</f>
        <v>25.84704</v>
      </c>
      <c r="G43" s="83"/>
      <c r="H43" s="83"/>
      <c r="I43" s="77">
        <f>0.6*B75</f>
        <v>13.391721113852615</v>
      </c>
      <c r="J43" s="83"/>
      <c r="K43" s="84"/>
    </row>
    <row r="44" spans="1:11" ht="12.75">
      <c r="A44" s="58" t="s">
        <v>86</v>
      </c>
      <c r="B44" s="52">
        <f>1.25*B43</f>
        <v>4.04423963375</v>
      </c>
      <c r="D44" s="74" t="s">
        <v>92</v>
      </c>
      <c r="E44" s="77">
        <f>B48*B49</f>
        <v>9.614953492060543</v>
      </c>
      <c r="F44" s="77">
        <f>B34-B30</f>
        <v>84.15296000000001</v>
      </c>
      <c r="G44" s="83"/>
      <c r="H44" s="83"/>
      <c r="I44" s="77">
        <f>0.4*B75</f>
        <v>8.927814075901743</v>
      </c>
      <c r="J44" s="83"/>
      <c r="K44" s="84"/>
    </row>
    <row r="45" spans="1:11" ht="14.25">
      <c r="A45" s="58" t="s">
        <v>87</v>
      </c>
      <c r="B45" s="52">
        <f>(B13*B13)/1000</f>
        <v>6.524115984000001</v>
      </c>
      <c r="D45" s="74" t="s">
        <v>95</v>
      </c>
      <c r="E45" s="78">
        <f>(7*B52)/(B43*B12*B55)</f>
        <v>0.4375006716346722</v>
      </c>
      <c r="F45" s="78">
        <f>(7*B34)/(B24*B55*B12)</f>
        <v>1.3618580696280889</v>
      </c>
      <c r="G45" s="82"/>
      <c r="H45" s="82"/>
      <c r="I45" s="68">
        <f>(7*B75)/(B59*B55*B12)</f>
        <v>0.3341463552000001</v>
      </c>
      <c r="J45" s="83"/>
      <c r="K45" s="84"/>
    </row>
    <row r="46" spans="1:11" ht="15" thickBot="1">
      <c r="A46" s="58" t="s">
        <v>88</v>
      </c>
      <c r="B46" s="52">
        <f>1.3*B39</f>
        <v>4.725162000000001</v>
      </c>
      <c r="D46" s="75" t="s">
        <v>96</v>
      </c>
      <c r="E46" s="79">
        <f>(7*E40)/(B43*E39*B55)</f>
        <v>0.12597331186149324</v>
      </c>
      <c r="F46" s="97">
        <f>(7*B22)/(B24*B55*B12)</f>
        <v>0.13580527905709902</v>
      </c>
      <c r="G46" s="71"/>
      <c r="H46" s="71"/>
      <c r="I46" s="54">
        <f>(7*B60)/(B59*B12*B55)</f>
        <v>0.105</v>
      </c>
      <c r="J46" s="71"/>
      <c r="K46" s="72"/>
    </row>
    <row r="47" spans="1:2" ht="12.75">
      <c r="A47" s="58" t="s">
        <v>89</v>
      </c>
      <c r="B47" s="52">
        <f>B46*B45</f>
        <v>30.827504931189416</v>
      </c>
    </row>
    <row r="48" spans="1:2" ht="12.75">
      <c r="A48" s="58" t="s">
        <v>90</v>
      </c>
      <c r="B48" s="52">
        <f>0.4*B45</f>
        <v>2.6096463936000003</v>
      </c>
    </row>
    <row r="49" spans="1:2" ht="12.75">
      <c r="A49" s="58" t="s">
        <v>91</v>
      </c>
      <c r="B49" s="52">
        <f>B41-B46-B43</f>
        <v>3.6843893929999996</v>
      </c>
    </row>
    <row r="50" spans="1:2" ht="12.75">
      <c r="A50" s="58" t="s">
        <v>92</v>
      </c>
      <c r="B50" s="52">
        <f>B48*B49</f>
        <v>9.614953492060543</v>
      </c>
    </row>
    <row r="51" spans="1:2" ht="12.75">
      <c r="A51" s="58" t="s">
        <v>93</v>
      </c>
      <c r="B51" s="52">
        <f>B43</f>
        <v>3.2353917070000002</v>
      </c>
    </row>
    <row r="52" spans="1:2" ht="12.75">
      <c r="A52" s="58" t="s">
        <v>94</v>
      </c>
      <c r="B52" s="52">
        <f>B50+B47</f>
        <v>40.44245842324996</v>
      </c>
    </row>
    <row r="53" spans="1:2" ht="14.25">
      <c r="A53" s="67" t="s">
        <v>95</v>
      </c>
      <c r="B53" s="68">
        <f>(7*B52)/(B43*B12*B55)</f>
        <v>0.4375006716346722</v>
      </c>
    </row>
    <row r="54" spans="1:2" ht="14.25">
      <c r="A54" s="58" t="s">
        <v>96</v>
      </c>
      <c r="B54" s="52">
        <f>(7*B41)/(B43*B12*B55)</f>
        <v>0.12597331186149324</v>
      </c>
    </row>
    <row r="55" spans="1:2" ht="13.5" thickBot="1">
      <c r="A55" s="59" t="s">
        <v>111</v>
      </c>
      <c r="B55" s="54">
        <v>20</v>
      </c>
    </row>
    <row r="57" spans="1:2" ht="16.5" thickBot="1">
      <c r="A57" s="60" t="s">
        <v>109</v>
      </c>
      <c r="B57" s="62"/>
    </row>
    <row r="58" spans="1:2" ht="12.75">
      <c r="A58" s="56" t="s">
        <v>97</v>
      </c>
      <c r="B58" s="57">
        <f>0.1573*(POWER(B7/B15,1/3))*(POWER(B8,2/3))</f>
        <v>28.943805127798605</v>
      </c>
    </row>
    <row r="59" spans="1:2" ht="12.75">
      <c r="A59" s="58" t="s">
        <v>98</v>
      </c>
      <c r="B59" s="52">
        <f>B58*B13*0.001</f>
        <v>2.337849027782549</v>
      </c>
    </row>
    <row r="60" spans="1:2" ht="12.75">
      <c r="A60" s="58" t="s">
        <v>99</v>
      </c>
      <c r="B60" s="52">
        <f>3*B59</f>
        <v>7.013547083347647</v>
      </c>
    </row>
    <row r="61" spans="1:2" ht="12.75">
      <c r="A61" s="58" t="s">
        <v>100</v>
      </c>
      <c r="B61" s="52">
        <f>B60/B59</f>
        <v>3</v>
      </c>
    </row>
    <row r="62" spans="1:2" ht="12.75">
      <c r="A62" s="58" t="s">
        <v>101</v>
      </c>
      <c r="B62" s="52">
        <f>0.3*B59</f>
        <v>0.7013547083347647</v>
      </c>
    </row>
    <row r="63" spans="1:2" ht="12.75">
      <c r="A63" s="58" t="s">
        <v>102</v>
      </c>
      <c r="B63" s="52">
        <f>B62/B59</f>
        <v>0.3</v>
      </c>
    </row>
    <row r="64" spans="1:2" ht="12.75">
      <c r="A64" s="58" t="s">
        <v>103</v>
      </c>
      <c r="B64" s="52">
        <f>0.7*B59</f>
        <v>1.6364943194477841</v>
      </c>
    </row>
    <row r="65" spans="1:2" ht="12.75">
      <c r="A65" s="58" t="s">
        <v>104</v>
      </c>
      <c r="B65" s="52">
        <f>B64/B59</f>
        <v>0.7</v>
      </c>
    </row>
    <row r="66" spans="1:2" ht="12.75">
      <c r="A66" s="58" t="s">
        <v>105</v>
      </c>
      <c r="B66" s="52">
        <f>1.2*B59</f>
        <v>2.8054188333390586</v>
      </c>
    </row>
    <row r="67" spans="1:2" ht="12.75">
      <c r="A67" s="58" t="s">
        <v>106</v>
      </c>
      <c r="B67" s="89">
        <f>B66/B59</f>
        <v>1.2</v>
      </c>
    </row>
    <row r="68" spans="1:2" ht="12.75">
      <c r="A68" s="58" t="s">
        <v>87</v>
      </c>
      <c r="B68" s="89">
        <f>B70/B69</f>
        <v>4.4063255630769245</v>
      </c>
    </row>
    <row r="69" spans="1:2" ht="12.75">
      <c r="A69" s="58" t="s">
        <v>88</v>
      </c>
      <c r="B69" s="89">
        <f>1.3*B59</f>
        <v>3.039203736117314</v>
      </c>
    </row>
    <row r="70" spans="1:2" ht="12.75">
      <c r="A70" s="58" t="s">
        <v>89</v>
      </c>
      <c r="B70" s="89">
        <f>0.6*B75</f>
        <v>13.391721113852615</v>
      </c>
    </row>
    <row r="71" spans="1:2" ht="12.75">
      <c r="A71" s="58" t="s">
        <v>90</v>
      </c>
      <c r="B71" s="89">
        <f>B73/B72</f>
        <v>3.8188154880000007</v>
      </c>
    </row>
    <row r="72" spans="1:2" ht="12.75">
      <c r="A72" s="58" t="s">
        <v>91</v>
      </c>
      <c r="B72" s="89">
        <f>B60-B64-B69</f>
        <v>2.3378490277825494</v>
      </c>
    </row>
    <row r="73" spans="1:4" ht="12.75">
      <c r="A73" s="58" t="s">
        <v>92</v>
      </c>
      <c r="B73" s="52">
        <f>0.4*B75</f>
        <v>8.927814075901743</v>
      </c>
      <c r="D73" s="90"/>
    </row>
    <row r="74" spans="1:2" ht="12.75">
      <c r="A74" s="58" t="s">
        <v>111</v>
      </c>
      <c r="B74" s="52">
        <f>B55</f>
        <v>20</v>
      </c>
    </row>
    <row r="75" spans="1:2" ht="12.75">
      <c r="A75" s="58" t="s">
        <v>94</v>
      </c>
      <c r="B75" s="52">
        <f>(0.5067*B16*C13*C13)*(B60-B64)</f>
        <v>22.319535189754358</v>
      </c>
    </row>
    <row r="76" spans="1:2" ht="14.25">
      <c r="A76" s="58" t="s">
        <v>95</v>
      </c>
      <c r="B76" s="68">
        <f>(7*B75)/(B59*B55*B12)</f>
        <v>0.3341463552000001</v>
      </c>
    </row>
    <row r="77" spans="1:2" ht="15" thickBot="1">
      <c r="A77" s="59" t="s">
        <v>96</v>
      </c>
      <c r="B77" s="54">
        <f>(7*B60)/(B59*B55*B12)</f>
        <v>0.105</v>
      </c>
    </row>
    <row r="78" spans="1:2" ht="12.75">
      <c r="A78" s="95"/>
      <c r="B78" s="96"/>
    </row>
    <row r="79" spans="1:2" ht="12.75">
      <c r="A79" s="95"/>
      <c r="B79" s="96"/>
    </row>
    <row r="80" ht="12.75">
      <c r="A80" s="100" t="s">
        <v>119</v>
      </c>
    </row>
  </sheetData>
  <hyperlinks>
    <hyperlink ref="A80" r:id="rId1" display="DISEÑO DE VOLADURA.doc"/>
    <hyperlink ref="B29" r:id="rId2" display="../ANEXOS/ABACO 2.doc"/>
    <hyperlink ref="B34" r:id="rId3" display="../ANEXOS/ABACO 2.doc"/>
  </hyperlinks>
  <printOptions/>
  <pageMargins left="0.75" right="0.75" top="1" bottom="1" header="0" footer="0"/>
  <pageSetup horizontalDpi="600" verticalDpi="600" orientation="portrait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MINAS</cp:lastModifiedBy>
  <dcterms:created xsi:type="dcterms:W3CDTF">2003-07-08T18:28:12Z</dcterms:created>
  <dcterms:modified xsi:type="dcterms:W3CDTF">2003-07-18T17:44:53Z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