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tabRatio="895" activeTab="3"/>
  </bookViews>
  <sheets>
    <sheet name="Costos" sheetId="1" r:id="rId1"/>
    <sheet name="Presup de Gastos" sheetId="2" r:id="rId2"/>
    <sheet name="Estado de Resultados" sheetId="3" r:id="rId3"/>
    <sheet name="Presupuesto de Inversión" sheetId="4" r:id="rId4"/>
    <sheet name="Flujo de Caja" sheetId="5" r:id="rId5"/>
    <sheet name="Amortización" sheetId="6" r:id="rId6"/>
    <sheet name="Depreciación" sheetId="7" r:id="rId7"/>
    <sheet name="Cuadro de Personal" sheetId="8" r:id="rId8"/>
    <sheet name="Balance General" sheetId="9" r:id="rId9"/>
  </sheets>
  <definedNames/>
  <calcPr fullCalcOnLoad="1"/>
</workbook>
</file>

<file path=xl/sharedStrings.xml><?xml version="1.0" encoding="utf-8"?>
<sst xmlns="http://schemas.openxmlformats.org/spreadsheetml/2006/main" count="313" uniqueCount="208">
  <si>
    <t>PRESUPUESTO DE GASTO DE FINANCIACION</t>
  </si>
  <si>
    <t>Equipamiento</t>
  </si>
  <si>
    <t>Anual</t>
  </si>
  <si>
    <t>Suministro de oficina (papel, lapiz, etc.)</t>
  </si>
  <si>
    <t>Muebles de Oficina ( archivador, muebles, etc.)</t>
  </si>
  <si>
    <t>Vehículo</t>
  </si>
  <si>
    <t>Total de Inversion en Equipamiento</t>
  </si>
  <si>
    <t>Suministro de Oficina</t>
  </si>
  <si>
    <t>Resmas de Papel A4</t>
  </si>
  <si>
    <t>Plumas</t>
  </si>
  <si>
    <t>Carpetas</t>
  </si>
  <si>
    <t>Cajitas de Clic</t>
  </si>
  <si>
    <t>Grapadora</t>
  </si>
  <si>
    <t>Cajitas de Grapas</t>
  </si>
  <si>
    <t>Varios</t>
  </si>
  <si>
    <t>TOTAL</t>
  </si>
  <si>
    <t>Mesual</t>
  </si>
  <si>
    <t>Cant</t>
  </si>
  <si>
    <t>Muebles de Oficina</t>
  </si>
  <si>
    <t>Muebles y Enseres</t>
  </si>
  <si>
    <t>Equipos de Oficina</t>
  </si>
  <si>
    <t>Escritorios</t>
  </si>
  <si>
    <t>Acondicionador de Aire</t>
  </si>
  <si>
    <t>Impresoras</t>
  </si>
  <si>
    <t>Dispensador de Agua</t>
  </si>
  <si>
    <t>PRESUPUESTO DE GASTOS ADMINISTRATIVOS</t>
  </si>
  <si>
    <t>Personal Administrativo</t>
  </si>
  <si>
    <t>Mensual</t>
  </si>
  <si>
    <t>Gerente de Marketing y Ventas</t>
  </si>
  <si>
    <t>Gerentes Financiero</t>
  </si>
  <si>
    <t>Total Gastos Administrativos</t>
  </si>
  <si>
    <t>PRESUPUESTO DE SUELDOS Y SALARIOS</t>
  </si>
  <si>
    <t>Jefe de Bodega</t>
  </si>
  <si>
    <t>Secretaria</t>
  </si>
  <si>
    <t>Agentes Vendedores</t>
  </si>
  <si>
    <t>Personal de Bodega</t>
  </si>
  <si>
    <t>Total del Personal</t>
  </si>
  <si>
    <t>Servicios Basicos</t>
  </si>
  <si>
    <t>Agua</t>
  </si>
  <si>
    <t>Luz</t>
  </si>
  <si>
    <t>Telefono</t>
  </si>
  <si>
    <t>GASTO DE PUBLICIDAD</t>
  </si>
  <si>
    <t>Año 2009</t>
  </si>
  <si>
    <t>Volantes</t>
  </si>
  <si>
    <t>Producto Inflable</t>
  </si>
  <si>
    <t>PRESUPUESTO DE GASTOS</t>
  </si>
  <si>
    <t>Gastos Administrativos</t>
  </si>
  <si>
    <t>Sueldos y Salarios</t>
  </si>
  <si>
    <t>Total Gastos de Administrativos</t>
  </si>
  <si>
    <t>Gastos de Ventas</t>
  </si>
  <si>
    <t>Comisiones</t>
  </si>
  <si>
    <t>Publicidad</t>
  </si>
  <si>
    <t>Seguro de Almacenamiento</t>
  </si>
  <si>
    <t>Capacitación</t>
  </si>
  <si>
    <t>Total Gastos de Ventas</t>
  </si>
  <si>
    <t>Gastos Varios</t>
  </si>
  <si>
    <t>Guardiania</t>
  </si>
  <si>
    <t>Teléfono</t>
  </si>
  <si>
    <t>Total Gastos Varios</t>
  </si>
  <si>
    <t>TOTAL DE GASTOS</t>
  </si>
  <si>
    <t>COSTOS FIJOS</t>
  </si>
  <si>
    <t>Gastos Administrativo</t>
  </si>
  <si>
    <t>Suministros de Oficina</t>
  </si>
  <si>
    <t>TOTAL COSTOS FIJOS</t>
  </si>
  <si>
    <t>%</t>
  </si>
  <si>
    <t>PVP</t>
  </si>
  <si>
    <t>VENTAS PROYECTADAS</t>
  </si>
  <si>
    <t>Año</t>
  </si>
  <si>
    <t>Ventas</t>
  </si>
  <si>
    <t>COSTO DE VENTA</t>
  </si>
  <si>
    <t>INVERSIÓN</t>
  </si>
  <si>
    <t>Equipos de Computación</t>
  </si>
  <si>
    <t>Monto a Financiar</t>
  </si>
  <si>
    <t>Tasa</t>
  </si>
  <si>
    <t>Plazo</t>
  </si>
  <si>
    <t>MONTO A FINANCIAR</t>
  </si>
  <si>
    <t>Cuota</t>
  </si>
  <si>
    <t>Interes</t>
  </si>
  <si>
    <t>Capital</t>
  </si>
  <si>
    <t>Saldo Insoluto</t>
  </si>
  <si>
    <t>TOTAL INVERSION</t>
  </si>
  <si>
    <t>Capital de Trabajo</t>
  </si>
  <si>
    <t>Efectivo</t>
  </si>
  <si>
    <t>Intangible</t>
  </si>
  <si>
    <t>Gastos de Constitución</t>
  </si>
  <si>
    <t>Patente</t>
  </si>
  <si>
    <t>TOTAL INTANGIBLE</t>
  </si>
  <si>
    <t>DEPRECIACIÓN POR EL METODO DE LINEA RECTA</t>
  </si>
  <si>
    <t>Vida Util</t>
  </si>
  <si>
    <t>Valor</t>
  </si>
  <si>
    <t>V. Salvamento</t>
  </si>
  <si>
    <t>V. Depreciable</t>
  </si>
  <si>
    <t>Deprec Anual</t>
  </si>
  <si>
    <t>EQUIPOS DE COMPUTACIÓN</t>
  </si>
  <si>
    <t>MUEBLES Y ENSERES</t>
  </si>
  <si>
    <t>VEHÍCULO</t>
  </si>
  <si>
    <t>EQUIPOS DE OFICINA</t>
  </si>
  <si>
    <t>Dep Anual</t>
  </si>
  <si>
    <t>Dep Acumulada</t>
  </si>
  <si>
    <t>Saldo en Libros</t>
  </si>
  <si>
    <t>VALOR DE SALVAMENTO</t>
  </si>
  <si>
    <t>DEPRECIACIÓN ANUAL</t>
  </si>
  <si>
    <t>DEPRECIACIÓN ACUMULADA</t>
  </si>
  <si>
    <t>DEPARTAMENTO FINANCIERO</t>
  </si>
  <si>
    <t>PERSONAL DE PM Natural´s</t>
  </si>
  <si>
    <t>Gerente Financiero</t>
  </si>
  <si>
    <t>Departamento de Comercialización</t>
  </si>
  <si>
    <t>Departamento Financiero</t>
  </si>
  <si>
    <t>DEPARTAMENTO DE COMERCIALIZACION</t>
  </si>
  <si>
    <t>Recepcionista y Secretaria</t>
  </si>
  <si>
    <t>Guardia de Seguridad</t>
  </si>
  <si>
    <t>ESTADO DE RESULTADOS</t>
  </si>
  <si>
    <t>AÑO</t>
  </si>
  <si>
    <t>INGRESOS</t>
  </si>
  <si>
    <t>Costo de Ventas</t>
  </si>
  <si>
    <t>UTILIDAD BRUTA</t>
  </si>
  <si>
    <t>GASTOS</t>
  </si>
  <si>
    <t>GASTOS ADMINISTRATIVOS</t>
  </si>
  <si>
    <t>Arriendo del local</t>
  </si>
  <si>
    <t>GASTOS DE VENTAS</t>
  </si>
  <si>
    <t>GASTOS VARIOS</t>
  </si>
  <si>
    <t>TOTAL GASTOS</t>
  </si>
  <si>
    <t>Intereses</t>
  </si>
  <si>
    <t>Depreciacion</t>
  </si>
  <si>
    <t>Amortización</t>
  </si>
  <si>
    <t>Valor en Libros</t>
  </si>
  <si>
    <t>UTILIDAD ANTES DE REPARTICIÓN DE UTILIDADES</t>
  </si>
  <si>
    <t>15% Repartición a Trabajadores</t>
  </si>
  <si>
    <t>UTILIDAD ANTES DE IMPUESTOS</t>
  </si>
  <si>
    <t>25% Impuesto a la Renta</t>
  </si>
  <si>
    <t>UTILIDAD NETA</t>
  </si>
  <si>
    <t>UTILIDAD INCREMENTAL</t>
  </si>
  <si>
    <t>FLUJO DE CAJA</t>
  </si>
  <si>
    <t>Depreciación</t>
  </si>
  <si>
    <t>Depreciación (+)</t>
  </si>
  <si>
    <t>Valor en Libros (+)</t>
  </si>
  <si>
    <t>Inversión Inicial</t>
  </si>
  <si>
    <t>Inversión de reemplazo</t>
  </si>
  <si>
    <t>Prestamo</t>
  </si>
  <si>
    <t>Amortización de la Deuda</t>
  </si>
  <si>
    <t>Valor de Desecho</t>
  </si>
  <si>
    <t>FLUJO DE EFECTIVO</t>
  </si>
  <si>
    <t>Inversión</t>
  </si>
  <si>
    <t>Capital Propio</t>
  </si>
  <si>
    <t>Deuda</t>
  </si>
  <si>
    <t>Tasa de Descuento</t>
  </si>
  <si>
    <t>VAN</t>
  </si>
  <si>
    <t>TIR</t>
  </si>
  <si>
    <t>FLUJO</t>
  </si>
  <si>
    <t>FLUJO INCREMENTAL</t>
  </si>
  <si>
    <t>VALOR DE DESECHO</t>
  </si>
  <si>
    <t># Farmacias en Guayaquil</t>
  </si>
  <si>
    <t>% de Mercado a Captar</t>
  </si>
  <si>
    <t>Demanda</t>
  </si>
  <si>
    <t>Ingreso Anual</t>
  </si>
  <si>
    <t>Precio Costo</t>
  </si>
  <si>
    <t>Personas Guayaquil</t>
  </si>
  <si>
    <t>Utilidad Bruta</t>
  </si>
  <si>
    <t>Capital Social</t>
  </si>
  <si>
    <t>Financiamiento</t>
  </si>
  <si>
    <t>PRODUCCION</t>
  </si>
  <si>
    <t>Afiches</t>
  </si>
  <si>
    <t>% Crecimiento Farm</t>
  </si>
  <si>
    <t>Tasa de Natalidad</t>
  </si>
  <si>
    <t># de Farmacias a Captar</t>
  </si>
  <si>
    <t>3 Equipos de Computación</t>
  </si>
  <si>
    <t>Precio</t>
  </si>
  <si>
    <t>Personas</t>
  </si>
  <si>
    <t>Tasa de crecimiento</t>
  </si>
  <si>
    <t># de Farmacias</t>
  </si>
  <si>
    <t>Dem Farmacias</t>
  </si>
  <si>
    <t>Personas Viven G</t>
  </si>
  <si>
    <t>Crecimiento Pob</t>
  </si>
  <si>
    <t>P Costo</t>
  </si>
  <si>
    <t>Tasa de Inflación</t>
  </si>
  <si>
    <t>Tasa de Endeudamiento</t>
  </si>
  <si>
    <t>Dolares</t>
  </si>
  <si>
    <t>Unidades</t>
  </si>
  <si>
    <t>Año 2010</t>
  </si>
  <si>
    <t>Año 2011</t>
  </si>
  <si>
    <t>Año 2012</t>
  </si>
  <si>
    <t>Año 2013</t>
  </si>
  <si>
    <t>Meses</t>
  </si>
  <si>
    <t>Demanda 58,50%</t>
  </si>
  <si>
    <t>Transportación</t>
  </si>
  <si>
    <t>Servicos Basicos</t>
  </si>
  <si>
    <t>Costos Totales</t>
  </si>
  <si>
    <t>Costos x Prod</t>
  </si>
  <si>
    <t>Costos de Producción</t>
  </si>
  <si>
    <t>Costo Adicional x Producto</t>
  </si>
  <si>
    <t>ACTIVOS</t>
  </si>
  <si>
    <t>Activos Corrientes</t>
  </si>
  <si>
    <t>Total Activos Corrientes</t>
  </si>
  <si>
    <t>Activos Fijos</t>
  </si>
  <si>
    <t>Total Activos Fijos</t>
  </si>
  <si>
    <t>TOTAL ACTIVOS</t>
  </si>
  <si>
    <t>Vehículos</t>
  </si>
  <si>
    <t>PASIVOS</t>
  </si>
  <si>
    <t>CAPITAL</t>
  </si>
  <si>
    <t>PATRIMONIO</t>
  </si>
  <si>
    <t>Utilidad del Ejercicio</t>
  </si>
  <si>
    <t>Utilidad Acumulada</t>
  </si>
  <si>
    <t>Total Pasivos</t>
  </si>
  <si>
    <t>Total Capital</t>
  </si>
  <si>
    <t>TOTAL PASIVO + PATRIMONIO</t>
  </si>
  <si>
    <t>Sillas</t>
  </si>
  <si>
    <t>Inventario</t>
  </si>
  <si>
    <t>PRECIO DE COSTO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</si>
</sst>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\ * #,##0_);_(&quot;$&quot;\ * \(#,##0\);_(&quot;$&quot;\ 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11">
    <xf numFmtId="0" fontId="0" fillId="0" borderId="0" xfId="0" applyFont="1" applyAlignment="1">
      <alignment/>
    </xf>
    <xf numFmtId="44" fontId="6" fillId="0" borderId="10" xfId="48" applyFont="1" applyBorder="1" applyAlignment="1">
      <alignment/>
    </xf>
    <xf numFmtId="44" fontId="0" fillId="0" borderId="11" xfId="0" applyNumberForma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44" fontId="0" fillId="0" borderId="11" xfId="48" applyFont="1" applyBorder="1" applyAlignment="1">
      <alignment/>
    </xf>
    <xf numFmtId="44" fontId="0" fillId="0" borderId="13" xfId="48" applyFont="1" applyBorder="1" applyAlignment="1">
      <alignment/>
    </xf>
    <xf numFmtId="4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4" fontId="0" fillId="0" borderId="14" xfId="0" applyNumberFormat="1" applyBorder="1" applyAlignment="1">
      <alignment/>
    </xf>
    <xf numFmtId="44" fontId="0" fillId="0" borderId="12" xfId="0" applyNumberFormat="1" applyBorder="1" applyAlignment="1">
      <alignment/>
    </xf>
    <xf numFmtId="44" fontId="0" fillId="0" borderId="10" xfId="0" applyNumberFormat="1" applyBorder="1" applyAlignment="1">
      <alignment/>
    </xf>
    <xf numFmtId="44" fontId="8" fillId="0" borderId="13" xfId="48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0" fillId="0" borderId="16" xfId="48" applyFont="1" applyBorder="1" applyAlignment="1">
      <alignment/>
    </xf>
    <xf numFmtId="44" fontId="0" fillId="0" borderId="17" xfId="48" applyFont="1" applyBorder="1" applyAlignment="1">
      <alignment/>
    </xf>
    <xf numFmtId="44" fontId="0" fillId="0" borderId="18" xfId="48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8" fillId="0" borderId="13" xfId="0" applyFont="1" applyBorder="1" applyAlignment="1">
      <alignment/>
    </xf>
    <xf numFmtId="0" fontId="0" fillId="0" borderId="12" xfId="0" applyBorder="1" applyAlignment="1">
      <alignment/>
    </xf>
    <xf numFmtId="44" fontId="8" fillId="0" borderId="13" xfId="48" applyFont="1" applyBorder="1" applyAlignment="1">
      <alignment/>
    </xf>
    <xf numFmtId="44" fontId="0" fillId="0" borderId="11" xfId="48" applyFont="1" applyBorder="1" applyAlignment="1">
      <alignment/>
    </xf>
    <xf numFmtId="44" fontId="0" fillId="0" borderId="13" xfId="48" applyFont="1" applyBorder="1" applyAlignment="1">
      <alignment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2" xfId="48" applyFont="1" applyBorder="1" applyAlignment="1">
      <alignment/>
    </xf>
    <xf numFmtId="0" fontId="8" fillId="0" borderId="20" xfId="0" applyFont="1" applyBorder="1" applyAlignment="1">
      <alignment/>
    </xf>
    <xf numFmtId="0" fontId="6" fillId="0" borderId="14" xfId="0" applyFont="1" applyBorder="1" applyAlignment="1">
      <alignment horizontal="center"/>
    </xf>
    <xf numFmtId="44" fontId="0" fillId="0" borderId="12" xfId="0" applyNumberFormat="1" applyBorder="1" applyAlignment="1">
      <alignment/>
    </xf>
    <xf numFmtId="0" fontId="8" fillId="0" borderId="21" xfId="0" applyFont="1" applyBorder="1" applyAlignment="1">
      <alignment/>
    </xf>
    <xf numFmtId="0" fontId="50" fillId="0" borderId="10" xfId="0" applyFont="1" applyBorder="1" applyAlignment="1">
      <alignment/>
    </xf>
    <xf numFmtId="44" fontId="50" fillId="0" borderId="10" xfId="48" applyFont="1" applyBorder="1" applyAlignment="1">
      <alignment/>
    </xf>
    <xf numFmtId="44" fontId="50" fillId="0" borderId="14" xfId="0" applyNumberFormat="1" applyFont="1" applyBorder="1" applyAlignment="1">
      <alignment/>
    </xf>
    <xf numFmtId="44" fontId="8" fillId="0" borderId="11" xfId="48" applyFont="1" applyBorder="1" applyAlignment="1">
      <alignment/>
    </xf>
    <xf numFmtId="44" fontId="50" fillId="14" borderId="10" xfId="0" applyNumberFormat="1" applyFont="1" applyFill="1" applyBorder="1" applyAlignment="1">
      <alignment/>
    </xf>
    <xf numFmtId="44" fontId="0" fillId="0" borderId="22" xfId="48" applyFont="1" applyBorder="1" applyAlignment="1">
      <alignment/>
    </xf>
    <xf numFmtId="44" fontId="0" fillId="0" borderId="23" xfId="48" applyFont="1" applyBorder="1" applyAlignment="1">
      <alignment/>
    </xf>
    <xf numFmtId="44" fontId="0" fillId="0" borderId="24" xfId="48" applyFont="1" applyBorder="1" applyAlignment="1">
      <alignment/>
    </xf>
    <xf numFmtId="44" fontId="0" fillId="14" borderId="25" xfId="0" applyNumberFormat="1" applyFill="1" applyBorder="1" applyAlignment="1">
      <alignment/>
    </xf>
    <xf numFmtId="0" fontId="0" fillId="0" borderId="25" xfId="0" applyBorder="1" applyAlignment="1">
      <alignment/>
    </xf>
    <xf numFmtId="44" fontId="0" fillId="0" borderId="25" xfId="0" applyNumberFormat="1" applyBorder="1" applyAlignment="1">
      <alignment/>
    </xf>
    <xf numFmtId="44" fontId="0" fillId="0" borderId="26" xfId="48" applyFont="1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44" fontId="8" fillId="0" borderId="13" xfId="48" applyFont="1" applyBorder="1" applyAlignment="1">
      <alignment/>
    </xf>
    <xf numFmtId="44" fontId="8" fillId="0" borderId="21" xfId="48" applyFont="1" applyBorder="1" applyAlignment="1">
      <alignment/>
    </xf>
    <xf numFmtId="44" fontId="8" fillId="0" borderId="10" xfId="48" applyFont="1" applyBorder="1" applyAlignment="1">
      <alignment/>
    </xf>
    <xf numFmtId="0" fontId="0" fillId="0" borderId="11" xfId="0" applyBorder="1" applyAlignment="1">
      <alignment/>
    </xf>
    <xf numFmtId="0" fontId="6" fillId="0" borderId="1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/>
    </xf>
    <xf numFmtId="44" fontId="8" fillId="0" borderId="28" xfId="48" applyFont="1" applyBorder="1" applyAlignment="1">
      <alignment/>
    </xf>
    <xf numFmtId="0" fontId="8" fillId="0" borderId="25" xfId="0" applyFont="1" applyBorder="1" applyAlignment="1">
      <alignment horizontal="left" vertical="center" wrapText="1"/>
    </xf>
    <xf numFmtId="44" fontId="8" fillId="0" borderId="19" xfId="48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44" fontId="8" fillId="0" borderId="13" xfId="48" applyFont="1" applyBorder="1" applyAlignment="1">
      <alignment/>
    </xf>
    <xf numFmtId="44" fontId="8" fillId="0" borderId="21" xfId="48" applyFont="1" applyBorder="1" applyAlignment="1">
      <alignment/>
    </xf>
    <xf numFmtId="44" fontId="6" fillId="0" borderId="10" xfId="48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0" xfId="0" applyFont="1" applyBorder="1" applyAlignment="1">
      <alignment/>
    </xf>
    <xf numFmtId="43" fontId="6" fillId="0" borderId="10" xfId="46" applyFont="1" applyBorder="1" applyAlignment="1">
      <alignment horizontal="center"/>
    </xf>
    <xf numFmtId="44" fontId="8" fillId="0" borderId="19" xfId="48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44" fontId="0" fillId="0" borderId="10" xfId="48" applyFont="1" applyBorder="1" applyAlignment="1">
      <alignment/>
    </xf>
    <xf numFmtId="0" fontId="0" fillId="0" borderId="0" xfId="0" applyBorder="1" applyAlignment="1">
      <alignment/>
    </xf>
    <xf numFmtId="44" fontId="0" fillId="0" borderId="0" xfId="48" applyFont="1" applyBorder="1" applyAlignment="1">
      <alignment/>
    </xf>
    <xf numFmtId="10" fontId="0" fillId="0" borderId="0" xfId="52" applyNumberFormat="1" applyFont="1" applyAlignment="1">
      <alignment/>
    </xf>
    <xf numFmtId="9" fontId="0" fillId="0" borderId="0" xfId="0" applyNumberFormat="1" applyAlignment="1">
      <alignment/>
    </xf>
    <xf numFmtId="0" fontId="0" fillId="0" borderId="24" xfId="0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22" xfId="0" applyBorder="1" applyAlignment="1">
      <alignment/>
    </xf>
    <xf numFmtId="44" fontId="0" fillId="0" borderId="11" xfId="48" applyFont="1" applyBorder="1" applyAlignment="1">
      <alignment/>
    </xf>
    <xf numFmtId="44" fontId="0" fillId="0" borderId="24" xfId="48" applyFont="1" applyBorder="1" applyAlignment="1">
      <alignment/>
    </xf>
    <xf numFmtId="44" fontId="0" fillId="0" borderId="13" xfId="48" applyFont="1" applyBorder="1" applyAlignment="1">
      <alignment/>
    </xf>
    <xf numFmtId="44" fontId="0" fillId="0" borderId="22" xfId="48" applyFont="1" applyBorder="1" applyAlignment="1">
      <alignment/>
    </xf>
    <xf numFmtId="0" fontId="0" fillId="0" borderId="26" xfId="0" applyBorder="1" applyAlignment="1">
      <alignment/>
    </xf>
    <xf numFmtId="44" fontId="0" fillId="0" borderId="12" xfId="48" applyFont="1" applyBorder="1" applyAlignment="1">
      <alignment/>
    </xf>
    <xf numFmtId="44" fontId="0" fillId="0" borderId="26" xfId="48" applyFont="1" applyBorder="1" applyAlignment="1">
      <alignment/>
    </xf>
    <xf numFmtId="0" fontId="0" fillId="0" borderId="10" xfId="0" applyBorder="1" applyAlignment="1">
      <alignment/>
    </xf>
    <xf numFmtId="44" fontId="0" fillId="0" borderId="14" xfId="48" applyFont="1" applyBorder="1" applyAlignment="1">
      <alignment/>
    </xf>
    <xf numFmtId="0" fontId="50" fillId="0" borderId="1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5" xfId="0" applyFont="1" applyBorder="1" applyAlignment="1">
      <alignment horizontal="right"/>
    </xf>
    <xf numFmtId="44" fontId="0" fillId="0" borderId="10" xfId="48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0" fillId="0" borderId="15" xfId="0" applyFont="1" applyBorder="1" applyAlignment="1">
      <alignment/>
    </xf>
    <xf numFmtId="0" fontId="0" fillId="0" borderId="35" xfId="0" applyBorder="1" applyAlignment="1">
      <alignment/>
    </xf>
    <xf numFmtId="44" fontId="0" fillId="0" borderId="19" xfId="48" applyFont="1" applyBorder="1" applyAlignment="1">
      <alignment/>
    </xf>
    <xf numFmtId="0" fontId="0" fillId="0" borderId="23" xfId="0" applyBorder="1" applyAlignment="1">
      <alignment/>
    </xf>
    <xf numFmtId="44" fontId="0" fillId="0" borderId="21" xfId="48" applyFont="1" applyBorder="1" applyAlignment="1">
      <alignment/>
    </xf>
    <xf numFmtId="0" fontId="50" fillId="0" borderId="15" xfId="0" applyFont="1" applyBorder="1" applyAlignment="1">
      <alignment horizontal="right" vertical="center"/>
    </xf>
    <xf numFmtId="0" fontId="50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44" fontId="0" fillId="0" borderId="34" xfId="48" applyFont="1" applyBorder="1" applyAlignment="1">
      <alignment/>
    </xf>
    <xf numFmtId="44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4" fontId="8" fillId="0" borderId="12" xfId="48" applyFont="1" applyBorder="1" applyAlignment="1">
      <alignment/>
    </xf>
    <xf numFmtId="44" fontId="8" fillId="0" borderId="10" xfId="0" applyNumberFormat="1" applyFont="1" applyBorder="1" applyAlignment="1">
      <alignment/>
    </xf>
    <xf numFmtId="44" fontId="8" fillId="33" borderId="10" xfId="0" applyNumberFormat="1" applyFont="1" applyFill="1" applyBorder="1" applyAlignment="1">
      <alignment/>
    </xf>
    <xf numFmtId="44" fontId="8" fillId="0" borderId="31" xfId="48" applyFont="1" applyBorder="1" applyAlignment="1">
      <alignment/>
    </xf>
    <xf numFmtId="0" fontId="8" fillId="0" borderId="10" xfId="0" applyFont="1" applyBorder="1" applyAlignment="1">
      <alignment/>
    </xf>
    <xf numFmtId="44" fontId="0" fillId="0" borderId="0" xfId="48" applyFont="1" applyFill="1" applyAlignment="1">
      <alignment/>
    </xf>
    <xf numFmtId="10" fontId="0" fillId="0" borderId="0" xfId="0" applyNumberFormat="1" applyAlignment="1">
      <alignment/>
    </xf>
    <xf numFmtId="44" fontId="0" fillId="0" borderId="0" xfId="48" applyFont="1" applyAlignment="1">
      <alignment/>
    </xf>
    <xf numFmtId="9" fontId="0" fillId="0" borderId="0" xfId="52" applyFont="1" applyAlignment="1">
      <alignment/>
    </xf>
    <xf numFmtId="44" fontId="0" fillId="0" borderId="0" xfId="48" applyFont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Alignment="1">
      <alignment/>
    </xf>
    <xf numFmtId="0" fontId="50" fillId="0" borderId="32" xfId="0" applyFont="1" applyBorder="1" applyAlignment="1">
      <alignment horizontal="center"/>
    </xf>
    <xf numFmtId="44" fontId="8" fillId="0" borderId="11" xfId="0" applyNumberFormat="1" applyFont="1" applyBorder="1" applyAlignment="1">
      <alignment/>
    </xf>
    <xf numFmtId="44" fontId="8" fillId="0" borderId="13" xfId="0" applyNumberFormat="1" applyFont="1" applyBorder="1" applyAlignment="1">
      <alignment/>
    </xf>
    <xf numFmtId="44" fontId="8" fillId="0" borderId="0" xfId="0" applyNumberFormat="1" applyFont="1" applyBorder="1" applyAlignment="1">
      <alignment/>
    </xf>
    <xf numFmtId="8" fontId="0" fillId="0" borderId="13" xfId="0" applyNumberFormat="1" applyBorder="1" applyAlignment="1">
      <alignment/>
    </xf>
    <xf numFmtId="8" fontId="0" fillId="0" borderId="12" xfId="0" applyNumberFormat="1" applyBorder="1" applyAlignment="1">
      <alignment/>
    </xf>
    <xf numFmtId="44" fontId="2" fillId="0" borderId="10" xfId="0" applyNumberFormat="1" applyFont="1" applyBorder="1" applyAlignment="1">
      <alignment/>
    </xf>
    <xf numFmtId="44" fontId="51" fillId="0" borderId="10" xfId="0" applyNumberFormat="1" applyFont="1" applyBorder="1" applyAlignment="1">
      <alignment/>
    </xf>
    <xf numFmtId="44" fontId="6" fillId="0" borderId="0" xfId="0" applyNumberFormat="1" applyFont="1" applyBorder="1" applyAlignment="1">
      <alignment/>
    </xf>
    <xf numFmtId="44" fontId="2" fillId="33" borderId="10" xfId="0" applyNumberFormat="1" applyFont="1" applyFill="1" applyBorder="1" applyAlignment="1">
      <alignment/>
    </xf>
    <xf numFmtId="44" fontId="2" fillId="0" borderId="10" xfId="48" applyFont="1" applyBorder="1" applyAlignment="1">
      <alignment/>
    </xf>
    <xf numFmtId="44" fontId="8" fillId="0" borderId="25" xfId="48" applyFont="1" applyBorder="1" applyAlignment="1">
      <alignment/>
    </xf>
    <xf numFmtId="0" fontId="50" fillId="0" borderId="3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0" fillId="0" borderId="11" xfId="0" applyFont="1" applyBorder="1" applyAlignment="1">
      <alignment/>
    </xf>
    <xf numFmtId="43" fontId="0" fillId="0" borderId="11" xfId="46" applyFont="1" applyBorder="1" applyAlignment="1">
      <alignment/>
    </xf>
    <xf numFmtId="0" fontId="50" fillId="0" borderId="13" xfId="0" applyFont="1" applyBorder="1" applyAlignment="1">
      <alignment/>
    </xf>
    <xf numFmtId="43" fontId="0" fillId="0" borderId="13" xfId="46" applyFont="1" applyBorder="1" applyAlignment="1">
      <alignment/>
    </xf>
    <xf numFmtId="0" fontId="50" fillId="0" borderId="21" xfId="0" applyFont="1" applyBorder="1" applyAlignment="1">
      <alignment/>
    </xf>
    <xf numFmtId="44" fontId="0" fillId="0" borderId="21" xfId="0" applyNumberFormat="1" applyBorder="1" applyAlignment="1">
      <alignment/>
    </xf>
    <xf numFmtId="43" fontId="0" fillId="0" borderId="21" xfId="46" applyFont="1" applyBorder="1" applyAlignment="1">
      <alignment/>
    </xf>
    <xf numFmtId="0" fontId="50" fillId="0" borderId="12" xfId="0" applyFont="1" applyBorder="1" applyAlignment="1">
      <alignment/>
    </xf>
    <xf numFmtId="43" fontId="0" fillId="0" borderId="12" xfId="46" applyFont="1" applyBorder="1" applyAlignment="1">
      <alignment/>
    </xf>
    <xf numFmtId="44" fontId="50" fillId="0" borderId="10" xfId="0" applyNumberFormat="1" applyFont="1" applyBorder="1" applyAlignment="1">
      <alignment/>
    </xf>
    <xf numFmtId="0" fontId="0" fillId="0" borderId="20" xfId="0" applyBorder="1" applyAlignment="1">
      <alignment/>
    </xf>
    <xf numFmtId="44" fontId="0" fillId="0" borderId="19" xfId="0" applyNumberFormat="1" applyBorder="1" applyAlignment="1">
      <alignment/>
    </xf>
    <xf numFmtId="0" fontId="0" fillId="0" borderId="36" xfId="0" applyBorder="1" applyAlignment="1">
      <alignment/>
    </xf>
    <xf numFmtId="0" fontId="50" fillId="0" borderId="14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2" xfId="0" applyFont="1" applyBorder="1" applyAlignment="1">
      <alignment/>
    </xf>
    <xf numFmtId="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44" fontId="5" fillId="0" borderId="19" xfId="0" applyNumberFormat="1" applyFont="1" applyBorder="1" applyAlignment="1">
      <alignment/>
    </xf>
    <xf numFmtId="0" fontId="5" fillId="0" borderId="21" xfId="0" applyFont="1" applyBorder="1" applyAlignment="1">
      <alignment/>
    </xf>
    <xf numFmtId="44" fontId="5" fillId="0" borderId="21" xfId="0" applyNumberFormat="1" applyFont="1" applyBorder="1" applyAlignment="1">
      <alignment/>
    </xf>
    <xf numFmtId="0" fontId="4" fillId="0" borderId="10" xfId="0" applyFont="1" applyBorder="1" applyAlignment="1">
      <alignment/>
    </xf>
    <xf numFmtId="44" fontId="4" fillId="0" borderId="10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3" xfId="0" applyFont="1" applyBorder="1" applyAlignment="1">
      <alignment/>
    </xf>
    <xf numFmtId="44" fontId="5" fillId="0" borderId="13" xfId="0" applyNumberFormat="1" applyFont="1" applyBorder="1" applyAlignment="1">
      <alignment/>
    </xf>
    <xf numFmtId="0" fontId="4" fillId="0" borderId="34" xfId="0" applyFont="1" applyBorder="1" applyAlignment="1">
      <alignment horizontal="right" vertical="center"/>
    </xf>
    <xf numFmtId="44" fontId="5" fillId="0" borderId="19" xfId="0" applyNumberFormat="1" applyFont="1" applyBorder="1" applyAlignment="1">
      <alignment horizontal="center" vertical="center"/>
    </xf>
    <xf numFmtId="44" fontId="5" fillId="0" borderId="1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8" fontId="5" fillId="0" borderId="13" xfId="48" applyNumberFormat="1" applyFont="1" applyBorder="1" applyAlignment="1">
      <alignment/>
    </xf>
    <xf numFmtId="44" fontId="5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44" fontId="4" fillId="0" borderId="0" xfId="0" applyNumberFormat="1" applyFont="1" applyBorder="1" applyAlignment="1">
      <alignment/>
    </xf>
    <xf numFmtId="9" fontId="2" fillId="0" borderId="10" xfId="0" applyNumberFormat="1" applyFont="1" applyBorder="1" applyAlignment="1">
      <alignment horizontal="left" vertical="center"/>
    </xf>
    <xf numFmtId="44" fontId="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9" fontId="3" fillId="0" borderId="37" xfId="0" applyNumberFormat="1" applyFont="1" applyBorder="1" applyAlignment="1">
      <alignment/>
    </xf>
    <xf numFmtId="9" fontId="3" fillId="0" borderId="38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4" fontId="4" fillId="0" borderId="28" xfId="0" applyNumberFormat="1" applyFont="1" applyBorder="1" applyAlignment="1">
      <alignment/>
    </xf>
    <xf numFmtId="0" fontId="4" fillId="0" borderId="19" xfId="0" applyFont="1" applyBorder="1" applyAlignment="1">
      <alignment/>
    </xf>
    <xf numFmtId="44" fontId="5" fillId="0" borderId="30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0" fontId="53" fillId="0" borderId="13" xfId="0" applyFont="1" applyBorder="1" applyAlignment="1">
      <alignment/>
    </xf>
    <xf numFmtId="0" fontId="53" fillId="0" borderId="25" xfId="0" applyFont="1" applyBorder="1" applyAlignment="1">
      <alignment/>
    </xf>
    <xf numFmtId="44" fontId="53" fillId="0" borderId="25" xfId="0" applyNumberFormat="1" applyFont="1" applyBorder="1" applyAlignment="1">
      <alignment/>
    </xf>
    <xf numFmtId="9" fontId="5" fillId="0" borderId="13" xfId="0" applyNumberFormat="1" applyFont="1" applyBorder="1" applyAlignment="1">
      <alignment horizontal="left" vertical="center"/>
    </xf>
    <xf numFmtId="165" fontId="4" fillId="0" borderId="1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left" vertical="center"/>
    </xf>
    <xf numFmtId="44" fontId="4" fillId="0" borderId="25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left" vertical="center"/>
    </xf>
    <xf numFmtId="165" fontId="54" fillId="0" borderId="13" xfId="0" applyNumberFormat="1" applyFont="1" applyBorder="1" applyAlignment="1">
      <alignment horizontal="left" vertical="center"/>
    </xf>
    <xf numFmtId="0" fontId="53" fillId="0" borderId="13" xfId="0" applyFont="1" applyBorder="1" applyAlignment="1">
      <alignment horizontal="left"/>
    </xf>
    <xf numFmtId="165" fontId="55" fillId="0" borderId="10" xfId="0" applyNumberFormat="1" applyFont="1" applyBorder="1" applyAlignment="1">
      <alignment/>
    </xf>
    <xf numFmtId="44" fontId="53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8" fontId="53" fillId="0" borderId="25" xfId="0" applyNumberFormat="1" applyFont="1" applyBorder="1" applyAlignment="1">
      <alignment/>
    </xf>
    <xf numFmtId="165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44" fontId="50" fillId="0" borderId="0" xfId="0" applyNumberFormat="1" applyFont="1" applyBorder="1" applyAlignment="1">
      <alignment/>
    </xf>
    <xf numFmtId="10" fontId="0" fillId="0" borderId="0" xfId="52" applyNumberFormat="1" applyFont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10" fontId="0" fillId="0" borderId="0" xfId="52" applyNumberFormat="1" applyFont="1" applyFill="1" applyAlignment="1">
      <alignment/>
    </xf>
    <xf numFmtId="165" fontId="0" fillId="0" borderId="0" xfId="48" applyNumberFormat="1" applyFont="1" applyAlignment="1">
      <alignment/>
    </xf>
    <xf numFmtId="6" fontId="0" fillId="0" borderId="0" xfId="0" applyNumberFormat="1" applyAlignment="1">
      <alignment/>
    </xf>
    <xf numFmtId="44" fontId="55" fillId="0" borderId="30" xfId="0" applyNumberFormat="1" applyFont="1" applyBorder="1" applyAlignment="1">
      <alignment/>
    </xf>
    <xf numFmtId="44" fontId="55" fillId="0" borderId="25" xfId="0" applyNumberFormat="1" applyFont="1" applyBorder="1" applyAlignment="1">
      <alignment/>
    </xf>
    <xf numFmtId="44" fontId="55" fillId="0" borderId="27" xfId="0" applyNumberFormat="1" applyFont="1" applyBorder="1" applyAlignment="1">
      <alignment/>
    </xf>
    <xf numFmtId="0" fontId="56" fillId="0" borderId="11" xfId="0" applyFont="1" applyBorder="1" applyAlignment="1">
      <alignment horizontal="center" vertical="center"/>
    </xf>
    <xf numFmtId="0" fontId="55" fillId="0" borderId="27" xfId="0" applyFont="1" applyBorder="1" applyAlignment="1">
      <alignment/>
    </xf>
    <xf numFmtId="0" fontId="56" fillId="0" borderId="36" xfId="0" applyFont="1" applyBorder="1" applyAlignment="1">
      <alignment horizontal="center" vertical="center"/>
    </xf>
    <xf numFmtId="165" fontId="56" fillId="0" borderId="36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4" fontId="50" fillId="0" borderId="0" xfId="48" applyFont="1" applyAlignment="1">
      <alignment horizontal="center" vertical="center"/>
    </xf>
    <xf numFmtId="0" fontId="8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51" fillId="0" borderId="0" xfId="46" applyNumberFormat="1" applyFont="1" applyAlignment="1">
      <alignment/>
    </xf>
    <xf numFmtId="0" fontId="51" fillId="0" borderId="0" xfId="0" applyFont="1" applyAlignment="1">
      <alignment/>
    </xf>
    <xf numFmtId="164" fontId="51" fillId="0" borderId="0" xfId="0" applyNumberFormat="1" applyFont="1" applyAlignment="1">
      <alignment/>
    </xf>
    <xf numFmtId="164" fontId="55" fillId="0" borderId="0" xfId="46" applyNumberFormat="1" applyFont="1" applyAlignment="1">
      <alignment/>
    </xf>
    <xf numFmtId="0" fontId="55" fillId="0" borderId="0" xfId="0" applyFont="1" applyAlignment="1">
      <alignment/>
    </xf>
    <xf numFmtId="9" fontId="55" fillId="0" borderId="0" xfId="0" applyNumberFormat="1" applyFont="1" applyAlignment="1">
      <alignment/>
    </xf>
    <xf numFmtId="0" fontId="55" fillId="0" borderId="0" xfId="0" applyFont="1" applyAlignment="1">
      <alignment horizontal="center" vertical="center"/>
    </xf>
    <xf numFmtId="44" fontId="55" fillId="0" borderId="0" xfId="48" applyFont="1" applyAlignment="1">
      <alignment/>
    </xf>
    <xf numFmtId="164" fontId="55" fillId="0" borderId="0" xfId="0" applyNumberFormat="1" applyFont="1" applyAlignment="1">
      <alignment/>
    </xf>
    <xf numFmtId="0" fontId="56" fillId="0" borderId="28" xfId="0" applyFont="1" applyBorder="1" applyAlignment="1">
      <alignment horizontal="center"/>
    </xf>
    <xf numFmtId="44" fontId="55" fillId="0" borderId="14" xfId="48" applyFont="1" applyBorder="1" applyAlignment="1">
      <alignment/>
    </xf>
    <xf numFmtId="10" fontId="51" fillId="33" borderId="0" xfId="0" applyNumberFormat="1" applyFont="1" applyFill="1" applyAlignment="1">
      <alignment/>
    </xf>
    <xf numFmtId="10" fontId="52" fillId="0" borderId="0" xfId="0" applyNumberFormat="1" applyFont="1" applyFill="1" applyAlignment="1">
      <alignment/>
    </xf>
    <xf numFmtId="164" fontId="55" fillId="0" borderId="10" xfId="46" applyNumberFormat="1" applyFont="1" applyBorder="1" applyAlignment="1">
      <alignment/>
    </xf>
    <xf numFmtId="0" fontId="55" fillId="33" borderId="0" xfId="0" applyFont="1" applyFill="1" applyAlignment="1">
      <alignment/>
    </xf>
    <xf numFmtId="0" fontId="5" fillId="0" borderId="41" xfId="0" applyFont="1" applyBorder="1" applyAlignment="1">
      <alignment/>
    </xf>
    <xf numFmtId="44" fontId="5" fillId="0" borderId="10" xfId="0" applyNumberFormat="1" applyFont="1" applyBorder="1" applyAlignment="1">
      <alignment/>
    </xf>
    <xf numFmtId="10" fontId="55" fillId="0" borderId="0" xfId="0" applyNumberFormat="1" applyFont="1" applyFill="1" applyAlignment="1">
      <alignment/>
    </xf>
    <xf numFmtId="10" fontId="56" fillId="0" borderId="0" xfId="0" applyNumberFormat="1" applyFont="1" applyFill="1" applyAlignment="1">
      <alignment/>
    </xf>
    <xf numFmtId="44" fontId="55" fillId="0" borderId="10" xfId="48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164" fontId="55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4" fontId="8" fillId="0" borderId="0" xfId="48" applyFont="1" applyFill="1" applyBorder="1" applyAlignment="1">
      <alignment/>
    </xf>
    <xf numFmtId="44" fontId="8" fillId="0" borderId="0" xfId="0" applyNumberFormat="1" applyFont="1" applyFill="1" applyBorder="1" applyAlignment="1">
      <alignment/>
    </xf>
    <xf numFmtId="10" fontId="51" fillId="0" borderId="0" xfId="0" applyNumberFormat="1" applyFont="1" applyAlignment="1">
      <alignment/>
    </xf>
    <xf numFmtId="10" fontId="51" fillId="0" borderId="0" xfId="52" applyNumberFormat="1" applyFont="1" applyAlignment="1">
      <alignment/>
    </xf>
    <xf numFmtId="44" fontId="55" fillId="0" borderId="10" xfId="48" applyFont="1" applyBorder="1" applyAlignment="1">
      <alignment horizontal="center" vertical="center"/>
    </xf>
    <xf numFmtId="165" fontId="55" fillId="0" borderId="10" xfId="48" applyNumberFormat="1" applyFont="1" applyBorder="1" applyAlignment="1">
      <alignment horizontal="center" vertical="center"/>
    </xf>
    <xf numFmtId="165" fontId="55" fillId="0" borderId="10" xfId="48" applyNumberFormat="1" applyFont="1" applyBorder="1" applyAlignment="1">
      <alignment/>
    </xf>
    <xf numFmtId="0" fontId="50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44" fontId="55" fillId="0" borderId="0" xfId="48" applyFont="1" applyBorder="1" applyAlignment="1">
      <alignment horizontal="center" vertical="center"/>
    </xf>
    <xf numFmtId="44" fontId="55" fillId="0" borderId="0" xfId="48" applyFont="1" applyBorder="1" applyAlignment="1">
      <alignment/>
    </xf>
    <xf numFmtId="164" fontId="55" fillId="0" borderId="0" xfId="46" applyNumberFormat="1" applyFont="1" applyBorder="1" applyAlignment="1">
      <alignment/>
    </xf>
    <xf numFmtId="0" fontId="50" fillId="0" borderId="0" xfId="0" applyFont="1" applyFill="1" applyBorder="1" applyAlignment="1">
      <alignment horizontal="center"/>
    </xf>
    <xf numFmtId="10" fontId="0" fillId="0" borderId="0" xfId="52" applyNumberFormat="1" applyFont="1" applyFill="1" applyBorder="1" applyAlignment="1">
      <alignment/>
    </xf>
    <xf numFmtId="44" fontId="0" fillId="0" borderId="0" xfId="48" applyFont="1" applyFill="1" applyBorder="1" applyAlignment="1">
      <alignment/>
    </xf>
    <xf numFmtId="44" fontId="50" fillId="0" borderId="0" xfId="48" applyFont="1" applyBorder="1" applyAlignment="1">
      <alignment horizontal="center" vertical="center"/>
    </xf>
    <xf numFmtId="10" fontId="0" fillId="0" borderId="0" xfId="52" applyNumberFormat="1" applyFont="1" applyBorder="1" applyAlignment="1">
      <alignment/>
    </xf>
    <xf numFmtId="0" fontId="56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164" fontId="55" fillId="0" borderId="10" xfId="46" applyNumberFormat="1" applyFont="1" applyBorder="1" applyAlignment="1">
      <alignment horizontal="center" vertical="center"/>
    </xf>
    <xf numFmtId="44" fontId="51" fillId="0" borderId="0" xfId="0" applyNumberFormat="1" applyFont="1" applyAlignment="1">
      <alignment/>
    </xf>
    <xf numFmtId="44" fontId="4" fillId="0" borderId="25" xfId="0" applyNumberFormat="1" applyFont="1" applyFill="1" applyBorder="1" applyAlignment="1">
      <alignment horizontal="center" vertical="center"/>
    </xf>
    <xf numFmtId="44" fontId="53" fillId="0" borderId="25" xfId="0" applyNumberFormat="1" applyFont="1" applyFill="1" applyBorder="1" applyAlignment="1">
      <alignment/>
    </xf>
    <xf numFmtId="10" fontId="0" fillId="0" borderId="32" xfId="0" applyNumberFormat="1" applyBorder="1" applyAlignment="1">
      <alignment/>
    </xf>
    <xf numFmtId="0" fontId="0" fillId="0" borderId="42" xfId="0" applyFill="1" applyBorder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4" fontId="55" fillId="0" borderId="0" xfId="46" applyNumberFormat="1" applyFont="1" applyFill="1" applyAlignment="1">
      <alignment/>
    </xf>
    <xf numFmtId="0" fontId="55" fillId="0" borderId="0" xfId="0" applyFont="1" applyFill="1" applyAlignment="1">
      <alignment/>
    </xf>
    <xf numFmtId="1" fontId="55" fillId="33" borderId="0" xfId="0" applyNumberFormat="1" applyFont="1" applyFill="1" applyAlignment="1">
      <alignment/>
    </xf>
    <xf numFmtId="44" fontId="55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44" fontId="55" fillId="0" borderId="0" xfId="48" applyNumberFormat="1" applyFont="1" applyAlignment="1">
      <alignment/>
    </xf>
    <xf numFmtId="0" fontId="15" fillId="0" borderId="0" xfId="0" applyFont="1" applyAlignment="1">
      <alignment horizontal="center" vertical="center"/>
    </xf>
    <xf numFmtId="44" fontId="8" fillId="0" borderId="0" xfId="48" applyFont="1" applyAlignment="1">
      <alignment/>
    </xf>
    <xf numFmtId="44" fontId="8" fillId="0" borderId="0" xfId="0" applyNumberFormat="1" applyFont="1" applyAlignment="1">
      <alignment/>
    </xf>
    <xf numFmtId="44" fontId="0" fillId="0" borderId="30" xfId="0" applyNumberFormat="1" applyFill="1" applyBorder="1" applyAlignment="1">
      <alignment/>
    </xf>
    <xf numFmtId="44" fontId="0" fillId="0" borderId="25" xfId="0" applyNumberFormat="1" applyFill="1" applyBorder="1" applyAlignment="1">
      <alignment/>
    </xf>
    <xf numFmtId="0" fontId="8" fillId="0" borderId="0" xfId="0" applyFont="1" applyAlignment="1">
      <alignment vertical="center"/>
    </xf>
    <xf numFmtId="44" fontId="8" fillId="0" borderId="0" xfId="48" applyFont="1" applyAlignment="1">
      <alignment vertical="center"/>
    </xf>
    <xf numFmtId="44" fontId="8" fillId="0" borderId="0" xfId="0" applyNumberFormat="1" applyFont="1" applyAlignment="1">
      <alignment vertical="center"/>
    </xf>
    <xf numFmtId="44" fontId="6" fillId="0" borderId="0" xfId="48" applyNumberFormat="1" applyFont="1" applyBorder="1" applyAlignment="1">
      <alignment/>
    </xf>
    <xf numFmtId="44" fontId="6" fillId="0" borderId="0" xfId="0" applyNumberFormat="1" applyFont="1" applyAlignment="1">
      <alignment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44" fontId="16" fillId="0" borderId="0" xfId="0" applyNumberFormat="1" applyFont="1" applyAlignment="1">
      <alignment/>
    </xf>
    <xf numFmtId="44" fontId="16" fillId="0" borderId="0" xfId="0" applyNumberFormat="1" applyFont="1" applyAlignment="1">
      <alignment vertical="center"/>
    </xf>
    <xf numFmtId="44" fontId="6" fillId="0" borderId="0" xfId="0" applyNumberFormat="1" applyFont="1" applyAlignment="1">
      <alignment vertical="center"/>
    </xf>
    <xf numFmtId="44" fontId="16" fillId="0" borderId="0" xfId="48" applyFont="1" applyAlignment="1">
      <alignment vertical="center"/>
    </xf>
    <xf numFmtId="43" fontId="51" fillId="0" borderId="0" xfId="48" applyNumberFormat="1" applyFont="1" applyAlignment="1">
      <alignment/>
    </xf>
    <xf numFmtId="43" fontId="51" fillId="0" borderId="0" xfId="46" applyFont="1" applyAlignment="1">
      <alignment/>
    </xf>
    <xf numFmtId="43" fontId="51" fillId="0" borderId="0" xfId="0" applyNumberFormat="1" applyFont="1" applyAlignment="1">
      <alignment/>
    </xf>
    <xf numFmtId="44" fontId="0" fillId="0" borderId="0" xfId="0" applyNumberFormat="1" applyFill="1" applyBorder="1" applyAlignment="1">
      <alignment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4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8" fillId="0" borderId="47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49" xfId="0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50" fillId="0" borderId="42" xfId="0" applyFont="1" applyBorder="1" applyAlignment="1">
      <alignment horizontal="center"/>
    </xf>
    <xf numFmtId="0" fontId="50" fillId="0" borderId="52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14" borderId="43" xfId="0" applyFont="1" applyFill="1" applyBorder="1" applyAlignment="1">
      <alignment horizontal="left"/>
    </xf>
    <xf numFmtId="0" fontId="8" fillId="14" borderId="44" xfId="0" applyFont="1" applyFill="1" applyBorder="1" applyAlignment="1">
      <alignment horizontal="left"/>
    </xf>
    <xf numFmtId="0" fontId="50" fillId="0" borderId="15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14" borderId="43" xfId="0" applyFill="1" applyBorder="1" applyAlignment="1">
      <alignment horizontal="left"/>
    </xf>
    <xf numFmtId="0" fontId="0" fillId="14" borderId="44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5" xfId="0" applyBorder="1" applyAlignment="1">
      <alignment horizontal="left"/>
    </xf>
    <xf numFmtId="0" fontId="8" fillId="0" borderId="57" xfId="0" applyFont="1" applyBorder="1" applyAlignment="1">
      <alignment horizontal="left"/>
    </xf>
    <xf numFmtId="0" fontId="8" fillId="0" borderId="5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50" fillId="0" borderId="41" xfId="0" applyFont="1" applyBorder="1" applyAlignment="1">
      <alignment horizontal="center"/>
    </xf>
    <xf numFmtId="0" fontId="8" fillId="0" borderId="45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0" fontId="0" fillId="0" borderId="41" xfId="0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8" fillId="0" borderId="24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6" fillId="0" borderId="4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8" fillId="0" borderId="43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left"/>
    </xf>
    <xf numFmtId="0" fontId="52" fillId="0" borderId="15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8" fillId="0" borderId="59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60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9" fontId="2" fillId="0" borderId="62" xfId="0" applyNumberFormat="1" applyFont="1" applyBorder="1" applyAlignment="1">
      <alignment horizontal="center"/>
    </xf>
    <xf numFmtId="9" fontId="2" fillId="0" borderId="64" xfId="0" applyNumberFormat="1" applyFont="1" applyBorder="1" applyAlignment="1">
      <alignment horizontal="center"/>
    </xf>
    <xf numFmtId="9" fontId="2" fillId="0" borderId="63" xfId="0" applyNumberFormat="1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41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1" fillId="0" borderId="0" xfId="0" applyFont="1" applyAlignment="1">
      <alignment horizontal="center"/>
    </xf>
    <xf numFmtId="9" fontId="2" fillId="0" borderId="15" xfId="0" applyNumberFormat="1" applyFont="1" applyBorder="1" applyAlignment="1">
      <alignment horizontal="center"/>
    </xf>
    <xf numFmtId="9" fontId="2" fillId="0" borderId="41" xfId="0" applyNumberFormat="1" applyFont="1" applyBorder="1" applyAlignment="1">
      <alignment horizontal="center"/>
    </xf>
    <xf numFmtId="9" fontId="2" fillId="0" borderId="28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Anàlisis de Sensibilidad (Tasa de Descuento)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5475"/>
          <c:w val="0.9562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'Flujo de Caja'!$B$66</c:f>
              <c:strCache>
                <c:ptCount val="1"/>
                <c:pt idx="0">
                  <c:v>Tasa de Descuento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'Flujo de Caja'!$B$67:$B$71</c:f>
              <c:numCache/>
            </c:numRef>
          </c:val>
          <c:smooth val="0"/>
        </c:ser>
        <c:ser>
          <c:idx val="1"/>
          <c:order val="1"/>
          <c:tx>
            <c:strRef>
              <c:f>'Flujo de Caja'!$C$66</c:f>
              <c:strCache>
                <c:ptCount val="1"/>
                <c:pt idx="0">
                  <c:v>VAN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'Flujo de Caja'!$C$67:$C$71</c:f>
              <c:numCache/>
            </c:numRef>
          </c:val>
          <c:smooth val="0"/>
        </c:ser>
        <c:marker val="1"/>
        <c:axId val="11897954"/>
        <c:axId val="39972723"/>
      </c:lineChart>
      <c:catAx>
        <c:axId val="118979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972723"/>
        <c:crosses val="autoZero"/>
        <c:auto val="1"/>
        <c:lblOffset val="100"/>
        <c:tickLblSkip val="1"/>
        <c:noMultiLvlLbl val="0"/>
      </c:catAx>
      <c:valAx>
        <c:axId val="39972723"/>
        <c:scaling>
          <c:orientation val="minMax"/>
        </c:scaling>
        <c:axPos val="l"/>
        <c:delete val="1"/>
        <c:majorTickMark val="out"/>
        <c:minorTickMark val="none"/>
        <c:tickLblPos val="nextTo"/>
        <c:crossAx val="11897954"/>
        <c:crossesAt val="1"/>
        <c:crossBetween val="between"/>
        <c:dispUnits/>
      </c:valAx>
      <c:spPr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plotArea>
    <c:legend>
      <c:legendPos val="t"/>
      <c:layout>
        <c:manualLayout>
          <c:xMode val="edge"/>
          <c:yMode val="edge"/>
          <c:x val="0.74525"/>
          <c:y val="0.1555"/>
          <c:w val="0.21875"/>
          <c:h val="0.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DAFDA7"/>
        </a:gs>
        <a:gs pos="35001">
          <a:srgbClr val="E4FDC2"/>
        </a:gs>
        <a:gs pos="100000">
          <a:srgbClr val="F5FFE6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61</xdr:row>
      <xdr:rowOff>57150</xdr:rowOff>
    </xdr:from>
    <xdr:to>
      <xdr:col>8</xdr:col>
      <xdr:colOff>276225</xdr:colOff>
      <xdr:row>75</xdr:row>
      <xdr:rowOff>133350</xdr:rowOff>
    </xdr:to>
    <xdr:graphicFrame>
      <xdr:nvGraphicFramePr>
        <xdr:cNvPr id="1" name="1 Gráfico"/>
        <xdr:cNvGraphicFramePr/>
      </xdr:nvGraphicFramePr>
      <xdr:xfrm>
        <a:off x="6153150" y="7143750"/>
        <a:ext cx="45720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F1">
      <selection activeCell="K9" sqref="K9"/>
    </sheetView>
  </sheetViews>
  <sheetFormatPr defaultColWidth="11.421875" defaultRowHeight="15"/>
  <cols>
    <col min="1" max="1" width="5.140625" style="0" customWidth="1"/>
    <col min="2" max="2" width="32.28125" style="0" customWidth="1"/>
    <col min="3" max="3" width="11.7109375" style="0" customWidth="1"/>
    <col min="4" max="4" width="14.00390625" style="0" customWidth="1"/>
    <col min="5" max="5" width="13.7109375" style="0" customWidth="1"/>
    <col min="6" max="6" width="18.00390625" style="0" customWidth="1"/>
    <col min="7" max="7" width="28.8515625" style="0" customWidth="1"/>
    <col min="9" max="9" width="18.57421875" style="0" customWidth="1"/>
    <col min="12" max="12" width="19.7109375" style="0" customWidth="1"/>
    <col min="13" max="13" width="13.8515625" style="0" customWidth="1"/>
    <col min="14" max="14" width="15.28125" style="0" customWidth="1"/>
    <col min="15" max="15" width="14.00390625" style="0" customWidth="1"/>
  </cols>
  <sheetData>
    <row r="1" spans="1:14" ht="15.75" thickBot="1">
      <c r="A1" s="18"/>
      <c r="B1" s="324" t="s">
        <v>0</v>
      </c>
      <c r="C1" s="325"/>
      <c r="D1" s="326"/>
      <c r="F1" s="324" t="s">
        <v>25</v>
      </c>
      <c r="G1" s="325"/>
      <c r="H1" s="325"/>
      <c r="I1" s="326"/>
      <c r="K1" s="324" t="s">
        <v>31</v>
      </c>
      <c r="L1" s="325"/>
      <c r="M1" s="325"/>
      <c r="N1" s="326"/>
    </row>
    <row r="2" spans="2:14" ht="15.75" thickBot="1">
      <c r="B2" s="324" t="s">
        <v>1</v>
      </c>
      <c r="C2" s="326"/>
      <c r="D2" s="30" t="s">
        <v>2</v>
      </c>
      <c r="F2" s="379" t="s">
        <v>26</v>
      </c>
      <c r="G2" s="325"/>
      <c r="H2" s="325"/>
      <c r="I2" s="326"/>
      <c r="K2" s="46"/>
      <c r="L2" s="47"/>
      <c r="M2" s="70" t="s">
        <v>27</v>
      </c>
      <c r="N2" s="70" t="s">
        <v>2</v>
      </c>
    </row>
    <row r="3" spans="2:14" ht="15.75" thickBot="1">
      <c r="B3" s="371" t="s">
        <v>165</v>
      </c>
      <c r="C3" s="372"/>
      <c r="D3" s="36">
        <f>(3*450)</f>
        <v>1350</v>
      </c>
      <c r="F3" s="53"/>
      <c r="G3" s="55"/>
      <c r="H3" s="54" t="s">
        <v>27</v>
      </c>
      <c r="I3" s="54" t="s">
        <v>2</v>
      </c>
      <c r="K3" s="62">
        <v>1</v>
      </c>
      <c r="L3" s="69" t="s">
        <v>32</v>
      </c>
      <c r="M3" s="71">
        <v>218</v>
      </c>
      <c r="N3" s="71">
        <f>M3*12</f>
        <v>2616</v>
      </c>
    </row>
    <row r="4" spans="2:14" ht="15">
      <c r="B4" s="373" t="s">
        <v>3</v>
      </c>
      <c r="C4" s="374"/>
      <c r="D4" s="12">
        <f>F20</f>
        <v>340.8</v>
      </c>
      <c r="F4" s="48">
        <v>1</v>
      </c>
      <c r="G4" s="56" t="s">
        <v>28</v>
      </c>
      <c r="H4" s="60">
        <v>280</v>
      </c>
      <c r="I4" s="60">
        <f>H4*12</f>
        <v>3360</v>
      </c>
      <c r="K4" s="62">
        <v>1</v>
      </c>
      <c r="L4" s="69" t="s">
        <v>33</v>
      </c>
      <c r="M4" s="71">
        <v>218</v>
      </c>
      <c r="N4" s="71">
        <f>M4*12</f>
        <v>2616</v>
      </c>
    </row>
    <row r="5" spans="2:14" ht="15" customHeight="1">
      <c r="B5" s="373" t="s">
        <v>4</v>
      </c>
      <c r="C5" s="374"/>
      <c r="D5" s="23">
        <f>E31</f>
        <v>700</v>
      </c>
      <c r="F5" s="48">
        <v>1</v>
      </c>
      <c r="G5" s="59" t="s">
        <v>29</v>
      </c>
      <c r="H5" s="50">
        <v>280</v>
      </c>
      <c r="I5" s="50">
        <f>H5*12</f>
        <v>3360</v>
      </c>
      <c r="K5" s="61">
        <v>2</v>
      </c>
      <c r="L5" s="67" t="s">
        <v>34</v>
      </c>
      <c r="M5" s="64">
        <f>218*K5</f>
        <v>436</v>
      </c>
      <c r="N5" s="64">
        <f>M5*12</f>
        <v>5232</v>
      </c>
    </row>
    <row r="6" spans="2:14" ht="15.75" thickBot="1">
      <c r="B6" s="335" t="s">
        <v>5</v>
      </c>
      <c r="C6" s="336"/>
      <c r="D6" s="28">
        <v>2400</v>
      </c>
      <c r="F6" s="49"/>
      <c r="G6" s="57"/>
      <c r="H6" s="51"/>
      <c r="I6" s="51"/>
      <c r="K6" s="61">
        <v>1</v>
      </c>
      <c r="L6" s="68" t="s">
        <v>35</v>
      </c>
      <c r="M6" s="65">
        <f>218*K6</f>
        <v>218</v>
      </c>
      <c r="N6" s="65">
        <f>M6*12</f>
        <v>2616</v>
      </c>
    </row>
    <row r="7" spans="2:14" ht="15.75" thickBot="1">
      <c r="B7" s="375" t="s">
        <v>6</v>
      </c>
      <c r="C7" s="376"/>
      <c r="D7" s="1">
        <f>SUM(D3:D6)</f>
        <v>4790.8</v>
      </c>
      <c r="F7" s="319" t="s">
        <v>30</v>
      </c>
      <c r="G7" s="320"/>
      <c r="H7" s="58">
        <f>SUM(H4:H6)</f>
        <v>560</v>
      </c>
      <c r="I7" s="52">
        <f>SUM(I4:I6)</f>
        <v>6720</v>
      </c>
      <c r="K7" s="63"/>
      <c r="L7" s="68"/>
      <c r="M7" s="65"/>
      <c r="N7" s="65"/>
    </row>
    <row r="8" spans="11:14" ht="15.75" thickBot="1">
      <c r="K8" s="377" t="s">
        <v>36</v>
      </c>
      <c r="L8" s="378"/>
      <c r="M8" s="66">
        <f>SUM(M3:M7)</f>
        <v>1090</v>
      </c>
      <c r="N8" s="66">
        <f>SUM(N3:N7)</f>
        <v>13080</v>
      </c>
    </row>
    <row r="9" ht="15.75" thickBot="1"/>
    <row r="10" spans="1:14" ht="15.75" thickBot="1">
      <c r="A10" s="13" t="s">
        <v>17</v>
      </c>
      <c r="B10" s="317" t="s">
        <v>7</v>
      </c>
      <c r="C10" s="370"/>
      <c r="D10" s="318"/>
      <c r="E10" s="13" t="s">
        <v>16</v>
      </c>
      <c r="F10" s="3" t="s">
        <v>2</v>
      </c>
      <c r="K10" s="351" t="s">
        <v>37</v>
      </c>
      <c r="L10" s="369"/>
      <c r="M10" s="369"/>
      <c r="N10" s="352"/>
    </row>
    <row r="11" spans="1:14" ht="15.75" thickBot="1">
      <c r="A11" s="228">
        <v>2</v>
      </c>
      <c r="B11" s="363" t="s">
        <v>8</v>
      </c>
      <c r="C11" s="364"/>
      <c r="D11" s="5">
        <v>3</v>
      </c>
      <c r="E11" s="15">
        <f>D11*A11</f>
        <v>6</v>
      </c>
      <c r="F11" s="2">
        <f aca="true" t="shared" si="0" ref="F11:F19">E11*12</f>
        <v>72</v>
      </c>
      <c r="K11" s="351"/>
      <c r="L11" s="352"/>
      <c r="M11" s="72" t="s">
        <v>27</v>
      </c>
      <c r="N11" s="73" t="s">
        <v>2</v>
      </c>
    </row>
    <row r="12" spans="1:14" ht="15">
      <c r="A12" s="229">
        <v>12</v>
      </c>
      <c r="B12" s="329" t="s">
        <v>9</v>
      </c>
      <c r="C12" s="330"/>
      <c r="D12" s="85">
        <v>0.2</v>
      </c>
      <c r="E12" s="16">
        <f aca="true" t="shared" si="1" ref="E12:E17">D12*A12</f>
        <v>2.4000000000000004</v>
      </c>
      <c r="F12" s="7">
        <f t="shared" si="0"/>
        <v>28.800000000000004</v>
      </c>
      <c r="K12" s="353" t="s">
        <v>38</v>
      </c>
      <c r="L12" s="354"/>
      <c r="M12" s="40">
        <v>15</v>
      </c>
      <c r="N12" s="2">
        <f>M12*12</f>
        <v>180</v>
      </c>
    </row>
    <row r="13" spans="1:14" ht="15">
      <c r="A13" s="229">
        <v>12</v>
      </c>
      <c r="B13" s="329" t="s">
        <v>10</v>
      </c>
      <c r="C13" s="330"/>
      <c r="D13" s="6">
        <v>0.1</v>
      </c>
      <c r="E13" s="16">
        <f t="shared" si="1"/>
        <v>1.2000000000000002</v>
      </c>
      <c r="F13" s="7">
        <f t="shared" si="0"/>
        <v>14.400000000000002</v>
      </c>
      <c r="K13" s="314" t="s">
        <v>39</v>
      </c>
      <c r="L13" s="315"/>
      <c r="M13" s="38">
        <v>50</v>
      </c>
      <c r="N13" s="26">
        <f>M13*12</f>
        <v>600</v>
      </c>
    </row>
    <row r="14" spans="1:14" ht="15.75" thickBot="1">
      <c r="A14" s="229">
        <v>2</v>
      </c>
      <c r="B14" s="331" t="s">
        <v>11</v>
      </c>
      <c r="C14" s="332"/>
      <c r="D14" s="6">
        <v>0.5</v>
      </c>
      <c r="E14" s="16">
        <f t="shared" si="1"/>
        <v>1</v>
      </c>
      <c r="F14" s="7">
        <f t="shared" si="0"/>
        <v>12</v>
      </c>
      <c r="K14" s="355" t="s">
        <v>40</v>
      </c>
      <c r="L14" s="356"/>
      <c r="M14" s="44">
        <v>50</v>
      </c>
      <c r="N14" s="31">
        <f>M14*12</f>
        <v>600</v>
      </c>
    </row>
    <row r="15" spans="1:14" ht="15.75" thickBot="1">
      <c r="A15" s="229">
        <v>2</v>
      </c>
      <c r="B15" s="329" t="s">
        <v>12</v>
      </c>
      <c r="C15" s="330"/>
      <c r="D15" s="6">
        <v>1.8</v>
      </c>
      <c r="E15" s="16">
        <f t="shared" si="1"/>
        <v>3.6</v>
      </c>
      <c r="F15" s="7">
        <f>E15*6</f>
        <v>21.6</v>
      </c>
      <c r="K15" s="319" t="s">
        <v>15</v>
      </c>
      <c r="L15" s="320"/>
      <c r="M15" s="74">
        <f>SUM(M12:M14)</f>
        <v>115</v>
      </c>
      <c r="N15" s="11">
        <f>SUM(N12:N14)</f>
        <v>1380</v>
      </c>
    </row>
    <row r="16" spans="1:6" ht="15">
      <c r="A16" s="229"/>
      <c r="B16" s="338"/>
      <c r="C16" s="338"/>
      <c r="D16" s="6"/>
      <c r="E16" s="16"/>
      <c r="F16" s="7"/>
    </row>
    <row r="17" spans="1:15" ht="15.75" thickBot="1">
      <c r="A17" s="229">
        <v>2</v>
      </c>
      <c r="B17" s="339" t="s">
        <v>13</v>
      </c>
      <c r="C17" s="340"/>
      <c r="D17" s="6">
        <v>0.5</v>
      </c>
      <c r="E17" s="16">
        <f t="shared" si="1"/>
        <v>1</v>
      </c>
      <c r="F17" s="7">
        <f t="shared" si="0"/>
        <v>12</v>
      </c>
      <c r="I17" s="75"/>
      <c r="J17" s="75"/>
      <c r="K17" s="76"/>
      <c r="L17" s="77"/>
      <c r="M17" s="116">
        <v>0.027</v>
      </c>
      <c r="N17" s="116"/>
      <c r="O17" s="18"/>
    </row>
    <row r="18" spans="1:15" ht="15.75" thickBot="1">
      <c r="A18" s="227"/>
      <c r="B18" s="337"/>
      <c r="C18" s="337"/>
      <c r="D18" s="6"/>
      <c r="E18" s="16"/>
      <c r="F18" s="7"/>
      <c r="I18" s="348" t="s">
        <v>41</v>
      </c>
      <c r="J18" s="349"/>
      <c r="K18" s="349"/>
      <c r="L18" s="349"/>
      <c r="M18" s="349"/>
      <c r="N18" s="349"/>
      <c r="O18" s="350"/>
    </row>
    <row r="19" spans="1:15" ht="15.75" thickBot="1">
      <c r="A19" s="230"/>
      <c r="B19" s="335" t="s">
        <v>14</v>
      </c>
      <c r="C19" s="365"/>
      <c r="D19" s="4"/>
      <c r="E19" s="17">
        <v>15</v>
      </c>
      <c r="F19" s="10">
        <f t="shared" si="0"/>
        <v>180</v>
      </c>
      <c r="I19" s="79"/>
      <c r="J19" s="80" t="s">
        <v>27</v>
      </c>
      <c r="K19" s="81" t="s">
        <v>42</v>
      </c>
      <c r="L19" s="80" t="s">
        <v>178</v>
      </c>
      <c r="M19" s="81" t="s">
        <v>179</v>
      </c>
      <c r="N19" s="80" t="s">
        <v>180</v>
      </c>
      <c r="O19" s="81" t="s">
        <v>181</v>
      </c>
    </row>
    <row r="20" spans="1:15" ht="15.75" thickBot="1">
      <c r="A20" s="319" t="s">
        <v>15</v>
      </c>
      <c r="B20" s="366"/>
      <c r="C20" s="320"/>
      <c r="D20" s="8"/>
      <c r="E20" s="9">
        <f>SUM(E11:E19)</f>
        <v>30.200000000000003</v>
      </c>
      <c r="F20" s="11">
        <f>SUM(F11:F19)</f>
        <v>340.8</v>
      </c>
      <c r="I20" s="82"/>
      <c r="J20" s="83"/>
      <c r="K20" s="83"/>
      <c r="L20" s="84"/>
      <c r="M20" s="83"/>
      <c r="N20" s="83"/>
      <c r="O20" s="83"/>
    </row>
    <row r="21" spans="9:15" ht="15.75" thickBot="1">
      <c r="I21" s="82" t="s">
        <v>161</v>
      </c>
      <c r="J21" s="85">
        <v>80</v>
      </c>
      <c r="K21" s="85">
        <f>J21*12</f>
        <v>960</v>
      </c>
      <c r="L21" s="86">
        <f aca="true" t="shared" si="2" ref="L21:O23">K21*(1+$M$17)</f>
        <v>985.92</v>
      </c>
      <c r="M21" s="85">
        <f t="shared" si="2"/>
        <v>1012.5398399999999</v>
      </c>
      <c r="N21" s="85">
        <f t="shared" si="2"/>
        <v>1039.8784156799998</v>
      </c>
      <c r="O21" s="85">
        <f t="shared" si="2"/>
        <v>1067.9551329033598</v>
      </c>
    </row>
    <row r="22" spans="1:15" ht="15.75" thickBot="1">
      <c r="A22" s="324" t="s">
        <v>18</v>
      </c>
      <c r="B22" s="325"/>
      <c r="C22" s="325"/>
      <c r="D22" s="325"/>
      <c r="E22" s="380"/>
      <c r="F22" s="33" t="s">
        <v>19</v>
      </c>
      <c r="G22" s="33" t="s">
        <v>20</v>
      </c>
      <c r="I22" s="82" t="s">
        <v>43</v>
      </c>
      <c r="J22" s="85">
        <v>35</v>
      </c>
      <c r="K22" s="85">
        <f>J22*12</f>
        <v>420</v>
      </c>
      <c r="L22" s="86">
        <f t="shared" si="2"/>
        <v>431.34</v>
      </c>
      <c r="M22" s="85">
        <f t="shared" si="2"/>
        <v>442.98617999999993</v>
      </c>
      <c r="N22" s="85">
        <f t="shared" si="2"/>
        <v>454.94680685999987</v>
      </c>
      <c r="O22" s="85">
        <f t="shared" si="2"/>
        <v>467.2303706452198</v>
      </c>
    </row>
    <row r="23" spans="1:15" ht="15.75" thickBot="1">
      <c r="A23" s="29"/>
      <c r="B23" s="367"/>
      <c r="C23" s="368"/>
      <c r="D23" s="40"/>
      <c r="E23" s="24"/>
      <c r="F23" s="295"/>
      <c r="G23" s="20"/>
      <c r="I23" s="87" t="s">
        <v>44</v>
      </c>
      <c r="J23" s="88"/>
      <c r="K23" s="88">
        <v>120</v>
      </c>
      <c r="L23" s="89">
        <f t="shared" si="2"/>
        <v>123.24</v>
      </c>
      <c r="M23" s="88">
        <f t="shared" si="2"/>
        <v>126.56747999999999</v>
      </c>
      <c r="N23" s="88">
        <f t="shared" si="2"/>
        <v>129.98480195999997</v>
      </c>
      <c r="O23" s="88">
        <f t="shared" si="2"/>
        <v>133.49439161291997</v>
      </c>
    </row>
    <row r="24" spans="1:15" ht="15.75" thickBot="1">
      <c r="A24" s="21"/>
      <c r="B24" s="381"/>
      <c r="C24" s="382"/>
      <c r="D24" s="38"/>
      <c r="E24" s="25"/>
      <c r="F24" s="296"/>
      <c r="G24" s="19"/>
      <c r="I24" s="90" t="s">
        <v>15</v>
      </c>
      <c r="J24" s="91">
        <f aca="true" t="shared" si="3" ref="J24:O24">SUM(J21:J23)</f>
        <v>115</v>
      </c>
      <c r="K24" s="91">
        <f t="shared" si="3"/>
        <v>1500</v>
      </c>
      <c r="L24" s="91">
        <f t="shared" si="3"/>
        <v>1540.5</v>
      </c>
      <c r="M24" s="91">
        <f t="shared" si="3"/>
        <v>1582.0934999999997</v>
      </c>
      <c r="N24" s="91">
        <f t="shared" si="3"/>
        <v>1624.8100244999996</v>
      </c>
      <c r="O24" s="91">
        <f t="shared" si="3"/>
        <v>1668.6798951614996</v>
      </c>
    </row>
    <row r="25" spans="1:7" ht="15">
      <c r="A25" s="21">
        <v>1</v>
      </c>
      <c r="B25" s="344" t="s">
        <v>40</v>
      </c>
      <c r="C25" s="345"/>
      <c r="D25" s="38">
        <v>10</v>
      </c>
      <c r="E25" s="25">
        <f aca="true" t="shared" si="4" ref="E25:E30">D25*A25</f>
        <v>10</v>
      </c>
      <c r="F25" s="42"/>
      <c r="G25" s="26">
        <f>E25</f>
        <v>10</v>
      </c>
    </row>
    <row r="26" spans="1:7" ht="15">
      <c r="A26" s="21">
        <v>3</v>
      </c>
      <c r="B26" s="357" t="s">
        <v>21</v>
      </c>
      <c r="C26" s="358"/>
      <c r="D26" s="38">
        <v>80</v>
      </c>
      <c r="E26" s="25">
        <f>D26*A26</f>
        <v>240</v>
      </c>
      <c r="F26" s="41">
        <f>E26</f>
        <v>240</v>
      </c>
      <c r="G26" s="19"/>
    </row>
    <row r="27" spans="1:7" ht="15">
      <c r="A27" s="21">
        <v>9</v>
      </c>
      <c r="B27" s="346" t="s">
        <v>205</v>
      </c>
      <c r="C27" s="347"/>
      <c r="D27" s="38">
        <v>10</v>
      </c>
      <c r="E27" s="25">
        <f t="shared" si="4"/>
        <v>90</v>
      </c>
      <c r="F27" s="41">
        <f>E27</f>
        <v>90</v>
      </c>
      <c r="G27" s="19"/>
    </row>
    <row r="28" spans="1:7" ht="15">
      <c r="A28" s="32">
        <v>1</v>
      </c>
      <c r="B28" s="359" t="s">
        <v>22</v>
      </c>
      <c r="C28" s="360"/>
      <c r="D28" s="39">
        <v>280</v>
      </c>
      <c r="E28" s="25">
        <f t="shared" si="4"/>
        <v>280</v>
      </c>
      <c r="F28" s="43"/>
      <c r="G28" s="26">
        <f>E28</f>
        <v>280</v>
      </c>
    </row>
    <row r="29" spans="1:7" ht="15">
      <c r="A29" s="19">
        <v>1</v>
      </c>
      <c r="B29" s="361" t="s">
        <v>23</v>
      </c>
      <c r="C29" s="362"/>
      <c r="D29" s="38">
        <v>50</v>
      </c>
      <c r="E29" s="25">
        <f t="shared" si="4"/>
        <v>50</v>
      </c>
      <c r="F29" s="42"/>
      <c r="G29" s="26">
        <f>E29</f>
        <v>50</v>
      </c>
    </row>
    <row r="30" spans="1:7" ht="15.75" thickBot="1">
      <c r="A30" s="22">
        <v>1</v>
      </c>
      <c r="B30" s="335" t="s">
        <v>24</v>
      </c>
      <c r="C30" s="336"/>
      <c r="D30" s="44">
        <v>30</v>
      </c>
      <c r="E30" s="28">
        <f t="shared" si="4"/>
        <v>30</v>
      </c>
      <c r="F30" s="45"/>
      <c r="G30" s="31">
        <f>E30</f>
        <v>30</v>
      </c>
    </row>
    <row r="31" spans="1:7" ht="15.75" thickBot="1">
      <c r="A31" s="341" t="s">
        <v>15</v>
      </c>
      <c r="B31" s="342"/>
      <c r="C31" s="343"/>
      <c r="D31" s="27"/>
      <c r="E31" s="35">
        <f>SUM(E23:E30)</f>
        <v>700</v>
      </c>
      <c r="F31" s="37">
        <f>SUM(F23:F30)</f>
        <v>330</v>
      </c>
      <c r="G31" s="34">
        <f>SUM(G23:G30)</f>
        <v>370</v>
      </c>
    </row>
    <row r="32" ht="15.75" thickBot="1"/>
    <row r="33" spans="2:5" ht="15.75" thickBot="1">
      <c r="B33" s="324" t="s">
        <v>60</v>
      </c>
      <c r="C33" s="325"/>
      <c r="D33" s="326"/>
      <c r="E33" s="108"/>
    </row>
    <row r="34" spans="2:5" ht="15">
      <c r="B34" s="327" t="s">
        <v>47</v>
      </c>
      <c r="C34" s="328"/>
      <c r="D34" s="36">
        <f>N8</f>
        <v>13080</v>
      </c>
      <c r="E34" s="109"/>
    </row>
    <row r="35" spans="2:5" ht="15">
      <c r="B35" s="314" t="s">
        <v>61</v>
      </c>
      <c r="C35" s="315"/>
      <c r="D35" s="64">
        <f>I7</f>
        <v>6720</v>
      </c>
      <c r="E35" s="109"/>
    </row>
    <row r="36" spans="2:9" ht="15">
      <c r="B36" s="314" t="s">
        <v>62</v>
      </c>
      <c r="C36" s="315"/>
      <c r="D36" s="64">
        <f>D4</f>
        <v>340.8</v>
      </c>
      <c r="E36" s="109"/>
      <c r="F36" s="265"/>
      <c r="G36" s="270"/>
      <c r="H36" s="18"/>
      <c r="I36" s="18"/>
    </row>
    <row r="37" spans="2:9" ht="15">
      <c r="B37" s="314" t="s">
        <v>51</v>
      </c>
      <c r="C37" s="315"/>
      <c r="D37" s="64">
        <f>K24</f>
        <v>1500</v>
      </c>
      <c r="E37" s="109"/>
      <c r="F37" s="271"/>
      <c r="G37" s="272"/>
      <c r="H37" s="115"/>
      <c r="I37" s="107"/>
    </row>
    <row r="38" spans="2:9" ht="15">
      <c r="B38" s="333" t="s">
        <v>184</v>
      </c>
      <c r="C38" s="334"/>
      <c r="D38" s="65">
        <f>50*12</f>
        <v>600</v>
      </c>
      <c r="E38" s="109"/>
      <c r="F38" s="271"/>
      <c r="G38" s="272"/>
      <c r="H38" s="115"/>
      <c r="I38" s="107"/>
    </row>
    <row r="39" spans="2:9" ht="15">
      <c r="B39" s="333"/>
      <c r="C39" s="334"/>
      <c r="D39" s="65"/>
      <c r="E39" s="109"/>
      <c r="F39" s="273"/>
      <c r="G39" s="274"/>
      <c r="H39" s="115"/>
      <c r="I39" s="18"/>
    </row>
    <row r="40" spans="2:5" ht="15">
      <c r="B40" s="333" t="s">
        <v>56</v>
      </c>
      <c r="C40" s="334"/>
      <c r="D40" s="65">
        <f>218*12</f>
        <v>2616</v>
      </c>
      <c r="E40" s="109"/>
    </row>
    <row r="41" spans="2:5" ht="15.75" thickBot="1">
      <c r="B41" s="335" t="s">
        <v>185</v>
      </c>
      <c r="C41" s="336"/>
      <c r="D41" s="110">
        <f>N15</f>
        <v>1380</v>
      </c>
      <c r="E41" s="109"/>
    </row>
    <row r="42" spans="2:9" ht="15.75" thickBot="1">
      <c r="B42" s="319" t="s">
        <v>63</v>
      </c>
      <c r="C42" s="320"/>
      <c r="D42" s="111">
        <f>SUM(D34:D41)</f>
        <v>26236.8</v>
      </c>
      <c r="E42" s="112">
        <f>D42/12</f>
        <v>2186.4</v>
      </c>
      <c r="G42" s="324" t="s">
        <v>70</v>
      </c>
      <c r="H42" s="325"/>
      <c r="I42" s="326"/>
    </row>
    <row r="43" spans="7:9" ht="15">
      <c r="G43" s="327" t="s">
        <v>71</v>
      </c>
      <c r="H43" s="328"/>
      <c r="I43" s="123">
        <f>D3</f>
        <v>1350</v>
      </c>
    </row>
    <row r="44" spans="2:9" ht="15">
      <c r="B44" s="385">
        <f>D42+I46</f>
        <v>30686.8</v>
      </c>
      <c r="C44" s="386"/>
      <c r="D44" s="290" t="s">
        <v>186</v>
      </c>
      <c r="E44" s="256"/>
      <c r="G44" s="314" t="s">
        <v>18</v>
      </c>
      <c r="H44" s="315"/>
      <c r="I44" s="124">
        <f>D5</f>
        <v>700</v>
      </c>
    </row>
    <row r="45" spans="2:9" ht="15.75" thickBot="1">
      <c r="B45" s="321">
        <f>B44/'Presupuesto de Inversión'!B29</f>
        <v>0.9305555612413607</v>
      </c>
      <c r="C45" s="322"/>
      <c r="D45" s="257" t="s">
        <v>187</v>
      </c>
      <c r="E45" s="258"/>
      <c r="G45" s="314" t="s">
        <v>5</v>
      </c>
      <c r="H45" s="315"/>
      <c r="I45" s="124">
        <f>D6</f>
        <v>2400</v>
      </c>
    </row>
    <row r="46" spans="2:9" ht="15.75" thickBot="1">
      <c r="B46" s="322"/>
      <c r="C46" s="322"/>
      <c r="D46" s="258"/>
      <c r="E46" s="259"/>
      <c r="G46" s="319" t="s">
        <v>70</v>
      </c>
      <c r="H46" s="320"/>
      <c r="I46" s="112">
        <f>SUM(I43:I45)</f>
        <v>4450</v>
      </c>
    </row>
    <row r="47" spans="2:9" ht="15.75" thickBot="1">
      <c r="B47" s="323"/>
      <c r="C47" s="323"/>
      <c r="D47" s="257"/>
      <c r="E47" s="259"/>
      <c r="G47" s="316"/>
      <c r="H47" s="316"/>
      <c r="I47" s="125"/>
    </row>
    <row r="48" spans="7:10" ht="15.75" thickBot="1">
      <c r="G48" s="317" t="s">
        <v>83</v>
      </c>
      <c r="H48" s="318"/>
      <c r="I48" s="114"/>
      <c r="J48" s="114"/>
    </row>
    <row r="49" spans="2:10" ht="15.75" thickBot="1">
      <c r="B49" s="387" t="s">
        <v>80</v>
      </c>
      <c r="C49" s="388"/>
      <c r="D49" s="128">
        <f>D50+D51</f>
        <v>18893.4</v>
      </c>
      <c r="F49" s="109"/>
      <c r="G49" s="389" t="s">
        <v>84</v>
      </c>
      <c r="H49" s="390"/>
      <c r="I49" s="133"/>
      <c r="J49" s="64">
        <v>325</v>
      </c>
    </row>
    <row r="50" spans="2:10" ht="15.75" thickBot="1">
      <c r="B50" s="383" t="s">
        <v>142</v>
      </c>
      <c r="C50" s="384"/>
      <c r="D50" s="129">
        <f>I46+J52</f>
        <v>5775</v>
      </c>
      <c r="F50" s="130"/>
      <c r="G50" s="344" t="s">
        <v>85</v>
      </c>
      <c r="H50" s="345"/>
      <c r="I50" s="133"/>
      <c r="J50" s="64">
        <v>1000</v>
      </c>
    </row>
    <row r="51" spans="2:10" ht="15.75" thickBot="1">
      <c r="B51" s="387" t="s">
        <v>81</v>
      </c>
      <c r="C51" s="388"/>
      <c r="D51" s="131">
        <f>'Presup de Gastos'!D28</f>
        <v>13118.400000000001</v>
      </c>
      <c r="E51" s="300">
        <f>D49*50%</f>
        <v>9446.7</v>
      </c>
      <c r="F51" s="18" t="s">
        <v>158</v>
      </c>
      <c r="G51" s="391"/>
      <c r="H51" s="392"/>
      <c r="I51" s="113"/>
      <c r="J51" s="65"/>
    </row>
    <row r="52" spans="2:10" ht="15.75" thickBot="1">
      <c r="B52" s="387" t="s">
        <v>82</v>
      </c>
      <c r="C52" s="388"/>
      <c r="D52" s="132">
        <v>11000</v>
      </c>
      <c r="E52" s="300">
        <f>D49*50%</f>
        <v>9446.7</v>
      </c>
      <c r="F52" s="18" t="s">
        <v>159</v>
      </c>
      <c r="G52" s="393" t="s">
        <v>86</v>
      </c>
      <c r="H52" s="394"/>
      <c r="I52" s="58"/>
      <c r="J52" s="66">
        <f>SUM(J49:J51)</f>
        <v>1325</v>
      </c>
    </row>
    <row r="54" spans="2:3" ht="15">
      <c r="B54" s="121"/>
      <c r="C54" s="211"/>
    </row>
    <row r="57" spans="3:6" ht="15">
      <c r="C57" s="212"/>
      <c r="D57" s="213"/>
      <c r="E57" s="213"/>
      <c r="F57" s="212"/>
    </row>
    <row r="58" spans="3:6" ht="15">
      <c r="C58" s="212"/>
      <c r="D58" s="213"/>
      <c r="E58" s="212"/>
      <c r="F58" s="213"/>
    </row>
    <row r="59" spans="3:6" ht="15">
      <c r="C59" s="212"/>
      <c r="D59" s="212"/>
      <c r="E59" s="212"/>
      <c r="F59" s="214"/>
    </row>
  </sheetData>
  <sheetProtection/>
  <mergeCells count="69">
    <mergeCell ref="B51:C51"/>
    <mergeCell ref="B52:C52"/>
    <mergeCell ref="B49:C49"/>
    <mergeCell ref="G49:H49"/>
    <mergeCell ref="G50:H50"/>
    <mergeCell ref="G51:H51"/>
    <mergeCell ref="G52:H52"/>
    <mergeCell ref="A22:E22"/>
    <mergeCell ref="B24:C24"/>
    <mergeCell ref="B30:C30"/>
    <mergeCell ref="B50:C50"/>
    <mergeCell ref="B44:C44"/>
    <mergeCell ref="B36:C36"/>
    <mergeCell ref="B37:C37"/>
    <mergeCell ref="B38:C38"/>
    <mergeCell ref="B39:C39"/>
    <mergeCell ref="K1:N1"/>
    <mergeCell ref="K10:N10"/>
    <mergeCell ref="B10:D10"/>
    <mergeCell ref="B1:D1"/>
    <mergeCell ref="B2:C2"/>
    <mergeCell ref="B3:C3"/>
    <mergeCell ref="B4:C4"/>
    <mergeCell ref="B5:C5"/>
    <mergeCell ref="F7:G7"/>
    <mergeCell ref="F1:I1"/>
    <mergeCell ref="B7:C7"/>
    <mergeCell ref="B6:C6"/>
    <mergeCell ref="K8:L8"/>
    <mergeCell ref="F2:I2"/>
    <mergeCell ref="I18:O18"/>
    <mergeCell ref="B33:D33"/>
    <mergeCell ref="B34:C34"/>
    <mergeCell ref="B35:C35"/>
    <mergeCell ref="K11:L11"/>
    <mergeCell ref="K12:L12"/>
    <mergeCell ref="K13:L13"/>
    <mergeCell ref="K14:L14"/>
    <mergeCell ref="K15:L15"/>
    <mergeCell ref="B26:C26"/>
    <mergeCell ref="B28:C28"/>
    <mergeCell ref="B29:C29"/>
    <mergeCell ref="B11:C11"/>
    <mergeCell ref="B19:C19"/>
    <mergeCell ref="A20:C20"/>
    <mergeCell ref="B23:C23"/>
    <mergeCell ref="G42:I42"/>
    <mergeCell ref="G43:H43"/>
    <mergeCell ref="G44:H44"/>
    <mergeCell ref="B12:C12"/>
    <mergeCell ref="B13:C13"/>
    <mergeCell ref="B14:C14"/>
    <mergeCell ref="B40:C40"/>
    <mergeCell ref="B41:C41"/>
    <mergeCell ref="B42:C42"/>
    <mergeCell ref="B15:C15"/>
    <mergeCell ref="B18:C18"/>
    <mergeCell ref="B16:C16"/>
    <mergeCell ref="B17:C17"/>
    <mergeCell ref="A31:C31"/>
    <mergeCell ref="B25:C25"/>
    <mergeCell ref="B27:C27"/>
    <mergeCell ref="G45:H45"/>
    <mergeCell ref="G47:H47"/>
    <mergeCell ref="G48:H48"/>
    <mergeCell ref="G46:H46"/>
    <mergeCell ref="B45:C45"/>
    <mergeCell ref="B46:C46"/>
    <mergeCell ref="B47:C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8"/>
  <sheetViews>
    <sheetView zoomScalePageLayoutView="0" workbookViewId="0" topLeftCell="A1">
      <selection activeCell="D28" sqref="D28"/>
    </sheetView>
  </sheetViews>
  <sheetFormatPr defaultColWidth="11.421875" defaultRowHeight="15"/>
  <cols>
    <col min="2" max="2" width="31.140625" style="0" customWidth="1"/>
    <col min="3" max="3" width="13.00390625" style="0" bestFit="1" customWidth="1"/>
    <col min="4" max="4" width="12.7109375" style="0" customWidth="1"/>
    <col min="5" max="7" width="13.00390625" style="0" bestFit="1" customWidth="1"/>
    <col min="9" max="9" width="12.00390625" style="0" bestFit="1" customWidth="1"/>
  </cols>
  <sheetData>
    <row r="2" spans="2:7" ht="15.75" thickBot="1">
      <c r="B2" s="18"/>
      <c r="C2" s="211">
        <v>0.027</v>
      </c>
      <c r="D2" s="211"/>
      <c r="E2" s="18"/>
      <c r="F2" s="18"/>
      <c r="G2" s="18"/>
    </row>
    <row r="3" spans="2:7" ht="15.75" thickBot="1">
      <c r="B3" s="319" t="s">
        <v>45</v>
      </c>
      <c r="C3" s="366"/>
      <c r="D3" s="366"/>
      <c r="E3" s="366"/>
      <c r="F3" s="366"/>
      <c r="G3" s="320"/>
    </row>
    <row r="4" spans="2:7" ht="15.75" thickBot="1">
      <c r="B4" s="351"/>
      <c r="C4" s="369"/>
      <c r="D4" s="369"/>
      <c r="E4" s="369"/>
      <c r="F4" s="369"/>
      <c r="G4" s="352"/>
    </row>
    <row r="5" spans="2:7" ht="15.75" thickBot="1">
      <c r="B5" s="3" t="s">
        <v>46</v>
      </c>
      <c r="C5" s="3">
        <v>2009</v>
      </c>
      <c r="D5" s="3">
        <v>2010</v>
      </c>
      <c r="E5" s="3">
        <v>2011</v>
      </c>
      <c r="F5" s="93">
        <v>2012</v>
      </c>
      <c r="G5" s="3">
        <v>2013</v>
      </c>
    </row>
    <row r="6" spans="2:7" ht="15">
      <c r="B6" s="79" t="s">
        <v>47</v>
      </c>
      <c r="C6" s="83">
        <f>Costos!I7</f>
        <v>6720</v>
      </c>
      <c r="D6" s="83">
        <f aca="true" t="shared" si="0" ref="D6:G7">C6*(1+$C$2)</f>
        <v>6901.44</v>
      </c>
      <c r="E6" s="83">
        <f t="shared" si="0"/>
        <v>7087.778879999999</v>
      </c>
      <c r="F6" s="83">
        <f t="shared" si="0"/>
        <v>7279.148909759998</v>
      </c>
      <c r="G6" s="83">
        <f t="shared" si="0"/>
        <v>7475.685930323517</v>
      </c>
    </row>
    <row r="7" spans="2:7" ht="15">
      <c r="B7" s="82" t="s">
        <v>7</v>
      </c>
      <c r="C7" s="85">
        <f>Costos!D4</f>
        <v>340.8</v>
      </c>
      <c r="D7" s="85">
        <f t="shared" si="0"/>
        <v>350.0016</v>
      </c>
      <c r="E7" s="85">
        <f t="shared" si="0"/>
        <v>359.4516432</v>
      </c>
      <c r="F7" s="85">
        <f t="shared" si="0"/>
        <v>369.15683756639993</v>
      </c>
      <c r="G7" s="85">
        <f t="shared" si="0"/>
        <v>379.1240721806927</v>
      </c>
    </row>
    <row r="8" spans="2:7" ht="15.75" thickBot="1">
      <c r="B8" s="87"/>
      <c r="C8" s="88"/>
      <c r="D8" s="88"/>
      <c r="E8" s="88"/>
      <c r="F8" s="88"/>
      <c r="G8" s="88"/>
    </row>
    <row r="9" spans="2:7" ht="15.75" thickBot="1">
      <c r="B9" s="94" t="s">
        <v>48</v>
      </c>
      <c r="C9" s="34">
        <f>SUM(C6:C8)</f>
        <v>7060.8</v>
      </c>
      <c r="D9" s="34">
        <f>SUM(D6:D8)</f>
        <v>7251.441599999999</v>
      </c>
      <c r="E9" s="34">
        <f>SUM(E6:E8)</f>
        <v>7447.230523199999</v>
      </c>
      <c r="F9" s="34">
        <f>SUM(F6:F8)</f>
        <v>7648.305747326398</v>
      </c>
      <c r="G9" s="34">
        <f>SUM(G6:G8)</f>
        <v>7854.8100025042095</v>
      </c>
    </row>
    <row r="10" spans="2:7" ht="15.75" thickBot="1">
      <c r="B10" s="96"/>
      <c r="C10" s="97"/>
      <c r="D10" s="97"/>
      <c r="E10" s="97"/>
      <c r="F10" s="97"/>
      <c r="G10" s="97"/>
    </row>
    <row r="11" spans="2:7" ht="15.75" thickBot="1">
      <c r="B11" s="98" t="s">
        <v>49</v>
      </c>
      <c r="C11" s="3"/>
      <c r="D11" s="3"/>
      <c r="E11" s="3"/>
      <c r="F11" s="3"/>
      <c r="G11" s="3"/>
    </row>
    <row r="12" spans="2:7" ht="15">
      <c r="B12" s="99" t="s">
        <v>47</v>
      </c>
      <c r="C12" s="100">
        <f>Costos!N8</f>
        <v>13080</v>
      </c>
      <c r="D12" s="100">
        <f>C12*(1+$C$2)</f>
        <v>13433.159999999998</v>
      </c>
      <c r="E12" s="100">
        <f>D12*(1+$C$2)</f>
        <v>13795.855319999997</v>
      </c>
      <c r="F12" s="100">
        <f>E12*(1+$C$2)</f>
        <v>14168.343413639996</v>
      </c>
      <c r="G12" s="100">
        <f>F12*(1+$C$2)</f>
        <v>14550.888685808275</v>
      </c>
    </row>
    <row r="13" spans="2:7" ht="15">
      <c r="B13" s="82" t="s">
        <v>51</v>
      </c>
      <c r="C13" s="85">
        <f>Costos!K24</f>
        <v>1500</v>
      </c>
      <c r="D13" s="85">
        <f>Costos!L24</f>
        <v>1540.5</v>
      </c>
      <c r="E13" s="85">
        <f>Costos!M24</f>
        <v>1582.0934999999997</v>
      </c>
      <c r="F13" s="85">
        <f>Costos!N24</f>
        <v>1624.8100244999996</v>
      </c>
      <c r="G13" s="85">
        <f>Costos!O24</f>
        <v>1668.6798951614996</v>
      </c>
    </row>
    <row r="14" spans="2:9" ht="15.75" thickBot="1">
      <c r="B14" s="101"/>
      <c r="C14" s="102"/>
      <c r="D14" s="102"/>
      <c r="E14" s="102"/>
      <c r="F14" s="102"/>
      <c r="G14" s="102"/>
      <c r="I14" s="107"/>
    </row>
    <row r="15" spans="2:9" ht="15.75" thickBot="1">
      <c r="B15" s="103" t="s">
        <v>54</v>
      </c>
      <c r="C15" s="34">
        <f>SUM(C12:C14)</f>
        <v>14580</v>
      </c>
      <c r="D15" s="34">
        <f>SUM(D12:D14)</f>
        <v>14973.659999999998</v>
      </c>
      <c r="E15" s="34">
        <f>SUM(E12:E14)</f>
        <v>15377.948819999996</v>
      </c>
      <c r="F15" s="34">
        <f>SUM(F12:F14)</f>
        <v>15793.153438139994</v>
      </c>
      <c r="G15" s="34">
        <f>SUM(G12:G14)</f>
        <v>16219.568580969775</v>
      </c>
      <c r="I15" s="107"/>
    </row>
    <row r="16" spans="2:7" ht="15.75" thickBot="1">
      <c r="B16" s="96"/>
      <c r="C16" s="97"/>
      <c r="D16" s="97"/>
      <c r="E16" s="97"/>
      <c r="F16" s="97"/>
      <c r="G16" s="97"/>
    </row>
    <row r="17" spans="2:7" ht="15.75" thickBot="1">
      <c r="B17" s="14" t="s">
        <v>55</v>
      </c>
      <c r="C17" s="3"/>
      <c r="D17" s="3"/>
      <c r="E17" s="3"/>
      <c r="F17" s="3"/>
      <c r="G17" s="3"/>
    </row>
    <row r="18" spans="2:7" ht="15">
      <c r="B18" s="99" t="s">
        <v>56</v>
      </c>
      <c r="C18" s="100">
        <f>Costos!D40</f>
        <v>2616</v>
      </c>
      <c r="D18" s="100">
        <f>C18*(1+$C$2)</f>
        <v>2686.6319999999996</v>
      </c>
      <c r="E18" s="100">
        <f>D18*(1+$C$2)</f>
        <v>2759.171063999999</v>
      </c>
      <c r="F18" s="100">
        <f>E18*(1+$C$2)</f>
        <v>2833.668682727999</v>
      </c>
      <c r="G18" s="100">
        <f>F18*(1+$C$2)</f>
        <v>2910.177737161655</v>
      </c>
    </row>
    <row r="19" spans="2:7" ht="15">
      <c r="B19" s="104" t="s">
        <v>37</v>
      </c>
      <c r="C19" s="85"/>
      <c r="D19" s="85"/>
      <c r="E19" s="85"/>
      <c r="F19" s="85"/>
      <c r="G19" s="85"/>
    </row>
    <row r="20" spans="2:7" ht="15">
      <c r="B20" s="82" t="s">
        <v>38</v>
      </c>
      <c r="C20" s="85">
        <f>Costos!N12</f>
        <v>180</v>
      </c>
      <c r="D20" s="85">
        <f aca="true" t="shared" si="1" ref="D20:G23">C20*(1+$C$2)</f>
        <v>184.85999999999999</v>
      </c>
      <c r="E20" s="85">
        <f t="shared" si="1"/>
        <v>189.85121999999996</v>
      </c>
      <c r="F20" s="85">
        <f t="shared" si="1"/>
        <v>194.97720293999993</v>
      </c>
      <c r="G20" s="85">
        <f t="shared" si="1"/>
        <v>200.2415874193799</v>
      </c>
    </row>
    <row r="21" spans="2:7" ht="15">
      <c r="B21" s="82" t="s">
        <v>39</v>
      </c>
      <c r="C21" s="85">
        <f>Costos!N13</f>
        <v>600</v>
      </c>
      <c r="D21" s="85">
        <f t="shared" si="1"/>
        <v>616.1999999999999</v>
      </c>
      <c r="E21" s="85">
        <f t="shared" si="1"/>
        <v>632.8373999999999</v>
      </c>
      <c r="F21" s="85">
        <f t="shared" si="1"/>
        <v>649.9240097999998</v>
      </c>
      <c r="G21" s="85">
        <f t="shared" si="1"/>
        <v>667.4719580645997</v>
      </c>
    </row>
    <row r="22" spans="2:7" ht="15">
      <c r="B22" s="82" t="s">
        <v>57</v>
      </c>
      <c r="C22" s="85">
        <f>Costos!N14</f>
        <v>600</v>
      </c>
      <c r="D22" s="85">
        <f>C22*(1+$C$2)</f>
        <v>616.1999999999999</v>
      </c>
      <c r="E22" s="85">
        <f>D22*(1+$C$2)</f>
        <v>632.8373999999999</v>
      </c>
      <c r="F22" s="85">
        <f t="shared" si="1"/>
        <v>649.9240097999998</v>
      </c>
      <c r="G22" s="85">
        <f t="shared" si="1"/>
        <v>667.4719580645997</v>
      </c>
    </row>
    <row r="23" spans="2:7" ht="15.75" thickBot="1">
      <c r="B23" s="101" t="s">
        <v>184</v>
      </c>
      <c r="C23" s="102">
        <f>Costos!D38</f>
        <v>600</v>
      </c>
      <c r="D23" s="102">
        <f>C23*(1+$C$2)</f>
        <v>616.1999999999999</v>
      </c>
      <c r="E23" s="102">
        <f>D23*(1+$C$2)</f>
        <v>632.8373999999999</v>
      </c>
      <c r="F23" s="102">
        <f t="shared" si="1"/>
        <v>649.9240097999998</v>
      </c>
      <c r="G23" s="102">
        <f t="shared" si="1"/>
        <v>667.4719580645997</v>
      </c>
    </row>
    <row r="24" spans="2:7" ht="15.75" thickBot="1">
      <c r="B24" s="105" t="s">
        <v>58</v>
      </c>
      <c r="C24" s="34">
        <f>SUM(C18:C23)</f>
        <v>4596</v>
      </c>
      <c r="D24" s="95">
        <f>SUM(D18:D23)</f>
        <v>4720.092</v>
      </c>
      <c r="E24" s="95">
        <f>SUM(E18:E23)</f>
        <v>4847.534484</v>
      </c>
      <c r="F24" s="95">
        <f>SUM(F18:F23)</f>
        <v>4978.417915067999</v>
      </c>
      <c r="G24" s="95">
        <f>SUM(G18:G23)</f>
        <v>5112.835198774834</v>
      </c>
    </row>
    <row r="25" spans="2:7" ht="15.75" thickBot="1">
      <c r="B25" s="96"/>
      <c r="C25" s="106"/>
      <c r="D25" s="106"/>
      <c r="E25" s="106"/>
      <c r="F25" s="106"/>
      <c r="G25" s="106"/>
    </row>
    <row r="26" spans="2:7" ht="15.75" thickBot="1">
      <c r="B26" s="92" t="s">
        <v>59</v>
      </c>
      <c r="C26" s="95">
        <f>C9+C15+C24</f>
        <v>26236.8</v>
      </c>
      <c r="D26" s="95">
        <f>D9+D15+D24</f>
        <v>26945.1936</v>
      </c>
      <c r="E26" s="95">
        <f>E9+E15+E24</f>
        <v>27672.713827199994</v>
      </c>
      <c r="F26" s="95">
        <f>F9+F15+F24</f>
        <v>28419.87710053439</v>
      </c>
      <c r="G26" s="95">
        <f>G9+G15+G24</f>
        <v>29187.213782248815</v>
      </c>
    </row>
    <row r="27" spans="2:7" ht="15">
      <c r="B27" s="18"/>
      <c r="C27" s="18"/>
      <c r="D27" s="18"/>
      <c r="E27" s="18"/>
      <c r="F27" s="18"/>
      <c r="G27" s="18"/>
    </row>
    <row r="28" spans="2:7" ht="15">
      <c r="B28" s="18"/>
      <c r="C28" s="107">
        <f>C26/12</f>
        <v>2186.4</v>
      </c>
      <c r="D28" s="107">
        <f>C28*6</f>
        <v>13118.400000000001</v>
      </c>
      <c r="E28" s="18"/>
      <c r="F28" s="18"/>
      <c r="G28" s="18"/>
    </row>
  </sheetData>
  <sheetProtection/>
  <mergeCells count="2">
    <mergeCell ref="B3:G3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9">
      <selection activeCell="A22" sqref="A22"/>
    </sheetView>
  </sheetViews>
  <sheetFormatPr defaultColWidth="11.421875" defaultRowHeight="15"/>
  <cols>
    <col min="1" max="1" width="38.8515625" style="0" customWidth="1"/>
    <col min="2" max="2" width="16.140625" style="0" customWidth="1"/>
    <col min="3" max="3" width="15.140625" style="0" customWidth="1"/>
    <col min="4" max="4" width="14.57421875" style="0" customWidth="1"/>
    <col min="5" max="6" width="15.140625" style="0" customWidth="1"/>
  </cols>
  <sheetData>
    <row r="1" spans="1:6" ht="15.75" thickBot="1">
      <c r="A1" s="395" t="s">
        <v>111</v>
      </c>
      <c r="B1" s="396"/>
      <c r="C1" s="396"/>
      <c r="D1" s="396"/>
      <c r="E1" s="396"/>
      <c r="F1" s="397"/>
    </row>
    <row r="2" spans="1:6" ht="15.75" thickBot="1">
      <c r="A2" s="152" t="s">
        <v>112</v>
      </c>
      <c r="B2" s="153">
        <v>2009</v>
      </c>
      <c r="C2" s="153">
        <v>2010</v>
      </c>
      <c r="D2" s="153">
        <v>2011</v>
      </c>
      <c r="E2" s="153">
        <v>2012</v>
      </c>
      <c r="F2" s="153">
        <v>2013</v>
      </c>
    </row>
    <row r="3" spans="1:6" ht="15.75" thickBot="1">
      <c r="A3" s="154" t="s">
        <v>113</v>
      </c>
      <c r="B3" s="155"/>
      <c r="C3" s="156"/>
      <c r="D3" s="156"/>
      <c r="E3" s="156"/>
      <c r="F3" s="156"/>
    </row>
    <row r="4" spans="1:6" ht="15">
      <c r="A4" s="157" t="s">
        <v>68</v>
      </c>
      <c r="B4" s="158">
        <f>'Presupuesto de Inversión'!B28</f>
        <v>178075.0413</v>
      </c>
      <c r="C4" s="158">
        <f>'Presupuesto de Inversión'!C28</f>
        <v>187576.30413263998</v>
      </c>
      <c r="D4" s="158">
        <f>'Presupuesto de Inversión'!D28</f>
        <v>195048.87514852404</v>
      </c>
      <c r="E4" s="158">
        <f>'Presupuesto de Inversión'!E28</f>
        <v>202819.13471225335</v>
      </c>
      <c r="F4" s="158">
        <f>'Presupuesto de Inversión'!F28</f>
        <v>210898.9419913527</v>
      </c>
    </row>
    <row r="5" spans="1:6" ht="15.75" thickBot="1">
      <c r="A5" s="159" t="s">
        <v>114</v>
      </c>
      <c r="B5" s="160">
        <f>'Presupuesto de Inversión'!B34</f>
        <v>95275.5060418875</v>
      </c>
      <c r="C5" s="160">
        <f>'Presupuesto de Inversión'!C34</f>
        <v>99071.04401383118</v>
      </c>
      <c r="D5" s="160">
        <f>'Presupuesto de Inversión'!D34</f>
        <v>103017.78672973216</v>
      </c>
      <c r="E5" s="160">
        <f>'Presupuesto de Inversión'!E34</f>
        <v>107121.75780857787</v>
      </c>
      <c r="F5" s="160">
        <f>'Presupuesto de Inversión'!F34</f>
        <v>111389.2208352771</v>
      </c>
    </row>
    <row r="6" spans="1:6" ht="15.75" thickBot="1">
      <c r="A6" s="161" t="s">
        <v>115</v>
      </c>
      <c r="B6" s="162">
        <f>B4-B5</f>
        <v>82799.53525811252</v>
      </c>
      <c r="C6" s="162">
        <f>C4-C5</f>
        <v>88505.2601188088</v>
      </c>
      <c r="D6" s="162">
        <f>D4-D5</f>
        <v>92031.08841879187</v>
      </c>
      <c r="E6" s="162">
        <f>E4-E5</f>
        <v>95697.37690367548</v>
      </c>
      <c r="F6" s="162">
        <f>F4-F5</f>
        <v>99509.72115607561</v>
      </c>
    </row>
    <row r="7" spans="1:6" ht="15.75" thickBot="1">
      <c r="A7" s="155" t="s">
        <v>116</v>
      </c>
      <c r="B7" s="156"/>
      <c r="C7" s="156"/>
      <c r="D7" s="156"/>
      <c r="E7" s="156"/>
      <c r="F7" s="156"/>
    </row>
    <row r="8" spans="1:6" ht="15.75" thickBot="1">
      <c r="A8" s="161" t="s">
        <v>117</v>
      </c>
      <c r="B8" s="164"/>
      <c r="C8" s="156"/>
      <c r="D8" s="156"/>
      <c r="E8" s="156"/>
      <c r="F8" s="156"/>
    </row>
    <row r="9" spans="1:6" ht="15">
      <c r="A9" s="157" t="s">
        <v>47</v>
      </c>
      <c r="B9" s="158">
        <f>'Presup de Gastos'!C6</f>
        <v>6720</v>
      </c>
      <c r="C9" s="158">
        <f>'Presup de Gastos'!D6</f>
        <v>6901.44</v>
      </c>
      <c r="D9" s="158">
        <f>'Presup de Gastos'!E6</f>
        <v>7087.778879999999</v>
      </c>
      <c r="E9" s="158">
        <f>'Presup de Gastos'!F6</f>
        <v>7279.148909759998</v>
      </c>
      <c r="F9" s="158">
        <f>'Presup de Gastos'!G6</f>
        <v>7475.685930323517</v>
      </c>
    </row>
    <row r="10" spans="1:6" ht="15.75" thickBot="1">
      <c r="A10" s="165" t="s">
        <v>7</v>
      </c>
      <c r="B10" s="166">
        <f>'Presup de Gastos'!C7</f>
        <v>340.8</v>
      </c>
      <c r="C10" s="166">
        <f>'Presup de Gastos'!D7</f>
        <v>350.0016</v>
      </c>
      <c r="D10" s="166">
        <f>'Presup de Gastos'!E7</f>
        <v>359.4516432</v>
      </c>
      <c r="E10" s="166">
        <f>'Presup de Gastos'!F7</f>
        <v>369.15683756639993</v>
      </c>
      <c r="F10" s="166">
        <f>'Presup de Gastos'!G7</f>
        <v>379.1240721806927</v>
      </c>
    </row>
    <row r="11" spans="1:6" ht="15.75" thickBot="1">
      <c r="A11" s="161" t="s">
        <v>30</v>
      </c>
      <c r="B11" s="162">
        <f>SUM(B9:B10)</f>
        <v>7060.8</v>
      </c>
      <c r="C11" s="162">
        <f>SUM(C9:C10)</f>
        <v>7251.441599999999</v>
      </c>
      <c r="D11" s="162">
        <f>SUM(D9:D10)</f>
        <v>7447.230523199999</v>
      </c>
      <c r="E11" s="162">
        <f>SUM(E9:E10)</f>
        <v>7648.305747326398</v>
      </c>
      <c r="F11" s="162">
        <f>SUM(F9:F10)</f>
        <v>7854.8100025042095</v>
      </c>
    </row>
    <row r="12" spans="1:6" ht="15.75" thickBot="1">
      <c r="A12" s="161" t="s">
        <v>119</v>
      </c>
      <c r="B12" s="156"/>
      <c r="C12" s="156"/>
      <c r="D12" s="156"/>
      <c r="E12" s="156"/>
      <c r="F12" s="156"/>
    </row>
    <row r="13" spans="1:6" ht="15">
      <c r="A13" s="157" t="s">
        <v>47</v>
      </c>
      <c r="B13" s="168">
        <f>'Presup de Gastos'!C12</f>
        <v>13080</v>
      </c>
      <c r="C13" s="168">
        <f>'Presup de Gastos'!D12</f>
        <v>13433.159999999998</v>
      </c>
      <c r="D13" s="168">
        <f>'Presup de Gastos'!E12</f>
        <v>13795.855319999997</v>
      </c>
      <c r="E13" s="168">
        <f>'Presup de Gastos'!F12</f>
        <v>14168.343413639996</v>
      </c>
      <c r="F13" s="168">
        <f>'Presup de Gastos'!G12</f>
        <v>14550.888685808275</v>
      </c>
    </row>
    <row r="14" spans="1:6" ht="15.75" thickBot="1">
      <c r="A14" s="165" t="s">
        <v>51</v>
      </c>
      <c r="B14" s="169">
        <f>'Presup de Gastos'!C13</f>
        <v>1500</v>
      </c>
      <c r="C14" s="169">
        <f>'Presup de Gastos'!D13</f>
        <v>1540.5</v>
      </c>
      <c r="D14" s="169">
        <f>'Presup de Gastos'!E13</f>
        <v>1582.0934999999997</v>
      </c>
      <c r="E14" s="169">
        <f>'Presup de Gastos'!F13</f>
        <v>1624.8100244999996</v>
      </c>
      <c r="F14" s="169">
        <f>'Presup de Gastos'!G13</f>
        <v>1668.6798951614996</v>
      </c>
    </row>
    <row r="15" spans="1:6" ht="15.75" thickBot="1">
      <c r="A15" s="161" t="s">
        <v>54</v>
      </c>
      <c r="B15" s="162">
        <f>SUM(B13:B14)</f>
        <v>14580</v>
      </c>
      <c r="C15" s="162">
        <f>SUM(C13:C14)</f>
        <v>14973.659999999998</v>
      </c>
      <c r="D15" s="162">
        <f>SUM(D13:D14)</f>
        <v>15377.948819999996</v>
      </c>
      <c r="E15" s="162">
        <f>SUM(E13:E14)</f>
        <v>15793.153438139994</v>
      </c>
      <c r="F15" s="162">
        <f>SUM(F13:F14)</f>
        <v>16219.568580969775</v>
      </c>
    </row>
    <row r="16" spans="1:6" ht="15.75" thickBot="1">
      <c r="A16" s="161" t="s">
        <v>120</v>
      </c>
      <c r="B16" s="156"/>
      <c r="C16" s="156"/>
      <c r="D16" s="156"/>
      <c r="E16" s="156"/>
      <c r="F16" s="156"/>
    </row>
    <row r="17" spans="1:6" ht="15">
      <c r="A17" s="157" t="s">
        <v>56</v>
      </c>
      <c r="B17" s="158">
        <f>'Presup de Gastos'!C18</f>
        <v>2616</v>
      </c>
      <c r="C17" s="158">
        <f>'Presup de Gastos'!D18</f>
        <v>2686.6319999999996</v>
      </c>
      <c r="D17" s="158">
        <f>'Presup de Gastos'!E18</f>
        <v>2759.171063999999</v>
      </c>
      <c r="E17" s="158">
        <f>'Presup de Gastos'!F18</f>
        <v>2833.668682727999</v>
      </c>
      <c r="F17" s="158">
        <f>'Presup de Gastos'!G18</f>
        <v>2910.177737161655</v>
      </c>
    </row>
    <row r="18" spans="1:6" ht="15">
      <c r="A18" s="165" t="s">
        <v>38</v>
      </c>
      <c r="B18" s="166">
        <f>'Presup de Gastos'!C20</f>
        <v>180</v>
      </c>
      <c r="C18" s="166">
        <f>'Presup de Gastos'!D20</f>
        <v>184.85999999999999</v>
      </c>
      <c r="D18" s="166">
        <f>'Presup de Gastos'!E20</f>
        <v>189.85121999999996</v>
      </c>
      <c r="E18" s="166">
        <f>'Presup de Gastos'!F20</f>
        <v>194.97720293999993</v>
      </c>
      <c r="F18" s="166">
        <f>'Presup de Gastos'!G20</f>
        <v>200.2415874193799</v>
      </c>
    </row>
    <row r="19" spans="1:6" ht="15">
      <c r="A19" s="165" t="s">
        <v>39</v>
      </c>
      <c r="B19" s="166">
        <f>'Presup de Gastos'!C21</f>
        <v>600</v>
      </c>
      <c r="C19" s="166">
        <f>'Presup de Gastos'!D21</f>
        <v>616.1999999999999</v>
      </c>
      <c r="D19" s="166">
        <f>'Presup de Gastos'!E21</f>
        <v>632.8373999999999</v>
      </c>
      <c r="E19" s="166">
        <f>'Presup de Gastos'!F21</f>
        <v>649.9240097999998</v>
      </c>
      <c r="F19" s="166">
        <f>'Presup de Gastos'!G21</f>
        <v>667.4719580645997</v>
      </c>
    </row>
    <row r="20" spans="1:6" ht="15">
      <c r="A20" s="165" t="s">
        <v>57</v>
      </c>
      <c r="B20" s="166">
        <f>'Presup de Gastos'!C22</f>
        <v>600</v>
      </c>
      <c r="C20" s="166">
        <f>'Presup de Gastos'!D22</f>
        <v>616.1999999999999</v>
      </c>
      <c r="D20" s="166">
        <f>'Presup de Gastos'!E22</f>
        <v>632.8373999999999</v>
      </c>
      <c r="E20" s="166">
        <f>'Presup de Gastos'!F22</f>
        <v>649.9240097999998</v>
      </c>
      <c r="F20" s="166">
        <f>'Presup de Gastos'!G22</f>
        <v>667.4719580645997</v>
      </c>
    </row>
    <row r="21" spans="1:6" s="18" customFormat="1" ht="15.75" thickBot="1">
      <c r="A21" s="163" t="s">
        <v>184</v>
      </c>
      <c r="B21" s="174">
        <f>'Presup de Gastos'!C23</f>
        <v>600</v>
      </c>
      <c r="C21" s="174">
        <f>'Presup de Gastos'!D23</f>
        <v>616.1999999999999</v>
      </c>
      <c r="D21" s="174">
        <f>'Presup de Gastos'!E23</f>
        <v>632.8373999999999</v>
      </c>
      <c r="E21" s="174">
        <f>'Presup de Gastos'!F23</f>
        <v>649.9240097999998</v>
      </c>
      <c r="F21" s="174">
        <f>'Presup de Gastos'!G23</f>
        <v>667.4719580645997</v>
      </c>
    </row>
    <row r="22" spans="1:6" ht="15.75" thickBot="1">
      <c r="A22" s="170" t="s">
        <v>58</v>
      </c>
      <c r="B22" s="162">
        <f>SUM(B17:B21)</f>
        <v>4596</v>
      </c>
      <c r="C22" s="162">
        <f>SUM(C17:C21)</f>
        <v>4720.092</v>
      </c>
      <c r="D22" s="162">
        <f>SUM(D17:D21)</f>
        <v>4847.534484</v>
      </c>
      <c r="E22" s="162">
        <f>SUM(E17:E21)</f>
        <v>4978.417915067999</v>
      </c>
      <c r="F22" s="162">
        <f>SUM(F17:F21)</f>
        <v>5112.835198774834</v>
      </c>
    </row>
    <row r="23" spans="1:6" ht="15.75" thickBot="1">
      <c r="A23" s="171"/>
      <c r="B23" s="163"/>
      <c r="C23" s="163"/>
      <c r="D23" s="163"/>
      <c r="E23" s="163"/>
      <c r="F23" s="163"/>
    </row>
    <row r="24" spans="1:6" ht="15.75" thickBot="1">
      <c r="A24" s="172" t="s">
        <v>121</v>
      </c>
      <c r="B24" s="162">
        <f>B11+B15+B22</f>
        <v>26236.8</v>
      </c>
      <c r="C24" s="162">
        <f>C11+C15+C22</f>
        <v>26945.1936</v>
      </c>
      <c r="D24" s="162">
        <f>D11+D15+D22</f>
        <v>27672.713827199994</v>
      </c>
      <c r="E24" s="162">
        <f>E11+E15+E22</f>
        <v>28419.87710053439</v>
      </c>
      <c r="F24" s="162">
        <f>F11+F15+F22</f>
        <v>29187.213782248815</v>
      </c>
    </row>
    <row r="25" spans="1:6" ht="15">
      <c r="A25" s="157" t="s">
        <v>122</v>
      </c>
      <c r="B25" s="158">
        <f>Amortización!D12</f>
        <v>1109.04258</v>
      </c>
      <c r="C25" s="158">
        <f>Amortización!D13</f>
        <v>585.2669211731367</v>
      </c>
      <c r="D25" s="158"/>
      <c r="E25" s="158"/>
      <c r="F25" s="158"/>
    </row>
    <row r="26" spans="1:6" ht="15">
      <c r="A26" s="165" t="s">
        <v>123</v>
      </c>
      <c r="B26" s="166">
        <f>Depreciación!I26</f>
        <v>747</v>
      </c>
      <c r="C26" s="166">
        <f>Depreciación!I27</f>
        <v>747</v>
      </c>
      <c r="D26" s="166">
        <f>Depreciación!I28</f>
        <v>747</v>
      </c>
      <c r="E26" s="166">
        <f>Depreciación!I29</f>
        <v>747</v>
      </c>
      <c r="F26" s="166">
        <f>Depreciación!I30</f>
        <v>747</v>
      </c>
    </row>
    <row r="27" spans="1:6" ht="15">
      <c r="A27" s="165" t="s">
        <v>124</v>
      </c>
      <c r="B27" s="173">
        <f>Amortización!E12</f>
        <v>4461.462170586571</v>
      </c>
      <c r="C27" s="173">
        <f>Amortización!E13</f>
        <v>4985.237829413435</v>
      </c>
      <c r="D27" s="173"/>
      <c r="E27" s="173"/>
      <c r="F27" s="173"/>
    </row>
    <row r="28" spans="1:6" ht="15">
      <c r="A28" s="165" t="s">
        <v>125</v>
      </c>
      <c r="B28" s="165"/>
      <c r="C28" s="165"/>
      <c r="D28" s="166">
        <f>Depreciación!E16</f>
        <v>450</v>
      </c>
      <c r="E28" s="165"/>
      <c r="F28" s="165"/>
    </row>
    <row r="29" spans="1:6" ht="15.75" thickBot="1">
      <c r="A29" s="159"/>
      <c r="B29" s="159"/>
      <c r="C29" s="159"/>
      <c r="D29" s="159"/>
      <c r="E29" s="159"/>
      <c r="F29" s="159"/>
    </row>
    <row r="30" spans="1:6" ht="15.75" thickBot="1">
      <c r="A30" s="161" t="s">
        <v>126</v>
      </c>
      <c r="B30" s="162">
        <f>B6-B24-B25-B26-B27</f>
        <v>50245.23050752594</v>
      </c>
      <c r="C30" s="162">
        <f>C6-C24-C25-C26-C27</f>
        <v>55242.56176822224</v>
      </c>
      <c r="D30" s="162">
        <f>D6-D24-D25-D26-D27</f>
        <v>63611.37459159188</v>
      </c>
      <c r="E30" s="162">
        <f>E6-E24-E25-E26-E27</f>
        <v>66530.4998031411</v>
      </c>
      <c r="F30" s="162">
        <f>F6-F24-F25-F26-F27</f>
        <v>69575.5073738268</v>
      </c>
    </row>
    <row r="31" spans="1:6" ht="15.75" thickBot="1">
      <c r="A31" s="163" t="s">
        <v>127</v>
      </c>
      <c r="B31" s="174">
        <f>B30*15%</f>
        <v>7536.784576128891</v>
      </c>
      <c r="C31" s="174">
        <f>C30*15%</f>
        <v>8286.384265233335</v>
      </c>
      <c r="D31" s="174">
        <f>D30*15%</f>
        <v>9541.70618873878</v>
      </c>
      <c r="E31" s="174">
        <f>E30*15%</f>
        <v>9979.574970471163</v>
      </c>
      <c r="F31" s="174">
        <f>F30*15%</f>
        <v>10436.326106074019</v>
      </c>
    </row>
    <row r="32" spans="1:6" ht="15.75" thickBot="1">
      <c r="A32" s="161" t="s">
        <v>128</v>
      </c>
      <c r="B32" s="162">
        <f>B30-B31</f>
        <v>42708.44593139705</v>
      </c>
      <c r="C32" s="162">
        <f>C30-C31</f>
        <v>46956.1775029889</v>
      </c>
      <c r="D32" s="162">
        <f>D30-D31</f>
        <v>54069.668402853094</v>
      </c>
      <c r="E32" s="162">
        <f>E30-E31</f>
        <v>56550.92483266993</v>
      </c>
      <c r="F32" s="162">
        <f>F30-F31</f>
        <v>59139.18126775278</v>
      </c>
    </row>
    <row r="33" spans="1:6" ht="15.75" thickBot="1">
      <c r="A33" s="163" t="s">
        <v>129</v>
      </c>
      <c r="B33" s="174">
        <f>B32*25%</f>
        <v>10677.111482849263</v>
      </c>
      <c r="C33" s="174">
        <f>C32*25%</f>
        <v>11739.044375747226</v>
      </c>
      <c r="D33" s="174">
        <f>D32*25%</f>
        <v>13517.417100713274</v>
      </c>
      <c r="E33" s="174">
        <f>E32*25%</f>
        <v>14137.731208167483</v>
      </c>
      <c r="F33" s="174">
        <f>F32*25%</f>
        <v>14784.795316938194</v>
      </c>
    </row>
    <row r="34" spans="1:6" ht="15.75" thickBot="1">
      <c r="A34" s="161" t="s">
        <v>130</v>
      </c>
      <c r="B34" s="162">
        <f>B32-B33</f>
        <v>32031.334448547786</v>
      </c>
      <c r="C34" s="162">
        <f>C32-C33</f>
        <v>35217.13312724168</v>
      </c>
      <c r="D34" s="162">
        <f>D32-D33</f>
        <v>40552.25130213982</v>
      </c>
      <c r="E34" s="162">
        <f>E32-E33</f>
        <v>42413.19362450245</v>
      </c>
      <c r="F34" s="162">
        <f>F32-F33</f>
        <v>44354.38595081458</v>
      </c>
    </row>
    <row r="35" spans="1:6" ht="15">
      <c r="A35" s="175"/>
      <c r="B35" s="176"/>
      <c r="C35" s="176"/>
      <c r="D35" s="176"/>
      <c r="E35" s="176"/>
      <c r="F35" s="176"/>
    </row>
    <row r="36" spans="1:6" ht="15.75" thickBot="1">
      <c r="A36" s="18"/>
      <c r="B36" s="18"/>
      <c r="C36" s="18"/>
      <c r="D36" s="18"/>
      <c r="E36" s="18"/>
      <c r="F36" s="18"/>
    </row>
    <row r="37" spans="1:6" ht="15.75" thickBot="1">
      <c r="A37" s="152" t="s">
        <v>112</v>
      </c>
      <c r="B37" s="153">
        <v>2009</v>
      </c>
      <c r="C37" s="153">
        <v>2010</v>
      </c>
      <c r="D37" s="153">
        <v>2011</v>
      </c>
      <c r="E37" s="153">
        <v>2012</v>
      </c>
      <c r="F37" s="153">
        <v>2013</v>
      </c>
    </row>
    <row r="38" spans="1:6" ht="15.75" thickBot="1">
      <c r="A38" s="177" t="s">
        <v>130</v>
      </c>
      <c r="B38" s="178">
        <f>B34</f>
        <v>32031.334448547786</v>
      </c>
      <c r="C38" s="178">
        <f>C34</f>
        <v>35217.13312724168</v>
      </c>
      <c r="D38" s="178">
        <f>D34</f>
        <v>40552.25130213982</v>
      </c>
      <c r="E38" s="178">
        <f>E34</f>
        <v>42413.19362450245</v>
      </c>
      <c r="F38" s="178">
        <f>F34</f>
        <v>44354.38595081458</v>
      </c>
    </row>
    <row r="39" spans="1:6" ht="15.75" thickBot="1">
      <c r="A39" s="179" t="s">
        <v>131</v>
      </c>
      <c r="B39" s="11">
        <f>C38-B38</f>
        <v>3185.7986786938927</v>
      </c>
      <c r="C39" s="11">
        <f>D38-C38</f>
        <v>5335.11817489814</v>
      </c>
      <c r="D39" s="11">
        <f>E38-D38</f>
        <v>1860.942322362629</v>
      </c>
      <c r="E39" s="11">
        <f>F38-E38</f>
        <v>1941.1923263121353</v>
      </c>
      <c r="F39" s="90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PageLayoutView="0" workbookViewId="0" topLeftCell="A1">
      <selection activeCell="C22" sqref="C22"/>
    </sheetView>
  </sheetViews>
  <sheetFormatPr defaultColWidth="14.8515625" defaultRowHeight="15"/>
  <cols>
    <col min="1" max="5" width="14.8515625" style="234" customWidth="1"/>
    <col min="6" max="6" width="18.00390625" style="234" customWidth="1"/>
    <col min="7" max="8" width="14.8515625" style="234" customWidth="1"/>
    <col min="9" max="9" width="11.00390625" style="234" customWidth="1"/>
    <col min="10" max="16384" width="14.8515625" style="234" customWidth="1"/>
  </cols>
  <sheetData>
    <row r="2" spans="2:8" ht="14.25">
      <c r="B2" s="401" t="s">
        <v>151</v>
      </c>
      <c r="C2" s="401"/>
      <c r="D2" s="236">
        <f>2321*(1+G4)</f>
        <v>2350.0125</v>
      </c>
      <c r="E2" s="236"/>
      <c r="F2" s="237" t="s">
        <v>156</v>
      </c>
      <c r="G2" s="233">
        <f>H10</f>
        <v>1127414</v>
      </c>
      <c r="H2" s="244">
        <v>0.585</v>
      </c>
    </row>
    <row r="3" spans="2:7" ht="14.25">
      <c r="B3" s="402" t="s">
        <v>152</v>
      </c>
      <c r="C3" s="402"/>
      <c r="D3" s="238">
        <v>0.05</v>
      </c>
      <c r="E3" s="286"/>
      <c r="F3" s="287" t="s">
        <v>183</v>
      </c>
      <c r="G3" s="235">
        <f>G2*H2</f>
        <v>659537.19</v>
      </c>
    </row>
    <row r="4" spans="2:7" ht="14.25">
      <c r="B4" s="239" t="s">
        <v>65</v>
      </c>
      <c r="C4" s="237"/>
      <c r="D4" s="240">
        <f>5.4</f>
        <v>5.4</v>
      </c>
      <c r="E4" s="241"/>
      <c r="F4" s="237" t="s">
        <v>162</v>
      </c>
      <c r="G4" s="260">
        <v>0.0125</v>
      </c>
    </row>
    <row r="5" spans="2:7" ht="14.25">
      <c r="B5" s="401" t="s">
        <v>188</v>
      </c>
      <c r="C5" s="401"/>
      <c r="D5" s="240">
        <v>1.69</v>
      </c>
      <c r="E5" s="237"/>
      <c r="F5" s="237" t="s">
        <v>163</v>
      </c>
      <c r="G5" s="251">
        <v>0.025</v>
      </c>
    </row>
    <row r="6" spans="2:7" ht="14.25">
      <c r="B6" s="401" t="s">
        <v>189</v>
      </c>
      <c r="C6" s="401"/>
      <c r="D6" s="240">
        <f>Costos!B45</f>
        <v>0.9305555612413607</v>
      </c>
      <c r="E6" s="237"/>
      <c r="F6" s="237"/>
      <c r="G6" s="251"/>
    </row>
    <row r="7" spans="2:7" ht="14.25">
      <c r="B7" s="401" t="s">
        <v>155</v>
      </c>
      <c r="C7" s="401"/>
      <c r="D7" s="291">
        <f>D5+D6</f>
        <v>2.6205555612413605</v>
      </c>
      <c r="E7" s="288">
        <f>G3/D2</f>
        <v>280.652630571114</v>
      </c>
      <c r="F7" s="247" t="s">
        <v>177</v>
      </c>
      <c r="G7" s="261"/>
    </row>
    <row r="8" spans="2:7" ht="14.25">
      <c r="B8" s="401" t="s">
        <v>164</v>
      </c>
      <c r="C8" s="401"/>
      <c r="D8" s="241">
        <f>(D2*D3)</f>
        <v>117.500625</v>
      </c>
      <c r="E8" s="236">
        <f>D8*E7</f>
        <v>32976.8595</v>
      </c>
      <c r="F8" s="237" t="s">
        <v>174</v>
      </c>
      <c r="G8" s="260">
        <v>0.027</v>
      </c>
    </row>
    <row r="9" spans="2:7" ht="14.25">
      <c r="B9" s="401" t="s">
        <v>153</v>
      </c>
      <c r="C9" s="401"/>
      <c r="D9" s="236">
        <f>E7*D8</f>
        <v>32976.8595</v>
      </c>
      <c r="F9" s="237" t="s">
        <v>168</v>
      </c>
      <c r="G9" s="260">
        <v>0.013</v>
      </c>
    </row>
    <row r="10" spans="2:8" ht="14.25">
      <c r="B10" s="401" t="s">
        <v>154</v>
      </c>
      <c r="C10" s="401"/>
      <c r="D10" s="240">
        <f>D9*D4</f>
        <v>178075.0413</v>
      </c>
      <c r="E10" s="289"/>
      <c r="F10" s="237" t="s">
        <v>171</v>
      </c>
      <c r="G10" s="233">
        <v>2366902</v>
      </c>
      <c r="H10" s="233">
        <v>1127414</v>
      </c>
    </row>
    <row r="11" spans="2:7" ht="14.25">
      <c r="B11" s="403" t="s">
        <v>182</v>
      </c>
      <c r="C11" s="403"/>
      <c r="D11" s="234">
        <v>12</v>
      </c>
      <c r="E11" s="237"/>
      <c r="F11" s="237" t="s">
        <v>172</v>
      </c>
      <c r="G11" s="261">
        <v>0.025</v>
      </c>
    </row>
    <row r="12" spans="2:6" ht="15" thickBot="1">
      <c r="B12" s="239"/>
      <c r="C12" s="239"/>
      <c r="D12" s="240"/>
      <c r="F12" s="237"/>
    </row>
    <row r="13" spans="2:9" ht="15.75" customHeight="1" thickBot="1">
      <c r="B13" s="398" t="s">
        <v>160</v>
      </c>
      <c r="C13" s="399"/>
      <c r="D13" s="399"/>
      <c r="E13" s="399"/>
      <c r="F13" s="399"/>
      <c r="G13" s="400"/>
      <c r="I13" s="261">
        <f>D7/D4</f>
        <v>0.4852880668965482</v>
      </c>
    </row>
    <row r="14" spans="2:7" ht="15.75" customHeight="1" thickBot="1">
      <c r="B14" s="255"/>
      <c r="C14" s="255">
        <v>2009</v>
      </c>
      <c r="D14" s="255">
        <v>2010</v>
      </c>
      <c r="E14" s="255">
        <v>2011</v>
      </c>
      <c r="F14" s="255">
        <v>2012</v>
      </c>
      <c r="G14" s="242">
        <v>2013</v>
      </c>
    </row>
    <row r="15" spans="2:7" ht="15" thickBot="1">
      <c r="B15" s="253" t="s">
        <v>2</v>
      </c>
      <c r="C15" s="254">
        <f>C20*E7</f>
        <v>32976.8595</v>
      </c>
      <c r="D15" s="254">
        <f>D20*E7</f>
        <v>33389.07024375</v>
      </c>
      <c r="E15" s="254">
        <f>E20*E7</f>
        <v>33806.433621796874</v>
      </c>
      <c r="F15" s="254">
        <f>F20*E7</f>
        <v>34229.014042069335</v>
      </c>
      <c r="G15" s="254">
        <f>G20*E7</f>
        <v>34656.8767175952</v>
      </c>
    </row>
    <row r="16" spans="2:7" ht="15" thickBot="1">
      <c r="B16" s="253" t="s">
        <v>27</v>
      </c>
      <c r="C16" s="254">
        <f>C15/$D$11</f>
        <v>2748.071625</v>
      </c>
      <c r="D16" s="254">
        <f>D15/$D$11</f>
        <v>2782.4225203125</v>
      </c>
      <c r="E16" s="254">
        <f>E15/$D$11</f>
        <v>2817.202801816406</v>
      </c>
      <c r="F16" s="254">
        <f>F15/$D$11</f>
        <v>2852.4178368391113</v>
      </c>
      <c r="G16" s="254">
        <f>G15/$D$11</f>
        <v>2888.0730597996003</v>
      </c>
    </row>
    <row r="17" spans="2:7" ht="15" thickBot="1">
      <c r="B17" s="253" t="s">
        <v>166</v>
      </c>
      <c r="C17" s="262">
        <f>D4</f>
        <v>5.4</v>
      </c>
      <c r="D17" s="252">
        <f>$C$17*(1+$G$8)</f>
        <v>5.5458</v>
      </c>
      <c r="E17" s="252">
        <f>D17*(1+$G$8)</f>
        <v>5.6955366</v>
      </c>
      <c r="F17" s="252">
        <f>E17*(1+$G$8)</f>
        <v>5.849316088199999</v>
      </c>
      <c r="G17" s="252">
        <f>F17*(1+$G$8)</f>
        <v>6.007247622581398</v>
      </c>
    </row>
    <row r="18" spans="2:7" ht="15" thickBot="1">
      <c r="B18" s="253" t="s">
        <v>167</v>
      </c>
      <c r="C18" s="263">
        <f>G3</f>
        <v>659537.19</v>
      </c>
      <c r="D18" s="264">
        <f>C18*(1+$G$5)</f>
        <v>676025.6197499998</v>
      </c>
      <c r="E18" s="264">
        <f>D18*(1+$G$5)</f>
        <v>692926.2602437498</v>
      </c>
      <c r="F18" s="264">
        <f>E18*(1+$G$5)</f>
        <v>710249.4167498435</v>
      </c>
      <c r="G18" s="264">
        <f>F18*(1+$G$5)</f>
        <v>728005.6521685895</v>
      </c>
    </row>
    <row r="19" spans="2:7" ht="15" thickBot="1">
      <c r="B19" s="253" t="s">
        <v>169</v>
      </c>
      <c r="C19" s="263">
        <f>D2</f>
        <v>2350.0125</v>
      </c>
      <c r="D19" s="264">
        <f>C19*(1+$G$4)</f>
        <v>2379.3876562499995</v>
      </c>
      <c r="E19" s="264">
        <f>D19*(1+$G$4)</f>
        <v>2409.1300019531245</v>
      </c>
      <c r="F19" s="264">
        <f>E19*(1+$G$4)</f>
        <v>2439.2441269775386</v>
      </c>
      <c r="G19" s="264">
        <f>F19*(1+$G$4)</f>
        <v>2469.734678564758</v>
      </c>
    </row>
    <row r="20" spans="2:7" ht="15" thickBot="1">
      <c r="B20" s="253" t="s">
        <v>170</v>
      </c>
      <c r="C20" s="263">
        <f>D8</f>
        <v>117.500625</v>
      </c>
      <c r="D20" s="264">
        <f>C20*(1+$G$4)</f>
        <v>118.9693828125</v>
      </c>
      <c r="E20" s="264">
        <f>D20*(1+$G$4)</f>
        <v>120.45650009765625</v>
      </c>
      <c r="F20" s="264">
        <f>E20*(1+$G$4)</f>
        <v>121.96220634887695</v>
      </c>
      <c r="G20" s="264">
        <f>F20*(1+$G$4)</f>
        <v>123.4867339282379</v>
      </c>
    </row>
    <row r="21" spans="2:7" ht="15" thickBot="1">
      <c r="B21" s="253"/>
      <c r="C21" s="263"/>
      <c r="D21" s="264"/>
      <c r="E21" s="264"/>
      <c r="F21" s="264"/>
      <c r="G21" s="264"/>
    </row>
    <row r="22" spans="2:8" ht="15" thickBot="1">
      <c r="B22" s="253" t="s">
        <v>173</v>
      </c>
      <c r="C22" s="262">
        <f>D7*(1+5%)</f>
        <v>2.7515833393034286</v>
      </c>
      <c r="D22" s="252">
        <f>C22*(1+$G$8)</f>
        <v>2.825876089464621</v>
      </c>
      <c r="E22" s="252">
        <f>D22*(1+$G$8)</f>
        <v>2.9021747438801655</v>
      </c>
      <c r="F22" s="252">
        <f>E22*(1+$G$8)</f>
        <v>2.9805334619649297</v>
      </c>
      <c r="G22" s="252">
        <f>F22*(1+$G$8)</f>
        <v>3.0610078654379826</v>
      </c>
      <c r="H22" s="278"/>
    </row>
    <row r="23" ht="14.25">
      <c r="B23" s="266"/>
    </row>
    <row r="24" spans="2:7" ht="14.25">
      <c r="B24" s="266"/>
      <c r="C24" s="267"/>
      <c r="D24" s="268"/>
      <c r="E24" s="268"/>
      <c r="F24" s="268"/>
      <c r="G24" s="268"/>
    </row>
    <row r="25" spans="2:6" ht="15" thickBot="1">
      <c r="B25" s="237"/>
      <c r="C25" s="237"/>
      <c r="E25" s="250"/>
      <c r="F25" s="237"/>
    </row>
    <row r="26" spans="1:6" ht="15.75" customHeight="1" thickBot="1">
      <c r="A26" s="398" t="s">
        <v>66</v>
      </c>
      <c r="B26" s="399"/>
      <c r="C26" s="399"/>
      <c r="D26" s="399"/>
      <c r="E26" s="399"/>
      <c r="F26" s="400"/>
    </row>
    <row r="27" spans="1:6" ht="15" thickBot="1">
      <c r="A27" s="276"/>
      <c r="B27" s="275">
        <v>2009</v>
      </c>
      <c r="C27" s="275">
        <v>2010</v>
      </c>
      <c r="D27" s="275">
        <v>2011</v>
      </c>
      <c r="E27" s="275">
        <v>2012</v>
      </c>
      <c r="F27" s="275">
        <v>2013</v>
      </c>
    </row>
    <row r="28" spans="1:6" ht="15" thickBot="1">
      <c r="A28" s="276" t="s">
        <v>176</v>
      </c>
      <c r="B28" s="243">
        <f>C15*C17</f>
        <v>178075.0413</v>
      </c>
      <c r="C28" s="243">
        <f>(C29*(1+$G$9))*D17</f>
        <v>187576.30413263998</v>
      </c>
      <c r="D28" s="243">
        <f>(D29*(1+$G$9))*E17</f>
        <v>195048.87514852404</v>
      </c>
      <c r="E28" s="243">
        <f>(E29*(1+$G$9))*F17</f>
        <v>202819.13471225335</v>
      </c>
      <c r="F28" s="243">
        <f>(F29*(1+$G$9))*G17</f>
        <v>210898.9419913527</v>
      </c>
    </row>
    <row r="29" spans="1:6" ht="15" thickBot="1">
      <c r="A29" s="276" t="s">
        <v>177</v>
      </c>
      <c r="B29" s="277">
        <f>D9</f>
        <v>32976.8595</v>
      </c>
      <c r="C29" s="246">
        <f>D20*E7</f>
        <v>33389.07024375</v>
      </c>
      <c r="D29" s="246">
        <f>E20*E7</f>
        <v>33806.433621796874</v>
      </c>
      <c r="E29" s="246">
        <f>F20*E7</f>
        <v>34229.014042069335</v>
      </c>
      <c r="F29" s="246">
        <f>G20*E7</f>
        <v>34656.8767175952</v>
      </c>
    </row>
    <row r="30" spans="2:6" ht="14.25">
      <c r="B30" s="269">
        <f>B29/12</f>
        <v>2748.071625</v>
      </c>
      <c r="C30" s="269">
        <f>C29/12</f>
        <v>2782.4225203125</v>
      </c>
      <c r="D30" s="269">
        <f>D29/12</f>
        <v>2817.202801816406</v>
      </c>
      <c r="E30" s="269">
        <f>E29/12</f>
        <v>2852.4178368391113</v>
      </c>
      <c r="F30" s="269">
        <f>F29/12</f>
        <v>2888.0730597996003</v>
      </c>
    </row>
    <row r="31" ht="15.75" thickBot="1">
      <c r="D31" s="245"/>
    </row>
    <row r="32" spans="2:6" ht="15" thickBot="1">
      <c r="B32" s="398" t="s">
        <v>69</v>
      </c>
      <c r="C32" s="399"/>
      <c r="D32" s="399"/>
      <c r="E32" s="399"/>
      <c r="F32" s="400"/>
    </row>
    <row r="33" spans="2:6" ht="15" thickBot="1">
      <c r="B33" s="203">
        <v>2009</v>
      </c>
      <c r="C33" s="203">
        <v>2010</v>
      </c>
      <c r="D33" s="203">
        <v>2011</v>
      </c>
      <c r="E33" s="203">
        <v>2012</v>
      </c>
      <c r="F33" s="203">
        <v>2013</v>
      </c>
    </row>
    <row r="34" spans="2:6" ht="15" thickBot="1">
      <c r="B34" s="243">
        <f>B36*C22</f>
        <v>95275.5060418875</v>
      </c>
      <c r="C34" s="243">
        <f>C36*D22</f>
        <v>99071.04401383118</v>
      </c>
      <c r="D34" s="243">
        <f>D36*E22</f>
        <v>103017.78672973216</v>
      </c>
      <c r="E34" s="243">
        <f>E36*F22</f>
        <v>107121.75780857787</v>
      </c>
      <c r="F34" s="243">
        <f>F36*G22</f>
        <v>111389.2208352771</v>
      </c>
    </row>
    <row r="35" spans="2:6" ht="14.25">
      <c r="B35" s="310">
        <f>C15</f>
        <v>32976.8595</v>
      </c>
      <c r="C35" s="310">
        <f>D15</f>
        <v>33389.07024375</v>
      </c>
      <c r="D35" s="310">
        <f>E15</f>
        <v>33806.433621796874</v>
      </c>
      <c r="E35" s="310">
        <f>F15</f>
        <v>34229.014042069335</v>
      </c>
      <c r="F35" s="310">
        <f>G15</f>
        <v>34656.8767175952</v>
      </c>
    </row>
    <row r="36" spans="2:6" ht="14.25">
      <c r="B36" s="311">
        <f>B35*(1+5%)</f>
        <v>34625.702475</v>
      </c>
      <c r="C36" s="311">
        <f>C35*(1+5%)</f>
        <v>35058.5237559375</v>
      </c>
      <c r="D36" s="311">
        <f>D35*(1+5%)</f>
        <v>35496.75530288672</v>
      </c>
      <c r="E36" s="311">
        <f>E35*(1+5%)</f>
        <v>35940.4647441728</v>
      </c>
      <c r="F36" s="311">
        <f>F35*(1+5%)</f>
        <v>36389.72055347497</v>
      </c>
    </row>
    <row r="37" spans="2:6" ht="14.25">
      <c r="B37" s="312">
        <f>B36*C22</f>
        <v>95275.5060418875</v>
      </c>
      <c r="C37" s="312">
        <f>C36*D22</f>
        <v>99071.04401383118</v>
      </c>
      <c r="D37" s="312">
        <f>D36*E22</f>
        <v>103017.78672973216</v>
      </c>
      <c r="E37" s="312">
        <f>E36*F22</f>
        <v>107121.75780857787</v>
      </c>
      <c r="F37" s="312">
        <f>F36*G22</f>
        <v>111389.2208352771</v>
      </c>
    </row>
  </sheetData>
  <sheetProtection/>
  <mergeCells count="12">
    <mergeCell ref="B32:F32"/>
    <mergeCell ref="B7:C7"/>
    <mergeCell ref="B2:C2"/>
    <mergeCell ref="B3:C3"/>
    <mergeCell ref="B5:C5"/>
    <mergeCell ref="B9:C9"/>
    <mergeCell ref="B10:C10"/>
    <mergeCell ref="B13:G13"/>
    <mergeCell ref="B8:C8"/>
    <mergeCell ref="A26:F26"/>
    <mergeCell ref="B11:C11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8"/>
  <sheetViews>
    <sheetView zoomScale="97" zoomScaleNormal="97" zoomScalePageLayoutView="0" workbookViewId="0" topLeftCell="A56">
      <selection activeCell="A73" sqref="A73"/>
    </sheetView>
  </sheetViews>
  <sheetFormatPr defaultColWidth="11.421875" defaultRowHeight="15"/>
  <cols>
    <col min="1" max="1" width="45.28125" style="18" customWidth="1"/>
    <col min="2" max="2" width="18.7109375" style="18" customWidth="1"/>
    <col min="3" max="3" width="14.7109375" style="18" customWidth="1"/>
    <col min="4" max="4" width="20.8515625" style="18" customWidth="1"/>
    <col min="5" max="7" width="14.7109375" style="18" customWidth="1"/>
    <col min="8" max="8" width="13.00390625" style="18" bestFit="1" customWidth="1"/>
    <col min="9" max="16384" width="11.421875" style="18" customWidth="1"/>
  </cols>
  <sheetData>
    <row r="1" spans="3:9" ht="15.75" hidden="1" thickBot="1">
      <c r="C1" s="180"/>
      <c r="D1" s="180"/>
      <c r="E1" s="180"/>
      <c r="F1" s="180"/>
      <c r="G1" s="180"/>
      <c r="H1" s="180"/>
      <c r="I1" s="180"/>
    </row>
    <row r="2" spans="1:9" ht="15.75" thickBot="1">
      <c r="A2" s="404" t="s">
        <v>132</v>
      </c>
      <c r="B2" s="405"/>
      <c r="C2" s="405"/>
      <c r="D2" s="405"/>
      <c r="E2" s="405"/>
      <c r="F2" s="405"/>
      <c r="G2" s="406"/>
      <c r="H2" s="75"/>
      <c r="I2" s="181"/>
    </row>
    <row r="3" spans="1:9" ht="15.75" thickBot="1">
      <c r="A3" s="224" t="s">
        <v>112</v>
      </c>
      <c r="B3" s="224"/>
      <c r="C3" s="225">
        <v>2009</v>
      </c>
      <c r="D3" s="225">
        <v>2010</v>
      </c>
      <c r="E3" s="225">
        <v>2011</v>
      </c>
      <c r="F3" s="225">
        <v>2012</v>
      </c>
      <c r="G3" s="225">
        <v>2013</v>
      </c>
      <c r="H3" s="232"/>
      <c r="I3" s="78"/>
    </row>
    <row r="4" spans="1:7" ht="15.75" hidden="1" thickBot="1">
      <c r="A4" s="182"/>
      <c r="B4" s="183"/>
      <c r="C4" s="184"/>
      <c r="D4" s="184"/>
      <c r="E4" s="184"/>
      <c r="F4" s="184"/>
      <c r="G4" s="185"/>
    </row>
    <row r="5" spans="1:7" ht="15.75" hidden="1" thickBot="1">
      <c r="A5" s="154" t="s">
        <v>113</v>
      </c>
      <c r="B5" s="154"/>
      <c r="C5" s="155"/>
      <c r="D5" s="156"/>
      <c r="E5" s="156"/>
      <c r="F5" s="156"/>
      <c r="G5" s="156"/>
    </row>
    <row r="6" spans="1:8" ht="15.75" thickBot="1">
      <c r="A6" s="156" t="s">
        <v>68</v>
      </c>
      <c r="B6" s="248"/>
      <c r="C6" s="249">
        <f>'Estado de Resultados'!B4</f>
        <v>178075.0413</v>
      </c>
      <c r="D6" s="249">
        <f>'Estado de Resultados'!C4</f>
        <v>187576.30413263998</v>
      </c>
      <c r="E6" s="249">
        <f>'Estado de Resultados'!D4</f>
        <v>195048.87514852404</v>
      </c>
      <c r="F6" s="249">
        <f>'Estado de Resultados'!E4</f>
        <v>202819.13471225335</v>
      </c>
      <c r="G6" s="249">
        <f>'Estado de Resultados'!F4</f>
        <v>210898.9419913527</v>
      </c>
      <c r="H6" s="119"/>
    </row>
    <row r="7" spans="1:8" ht="15.75" thickBot="1">
      <c r="A7" s="163" t="s">
        <v>114</v>
      </c>
      <c r="B7" s="163"/>
      <c r="C7" s="174">
        <f>'Estado de Resultados'!B5</f>
        <v>95275.5060418875</v>
      </c>
      <c r="D7" s="174">
        <f>'Estado de Resultados'!C5</f>
        <v>99071.04401383118</v>
      </c>
      <c r="E7" s="174">
        <f>'Estado de Resultados'!D5</f>
        <v>103017.78672973216</v>
      </c>
      <c r="F7" s="174">
        <f>'Estado de Resultados'!E5</f>
        <v>107121.75780857787</v>
      </c>
      <c r="G7" s="174">
        <f>'Estado de Resultados'!F5</f>
        <v>111389.2208352771</v>
      </c>
      <c r="H7" s="119"/>
    </row>
    <row r="8" spans="1:8" ht="15.75" thickBot="1">
      <c r="A8" s="155" t="s">
        <v>157</v>
      </c>
      <c r="B8" s="161"/>
      <c r="C8" s="162">
        <f>C6-C7</f>
        <v>82799.53525811252</v>
      </c>
      <c r="D8" s="162">
        <f>D6-D7</f>
        <v>88505.2601188088</v>
      </c>
      <c r="E8" s="162">
        <f>E6-E7</f>
        <v>92031.08841879187</v>
      </c>
      <c r="F8" s="162">
        <f>F6-F7</f>
        <v>95697.37690367548</v>
      </c>
      <c r="G8" s="162">
        <f>G6-G7</f>
        <v>99509.72115607561</v>
      </c>
      <c r="H8" s="119"/>
    </row>
    <row r="9" spans="1:8" ht="15.75" hidden="1" thickBot="1">
      <c r="A9" s="163"/>
      <c r="B9" s="163"/>
      <c r="C9" s="163"/>
      <c r="D9" s="163"/>
      <c r="E9" s="163"/>
      <c r="F9" s="163"/>
      <c r="G9" s="163"/>
      <c r="H9" s="119"/>
    </row>
    <row r="10" spans="1:8" ht="15.75" hidden="1" thickBot="1">
      <c r="A10" s="155" t="s">
        <v>116</v>
      </c>
      <c r="B10" s="155"/>
      <c r="C10" s="156"/>
      <c r="D10" s="156"/>
      <c r="E10" s="156"/>
      <c r="F10" s="156"/>
      <c r="G10" s="156"/>
      <c r="H10" s="119"/>
    </row>
    <row r="11" spans="1:8" ht="15.75" hidden="1" thickBot="1">
      <c r="A11" s="161" t="s">
        <v>117</v>
      </c>
      <c r="B11" s="161"/>
      <c r="C11" s="164"/>
      <c r="D11" s="156"/>
      <c r="E11" s="156"/>
      <c r="F11" s="156"/>
      <c r="G11" s="156"/>
      <c r="H11" s="119"/>
    </row>
    <row r="12" spans="1:8" ht="15.75" hidden="1" thickBot="1">
      <c r="A12" s="157" t="s">
        <v>47</v>
      </c>
      <c r="B12" s="157"/>
      <c r="C12" s="158"/>
      <c r="D12" s="158"/>
      <c r="E12" s="158"/>
      <c r="F12" s="158"/>
      <c r="G12" s="158"/>
      <c r="H12" s="119"/>
    </row>
    <row r="13" spans="1:9" ht="15.75" hidden="1" thickBot="1">
      <c r="A13" s="165" t="s">
        <v>118</v>
      </c>
      <c r="B13" s="165"/>
      <c r="C13" s="166"/>
      <c r="D13" s="166"/>
      <c r="E13" s="166"/>
      <c r="F13" s="166"/>
      <c r="G13" s="166"/>
      <c r="H13" s="226"/>
      <c r="I13" s="181"/>
    </row>
    <row r="14" spans="1:8" ht="15.75" hidden="1" thickBot="1">
      <c r="A14" s="165" t="s">
        <v>7</v>
      </c>
      <c r="B14" s="165"/>
      <c r="C14" s="166"/>
      <c r="D14" s="166"/>
      <c r="E14" s="166"/>
      <c r="F14" s="166"/>
      <c r="G14" s="166"/>
      <c r="H14" s="119"/>
    </row>
    <row r="15" spans="1:8" ht="15.75" hidden="1" thickBot="1">
      <c r="A15" s="159"/>
      <c r="B15" s="159"/>
      <c r="C15" s="159"/>
      <c r="D15" s="159"/>
      <c r="E15" s="159"/>
      <c r="F15" s="159"/>
      <c r="G15" s="159"/>
      <c r="H15" s="119"/>
    </row>
    <row r="16" spans="1:8" ht="15.75" thickBot="1">
      <c r="A16" s="161" t="s">
        <v>46</v>
      </c>
      <c r="B16" s="161"/>
      <c r="C16" s="162">
        <f>'Estado de Resultados'!B11</f>
        <v>7060.8</v>
      </c>
      <c r="D16" s="162">
        <f>'Estado de Resultados'!C11</f>
        <v>7251.441599999999</v>
      </c>
      <c r="E16" s="162">
        <f>'Estado de Resultados'!D11</f>
        <v>7447.230523199999</v>
      </c>
      <c r="F16" s="162">
        <f>'Estado de Resultados'!E11</f>
        <v>7648.305747326398</v>
      </c>
      <c r="G16" s="162">
        <f>'Estado de Resultados'!F11</f>
        <v>7854.8100025042095</v>
      </c>
      <c r="H16" s="119"/>
    </row>
    <row r="17" spans="1:8" ht="15.75" hidden="1" thickBot="1">
      <c r="A17" s="163"/>
      <c r="B17" s="163"/>
      <c r="C17" s="167"/>
      <c r="D17" s="163"/>
      <c r="E17" s="163"/>
      <c r="F17" s="163"/>
      <c r="G17" s="163"/>
      <c r="H17" s="119"/>
    </row>
    <row r="18" spans="1:8" ht="15.75" hidden="1" thickBot="1">
      <c r="A18" s="161" t="s">
        <v>119</v>
      </c>
      <c r="B18" s="161"/>
      <c r="C18" s="156"/>
      <c r="D18" s="156"/>
      <c r="E18" s="156"/>
      <c r="F18" s="156"/>
      <c r="G18" s="156"/>
      <c r="H18" s="119"/>
    </row>
    <row r="19" spans="1:9" ht="15.75" hidden="1" thickBot="1">
      <c r="A19" s="157" t="s">
        <v>47</v>
      </c>
      <c r="B19" s="157"/>
      <c r="C19" s="168"/>
      <c r="D19" s="168"/>
      <c r="E19" s="168"/>
      <c r="F19" s="168"/>
      <c r="G19" s="168"/>
      <c r="H19" s="226"/>
      <c r="I19" s="181"/>
    </row>
    <row r="20" spans="1:8" ht="15.75" hidden="1" thickBot="1">
      <c r="A20" s="165" t="s">
        <v>50</v>
      </c>
      <c r="B20" s="165"/>
      <c r="C20" s="169"/>
      <c r="D20" s="169"/>
      <c r="E20" s="169"/>
      <c r="F20" s="169"/>
      <c r="G20" s="169"/>
      <c r="H20" s="119"/>
    </row>
    <row r="21" spans="1:8" ht="15.75" hidden="1" thickBot="1">
      <c r="A21" s="165" t="s">
        <v>51</v>
      </c>
      <c r="B21" s="165"/>
      <c r="C21" s="169"/>
      <c r="D21" s="169"/>
      <c r="E21" s="169"/>
      <c r="F21" s="169"/>
      <c r="G21" s="169"/>
      <c r="H21" s="119"/>
    </row>
    <row r="22" spans="1:8" ht="15.75" hidden="1" thickBot="1">
      <c r="A22" s="165" t="s">
        <v>52</v>
      </c>
      <c r="B22" s="165"/>
      <c r="C22" s="169"/>
      <c r="D22" s="169"/>
      <c r="E22" s="169"/>
      <c r="F22" s="169"/>
      <c r="G22" s="169"/>
      <c r="H22" s="119"/>
    </row>
    <row r="23" spans="1:8" ht="15.75" hidden="1" thickBot="1">
      <c r="A23" s="165" t="s">
        <v>53</v>
      </c>
      <c r="B23" s="165"/>
      <c r="C23" s="169"/>
      <c r="D23" s="169"/>
      <c r="E23" s="169"/>
      <c r="F23" s="169"/>
      <c r="G23" s="169"/>
      <c r="H23" s="119"/>
    </row>
    <row r="24" spans="1:8" ht="15.75" hidden="1" thickBot="1">
      <c r="A24" s="159"/>
      <c r="B24" s="159"/>
      <c r="C24" s="159"/>
      <c r="D24" s="159"/>
      <c r="E24" s="159"/>
      <c r="F24" s="159"/>
      <c r="G24" s="159"/>
      <c r="H24" s="119"/>
    </row>
    <row r="25" spans="1:8" ht="15.75" thickBot="1">
      <c r="A25" s="161" t="s">
        <v>49</v>
      </c>
      <c r="B25" s="161"/>
      <c r="C25" s="162">
        <f>'Estado de Resultados'!B15</f>
        <v>14580</v>
      </c>
      <c r="D25" s="162">
        <f>'Estado de Resultados'!C15</f>
        <v>14973.659999999998</v>
      </c>
      <c r="E25" s="162">
        <f>'Estado de Resultados'!D15</f>
        <v>15377.948819999996</v>
      </c>
      <c r="F25" s="162">
        <f>'Estado de Resultados'!E15</f>
        <v>15793.153438139994</v>
      </c>
      <c r="G25" s="162">
        <f>'Estado de Resultados'!F15</f>
        <v>16219.568580969775</v>
      </c>
      <c r="H25" s="119"/>
    </row>
    <row r="26" spans="1:8" ht="15" hidden="1">
      <c r="A26" s="163"/>
      <c r="B26" s="163"/>
      <c r="C26" s="163"/>
      <c r="D26" s="163"/>
      <c r="E26" s="163"/>
      <c r="F26" s="163"/>
      <c r="G26" s="163"/>
      <c r="H26" s="119"/>
    </row>
    <row r="27" spans="1:8" ht="15.75" hidden="1" thickBot="1">
      <c r="A27" s="161" t="s">
        <v>120</v>
      </c>
      <c r="B27" s="161"/>
      <c r="C27" s="156"/>
      <c r="D27" s="156"/>
      <c r="E27" s="156"/>
      <c r="F27" s="156"/>
      <c r="G27" s="156"/>
      <c r="H27" s="119"/>
    </row>
    <row r="28" spans="1:8" ht="15" hidden="1">
      <c r="A28" s="157" t="s">
        <v>56</v>
      </c>
      <c r="B28" s="157"/>
      <c r="C28" s="158"/>
      <c r="D28" s="158"/>
      <c r="E28" s="158"/>
      <c r="F28" s="158"/>
      <c r="G28" s="158"/>
      <c r="H28" s="119"/>
    </row>
    <row r="29" spans="1:8" ht="15" hidden="1">
      <c r="A29" s="165" t="s">
        <v>38</v>
      </c>
      <c r="B29" s="165"/>
      <c r="C29" s="166"/>
      <c r="D29" s="166"/>
      <c r="E29" s="166"/>
      <c r="F29" s="166"/>
      <c r="G29" s="166"/>
      <c r="H29" s="119"/>
    </row>
    <row r="30" spans="1:8" ht="15" hidden="1">
      <c r="A30" s="165" t="s">
        <v>39</v>
      </c>
      <c r="B30" s="165"/>
      <c r="C30" s="166"/>
      <c r="D30" s="166"/>
      <c r="E30" s="166"/>
      <c r="F30" s="166"/>
      <c r="G30" s="166"/>
      <c r="H30" s="119"/>
    </row>
    <row r="31" spans="1:8" ht="15" hidden="1">
      <c r="A31" s="165" t="s">
        <v>57</v>
      </c>
      <c r="B31" s="165"/>
      <c r="C31" s="166"/>
      <c r="D31" s="166"/>
      <c r="E31" s="166"/>
      <c r="F31" s="166"/>
      <c r="G31" s="166"/>
      <c r="H31" s="119"/>
    </row>
    <row r="32" spans="1:8" ht="15.75" hidden="1" thickBot="1">
      <c r="A32" s="159"/>
      <c r="B32" s="159"/>
      <c r="C32" s="159"/>
      <c r="D32" s="159"/>
      <c r="E32" s="159"/>
      <c r="F32" s="159"/>
      <c r="G32" s="159"/>
      <c r="H32" s="119"/>
    </row>
    <row r="33" spans="1:8" ht="15.75" thickBot="1">
      <c r="A33" s="170" t="s">
        <v>55</v>
      </c>
      <c r="B33" s="170"/>
      <c r="C33" s="162">
        <f>'Estado de Resultados'!B22</f>
        <v>4596</v>
      </c>
      <c r="D33" s="162">
        <f>'Estado de Resultados'!C22</f>
        <v>4720.092</v>
      </c>
      <c r="E33" s="162">
        <f>'Estado de Resultados'!D22</f>
        <v>4847.534484</v>
      </c>
      <c r="F33" s="162">
        <f>'Estado de Resultados'!E22</f>
        <v>4978.417915067999</v>
      </c>
      <c r="G33" s="162">
        <f>'Estado de Resultados'!F22</f>
        <v>5112.835198774834</v>
      </c>
      <c r="H33" s="119"/>
    </row>
    <row r="34" spans="1:8" ht="15.75" thickBot="1">
      <c r="A34" s="170" t="s">
        <v>133</v>
      </c>
      <c r="B34" s="170"/>
      <c r="C34" s="162">
        <f>'Estado de Resultados'!B26</f>
        <v>747</v>
      </c>
      <c r="D34" s="162">
        <f>'Estado de Resultados'!C26</f>
        <v>747</v>
      </c>
      <c r="E34" s="162">
        <f>'Estado de Resultados'!D26</f>
        <v>747</v>
      </c>
      <c r="F34" s="162">
        <f>'Estado de Resultados'!E26</f>
        <v>747</v>
      </c>
      <c r="G34" s="162">
        <f>'Estado de Resultados'!F26</f>
        <v>747</v>
      </c>
      <c r="H34" s="119"/>
    </row>
    <row r="35" spans="1:8" ht="15.75" thickBot="1">
      <c r="A35" s="170" t="s">
        <v>122</v>
      </c>
      <c r="B35" s="170"/>
      <c r="C35" s="162">
        <f>'Estado de Resultados'!B25</f>
        <v>1109.04258</v>
      </c>
      <c r="D35" s="162">
        <f>'Estado de Resultados'!C25</f>
        <v>585.2669211731367</v>
      </c>
      <c r="E35" s="162">
        <f>'Estado de Resultados'!D25</f>
        <v>0</v>
      </c>
      <c r="F35" s="162"/>
      <c r="G35" s="162"/>
      <c r="H35" s="119"/>
    </row>
    <row r="36" spans="1:8" ht="15.75" thickBot="1">
      <c r="A36" s="172" t="s">
        <v>116</v>
      </c>
      <c r="B36" s="172"/>
      <c r="C36" s="162">
        <f>SUM(C16:C35)</f>
        <v>28092.84258</v>
      </c>
      <c r="D36" s="162">
        <f>SUM(D16:D35)</f>
        <v>28277.460521173136</v>
      </c>
      <c r="E36" s="162">
        <f>SUM(E16:E35)</f>
        <v>28419.713827199994</v>
      </c>
      <c r="F36" s="162">
        <f>SUM(F16:F35)</f>
        <v>29166.87710053439</v>
      </c>
      <c r="G36" s="162">
        <f>SUM(G16:G35)</f>
        <v>29934.213782248815</v>
      </c>
      <c r="H36" s="119"/>
    </row>
    <row r="37" spans="1:8" ht="15.75" thickBot="1">
      <c r="A37" s="161" t="s">
        <v>126</v>
      </c>
      <c r="B37" s="161"/>
      <c r="C37" s="162">
        <f>C8-C36</f>
        <v>54706.69267811252</v>
      </c>
      <c r="D37" s="162">
        <f>D8-D36</f>
        <v>60227.79959763566</v>
      </c>
      <c r="E37" s="162">
        <f>E8-E36</f>
        <v>63611.37459159188</v>
      </c>
      <c r="F37" s="162">
        <f>F8-F36</f>
        <v>66530.4998031411</v>
      </c>
      <c r="G37" s="162">
        <f>G8-G36</f>
        <v>69575.5073738268</v>
      </c>
      <c r="H37" s="119"/>
    </row>
    <row r="38" spans="1:8" ht="15.75" thickBot="1">
      <c r="A38" s="163" t="s">
        <v>127</v>
      </c>
      <c r="B38" s="163"/>
      <c r="C38" s="174">
        <f>C37*15%</f>
        <v>8206.003901716878</v>
      </c>
      <c r="D38" s="174">
        <f>D37*15%</f>
        <v>9034.16993964535</v>
      </c>
      <c r="E38" s="174">
        <f>E37*15%</f>
        <v>9541.70618873878</v>
      </c>
      <c r="F38" s="174">
        <f>F37*15%</f>
        <v>9979.574970471163</v>
      </c>
      <c r="G38" s="174">
        <f>G37*15%</f>
        <v>10436.326106074019</v>
      </c>
      <c r="H38" s="119"/>
    </row>
    <row r="39" spans="1:8" ht="15.75" thickBot="1">
      <c r="A39" s="161" t="s">
        <v>128</v>
      </c>
      <c r="B39" s="161"/>
      <c r="C39" s="162">
        <f>C37-C38</f>
        <v>46500.68877639565</v>
      </c>
      <c r="D39" s="162">
        <f>D37-D38</f>
        <v>51193.629657990314</v>
      </c>
      <c r="E39" s="162">
        <f>E37-E38</f>
        <v>54069.668402853094</v>
      </c>
      <c r="F39" s="162">
        <f>F37-F38</f>
        <v>56550.92483266993</v>
      </c>
      <c r="G39" s="162">
        <f>G37-G38</f>
        <v>59139.18126775278</v>
      </c>
      <c r="H39" s="119"/>
    </row>
    <row r="40" spans="1:8" ht="15.75" thickBot="1">
      <c r="A40" s="163" t="s">
        <v>129</v>
      </c>
      <c r="B40" s="163"/>
      <c r="C40" s="174">
        <f>C39*25%</f>
        <v>11625.172194098912</v>
      </c>
      <c r="D40" s="174">
        <f>D39*25%</f>
        <v>12798.407414497578</v>
      </c>
      <c r="E40" s="174">
        <f>E39*25%</f>
        <v>13517.417100713274</v>
      </c>
      <c r="F40" s="174">
        <f>F39*25%</f>
        <v>14137.731208167483</v>
      </c>
      <c r="G40" s="174">
        <f>G39*25%</f>
        <v>14784.795316938194</v>
      </c>
      <c r="H40" s="119"/>
    </row>
    <row r="41" spans="1:8" ht="15.75" thickBot="1">
      <c r="A41" s="161" t="s">
        <v>130</v>
      </c>
      <c r="B41" s="161"/>
      <c r="C41" s="186">
        <f>C39-C40</f>
        <v>34875.51658229674</v>
      </c>
      <c r="D41" s="186">
        <f>D39-D40</f>
        <v>38395.22224349274</v>
      </c>
      <c r="E41" s="186">
        <f>E39-E40</f>
        <v>40552.25130213982</v>
      </c>
      <c r="F41" s="186">
        <f>F39-F40</f>
        <v>42413.19362450245</v>
      </c>
      <c r="G41" s="186">
        <f>G39-G40</f>
        <v>44354.38595081458</v>
      </c>
      <c r="H41" s="119"/>
    </row>
    <row r="42" spans="1:8" ht="15">
      <c r="A42" s="157" t="s">
        <v>134</v>
      </c>
      <c r="B42" s="187"/>
      <c r="C42" s="188">
        <f>C34</f>
        <v>747</v>
      </c>
      <c r="D42" s="188">
        <f>D34</f>
        <v>747</v>
      </c>
      <c r="E42" s="188">
        <f>E34</f>
        <v>747</v>
      </c>
      <c r="F42" s="188">
        <f>F34</f>
        <v>747</v>
      </c>
      <c r="G42" s="188">
        <f>G34</f>
        <v>747</v>
      </c>
      <c r="H42" s="119"/>
    </row>
    <row r="43" spans="1:8" ht="15">
      <c r="A43" s="189" t="s">
        <v>135</v>
      </c>
      <c r="B43" s="190"/>
      <c r="C43" s="191"/>
      <c r="D43" s="191"/>
      <c r="E43" s="192">
        <f>'Estado de Resultados'!D28</f>
        <v>450</v>
      </c>
      <c r="F43" s="191"/>
      <c r="G43" s="191"/>
      <c r="H43" s="119"/>
    </row>
    <row r="44" spans="1:8" ht="15">
      <c r="A44" s="193" t="s">
        <v>136</v>
      </c>
      <c r="B44" s="194">
        <f>Costos!D49</f>
        <v>18893.4</v>
      </c>
      <c r="C44" s="195"/>
      <c r="D44" s="195"/>
      <c r="E44" s="195"/>
      <c r="F44" s="195"/>
      <c r="G44" s="195"/>
      <c r="H44" s="119"/>
    </row>
    <row r="45" spans="1:8" ht="15">
      <c r="A45" s="193" t="s">
        <v>137</v>
      </c>
      <c r="B45" s="196"/>
      <c r="C45" s="197"/>
      <c r="D45" s="197"/>
      <c r="E45" s="279">
        <f>Depreciación!C4</f>
        <v>1350</v>
      </c>
      <c r="F45" s="197"/>
      <c r="G45" s="197"/>
      <c r="H45" s="119"/>
    </row>
    <row r="46" spans="1:8" ht="15">
      <c r="A46" s="198" t="s">
        <v>138</v>
      </c>
      <c r="B46" s="199">
        <f>Amortización!C3</f>
        <v>9446.7</v>
      </c>
      <c r="C46" s="192"/>
      <c r="D46" s="192"/>
      <c r="E46" s="192"/>
      <c r="F46" s="192"/>
      <c r="G46" s="191"/>
      <c r="H46" s="119"/>
    </row>
    <row r="47" spans="1:8" ht="15">
      <c r="A47" s="200" t="s">
        <v>139</v>
      </c>
      <c r="B47" s="190"/>
      <c r="C47" s="207">
        <f>Amortización!E12</f>
        <v>4461.462170586571</v>
      </c>
      <c r="D47" s="207">
        <f>Amortización!E13</f>
        <v>4985.237829413435</v>
      </c>
      <c r="E47" s="207">
        <f>Amortización!E14</f>
        <v>0</v>
      </c>
      <c r="F47" s="207">
        <f>Amortización!E15</f>
        <v>0</v>
      </c>
      <c r="G47" s="207">
        <f>Amortización!E16</f>
        <v>0</v>
      </c>
      <c r="H47" s="119"/>
    </row>
    <row r="48" spans="1:8" ht="15.75" thickBot="1">
      <c r="A48" s="190" t="s">
        <v>140</v>
      </c>
      <c r="B48" s="190"/>
      <c r="C48" s="191"/>
      <c r="D48" s="191"/>
      <c r="E48" s="191"/>
      <c r="F48" s="191"/>
      <c r="G48" s="280">
        <f>Depreciación!I39</f>
        <v>1615</v>
      </c>
      <c r="H48" s="119"/>
    </row>
    <row r="49" spans="1:8" ht="15.75" thickBot="1">
      <c r="A49" s="155" t="s">
        <v>141</v>
      </c>
      <c r="B49" s="201">
        <f>-B44+B46</f>
        <v>-9446.7</v>
      </c>
      <c r="C49" s="202">
        <f>C41+C42-C47</f>
        <v>31161.054411710167</v>
      </c>
      <c r="D49" s="202">
        <f>D41+D42-D47</f>
        <v>34156.98441407931</v>
      </c>
      <c r="E49" s="202">
        <f>E41+E42-E47+E43-E45</f>
        <v>40399.25130213982</v>
      </c>
      <c r="F49" s="202">
        <f>F41+F42-F47</f>
        <v>43160.19362450245</v>
      </c>
      <c r="G49" s="202">
        <f>G41+G42-G47+G48</f>
        <v>46716.38595081458</v>
      </c>
      <c r="H49" s="119"/>
    </row>
    <row r="51" ht="15.75" thickBot="1"/>
    <row r="52" spans="2:4" ht="16.5" customHeight="1" thickBot="1">
      <c r="B52" s="203" t="s">
        <v>67</v>
      </c>
      <c r="C52" s="203" t="s">
        <v>148</v>
      </c>
      <c r="D52" s="203" t="s">
        <v>149</v>
      </c>
    </row>
    <row r="53" spans="2:4" ht="16.5" customHeight="1">
      <c r="B53" s="220"/>
      <c r="C53" s="222"/>
      <c r="D53" s="223">
        <f>B49</f>
        <v>-9446.7</v>
      </c>
    </row>
    <row r="54" spans="2:4" ht="15">
      <c r="B54" s="204">
        <v>2009</v>
      </c>
      <c r="C54" s="217">
        <f>C49</f>
        <v>31161.054411710167</v>
      </c>
      <c r="D54" s="217">
        <f>C55-C54</f>
        <v>2995.9300023691394</v>
      </c>
    </row>
    <row r="55" spans="2:4" ht="15">
      <c r="B55" s="205">
        <v>2010</v>
      </c>
      <c r="C55" s="218">
        <f>D49</f>
        <v>34156.98441407931</v>
      </c>
      <c r="D55" s="218">
        <f>C56-C55</f>
        <v>6242.266888060512</v>
      </c>
    </row>
    <row r="56" spans="2:4" ht="15">
      <c r="B56" s="205">
        <v>2011</v>
      </c>
      <c r="C56" s="218">
        <f>E49</f>
        <v>40399.25130213982</v>
      </c>
      <c r="D56" s="218">
        <f>C57-C56</f>
        <v>2760.942322362629</v>
      </c>
    </row>
    <row r="57" spans="2:4" ht="15">
      <c r="B57" s="205">
        <v>2012</v>
      </c>
      <c r="C57" s="218">
        <f>F49</f>
        <v>43160.19362450245</v>
      </c>
      <c r="D57" s="218">
        <f>C58-C57</f>
        <v>3556.1923263121353</v>
      </c>
    </row>
    <row r="58" spans="2:4" ht="15.75" thickBot="1">
      <c r="B58" s="206">
        <v>2013</v>
      </c>
      <c r="C58" s="219">
        <f>G49</f>
        <v>46716.38595081458</v>
      </c>
      <c r="D58" s="221"/>
    </row>
    <row r="60" spans="1:2" ht="15">
      <c r="A60" s="18" t="s">
        <v>142</v>
      </c>
      <c r="B60" s="208">
        <f>Costos!D49</f>
        <v>18893.4</v>
      </c>
    </row>
    <row r="61" spans="1:2" ht="15">
      <c r="A61" s="18" t="s">
        <v>143</v>
      </c>
      <c r="B61" s="215">
        <f>Costos!E51</f>
        <v>9446.7</v>
      </c>
    </row>
    <row r="62" spans="1:2" ht="15.75" thickBot="1">
      <c r="A62" s="18" t="s">
        <v>144</v>
      </c>
      <c r="B62" s="215">
        <f>Costos!E52</f>
        <v>9446.7</v>
      </c>
    </row>
    <row r="63" spans="1:2" ht="15.75" thickBot="1">
      <c r="A63" s="283" t="s">
        <v>175</v>
      </c>
      <c r="B63" s="281">
        <f>Amortización!C4</f>
        <v>0.1174</v>
      </c>
    </row>
    <row r="64" spans="1:2" ht="15.75" thickBot="1">
      <c r="A64" s="283" t="s">
        <v>146</v>
      </c>
      <c r="B64" s="284">
        <f>NPV(B63,D54:D57)+B49</f>
        <v>2494.010431157438</v>
      </c>
    </row>
    <row r="65" spans="1:2" ht="15.75" thickBot="1">
      <c r="A65" s="282" t="s">
        <v>147</v>
      </c>
      <c r="B65" s="285">
        <f>IRR(D53:D57)</f>
        <v>0.23889653900073382</v>
      </c>
    </row>
    <row r="66" spans="1:3" ht="15">
      <c r="A66" s="231" t="s">
        <v>207</v>
      </c>
      <c r="B66" s="231" t="s">
        <v>145</v>
      </c>
      <c r="C66" s="231" t="s">
        <v>146</v>
      </c>
    </row>
    <row r="67" spans="1:3" ht="15">
      <c r="A67" s="107">
        <f>'Presupuesto de Inversión'!C22</f>
        <v>2.7515833393034286</v>
      </c>
      <c r="B67" s="116">
        <v>0.07</v>
      </c>
      <c r="C67" s="216">
        <f>NPV(B67,D54:D57)+D53</f>
        <v>3772.2256887293406</v>
      </c>
    </row>
    <row r="68" spans="1:6" ht="15">
      <c r="A68" s="107">
        <f>'Presupuesto de Inversión'!D22</f>
        <v>2.825876089464621</v>
      </c>
      <c r="B68" s="116">
        <v>0.1</v>
      </c>
      <c r="C68" s="216">
        <f>NPV(B68,D54:D57)+D53</f>
        <v>2939.0350239857726</v>
      </c>
      <c r="D68" s="119"/>
      <c r="E68" s="119"/>
      <c r="F68" s="119"/>
    </row>
    <row r="69" spans="1:3" ht="15">
      <c r="A69" s="313">
        <f>'Presupuesto de Inversión'!E22</f>
        <v>2.9021747438801655</v>
      </c>
      <c r="B69" s="116">
        <f>B63</f>
        <v>0.1174</v>
      </c>
      <c r="C69" s="216">
        <f>NPV(B69,D54:D57)+D53</f>
        <v>2494.010431157438</v>
      </c>
    </row>
    <row r="70" spans="1:3" ht="15">
      <c r="A70" s="313">
        <f>'Presupuesto de Inversión'!F22</f>
        <v>2.9805334619649297</v>
      </c>
      <c r="B70" s="116">
        <v>0.13</v>
      </c>
      <c r="C70" s="216">
        <f>NPV(B70,D54:D57)+D53</f>
        <v>2187.7269764506054</v>
      </c>
    </row>
    <row r="71" spans="1:3" ht="15">
      <c r="A71" s="313">
        <f>'Presupuesto de Inversión'!G22</f>
        <v>3.0610078654379826</v>
      </c>
      <c r="B71" s="116">
        <v>0.2</v>
      </c>
      <c r="C71" s="216">
        <f>NPV(B71,D54:D57)+D53</f>
        <v>697.5681693905772</v>
      </c>
    </row>
    <row r="72" ht="15">
      <c r="A72" s="120"/>
    </row>
    <row r="73" ht="15">
      <c r="A73" s="120"/>
    </row>
    <row r="74" ht="15">
      <c r="A74" s="120"/>
    </row>
    <row r="75" ht="15">
      <c r="A75" s="120"/>
    </row>
    <row r="76" ht="15">
      <c r="A76" s="120"/>
    </row>
    <row r="77" spans="1:2" ht="15">
      <c r="A77" s="120"/>
      <c r="B77" s="116"/>
    </row>
    <row r="78" spans="1:2" ht="15">
      <c r="A78" s="120"/>
      <c r="B78" s="216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F16"/>
  <sheetViews>
    <sheetView zoomScalePageLayoutView="0" workbookViewId="0" topLeftCell="A1">
      <selection activeCell="G6" sqref="G6"/>
    </sheetView>
  </sheetViews>
  <sheetFormatPr defaultColWidth="11.421875" defaultRowHeight="15"/>
  <cols>
    <col min="2" max="2" width="18.7109375" style="0" customWidth="1"/>
    <col min="3" max="3" width="12.00390625" style="0" bestFit="1" customWidth="1"/>
    <col min="6" max="6" width="13.7109375" style="0" customWidth="1"/>
    <col min="8" max="8" width="11.421875" style="0" customWidth="1"/>
    <col min="12" max="12" width="11.421875" style="0" customWidth="1"/>
  </cols>
  <sheetData>
    <row r="3" spans="2:6" ht="15">
      <c r="B3" s="121" t="s">
        <v>72</v>
      </c>
      <c r="C3" s="107">
        <f>Costos!E52</f>
        <v>9446.7</v>
      </c>
      <c r="D3" s="18"/>
      <c r="E3" s="18"/>
      <c r="F3" s="18"/>
    </row>
    <row r="4" spans="2:6" ht="15">
      <c r="B4" s="121" t="s">
        <v>73</v>
      </c>
      <c r="C4" s="116">
        <v>0.1174</v>
      </c>
      <c r="D4" s="18"/>
      <c r="E4" s="18"/>
      <c r="F4" s="18"/>
    </row>
    <row r="5" spans="2:6" ht="15">
      <c r="B5" s="121" t="s">
        <v>74</v>
      </c>
      <c r="C5" s="18">
        <v>2</v>
      </c>
      <c r="D5" s="18"/>
      <c r="E5" s="18"/>
      <c r="F5" s="18"/>
    </row>
    <row r="6" spans="2:6" ht="15">
      <c r="B6" s="18"/>
      <c r="C6" s="18"/>
      <c r="D6" s="18"/>
      <c r="E6" s="18"/>
      <c r="F6" s="18"/>
    </row>
    <row r="7" spans="2:6" ht="15">
      <c r="B7" s="18"/>
      <c r="C7" s="18"/>
      <c r="D7" s="18"/>
      <c r="E7" s="18"/>
      <c r="F7" s="18"/>
    </row>
    <row r="8" spans="2:6" ht="15.75" thickBot="1">
      <c r="B8" s="18"/>
      <c r="C8" s="18"/>
      <c r="D8" s="18"/>
      <c r="E8" s="18"/>
      <c r="F8" s="18"/>
    </row>
    <row r="9" spans="2:6" ht="15.75" thickBot="1">
      <c r="B9" s="319" t="s">
        <v>75</v>
      </c>
      <c r="C9" s="366"/>
      <c r="D9" s="366"/>
      <c r="E9" s="366"/>
      <c r="F9" s="320"/>
    </row>
    <row r="10" spans="2:6" ht="15.75" thickBot="1">
      <c r="B10" s="73" t="s">
        <v>74</v>
      </c>
      <c r="C10" s="73" t="s">
        <v>76</v>
      </c>
      <c r="D10" s="73" t="s">
        <v>77</v>
      </c>
      <c r="E10" s="122" t="s">
        <v>78</v>
      </c>
      <c r="F10" s="73" t="s">
        <v>79</v>
      </c>
    </row>
    <row r="11" spans="2:6" ht="15">
      <c r="B11" s="53">
        <v>0</v>
      </c>
      <c r="C11" s="53"/>
      <c r="D11" s="53"/>
      <c r="E11" s="53"/>
      <c r="F11" s="2">
        <f>C3</f>
        <v>9446.7</v>
      </c>
    </row>
    <row r="12" spans="2:6" ht="15">
      <c r="B12" s="61">
        <v>1</v>
      </c>
      <c r="C12" s="126">
        <f>PMT($C$4,$C$5,-$C$3)</f>
        <v>5570.504750586571</v>
      </c>
      <c r="D12" s="26">
        <f>F11*$C$4</f>
        <v>1109.04258</v>
      </c>
      <c r="E12" s="126">
        <f>C12-D12</f>
        <v>4461.462170586571</v>
      </c>
      <c r="F12" s="26">
        <f>F11-E12</f>
        <v>4985.23782941343</v>
      </c>
    </row>
    <row r="13" spans="2:6" ht="15">
      <c r="B13" s="61">
        <v>2</v>
      </c>
      <c r="C13" s="126">
        <f>PMT($C$4,$C$5,-$C$3)</f>
        <v>5570.504750586571</v>
      </c>
      <c r="D13" s="26">
        <f>F12*$C$4</f>
        <v>585.2669211731367</v>
      </c>
      <c r="E13" s="126">
        <f>C13-D13</f>
        <v>4985.237829413435</v>
      </c>
      <c r="F13" s="26">
        <f>F12-E13</f>
        <v>0</v>
      </c>
    </row>
    <row r="14" spans="2:6" ht="15">
      <c r="B14" s="61"/>
      <c r="C14" s="126"/>
      <c r="D14" s="26"/>
      <c r="E14" s="126"/>
      <c r="F14" s="26"/>
    </row>
    <row r="15" spans="2:6" ht="15">
      <c r="B15" s="61"/>
      <c r="C15" s="126"/>
      <c r="D15" s="26"/>
      <c r="E15" s="126"/>
      <c r="F15" s="26"/>
    </row>
    <row r="16" spans="2:6" ht="15.75" thickBot="1">
      <c r="B16" s="63"/>
      <c r="C16" s="126"/>
      <c r="D16" s="26"/>
      <c r="E16" s="127"/>
      <c r="F16" s="31"/>
    </row>
  </sheetData>
  <sheetProtection/>
  <mergeCells count="1">
    <mergeCell ref="B9:F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56"/>
  <sheetViews>
    <sheetView zoomScalePageLayoutView="0" workbookViewId="0" topLeftCell="A1">
      <selection activeCell="G31" sqref="G31"/>
    </sheetView>
  </sheetViews>
  <sheetFormatPr defaultColWidth="11.421875" defaultRowHeight="15"/>
  <cols>
    <col min="1" max="1" width="27.57421875" style="18" customWidth="1"/>
    <col min="2" max="2" width="11.421875" style="18" customWidth="1"/>
    <col min="3" max="3" width="12.8515625" style="18" customWidth="1"/>
    <col min="4" max="4" width="15.8515625" style="18" customWidth="1"/>
    <col min="5" max="5" width="14.421875" style="18" customWidth="1"/>
    <col min="6" max="6" width="11.421875" style="18" customWidth="1"/>
    <col min="7" max="7" width="15.8515625" style="18" customWidth="1"/>
    <col min="8" max="8" width="11.421875" style="18" customWidth="1"/>
    <col min="9" max="9" width="16.421875" style="18" customWidth="1"/>
    <col min="10" max="10" width="16.28125" style="18" customWidth="1"/>
    <col min="11" max="12" width="11.421875" style="18" customWidth="1"/>
    <col min="13" max="13" width="15.421875" style="18" customWidth="1"/>
    <col min="14" max="14" width="16.00390625" style="18" customWidth="1"/>
    <col min="15" max="15" width="16.57421875" style="18" customWidth="1"/>
    <col min="16" max="16384" width="11.421875" style="18" customWidth="1"/>
  </cols>
  <sheetData>
    <row r="1" ht="15.75" thickBot="1"/>
    <row r="2" spans="1:7" ht="15.75" thickBot="1">
      <c r="A2" s="319" t="s">
        <v>87</v>
      </c>
      <c r="B2" s="366"/>
      <c r="C2" s="366"/>
      <c r="D2" s="366"/>
      <c r="E2" s="366"/>
      <c r="F2" s="366"/>
      <c r="G2" s="320"/>
    </row>
    <row r="3" spans="1:9" ht="15.75" thickBot="1">
      <c r="A3" s="90"/>
      <c r="B3" s="72" t="s">
        <v>88</v>
      </c>
      <c r="C3" s="72" t="s">
        <v>89</v>
      </c>
      <c r="D3" s="72" t="s">
        <v>90</v>
      </c>
      <c r="E3" s="72" t="s">
        <v>91</v>
      </c>
      <c r="F3" s="72" t="s">
        <v>64</v>
      </c>
      <c r="G3" s="72" t="s">
        <v>92</v>
      </c>
      <c r="H3" s="134" t="s">
        <v>64</v>
      </c>
      <c r="I3" s="135"/>
    </row>
    <row r="4" spans="1:9" ht="15">
      <c r="A4" s="136" t="s">
        <v>93</v>
      </c>
      <c r="B4" s="53">
        <v>3</v>
      </c>
      <c r="C4" s="24">
        <f>Costos!D3</f>
        <v>1350</v>
      </c>
      <c r="D4" s="24">
        <f>C4*F4</f>
        <v>450</v>
      </c>
      <c r="E4" s="2">
        <f>C4-D4</f>
        <v>900</v>
      </c>
      <c r="F4" s="137">
        <f>100%/B4</f>
        <v>0.3333333333333333</v>
      </c>
      <c r="G4" s="2">
        <f>E4/B4</f>
        <v>300</v>
      </c>
      <c r="H4" s="118">
        <f>100%/B4</f>
        <v>0.3333333333333333</v>
      </c>
      <c r="I4" s="117">
        <f>(C4-D4)*H4</f>
        <v>300</v>
      </c>
    </row>
    <row r="5" spans="1:9" ht="15">
      <c r="A5" s="138" t="s">
        <v>94</v>
      </c>
      <c r="B5" s="61">
        <v>10</v>
      </c>
      <c r="C5" s="26">
        <f>Costos!F31</f>
        <v>330</v>
      </c>
      <c r="D5" s="26">
        <f>C5*F5</f>
        <v>33</v>
      </c>
      <c r="E5" s="26">
        <f>C5-D5</f>
        <v>297</v>
      </c>
      <c r="F5" s="139">
        <f>100%/B5</f>
        <v>0.1</v>
      </c>
      <c r="G5" s="26">
        <f>E5/B5</f>
        <v>29.7</v>
      </c>
      <c r="H5" s="118">
        <f>100%/B5</f>
        <v>0.1</v>
      </c>
      <c r="I5" s="117">
        <f>(C5-D5)*H5</f>
        <v>29.700000000000003</v>
      </c>
    </row>
    <row r="6" spans="1:9" ht="15">
      <c r="A6" s="140" t="s">
        <v>95</v>
      </c>
      <c r="B6" s="49">
        <v>5</v>
      </c>
      <c r="C6" s="141">
        <f>Costos!D6</f>
        <v>2400</v>
      </c>
      <c r="D6" s="141">
        <f>C6*F6</f>
        <v>480</v>
      </c>
      <c r="E6" s="141">
        <f>C6-D6</f>
        <v>1920</v>
      </c>
      <c r="F6" s="142">
        <f>100%/B6</f>
        <v>0.2</v>
      </c>
      <c r="G6" s="141">
        <f>E6/B6</f>
        <v>384</v>
      </c>
      <c r="H6" s="118">
        <f>100%/B6</f>
        <v>0.2</v>
      </c>
      <c r="I6" s="117">
        <f>(C6-D6)/B6</f>
        <v>384</v>
      </c>
    </row>
    <row r="7" spans="1:9" ht="15.75" thickBot="1">
      <c r="A7" s="143" t="s">
        <v>96</v>
      </c>
      <c r="B7" s="63">
        <v>10</v>
      </c>
      <c r="C7" s="31">
        <f>Costos!G31</f>
        <v>370</v>
      </c>
      <c r="D7" s="31">
        <f>C7*F7</f>
        <v>37</v>
      </c>
      <c r="E7" s="31">
        <f>C7-D7</f>
        <v>333</v>
      </c>
      <c r="F7" s="144">
        <f>100%/B7</f>
        <v>0.1</v>
      </c>
      <c r="G7" s="31">
        <f>E7/B7</f>
        <v>33.3</v>
      </c>
      <c r="H7" s="118">
        <f>100%/B7</f>
        <v>0.1</v>
      </c>
      <c r="I7" s="117">
        <f>(C7-D7)*H7</f>
        <v>33.300000000000004</v>
      </c>
    </row>
    <row r="9" ht="15.75" thickBot="1"/>
    <row r="10" spans="2:15" ht="15.75" thickBot="1">
      <c r="B10" s="319" t="s">
        <v>93</v>
      </c>
      <c r="C10" s="366"/>
      <c r="D10" s="366"/>
      <c r="E10" s="320"/>
      <c r="G10" s="319" t="s">
        <v>96</v>
      </c>
      <c r="H10" s="366"/>
      <c r="I10" s="366"/>
      <c r="J10" s="320"/>
      <c r="L10" s="319" t="s">
        <v>93</v>
      </c>
      <c r="M10" s="366"/>
      <c r="N10" s="366"/>
      <c r="O10" s="320"/>
    </row>
    <row r="11" spans="2:15" ht="15.75" thickBot="1">
      <c r="B11" s="90"/>
      <c r="C11" s="72" t="s">
        <v>97</v>
      </c>
      <c r="D11" s="72" t="s">
        <v>98</v>
      </c>
      <c r="E11" s="72" t="s">
        <v>99</v>
      </c>
      <c r="G11" s="90"/>
      <c r="H11" s="72" t="s">
        <v>97</v>
      </c>
      <c r="I11" s="72" t="s">
        <v>98</v>
      </c>
      <c r="J11" s="72" t="s">
        <v>99</v>
      </c>
      <c r="L11" s="90"/>
      <c r="M11" s="72" t="s">
        <v>97</v>
      </c>
      <c r="N11" s="72" t="s">
        <v>98</v>
      </c>
      <c r="O11" s="72" t="s">
        <v>99</v>
      </c>
    </row>
    <row r="12" spans="2:15" ht="15">
      <c r="B12" s="53">
        <v>0</v>
      </c>
      <c r="C12" s="53"/>
      <c r="D12" s="53"/>
      <c r="E12" s="2">
        <f>C4</f>
        <v>1350</v>
      </c>
      <c r="G12" s="53">
        <v>0</v>
      </c>
      <c r="H12" s="53"/>
      <c r="I12" s="53"/>
      <c r="J12" s="2">
        <f>C7</f>
        <v>370</v>
      </c>
      <c r="L12" s="53">
        <v>0</v>
      </c>
      <c r="M12" s="53"/>
      <c r="N12" s="53"/>
      <c r="O12" s="2">
        <f>C4</f>
        <v>1350</v>
      </c>
    </row>
    <row r="13" spans="2:15" ht="15">
      <c r="B13" s="61">
        <v>1</v>
      </c>
      <c r="C13" s="26">
        <f>$G$4</f>
        <v>300</v>
      </c>
      <c r="D13" s="26">
        <f>C13</f>
        <v>300</v>
      </c>
      <c r="E13" s="26">
        <f>E12-C13</f>
        <v>1050</v>
      </c>
      <c r="G13" s="61">
        <v>1</v>
      </c>
      <c r="H13" s="26">
        <f>$G$7</f>
        <v>33.3</v>
      </c>
      <c r="I13" s="26">
        <f>H13</f>
        <v>33.3</v>
      </c>
      <c r="J13" s="26">
        <f aca="true" t="shared" si="0" ref="J13:J22">J12-H13</f>
        <v>336.7</v>
      </c>
      <c r="L13" s="61">
        <v>1</v>
      </c>
      <c r="M13" s="26">
        <f>$G$4</f>
        <v>300</v>
      </c>
      <c r="N13" s="26">
        <f>M13</f>
        <v>300</v>
      </c>
      <c r="O13" s="26">
        <f>O12-M13</f>
        <v>1050</v>
      </c>
    </row>
    <row r="14" spans="2:15" ht="15">
      <c r="B14" s="61">
        <v>2</v>
      </c>
      <c r="C14" s="26">
        <f>$G$4</f>
        <v>300</v>
      </c>
      <c r="D14" s="26">
        <f>D13+C14</f>
        <v>600</v>
      </c>
      <c r="E14" s="26">
        <f>E13-C14</f>
        <v>750</v>
      </c>
      <c r="G14" s="61">
        <v>2</v>
      </c>
      <c r="H14" s="26">
        <f aca="true" t="shared" si="1" ref="H14:H22">$G$7</f>
        <v>33.3</v>
      </c>
      <c r="I14" s="26">
        <f aca="true" t="shared" si="2" ref="I14:I22">I13+H14</f>
        <v>66.6</v>
      </c>
      <c r="J14" s="26">
        <f t="shared" si="0"/>
        <v>303.4</v>
      </c>
      <c r="L14" s="61">
        <v>2</v>
      </c>
      <c r="M14" s="26">
        <f>$G$4</f>
        <v>300</v>
      </c>
      <c r="N14" s="26">
        <f>N13+M14</f>
        <v>600</v>
      </c>
      <c r="O14" s="26">
        <f>O13-M14</f>
        <v>750</v>
      </c>
    </row>
    <row r="15" spans="2:15" ht="15.75" thickBot="1">
      <c r="B15" s="63">
        <v>3</v>
      </c>
      <c r="C15" s="26">
        <f>$G$4</f>
        <v>300</v>
      </c>
      <c r="D15" s="31">
        <f>D14+C15</f>
        <v>900</v>
      </c>
      <c r="E15" s="31">
        <f>E14-C15</f>
        <v>450</v>
      </c>
      <c r="G15" s="61">
        <v>3</v>
      </c>
      <c r="H15" s="26">
        <f t="shared" si="1"/>
        <v>33.3</v>
      </c>
      <c r="I15" s="26">
        <f t="shared" si="2"/>
        <v>99.89999999999999</v>
      </c>
      <c r="J15" s="26">
        <f t="shared" si="0"/>
        <v>270.09999999999997</v>
      </c>
      <c r="L15" s="63">
        <v>3</v>
      </c>
      <c r="M15" s="26">
        <f>$G$4</f>
        <v>300</v>
      </c>
      <c r="N15" s="31">
        <f>N14+M15</f>
        <v>900</v>
      </c>
      <c r="O15" s="31">
        <f>O14-M15</f>
        <v>450</v>
      </c>
    </row>
    <row r="16" spans="2:15" ht="15.75" thickBot="1">
      <c r="B16" s="319" t="s">
        <v>100</v>
      </c>
      <c r="C16" s="366"/>
      <c r="D16" s="320"/>
      <c r="E16" s="145">
        <f>D4</f>
        <v>450</v>
      </c>
      <c r="G16" s="61">
        <v>4</v>
      </c>
      <c r="H16" s="26">
        <f t="shared" si="1"/>
        <v>33.3</v>
      </c>
      <c r="I16" s="26">
        <f t="shared" si="2"/>
        <v>133.2</v>
      </c>
      <c r="J16" s="26">
        <f t="shared" si="0"/>
        <v>236.79999999999995</v>
      </c>
      <c r="L16" s="319" t="s">
        <v>100</v>
      </c>
      <c r="M16" s="366"/>
      <c r="N16" s="320"/>
      <c r="O16" s="145">
        <f>D4</f>
        <v>450</v>
      </c>
    </row>
    <row r="17" spans="7:10" ht="15.75" thickBot="1">
      <c r="G17" s="61">
        <v>5</v>
      </c>
      <c r="H17" s="26">
        <f t="shared" si="1"/>
        <v>33.3</v>
      </c>
      <c r="I17" s="26">
        <f t="shared" si="2"/>
        <v>166.5</v>
      </c>
      <c r="J17" s="26">
        <f t="shared" si="0"/>
        <v>203.49999999999994</v>
      </c>
    </row>
    <row r="18" spans="2:10" ht="15.75" thickBot="1">
      <c r="B18" s="319" t="s">
        <v>94</v>
      </c>
      <c r="C18" s="366"/>
      <c r="D18" s="366"/>
      <c r="E18" s="320"/>
      <c r="G18" s="61">
        <v>6</v>
      </c>
      <c r="H18" s="26">
        <f t="shared" si="1"/>
        <v>33.3</v>
      </c>
      <c r="I18" s="26">
        <f t="shared" si="2"/>
        <v>199.8</v>
      </c>
      <c r="J18" s="26">
        <f t="shared" si="0"/>
        <v>170.19999999999993</v>
      </c>
    </row>
    <row r="19" spans="2:10" ht="15.75" thickBot="1">
      <c r="B19" s="146"/>
      <c r="C19" s="72" t="s">
        <v>97</v>
      </c>
      <c r="D19" s="72" t="s">
        <v>98</v>
      </c>
      <c r="E19" s="72" t="s">
        <v>99</v>
      </c>
      <c r="G19" s="61">
        <v>7</v>
      </c>
      <c r="H19" s="26">
        <f t="shared" si="1"/>
        <v>33.3</v>
      </c>
      <c r="I19" s="26">
        <f t="shared" si="2"/>
        <v>233.10000000000002</v>
      </c>
      <c r="J19" s="26">
        <f t="shared" si="0"/>
        <v>136.89999999999992</v>
      </c>
    </row>
    <row r="20" spans="2:10" ht="15">
      <c r="B20" s="53">
        <v>0</v>
      </c>
      <c r="C20" s="62"/>
      <c r="D20" s="62"/>
      <c r="E20" s="147">
        <f>C5</f>
        <v>330</v>
      </c>
      <c r="G20" s="61">
        <v>8</v>
      </c>
      <c r="H20" s="26">
        <f t="shared" si="1"/>
        <v>33.3</v>
      </c>
      <c r="I20" s="26">
        <f t="shared" si="2"/>
        <v>266.40000000000003</v>
      </c>
      <c r="J20" s="26">
        <f t="shared" si="0"/>
        <v>103.59999999999992</v>
      </c>
    </row>
    <row r="21" spans="2:10" ht="15">
      <c r="B21" s="61">
        <v>1</v>
      </c>
      <c r="C21" s="26">
        <f>$G$5</f>
        <v>29.7</v>
      </c>
      <c r="D21" s="26">
        <f>C21</f>
        <v>29.7</v>
      </c>
      <c r="E21" s="26">
        <f>E20-C21</f>
        <v>300.3</v>
      </c>
      <c r="G21" s="61">
        <v>9</v>
      </c>
      <c r="H21" s="26">
        <f t="shared" si="1"/>
        <v>33.3</v>
      </c>
      <c r="I21" s="26">
        <f t="shared" si="2"/>
        <v>299.70000000000005</v>
      </c>
      <c r="J21" s="26">
        <f t="shared" si="0"/>
        <v>70.29999999999993</v>
      </c>
    </row>
    <row r="22" spans="2:10" ht="15.75" thickBot="1">
      <c r="B22" s="61">
        <v>2</v>
      </c>
      <c r="C22" s="26">
        <f aca="true" t="shared" si="3" ref="C22:C30">$G$5</f>
        <v>29.7</v>
      </c>
      <c r="D22" s="26">
        <f>D21+C22</f>
        <v>59.4</v>
      </c>
      <c r="E22" s="26">
        <f aca="true" t="shared" si="4" ref="E22:E30">E21-C22</f>
        <v>270.6</v>
      </c>
      <c r="G22" s="63">
        <v>10</v>
      </c>
      <c r="H22" s="26">
        <f t="shared" si="1"/>
        <v>33.3</v>
      </c>
      <c r="I22" s="31">
        <f t="shared" si="2"/>
        <v>333.00000000000006</v>
      </c>
      <c r="J22" s="31">
        <f t="shared" si="0"/>
        <v>36.99999999999993</v>
      </c>
    </row>
    <row r="23" spans="2:10" ht="15.75" thickBot="1">
      <c r="B23" s="61">
        <v>3</v>
      </c>
      <c r="C23" s="26">
        <f t="shared" si="3"/>
        <v>29.7</v>
      </c>
      <c r="D23" s="26">
        <f aca="true" t="shared" si="5" ref="D23:D30">D22+C23</f>
        <v>89.1</v>
      </c>
      <c r="E23" s="26">
        <f t="shared" si="4"/>
        <v>240.90000000000003</v>
      </c>
      <c r="G23" s="319" t="s">
        <v>100</v>
      </c>
      <c r="H23" s="366"/>
      <c r="I23" s="320"/>
      <c r="J23" s="145">
        <f>D7</f>
        <v>37</v>
      </c>
    </row>
    <row r="24" spans="2:5" ht="15.75" thickBot="1">
      <c r="B24" s="61">
        <v>4</v>
      </c>
      <c r="C24" s="26">
        <f t="shared" si="3"/>
        <v>29.7</v>
      </c>
      <c r="D24" s="26">
        <f t="shared" si="5"/>
        <v>118.8</v>
      </c>
      <c r="E24" s="26">
        <f t="shared" si="4"/>
        <v>211.20000000000005</v>
      </c>
    </row>
    <row r="25" spans="2:13" ht="15.75" thickBot="1">
      <c r="B25" s="61">
        <v>5</v>
      </c>
      <c r="C25" s="26">
        <f t="shared" si="3"/>
        <v>29.7</v>
      </c>
      <c r="D25" s="26">
        <f t="shared" si="5"/>
        <v>148.5</v>
      </c>
      <c r="E25" s="26">
        <f t="shared" si="4"/>
        <v>181.50000000000006</v>
      </c>
      <c r="G25" s="319" t="s">
        <v>101</v>
      </c>
      <c r="H25" s="366"/>
      <c r="I25" s="320"/>
      <c r="K25" s="319" t="s">
        <v>102</v>
      </c>
      <c r="L25" s="366"/>
      <c r="M25" s="320"/>
    </row>
    <row r="26" spans="2:13" ht="15">
      <c r="B26" s="61">
        <v>6</v>
      </c>
      <c r="C26" s="26">
        <f t="shared" si="3"/>
        <v>29.7</v>
      </c>
      <c r="D26" s="26">
        <f t="shared" si="5"/>
        <v>178.2</v>
      </c>
      <c r="E26" s="26">
        <f t="shared" si="4"/>
        <v>151.80000000000007</v>
      </c>
      <c r="G26" s="53">
        <v>1</v>
      </c>
      <c r="H26" s="53"/>
      <c r="I26" s="2">
        <f>C13+C21+H13+C36</f>
        <v>747</v>
      </c>
      <c r="K26" s="53">
        <v>1</v>
      </c>
      <c r="L26" s="53"/>
      <c r="M26" s="2">
        <f>D13+D21+I13+E36</f>
        <v>2379</v>
      </c>
    </row>
    <row r="27" spans="2:13" ht="15">
      <c r="B27" s="61">
        <v>7</v>
      </c>
      <c r="C27" s="26">
        <f t="shared" si="3"/>
        <v>29.7</v>
      </c>
      <c r="D27" s="26">
        <f t="shared" si="5"/>
        <v>207.89999999999998</v>
      </c>
      <c r="E27" s="26">
        <f t="shared" si="4"/>
        <v>122.10000000000007</v>
      </c>
      <c r="G27" s="61">
        <v>2</v>
      </c>
      <c r="H27" s="61"/>
      <c r="I27" s="26">
        <f>C14+C22+H14+C37</f>
        <v>747</v>
      </c>
      <c r="K27" s="61">
        <v>2</v>
      </c>
      <c r="L27" s="61"/>
      <c r="M27" s="26">
        <f>D14+D22+I14+D37</f>
        <v>1494</v>
      </c>
    </row>
    <row r="28" spans="2:13" ht="15">
      <c r="B28" s="61">
        <v>8</v>
      </c>
      <c r="C28" s="26">
        <f t="shared" si="3"/>
        <v>29.7</v>
      </c>
      <c r="D28" s="26">
        <f t="shared" si="5"/>
        <v>237.59999999999997</v>
      </c>
      <c r="E28" s="26">
        <f t="shared" si="4"/>
        <v>92.40000000000006</v>
      </c>
      <c r="G28" s="61">
        <v>3</v>
      </c>
      <c r="H28" s="61"/>
      <c r="I28" s="26">
        <f>C15+C23+H15+C38</f>
        <v>747</v>
      </c>
      <c r="K28" s="61">
        <v>3</v>
      </c>
      <c r="L28" s="61"/>
      <c r="M28" s="26">
        <f>D15+D23+I15+D38</f>
        <v>2241</v>
      </c>
    </row>
    <row r="29" spans="2:13" ht="15">
      <c r="B29" s="61">
        <v>9</v>
      </c>
      <c r="C29" s="26">
        <f t="shared" si="3"/>
        <v>29.7</v>
      </c>
      <c r="D29" s="26">
        <f t="shared" si="5"/>
        <v>267.29999999999995</v>
      </c>
      <c r="E29" s="26">
        <f t="shared" si="4"/>
        <v>62.70000000000006</v>
      </c>
      <c r="G29" s="61">
        <v>4</v>
      </c>
      <c r="H29" s="61"/>
      <c r="I29" s="26">
        <f>C24+H16+M13+C39</f>
        <v>747</v>
      </c>
      <c r="K29" s="61">
        <v>4</v>
      </c>
      <c r="L29" s="61"/>
      <c r="M29" s="26">
        <f>D24+I16+N13+D39</f>
        <v>2088</v>
      </c>
    </row>
    <row r="30" spans="2:13" ht="15.75" thickBot="1">
      <c r="B30" s="63">
        <v>10</v>
      </c>
      <c r="C30" s="26">
        <f t="shared" si="3"/>
        <v>29.7</v>
      </c>
      <c r="D30" s="31">
        <f t="shared" si="5"/>
        <v>296.99999999999994</v>
      </c>
      <c r="E30" s="31">
        <f t="shared" si="4"/>
        <v>33.00000000000006</v>
      </c>
      <c r="G30" s="63">
        <v>5</v>
      </c>
      <c r="H30" s="63"/>
      <c r="I30" s="31">
        <f>C25+H17+M14+C40</f>
        <v>747</v>
      </c>
      <c r="K30" s="63">
        <v>5</v>
      </c>
      <c r="L30" s="63"/>
      <c r="M30" s="31">
        <f>D25+I17+N14+D40</f>
        <v>2835</v>
      </c>
    </row>
    <row r="31" spans="2:5" ht="15.75" thickBot="1">
      <c r="B31" s="319" t="s">
        <v>100</v>
      </c>
      <c r="C31" s="366"/>
      <c r="D31" s="320"/>
      <c r="E31" s="145">
        <f>D5</f>
        <v>33</v>
      </c>
    </row>
    <row r="32" ht="15.75" thickBot="1"/>
    <row r="33" spans="2:9" ht="15.75" thickBot="1">
      <c r="B33" s="319" t="s">
        <v>95</v>
      </c>
      <c r="C33" s="366"/>
      <c r="D33" s="366"/>
      <c r="E33" s="320"/>
      <c r="G33" s="408" t="s">
        <v>150</v>
      </c>
      <c r="H33" s="409"/>
      <c r="I33" s="410"/>
    </row>
    <row r="34" spans="2:9" ht="15.75" thickBot="1">
      <c r="B34" s="90"/>
      <c r="C34" s="72" t="s">
        <v>97</v>
      </c>
      <c r="D34" s="72" t="s">
        <v>98</v>
      </c>
      <c r="E34" s="72" t="s">
        <v>99</v>
      </c>
      <c r="G34" s="79">
        <v>0</v>
      </c>
      <c r="H34" s="79"/>
      <c r="I34" s="53">
        <v>0</v>
      </c>
    </row>
    <row r="35" spans="2:9" ht="15">
      <c r="B35" s="53">
        <v>0</v>
      </c>
      <c r="C35" s="53"/>
      <c r="D35" s="53"/>
      <c r="E35" s="2">
        <f>C6</f>
        <v>2400</v>
      </c>
      <c r="G35" s="82">
        <v>1</v>
      </c>
      <c r="H35" s="82"/>
      <c r="I35" s="61">
        <v>0</v>
      </c>
    </row>
    <row r="36" spans="2:9" ht="15">
      <c r="B36" s="61">
        <v>1</v>
      </c>
      <c r="C36" s="26">
        <f>$G$6</f>
        <v>384</v>
      </c>
      <c r="D36" s="26">
        <f>C36</f>
        <v>384</v>
      </c>
      <c r="E36" s="26">
        <f>E35-C36</f>
        <v>2016</v>
      </c>
      <c r="G36" s="82">
        <v>2</v>
      </c>
      <c r="H36" s="82"/>
      <c r="I36" s="61">
        <v>0</v>
      </c>
    </row>
    <row r="37" spans="2:9" ht="15">
      <c r="B37" s="61">
        <v>2</v>
      </c>
      <c r="C37" s="26">
        <f>$G$6</f>
        <v>384</v>
      </c>
      <c r="D37" s="26">
        <f>D36+C37</f>
        <v>768</v>
      </c>
      <c r="E37" s="26">
        <f>E36-C37</f>
        <v>1632</v>
      </c>
      <c r="G37" s="82">
        <v>3</v>
      </c>
      <c r="H37" s="82"/>
      <c r="I37" s="61">
        <v>0</v>
      </c>
    </row>
    <row r="38" spans="2:9" ht="15">
      <c r="B38" s="61">
        <v>3</v>
      </c>
      <c r="C38" s="26">
        <f>$G$6</f>
        <v>384</v>
      </c>
      <c r="D38" s="26">
        <f>D37+C38</f>
        <v>1152</v>
      </c>
      <c r="E38" s="26">
        <f>E37-C38</f>
        <v>1248</v>
      </c>
      <c r="G38" s="82">
        <v>4</v>
      </c>
      <c r="H38" s="82"/>
      <c r="I38" s="61">
        <v>0</v>
      </c>
    </row>
    <row r="39" spans="2:9" ht="15.75" thickBot="1">
      <c r="B39" s="61">
        <v>4</v>
      </c>
      <c r="C39" s="26">
        <f>$G$6</f>
        <v>384</v>
      </c>
      <c r="D39" s="26">
        <f>D38+C39</f>
        <v>1536</v>
      </c>
      <c r="E39" s="26">
        <f>E38-C39</f>
        <v>864</v>
      </c>
      <c r="G39" s="87">
        <v>5</v>
      </c>
      <c r="H39" s="87"/>
      <c r="I39" s="31">
        <f>E25+E40+J17+O14</f>
        <v>1615</v>
      </c>
    </row>
    <row r="40" spans="2:5" ht="15.75" thickBot="1">
      <c r="B40" s="49">
        <v>5</v>
      </c>
      <c r="C40" s="141">
        <f>$G$6</f>
        <v>384</v>
      </c>
      <c r="D40" s="141">
        <f>D39+C40</f>
        <v>1920</v>
      </c>
      <c r="E40" s="141">
        <f>E39-C40</f>
        <v>480</v>
      </c>
    </row>
    <row r="41" spans="2:5" ht="15.75" thickBot="1">
      <c r="B41" s="319" t="s">
        <v>100</v>
      </c>
      <c r="C41" s="366"/>
      <c r="D41" s="320"/>
      <c r="E41" s="145">
        <f>D6</f>
        <v>480</v>
      </c>
    </row>
    <row r="42" spans="2:5" ht="15">
      <c r="B42" s="135"/>
      <c r="C42" s="209"/>
      <c r="D42" s="209"/>
      <c r="E42" s="209"/>
    </row>
    <row r="43" spans="2:5" ht="15">
      <c r="B43" s="135"/>
      <c r="C43" s="209"/>
      <c r="D43" s="209"/>
      <c r="E43" s="209"/>
    </row>
    <row r="44" spans="2:5" ht="15">
      <c r="B44" s="135"/>
      <c r="C44" s="209"/>
      <c r="D44" s="209"/>
      <c r="E44" s="209"/>
    </row>
    <row r="45" spans="2:5" ht="15">
      <c r="B45" s="135"/>
      <c r="C45" s="209"/>
      <c r="D45" s="209"/>
      <c r="E45" s="209"/>
    </row>
    <row r="46" spans="2:5" ht="15">
      <c r="B46" s="135"/>
      <c r="C46" s="209"/>
      <c r="D46" s="209"/>
      <c r="E46" s="209"/>
    </row>
    <row r="47" spans="2:5" ht="15">
      <c r="B47" s="135"/>
      <c r="C47" s="209"/>
      <c r="D47" s="209"/>
      <c r="E47" s="209"/>
    </row>
    <row r="48" spans="2:5" ht="15">
      <c r="B48" s="135"/>
      <c r="C48" s="209"/>
      <c r="D48" s="209"/>
      <c r="E48" s="209"/>
    </row>
    <row r="49" spans="2:5" ht="15">
      <c r="B49" s="135"/>
      <c r="C49" s="209"/>
      <c r="D49" s="209"/>
      <c r="E49" s="209"/>
    </row>
    <row r="50" spans="2:5" ht="15">
      <c r="B50" s="135"/>
      <c r="C50" s="209"/>
      <c r="D50" s="209"/>
      <c r="E50" s="209"/>
    </row>
    <row r="51" spans="2:5" ht="15">
      <c r="B51" s="135"/>
      <c r="C51" s="209"/>
      <c r="D51" s="209"/>
      <c r="E51" s="209"/>
    </row>
    <row r="52" spans="2:5" ht="15">
      <c r="B52" s="135"/>
      <c r="C52" s="209"/>
      <c r="D52" s="209"/>
      <c r="E52" s="209"/>
    </row>
    <row r="53" spans="2:5" ht="15">
      <c r="B53" s="135"/>
      <c r="C53" s="209"/>
      <c r="D53" s="209"/>
      <c r="E53" s="209"/>
    </row>
    <row r="54" spans="2:5" ht="15">
      <c r="B54" s="135"/>
      <c r="C54" s="209"/>
      <c r="D54" s="209"/>
      <c r="E54" s="209"/>
    </row>
    <row r="55" spans="2:5" ht="15">
      <c r="B55" s="135"/>
      <c r="C55" s="209"/>
      <c r="D55" s="209"/>
      <c r="E55" s="209"/>
    </row>
    <row r="56" spans="2:5" ht="15">
      <c r="B56" s="407"/>
      <c r="C56" s="407"/>
      <c r="D56" s="407"/>
      <c r="E56" s="210"/>
    </row>
  </sheetData>
  <sheetProtection/>
  <mergeCells count="15">
    <mergeCell ref="B56:D56"/>
    <mergeCell ref="B18:E18"/>
    <mergeCell ref="G23:I23"/>
    <mergeCell ref="G25:I25"/>
    <mergeCell ref="K25:M25"/>
    <mergeCell ref="B31:D31"/>
    <mergeCell ref="B33:E33"/>
    <mergeCell ref="B41:D41"/>
    <mergeCell ref="G33:I33"/>
    <mergeCell ref="A2:G2"/>
    <mergeCell ref="B10:E10"/>
    <mergeCell ref="G10:J10"/>
    <mergeCell ref="L10:O10"/>
    <mergeCell ref="B16:D16"/>
    <mergeCell ref="L16:N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F17"/>
  <sheetViews>
    <sheetView zoomScalePageLayoutView="0" workbookViewId="0" topLeftCell="A1">
      <selection activeCell="E12" sqref="E12"/>
    </sheetView>
  </sheetViews>
  <sheetFormatPr defaultColWidth="11.421875" defaultRowHeight="15"/>
  <cols>
    <col min="2" max="2" width="30.57421875" style="0" customWidth="1"/>
    <col min="5" max="5" width="33.57421875" style="0" customWidth="1"/>
  </cols>
  <sheetData>
    <row r="3" ht="15.75" thickBot="1"/>
    <row r="4" spans="2:6" ht="15.75" thickBot="1">
      <c r="B4" s="319" t="s">
        <v>103</v>
      </c>
      <c r="C4" s="320"/>
      <c r="D4" s="18"/>
      <c r="E4" s="319" t="s">
        <v>104</v>
      </c>
      <c r="F4" s="320"/>
    </row>
    <row r="5" spans="2:6" ht="15">
      <c r="B5" s="79" t="s">
        <v>105</v>
      </c>
      <c r="C5" s="53">
        <v>1</v>
      </c>
      <c r="D5" s="18"/>
      <c r="E5" s="53" t="s">
        <v>106</v>
      </c>
      <c r="F5" s="148">
        <f>C16</f>
        <v>13</v>
      </c>
    </row>
    <row r="6" spans="2:6" ht="15.75" thickBot="1">
      <c r="B6" s="87"/>
      <c r="C6" s="63"/>
      <c r="D6" s="18"/>
      <c r="E6" s="63" t="s">
        <v>107</v>
      </c>
      <c r="F6" s="45">
        <f>C7</f>
        <v>1</v>
      </c>
    </row>
    <row r="7" spans="2:6" ht="15.75" thickBot="1">
      <c r="B7" s="149" t="s">
        <v>15</v>
      </c>
      <c r="C7" s="8">
        <f>SUM(C5:C6)</f>
        <v>1</v>
      </c>
      <c r="D7" s="18"/>
      <c r="E7" s="3" t="s">
        <v>15</v>
      </c>
      <c r="F7" s="3">
        <f>SUM(F5:F6)</f>
        <v>14</v>
      </c>
    </row>
    <row r="8" spans="2:6" ht="15.75" thickBot="1">
      <c r="B8" s="18"/>
      <c r="C8" s="18"/>
      <c r="D8" s="18"/>
      <c r="E8" s="18"/>
      <c r="F8" s="18"/>
    </row>
    <row r="9" spans="2:6" ht="15.75" thickBot="1">
      <c r="B9" s="319" t="s">
        <v>108</v>
      </c>
      <c r="C9" s="320"/>
      <c r="D9" s="18"/>
      <c r="E9" s="18"/>
      <c r="F9" s="18"/>
    </row>
    <row r="10" spans="2:6" ht="15">
      <c r="B10" s="53" t="s">
        <v>28</v>
      </c>
      <c r="C10" s="53">
        <v>1</v>
      </c>
      <c r="D10" s="18"/>
      <c r="E10" s="18"/>
      <c r="F10" s="18"/>
    </row>
    <row r="11" spans="2:6" ht="15">
      <c r="B11" s="21" t="s">
        <v>34</v>
      </c>
      <c r="C11" s="61">
        <v>7</v>
      </c>
      <c r="D11" s="18"/>
      <c r="E11" s="18"/>
      <c r="F11" s="18"/>
    </row>
    <row r="12" spans="2:6" ht="15">
      <c r="B12" s="150" t="s">
        <v>109</v>
      </c>
      <c r="C12" s="62">
        <v>1</v>
      </c>
      <c r="D12" s="18"/>
      <c r="E12" s="18"/>
      <c r="F12" s="18"/>
    </row>
    <row r="13" spans="2:6" ht="15">
      <c r="B13" s="21" t="s">
        <v>32</v>
      </c>
      <c r="C13" s="61">
        <v>1</v>
      </c>
      <c r="D13" s="18"/>
      <c r="E13" s="18"/>
      <c r="F13" s="18"/>
    </row>
    <row r="14" spans="2:6" ht="15">
      <c r="B14" s="21" t="s">
        <v>35</v>
      </c>
      <c r="C14" s="61">
        <v>2</v>
      </c>
      <c r="D14" s="18"/>
      <c r="E14" s="18"/>
      <c r="F14" s="18"/>
    </row>
    <row r="15" spans="2:6" ht="15.75" thickBot="1">
      <c r="B15" s="151" t="s">
        <v>110</v>
      </c>
      <c r="C15" s="63">
        <v>1</v>
      </c>
      <c r="D15" s="18"/>
      <c r="E15" s="18"/>
      <c r="F15" s="18"/>
    </row>
    <row r="16" spans="2:6" ht="15.75" thickBot="1">
      <c r="B16" s="72" t="s">
        <v>15</v>
      </c>
      <c r="C16" s="33">
        <f>SUM(C10:C15)</f>
        <v>13</v>
      </c>
      <c r="D16" s="18"/>
      <c r="E16" s="18"/>
      <c r="F16" s="18"/>
    </row>
    <row r="17" spans="2:6" ht="15">
      <c r="B17" s="18"/>
      <c r="C17" s="18"/>
      <c r="D17" s="18"/>
      <c r="E17" s="18"/>
      <c r="F17" s="18"/>
    </row>
  </sheetData>
  <sheetProtection/>
  <mergeCells count="3">
    <mergeCell ref="B4:C4"/>
    <mergeCell ref="E4:F4"/>
    <mergeCell ref="B9:C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F24"/>
  <sheetViews>
    <sheetView zoomScalePageLayoutView="0" workbookViewId="0" topLeftCell="A1">
      <selection activeCell="A16" sqref="A16"/>
    </sheetView>
  </sheetViews>
  <sheetFormatPr defaultColWidth="11.421875" defaultRowHeight="15"/>
  <cols>
    <col min="1" max="1" width="11.421875" style="109" customWidth="1"/>
    <col min="2" max="2" width="25.00390625" style="109" customWidth="1"/>
    <col min="3" max="3" width="13.28125" style="297" bestFit="1" customWidth="1"/>
    <col min="4" max="4" width="12.00390625" style="109" bestFit="1" customWidth="1"/>
    <col min="5" max="5" width="28.7109375" style="109" customWidth="1"/>
    <col min="6" max="6" width="13.28125" style="109" customWidth="1"/>
    <col min="7" max="16384" width="11.421875" style="109" customWidth="1"/>
  </cols>
  <sheetData>
    <row r="3" spans="2:5" ht="15">
      <c r="B3" s="292" t="s">
        <v>190</v>
      </c>
      <c r="E3" s="292" t="s">
        <v>197</v>
      </c>
    </row>
    <row r="5" spans="2:6" ht="15.75">
      <c r="B5" s="302" t="s">
        <v>191</v>
      </c>
      <c r="C5" s="305"/>
      <c r="E5" s="297" t="s">
        <v>138</v>
      </c>
      <c r="F5" s="293">
        <f>Amortización!C3</f>
        <v>9446.7</v>
      </c>
    </row>
    <row r="6" spans="2:6" ht="15.75">
      <c r="B6" s="109" t="s">
        <v>82</v>
      </c>
      <c r="E6" s="302" t="s">
        <v>202</v>
      </c>
      <c r="F6" s="306">
        <f>F5</f>
        <v>9446.7</v>
      </c>
    </row>
    <row r="7" spans="2:6" ht="15.75">
      <c r="B7" s="109" t="s">
        <v>7</v>
      </c>
      <c r="C7" s="299">
        <f>Costos!D4</f>
        <v>340.8</v>
      </c>
      <c r="E7" s="302"/>
      <c r="F7" s="306"/>
    </row>
    <row r="8" spans="2:6" ht="15.75">
      <c r="B8" s="109" t="s">
        <v>206</v>
      </c>
      <c r="C8" s="299">
        <f>'Presupuesto de Inversión'!B37</f>
        <v>95275.5060418875</v>
      </c>
      <c r="E8" s="302"/>
      <c r="F8" s="306"/>
    </row>
    <row r="9" spans="2:3" ht="15.75">
      <c r="B9" s="302" t="s">
        <v>192</v>
      </c>
      <c r="C9" s="309">
        <f>SUM(C6:C8)</f>
        <v>95616.3060418875</v>
      </c>
    </row>
    <row r="10" ht="15">
      <c r="E10" s="292" t="s">
        <v>199</v>
      </c>
    </row>
    <row r="11" spans="2:3" ht="15.75">
      <c r="B11" s="302" t="s">
        <v>193</v>
      </c>
      <c r="C11" s="305"/>
    </row>
    <row r="12" spans="2:5" ht="15">
      <c r="B12" s="109" t="s">
        <v>196</v>
      </c>
      <c r="C12" s="298">
        <f>Costos!D6</f>
        <v>2400</v>
      </c>
      <c r="E12" s="292" t="s">
        <v>198</v>
      </c>
    </row>
    <row r="13" spans="2:6" ht="15">
      <c r="B13" s="109" t="s">
        <v>19</v>
      </c>
      <c r="C13" s="299">
        <f>Costos!F31</f>
        <v>330</v>
      </c>
      <c r="E13" s="297" t="s">
        <v>158</v>
      </c>
      <c r="F13" s="294">
        <f>Costos!E51</f>
        <v>9446.7</v>
      </c>
    </row>
    <row r="14" spans="2:6" ht="15">
      <c r="B14" s="109" t="s">
        <v>71</v>
      </c>
      <c r="C14" s="299">
        <f>Costos!D3</f>
        <v>1350</v>
      </c>
      <c r="E14" s="297" t="s">
        <v>200</v>
      </c>
      <c r="F14" s="293">
        <v>0</v>
      </c>
    </row>
    <row r="15" spans="2:6" ht="15">
      <c r="B15" s="109" t="s">
        <v>20</v>
      </c>
      <c r="C15" s="299">
        <f>Costos!G31</f>
        <v>370</v>
      </c>
      <c r="E15" s="297" t="s">
        <v>201</v>
      </c>
      <c r="F15" s="293">
        <v>0</v>
      </c>
    </row>
    <row r="16" spans="2:6" ht="15.75">
      <c r="B16" s="303" t="s">
        <v>194</v>
      </c>
      <c r="C16" s="307">
        <f>SUM(C12:C15)</f>
        <v>4450</v>
      </c>
      <c r="E16" s="304" t="s">
        <v>203</v>
      </c>
      <c r="F16" s="306">
        <f>SUM(F13:F15)</f>
        <v>9446.7</v>
      </c>
    </row>
    <row r="18" spans="2:6" ht="15">
      <c r="B18" s="292" t="s">
        <v>195</v>
      </c>
      <c r="C18" s="308">
        <f>C9+C16</f>
        <v>100066.3060418875</v>
      </c>
      <c r="E18" s="292" t="s">
        <v>204</v>
      </c>
      <c r="F18" s="301">
        <f>F6+F16</f>
        <v>18893.4</v>
      </c>
    </row>
    <row r="21" ht="15">
      <c r="C21" s="299">
        <f>F18-C18</f>
        <v>-81172.9060418875</v>
      </c>
    </row>
    <row r="23" spans="3:4" ht="15">
      <c r="C23" s="298"/>
      <c r="D23" s="294"/>
    </row>
    <row r="24" spans="3:4" ht="15">
      <c r="C24" s="299"/>
      <c r="D24" s="29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Lodavel</dc:creator>
  <cp:keywords/>
  <dc:description/>
  <cp:lastModifiedBy>Lodavel</cp:lastModifiedBy>
  <dcterms:created xsi:type="dcterms:W3CDTF">2009-03-02T14:51:48Z</dcterms:created>
  <dcterms:modified xsi:type="dcterms:W3CDTF">2009-04-16T17:31:30Z</dcterms:modified>
  <cp:category/>
  <cp:version/>
  <cp:contentType/>
  <cp:contentStatus/>
</cp:coreProperties>
</file>