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<sst xmlns="http://schemas.openxmlformats.org/spreadsheetml/2006/main" count="313" uniqueCount="208">
  <si>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</si>
  <si>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</si>
  <si>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</si>
  <si>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</si>
  <si>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</si>
  <si>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</si>
  <si>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</si>
  <si>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</si>
  <si>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</si>
  <si>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</si>
  <si>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</si>
  <si>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</si>
  <si>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</si>
  <si>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</si>
  <si>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</si>
  <si>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</si>
  <si>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</si>
  <si>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</si>
  <si>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</si>
  <si>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</si>
  <si>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</si>
  <si>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</si>
  <si>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</si>
  <si>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</si>
  <si>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</si>
  <si>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</si>
  <si>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</si>
  <si>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</si>
  <si>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</si>
  <si>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</si>
  <si>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</si>
  <si>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</si>
  <si>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</si>
  <si>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</si>
  <si>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</si>
  <si>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</si>
  <si>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</si>
  <si>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</si>
  <si>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</si>
  <si>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</si>
  <si>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</si>
  <si>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</si>
  <si>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</si>
  <si>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</si>
  <si>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</si>
  <si>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</si>
  <si>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</si>
  <si>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</si>
  <si>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</si>
  <si>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</si>
  <si>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</si>
  <si>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</si>
  <si>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</si>
  <si>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</si>
  <si>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</si>
  <si>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</si>
  <si>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</si>
  <si>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</si>
  <si>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</si>
  <si>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</si>
  <si>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</si>
  <si>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</si>
  <si>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</si>
  <si>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</si>
  <si>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</si>
  <si>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</si>
  <si>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</si>
  <si>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</si>
  <si>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</si>
  <si>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</si>
  <si>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</si>
  <si>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</si>
  <si>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</si>
  <si>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</si>
  <si>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</si>
  <si>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</si>
  <si>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</si>
  <si>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</si>
  <si>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</si>
  <si>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</si>
  <si>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</si>
  <si>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</si>
  <si>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</si>
  <si>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</si>
  <si>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</si>
  <si>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</si>
  <si>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</si>
  <si>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</si>
  <si>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</si>
  <si>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</si>
  <si>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</si>
  <si>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</si>
  <si>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</si>
  <si>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</si>
  <si>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</si>
  <si>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</si>
  <si>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</si>
  <si>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</si>
  <si>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</si>
  <si>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</si>
  <si>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</si>
  <si>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</si>
  <si>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</si>
  <si>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</si>
  <si>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</si>
  <si>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</si>
  <si>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</si>
  <si>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</si>
  <si>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</si>
  <si>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</si>
  <si>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</si>
  <si>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</si>
  <si>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</si>
  <si>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</si>
  <si>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</si>
  <si>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</si>
  <si>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</si>
  <si>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</si>
  <si>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</si>
  <si>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</si>
  <si>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</si>
  <si>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</si>
  <si>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</si>
  <si>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</si>
  <si>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</si>
  <si>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</si>
  <si>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</si>
  <si>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</si>
  <si>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</si>
  <si>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</si>
  <si>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</si>
  <si>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</si>
  <si>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</si>
  <si>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</si>
  <si>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</si>
  <si>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</si>
  <si>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</si>
  <si>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</si>
  <si>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</si>
  <si>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</si>
  <si>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</si>
  <si>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</si>
  <si>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</si>
  <si>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</si>
  <si>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</si>
  <si>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</si>
  <si>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</si>
  <si>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</si>
  <si>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</si>
  <si>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</si>
  <si>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</si>
  <si>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</si>
  <si>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</si>
  <si>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</si>
  <si>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</si>
  <si>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</si>
  <si>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</si>
  <si>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</si>
  <si>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</si>
  <si>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</si>
  <si>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</si>
  <si>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</si>
  <si>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</si>
  <si>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</si>
  <si>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</si>
  <si>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</si>
  <si>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</si>
  <si>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</si>
  <si>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</si>
  <si>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</si>
  <si>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</si>
  <si>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</si>
  <si>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</si>
  <si>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</si>
  <si>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</si>
  <si>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</si>
  <si>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</si>
  <si>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</si>
  <si>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</si>
  <si>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</si>
  <si>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</si>
  <si>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</si>
  <si>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</si>
  <si>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</si>
  <si>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</si>
  <si>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</si>
  <si>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</si>
  <si>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</si>
  <si>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</si>
  <si>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</si>
  <si>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</si>
  <si>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</si>
  <si>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</si>
  <si>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</si>
  <si>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</si>
  <si>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</si>
  <si>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</si>
  <si>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</si>
  <si>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</si>
  <si>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</si>
  <si>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</si>
  <si>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</si>
  <si>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</si>
  <si>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</si>
  <si>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</si>
  <si>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</si>
  <si>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</si>
  <si>
    <t>PRECIO DE COSTO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</si>
</sst>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14" borderId="4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14" borderId="44" xfId="0" applyFont="1" applyFill="1" applyBorder="1" applyAlignment="1">
      <alignment horizontal="left"/>
    </xf>
    <xf numFmtId="0" fontId="8" fillId="14" borderId="4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2" fillId="0" borderId="48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49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</c:scaling>
        <c:axPos val="l"/>
        <c:delete val="1"/>
        <c:majorTickMark val="out"/>
        <c:minorTickMark val="none"/>
        <c:tickLblPos val="nextTo"/>
        <c:crossAx val="834870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F1">
      <selection activeCell="K9" sqref="K9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39"/>
      <c r="F1" s="324" t="s">
        <v>25</v>
      </c>
      <c r="G1" s="325"/>
      <c r="H1" s="325"/>
      <c r="I1" s="339"/>
      <c r="K1" s="324" t="s">
        <v>31</v>
      </c>
      <c r="L1" s="325"/>
      <c r="M1" s="325"/>
      <c r="N1" s="339"/>
    </row>
    <row r="2" spans="2:14" ht="15.75" thickBot="1">
      <c r="B2" s="324" t="s">
        <v>1</v>
      </c>
      <c r="C2" s="339"/>
      <c r="D2" s="30" t="s">
        <v>2</v>
      </c>
      <c r="F2" s="356" t="s">
        <v>26</v>
      </c>
      <c r="G2" s="325"/>
      <c r="H2" s="325"/>
      <c r="I2" s="339"/>
      <c r="K2" s="46"/>
      <c r="L2" s="47"/>
      <c r="M2" s="70" t="s">
        <v>27</v>
      </c>
      <c r="N2" s="70" t="s">
        <v>2</v>
      </c>
    </row>
    <row r="3" spans="2:14" ht="15.75" thickBot="1">
      <c r="B3" s="346" t="s">
        <v>165</v>
      </c>
      <c r="C3" s="347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48" t="s">
        <v>3</v>
      </c>
      <c r="C4" s="349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48" t="s">
        <v>4</v>
      </c>
      <c r="C5" s="349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29" t="s">
        <v>5</v>
      </c>
      <c r="C6" s="330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52" t="s">
        <v>6</v>
      </c>
      <c r="C7" s="353"/>
      <c r="D7" s="1">
        <f>SUM(D3:D6)</f>
        <v>4790.8</v>
      </c>
      <c r="F7" s="350" t="s">
        <v>30</v>
      </c>
      <c r="G7" s="351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54" t="s">
        <v>36</v>
      </c>
      <c r="L8" s="355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43" t="s">
        <v>7</v>
      </c>
      <c r="C10" s="344"/>
      <c r="D10" s="345"/>
      <c r="E10" s="13" t="s">
        <v>16</v>
      </c>
      <c r="F10" s="3" t="s">
        <v>2</v>
      </c>
      <c r="K10" s="340" t="s">
        <v>37</v>
      </c>
      <c r="L10" s="341"/>
      <c r="M10" s="341"/>
      <c r="N10" s="342"/>
    </row>
    <row r="11" spans="1:14" ht="15.75" thickBot="1">
      <c r="A11" s="228">
        <v>2</v>
      </c>
      <c r="B11" s="372" t="s">
        <v>8</v>
      </c>
      <c r="C11" s="373"/>
      <c r="D11" s="5">
        <v>3</v>
      </c>
      <c r="E11" s="15">
        <f>D11*A11</f>
        <v>6</v>
      </c>
      <c r="F11" s="2">
        <f aca="true" t="shared" si="0" ref="F11:F19">E11*12</f>
        <v>72</v>
      </c>
      <c r="K11" s="340"/>
      <c r="L11" s="342"/>
      <c r="M11" s="72" t="s">
        <v>27</v>
      </c>
      <c r="N11" s="73" t="s">
        <v>2</v>
      </c>
    </row>
    <row r="12" spans="1:14" ht="15">
      <c r="A12" s="229">
        <v>12</v>
      </c>
      <c r="B12" s="378" t="s">
        <v>9</v>
      </c>
      <c r="C12" s="379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62" t="s">
        <v>38</v>
      </c>
      <c r="L12" s="363"/>
      <c r="M12" s="40">
        <v>15</v>
      </c>
      <c r="N12" s="2">
        <f>M12*12</f>
        <v>180</v>
      </c>
    </row>
    <row r="13" spans="1:14" ht="15">
      <c r="A13" s="229">
        <v>12</v>
      </c>
      <c r="B13" s="378" t="s">
        <v>10</v>
      </c>
      <c r="C13" s="379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35" t="s">
        <v>39</v>
      </c>
      <c r="L13" s="336"/>
      <c r="M13" s="38">
        <v>50</v>
      </c>
      <c r="N13" s="26">
        <f>M13*12</f>
        <v>600</v>
      </c>
    </row>
    <row r="14" spans="1:14" ht="15.75" thickBot="1">
      <c r="A14" s="229">
        <v>2</v>
      </c>
      <c r="B14" s="380" t="s">
        <v>11</v>
      </c>
      <c r="C14" s="381"/>
      <c r="D14" s="6">
        <v>0.5</v>
      </c>
      <c r="E14" s="16">
        <f t="shared" si="1"/>
        <v>1</v>
      </c>
      <c r="F14" s="7">
        <f t="shared" si="0"/>
        <v>12</v>
      </c>
      <c r="K14" s="364" t="s">
        <v>40</v>
      </c>
      <c r="L14" s="365"/>
      <c r="M14" s="44">
        <v>50</v>
      </c>
      <c r="N14" s="31">
        <f>M14*12</f>
        <v>600</v>
      </c>
    </row>
    <row r="15" spans="1:14" ht="15.75" thickBot="1">
      <c r="A15" s="229">
        <v>2</v>
      </c>
      <c r="B15" s="378" t="s">
        <v>12</v>
      </c>
      <c r="C15" s="379"/>
      <c r="D15" s="6">
        <v>1.8</v>
      </c>
      <c r="E15" s="16">
        <f t="shared" si="1"/>
        <v>3.6</v>
      </c>
      <c r="F15" s="7">
        <f>E15*6</f>
        <v>21.6</v>
      </c>
      <c r="K15" s="350" t="s">
        <v>15</v>
      </c>
      <c r="L15" s="351"/>
      <c r="M15" s="74">
        <f>SUM(M12:M14)</f>
        <v>115</v>
      </c>
      <c r="N15" s="11">
        <f>SUM(N12:N14)</f>
        <v>1380</v>
      </c>
    </row>
    <row r="16" spans="1:6" ht="15">
      <c r="A16" s="229"/>
      <c r="B16" s="383"/>
      <c r="C16" s="383"/>
      <c r="D16" s="6"/>
      <c r="E16" s="16"/>
      <c r="F16" s="7"/>
    </row>
    <row r="17" spans="1:15" ht="15.75" thickBot="1">
      <c r="A17" s="229">
        <v>2</v>
      </c>
      <c r="B17" s="384" t="s">
        <v>13</v>
      </c>
      <c r="C17" s="385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82"/>
      <c r="C18" s="382"/>
      <c r="D18" s="6"/>
      <c r="E18" s="16"/>
      <c r="F18" s="7"/>
      <c r="I18" s="357" t="s">
        <v>41</v>
      </c>
      <c r="J18" s="358"/>
      <c r="K18" s="358"/>
      <c r="L18" s="358"/>
      <c r="M18" s="358"/>
      <c r="N18" s="358"/>
      <c r="O18" s="359"/>
    </row>
    <row r="19" spans="1:15" ht="15.75" thickBot="1">
      <c r="A19" s="230"/>
      <c r="B19" s="329" t="s">
        <v>14</v>
      </c>
      <c r="C19" s="374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50" t="s">
        <v>15</v>
      </c>
      <c r="B20" s="375"/>
      <c r="C20" s="351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26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76"/>
      <c r="C23" s="377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27"/>
      <c r="C24" s="328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18" t="s">
        <v>40</v>
      </c>
      <c r="C25" s="319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66" t="s">
        <v>21</v>
      </c>
      <c r="C26" s="367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89" t="s">
        <v>205</v>
      </c>
      <c r="C27" s="390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68" t="s">
        <v>22</v>
      </c>
      <c r="C28" s="369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70" t="s">
        <v>23</v>
      </c>
      <c r="C29" s="371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29" t="s">
        <v>24</v>
      </c>
      <c r="C30" s="330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86" t="s">
        <v>15</v>
      </c>
      <c r="B31" s="387"/>
      <c r="C31" s="388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39"/>
      <c r="E33" s="108"/>
    </row>
    <row r="34" spans="2:5" ht="15">
      <c r="B34" s="360" t="s">
        <v>47</v>
      </c>
      <c r="C34" s="361"/>
      <c r="D34" s="36">
        <f>N8</f>
        <v>13080</v>
      </c>
      <c r="E34" s="109"/>
    </row>
    <row r="35" spans="2:5" ht="15">
      <c r="B35" s="335" t="s">
        <v>61</v>
      </c>
      <c r="C35" s="336"/>
      <c r="D35" s="64">
        <f>I7</f>
        <v>6720</v>
      </c>
      <c r="E35" s="109"/>
    </row>
    <row r="36" spans="2:9" ht="15">
      <c r="B36" s="335" t="s">
        <v>62</v>
      </c>
      <c r="C36" s="336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35" t="s">
        <v>51</v>
      </c>
      <c r="C37" s="336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7" t="s">
        <v>184</v>
      </c>
      <c r="C38" s="338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7"/>
      <c r="C39" s="338"/>
      <c r="D39" s="65"/>
      <c r="E39" s="109"/>
      <c r="F39" s="273"/>
      <c r="G39" s="274"/>
      <c r="H39" s="115"/>
      <c r="I39" s="18"/>
    </row>
    <row r="40" spans="2:5" ht="15">
      <c r="B40" s="337" t="s">
        <v>56</v>
      </c>
      <c r="C40" s="338"/>
      <c r="D40" s="65">
        <f>218*12</f>
        <v>2616</v>
      </c>
      <c r="E40" s="109"/>
    </row>
    <row r="41" spans="2:5" ht="15.75" thickBot="1">
      <c r="B41" s="329" t="s">
        <v>185</v>
      </c>
      <c r="C41" s="330"/>
      <c r="D41" s="110">
        <f>N15</f>
        <v>1380</v>
      </c>
      <c r="E41" s="109"/>
    </row>
    <row r="42" spans="2:9" ht="15.75" thickBot="1">
      <c r="B42" s="350" t="s">
        <v>63</v>
      </c>
      <c r="C42" s="351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39"/>
    </row>
    <row r="43" spans="7:9" ht="15">
      <c r="G43" s="360" t="s">
        <v>71</v>
      </c>
      <c r="H43" s="361"/>
      <c r="I43" s="123">
        <f>D3</f>
        <v>1350</v>
      </c>
    </row>
    <row r="44" spans="2:9" ht="15">
      <c r="B44" s="333">
        <f>D42+I46</f>
        <v>30686.8</v>
      </c>
      <c r="C44" s="334"/>
      <c r="D44" s="290" t="s">
        <v>186</v>
      </c>
      <c r="E44" s="256"/>
      <c r="G44" s="335" t="s">
        <v>18</v>
      </c>
      <c r="H44" s="336"/>
      <c r="I44" s="124">
        <f>D5</f>
        <v>700</v>
      </c>
    </row>
    <row r="45" spans="2:9" ht="15.75" thickBot="1">
      <c r="B45" s="392">
        <f>B44/'Presupuesto de Inversión'!B29</f>
        <v>0.9305555612413607</v>
      </c>
      <c r="C45" s="393"/>
      <c r="D45" s="257" t="s">
        <v>187</v>
      </c>
      <c r="E45" s="258"/>
      <c r="G45" s="335" t="s">
        <v>5</v>
      </c>
      <c r="H45" s="336"/>
      <c r="I45" s="124">
        <f>D6</f>
        <v>2400</v>
      </c>
    </row>
    <row r="46" spans="2:9" ht="15.75" thickBot="1">
      <c r="B46" s="393"/>
      <c r="C46" s="393"/>
      <c r="D46" s="258"/>
      <c r="E46" s="259"/>
      <c r="G46" s="350" t="s">
        <v>70</v>
      </c>
      <c r="H46" s="351"/>
      <c r="I46" s="112">
        <f>SUM(I43:I45)</f>
        <v>4450</v>
      </c>
    </row>
    <row r="47" spans="2:9" ht="15.75" thickBot="1">
      <c r="B47" s="394"/>
      <c r="C47" s="394"/>
      <c r="D47" s="257"/>
      <c r="E47" s="259"/>
      <c r="G47" s="391"/>
      <c r="H47" s="391"/>
      <c r="I47" s="125"/>
    </row>
    <row r="48" spans="7:10" ht="15.75" thickBot="1">
      <c r="G48" s="343" t="s">
        <v>83</v>
      </c>
      <c r="H48" s="345"/>
      <c r="I48" s="114"/>
      <c r="J48" s="114"/>
    </row>
    <row r="49" spans="2:10" ht="15.75" thickBot="1">
      <c r="B49" s="314" t="s">
        <v>80</v>
      </c>
      <c r="C49" s="315"/>
      <c r="D49" s="128">
        <f>D50+D51</f>
        <v>18893.4</v>
      </c>
      <c r="F49" s="109"/>
      <c r="G49" s="316" t="s">
        <v>84</v>
      </c>
      <c r="H49" s="317"/>
      <c r="I49" s="133"/>
      <c r="J49" s="64">
        <v>325</v>
      </c>
    </row>
    <row r="50" spans="2:10" ht="15.75" thickBot="1">
      <c r="B50" s="331" t="s">
        <v>142</v>
      </c>
      <c r="C50" s="332"/>
      <c r="D50" s="129">
        <f>I46+J52</f>
        <v>5775</v>
      </c>
      <c r="F50" s="130"/>
      <c r="G50" s="318" t="s">
        <v>85</v>
      </c>
      <c r="H50" s="319"/>
      <c r="I50" s="133"/>
      <c r="J50" s="64">
        <v>1000</v>
      </c>
    </row>
    <row r="51" spans="2:10" ht="15.75" thickBot="1">
      <c r="B51" s="314" t="s">
        <v>81</v>
      </c>
      <c r="C51" s="315"/>
      <c r="D51" s="131">
        <f>'Presup de Gastos'!D28</f>
        <v>13118.400000000001</v>
      </c>
      <c r="E51" s="300">
        <f>D49*50%</f>
        <v>9446.7</v>
      </c>
      <c r="F51" s="18" t="s">
        <v>158</v>
      </c>
      <c r="G51" s="320"/>
      <c r="H51" s="321"/>
      <c r="I51" s="113"/>
      <c r="J51" s="65"/>
    </row>
    <row r="52" spans="2:10" ht="15.75" thickBot="1">
      <c r="B52" s="314" t="s">
        <v>82</v>
      </c>
      <c r="C52" s="315"/>
      <c r="D52" s="132">
        <v>11000</v>
      </c>
      <c r="E52" s="300">
        <f>D49*50%</f>
        <v>9446.7</v>
      </c>
      <c r="F52" s="18" t="s">
        <v>159</v>
      </c>
      <c r="G52" s="322" t="s">
        <v>86</v>
      </c>
      <c r="H52" s="323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G45:H45"/>
    <mergeCell ref="G47:H47"/>
    <mergeCell ref="G48:H48"/>
    <mergeCell ref="G46:H46"/>
    <mergeCell ref="B45:C45"/>
    <mergeCell ref="B46:C46"/>
    <mergeCell ref="B47:C47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B51:C51"/>
    <mergeCell ref="B52:C52"/>
    <mergeCell ref="B49:C49"/>
    <mergeCell ref="G49:H49"/>
    <mergeCell ref="G50:H50"/>
    <mergeCell ref="G51:H51"/>
    <mergeCell ref="G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2" spans="2:7" ht="15.75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50" t="s">
        <v>45</v>
      </c>
      <c r="C3" s="375"/>
      <c r="D3" s="375"/>
      <c r="E3" s="375"/>
      <c r="F3" s="375"/>
      <c r="G3" s="351"/>
    </row>
    <row r="4" spans="2:7" ht="15.75" thickBot="1">
      <c r="B4" s="340"/>
      <c r="C4" s="341"/>
      <c r="D4" s="341"/>
      <c r="E4" s="341"/>
      <c r="F4" s="341"/>
      <c r="G4" s="34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A22" sqref="A22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178075.0413</v>
      </c>
      <c r="C4" s="158">
        <f>'Presupuesto de Inversión'!C28</f>
        <v>187576.30413263998</v>
      </c>
      <c r="D4" s="158">
        <f>'Presupuesto de Inversión'!D28</f>
        <v>195048.87514852404</v>
      </c>
      <c r="E4" s="158">
        <f>'Presupuesto de Inversión'!E28</f>
        <v>202819.13471225335</v>
      </c>
      <c r="F4" s="158">
        <f>'Presupuesto de Inversión'!F28</f>
        <v>210898.9419913527</v>
      </c>
    </row>
    <row r="5" spans="1:6" ht="15.75" thickBot="1">
      <c r="A5" s="159" t="s">
        <v>114</v>
      </c>
      <c r="B5" s="160">
        <f>'Presupuesto de Inversión'!B34</f>
        <v>99812.43490102499</v>
      </c>
      <c r="C5" s="160">
        <f>'Presupuesto de Inversión'!C34</f>
        <v>103788.71277639458</v>
      </c>
      <c r="D5" s="160">
        <f>'Presupuesto de Inversión'!D34</f>
        <v>107923.39562162418</v>
      </c>
      <c r="E5" s="160">
        <f>'Presupuesto de Inversión'!E34</f>
        <v>112222.79389470063</v>
      </c>
      <c r="F5" s="160">
        <f>'Presupuesto de Inversión'!F34</f>
        <v>116693.46944648077</v>
      </c>
    </row>
    <row r="6" spans="1:6" ht="15.75" thickBot="1">
      <c r="A6" s="161" t="s">
        <v>115</v>
      </c>
      <c r="B6" s="162">
        <f>B4-B5</f>
        <v>78262.60639897503</v>
      </c>
      <c r="C6" s="162">
        <f>C4-C5</f>
        <v>83787.59135624541</v>
      </c>
      <c r="D6" s="162">
        <f>D4-D5</f>
        <v>87125.47952689986</v>
      </c>
      <c r="E6" s="162">
        <f>E4-E5</f>
        <v>90596.34081755271</v>
      </c>
      <c r="F6" s="162">
        <f>F4-F5</f>
        <v>94205.47254487194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45708.30164838845</v>
      </c>
      <c r="C30" s="162">
        <f>C6-C24-C25-C26-C27</f>
        <v>50524.89300565884</v>
      </c>
      <c r="D30" s="162">
        <f>D6-D24-D25-D26-D27</f>
        <v>58705.76569969986</v>
      </c>
      <c r="E30" s="162">
        <f>E6-E24-E25-E26-E27</f>
        <v>61429.46371701833</v>
      </c>
      <c r="F30" s="162">
        <f>F6-F24-F25-F26-F27</f>
        <v>64271.258762623125</v>
      </c>
    </row>
    <row r="31" spans="1:6" ht="15.75" thickBot="1">
      <c r="A31" s="163" t="s">
        <v>127</v>
      </c>
      <c r="B31" s="174">
        <f>B30*15%</f>
        <v>6856.245247258267</v>
      </c>
      <c r="C31" s="174">
        <f>C30*15%</f>
        <v>7578.733950848826</v>
      </c>
      <c r="D31" s="174">
        <f>D30*15%</f>
        <v>8805.86485495498</v>
      </c>
      <c r="E31" s="174">
        <f>E30*15%</f>
        <v>9214.419557552748</v>
      </c>
      <c r="F31" s="174">
        <f>F30*15%</f>
        <v>9640.688814393468</v>
      </c>
    </row>
    <row r="32" spans="1:6" ht="15.75" thickBot="1">
      <c r="A32" s="161" t="s">
        <v>128</v>
      </c>
      <c r="B32" s="162">
        <f>B30-B31</f>
        <v>38852.05640113018</v>
      </c>
      <c r="C32" s="162">
        <f>C30-C31</f>
        <v>42946.15905481002</v>
      </c>
      <c r="D32" s="162">
        <f>D30-D31</f>
        <v>49899.90084474489</v>
      </c>
      <c r="E32" s="162">
        <f>E30-E31</f>
        <v>52215.04415946558</v>
      </c>
      <c r="F32" s="162">
        <f>F30-F31</f>
        <v>54630.569948229655</v>
      </c>
    </row>
    <row r="33" spans="1:6" ht="15.75" thickBot="1">
      <c r="A33" s="163" t="s">
        <v>129</v>
      </c>
      <c r="B33" s="174">
        <f>B32*25%</f>
        <v>9713.014100282546</v>
      </c>
      <c r="C33" s="174">
        <f>C32*25%</f>
        <v>10736.539763702505</v>
      </c>
      <c r="D33" s="174">
        <f>D32*25%</f>
        <v>12474.975211186222</v>
      </c>
      <c r="E33" s="174">
        <f>E32*25%</f>
        <v>13053.761039866395</v>
      </c>
      <c r="F33" s="174">
        <f>F32*25%</f>
        <v>13657.642487057414</v>
      </c>
    </row>
    <row r="34" spans="1:6" ht="15.75" thickBot="1">
      <c r="A34" s="161" t="s">
        <v>130</v>
      </c>
      <c r="B34" s="162">
        <f>B32-B33</f>
        <v>29139.042300847635</v>
      </c>
      <c r="C34" s="162">
        <f>C32-C33</f>
        <v>32209.619291107516</v>
      </c>
      <c r="D34" s="162">
        <f>D32-D33</f>
        <v>37424.92563355867</v>
      </c>
      <c r="E34" s="162">
        <f>E32-E33</f>
        <v>39161.28311959918</v>
      </c>
      <c r="F34" s="162">
        <f>F32-F33</f>
        <v>40972.92746117224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29139.042300847635</v>
      </c>
      <c r="C38" s="178">
        <f>C34</f>
        <v>32209.619291107516</v>
      </c>
      <c r="D38" s="178">
        <f>D34</f>
        <v>37424.92563355867</v>
      </c>
      <c r="E38" s="178">
        <f>E34</f>
        <v>39161.28311959918</v>
      </c>
      <c r="F38" s="178">
        <f>F34</f>
        <v>40972.92746117224</v>
      </c>
    </row>
    <row r="39" spans="1:6" ht="15.75" thickBot="1">
      <c r="A39" s="179" t="s">
        <v>131</v>
      </c>
      <c r="B39" s="11">
        <f>C38-B38</f>
        <v>3070.5769902598804</v>
      </c>
      <c r="C39" s="11">
        <f>D38-C38</f>
        <v>5215.306342451153</v>
      </c>
      <c r="D39" s="11">
        <f>E38-D38</f>
        <v>1736.3574860405133</v>
      </c>
      <c r="E39" s="11">
        <f>F38-E38</f>
        <v>1811.644341573061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C22" sqref="C22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</f>
        <v>5.4</v>
      </c>
      <c r="D17" s="252">
        <f>$C$17*(1+$G$8)</f>
        <v>5.5458</v>
      </c>
      <c r="E17" s="252">
        <f>D17*(1+$G$8)</f>
        <v>5.6955366</v>
      </c>
      <c r="F17" s="252">
        <f>E17*(1+$G$8)</f>
        <v>5.849316088199999</v>
      </c>
      <c r="G17" s="252">
        <f>F17*(1+$G$8)</f>
        <v>6.007247622581398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D7*(1+10%)</f>
        <v>2.8826111173654967</v>
      </c>
      <c r="D22" s="252">
        <f>C22*(1+$G$8)</f>
        <v>2.960441617534365</v>
      </c>
      <c r="E22" s="252">
        <f>D22*(1+$G$8)</f>
        <v>3.0403735412077926</v>
      </c>
      <c r="F22" s="252">
        <f>E22*(1+$G$8)</f>
        <v>3.122463626820403</v>
      </c>
      <c r="G22" s="252">
        <f>F22*(1+$G$8)</f>
        <v>3.2067701447445534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178075.0413</v>
      </c>
      <c r="C28" s="243">
        <f>(C29*(1+$G$9))*D17</f>
        <v>187576.30413263998</v>
      </c>
      <c r="D28" s="243">
        <f>(D29*(1+$G$9))*E17</f>
        <v>195048.87514852404</v>
      </c>
      <c r="E28" s="243">
        <f>(E29*(1+$G$9))*F17</f>
        <v>202819.13471225335</v>
      </c>
      <c r="F28" s="243">
        <f>(F29*(1+$G$9))*G17</f>
        <v>210898.9419913527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99812.43490102499</v>
      </c>
      <c r="C34" s="243">
        <f>C36*D22</f>
        <v>103788.71277639458</v>
      </c>
      <c r="D34" s="243">
        <f>D36*E22</f>
        <v>107923.39562162418</v>
      </c>
      <c r="E34" s="243">
        <f>E36*F22</f>
        <v>112222.79389470063</v>
      </c>
      <c r="F34" s="243">
        <f>F36*G22</f>
        <v>116693.46944648077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99812.43490102499</v>
      </c>
      <c r="C37" s="312">
        <f>C36*D22</f>
        <v>103788.71277639458</v>
      </c>
      <c r="D37" s="312">
        <f>D36*E22</f>
        <v>107923.39562162418</v>
      </c>
      <c r="E37" s="312">
        <f>E36*F22</f>
        <v>112222.79389470063</v>
      </c>
      <c r="F37" s="312">
        <f>F36*G22</f>
        <v>116693.46944648077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6">
      <selection activeCell="A73" sqref="A73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178075.0413</v>
      </c>
      <c r="D6" s="249">
        <f>'Estado de Resultados'!C4</f>
        <v>187576.30413263998</v>
      </c>
      <c r="E6" s="249">
        <f>'Estado de Resultados'!D4</f>
        <v>195048.87514852404</v>
      </c>
      <c r="F6" s="249">
        <f>'Estado de Resultados'!E4</f>
        <v>202819.13471225335</v>
      </c>
      <c r="G6" s="249">
        <f>'Estado de Resultados'!F4</f>
        <v>210898.9419913527</v>
      </c>
      <c r="H6" s="119"/>
    </row>
    <row r="7" spans="1:8" ht="15.75" thickBot="1">
      <c r="A7" s="163" t="s">
        <v>114</v>
      </c>
      <c r="B7" s="163"/>
      <c r="C7" s="174">
        <f>'Estado de Resultados'!B5</f>
        <v>99812.43490102499</v>
      </c>
      <c r="D7" s="174">
        <f>'Estado de Resultados'!C5</f>
        <v>103788.71277639458</v>
      </c>
      <c r="E7" s="174">
        <f>'Estado de Resultados'!D5</f>
        <v>107923.39562162418</v>
      </c>
      <c r="F7" s="174">
        <f>'Estado de Resultados'!E5</f>
        <v>112222.79389470063</v>
      </c>
      <c r="G7" s="174">
        <f>'Estado de Resultados'!F5</f>
        <v>116693.46944648077</v>
      </c>
      <c r="H7" s="119"/>
    </row>
    <row r="8" spans="1:8" ht="15.75" thickBot="1">
      <c r="A8" s="155" t="s">
        <v>157</v>
      </c>
      <c r="B8" s="161"/>
      <c r="C8" s="162">
        <f>C6-C7</f>
        <v>78262.60639897503</v>
      </c>
      <c r="D8" s="162">
        <f>D6-D7</f>
        <v>83787.59135624541</v>
      </c>
      <c r="E8" s="162">
        <f>E6-E7</f>
        <v>87125.47952689986</v>
      </c>
      <c r="F8" s="162">
        <f>F6-F7</f>
        <v>90596.34081755271</v>
      </c>
      <c r="G8" s="162">
        <f>G6-G7</f>
        <v>94205.47254487194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50169.76381897503</v>
      </c>
      <c r="D37" s="162">
        <f>D8-D36</f>
        <v>55510.13083507227</v>
      </c>
      <c r="E37" s="162">
        <f>E8-E36</f>
        <v>58705.76569969986</v>
      </c>
      <c r="F37" s="162">
        <f>F8-F36</f>
        <v>61429.46371701833</v>
      </c>
      <c r="G37" s="162">
        <f>G8-G36</f>
        <v>64271.258762623125</v>
      </c>
      <c r="H37" s="119"/>
    </row>
    <row r="38" spans="1:8" ht="15.75" thickBot="1">
      <c r="A38" s="163" t="s">
        <v>127</v>
      </c>
      <c r="B38" s="163"/>
      <c r="C38" s="174">
        <f>C37*15%</f>
        <v>7525.464572846254</v>
      </c>
      <c r="D38" s="174">
        <f>D37*15%</f>
        <v>8326.51962526084</v>
      </c>
      <c r="E38" s="174">
        <f>E37*15%</f>
        <v>8805.86485495498</v>
      </c>
      <c r="F38" s="174">
        <f>F37*15%</f>
        <v>9214.419557552748</v>
      </c>
      <c r="G38" s="174">
        <f>G37*15%</f>
        <v>9640.688814393468</v>
      </c>
      <c r="H38" s="119"/>
    </row>
    <row r="39" spans="1:8" ht="15.75" thickBot="1">
      <c r="A39" s="161" t="s">
        <v>128</v>
      </c>
      <c r="B39" s="161"/>
      <c r="C39" s="162">
        <f>C37-C38</f>
        <v>42644.29924612877</v>
      </c>
      <c r="D39" s="162">
        <f>D37-D38</f>
        <v>47183.611209811424</v>
      </c>
      <c r="E39" s="162">
        <f>E37-E38</f>
        <v>49899.90084474489</v>
      </c>
      <c r="F39" s="162">
        <f>F37-F38</f>
        <v>52215.04415946558</v>
      </c>
      <c r="G39" s="162">
        <f>G37-G38</f>
        <v>54630.569948229655</v>
      </c>
      <c r="H39" s="119"/>
    </row>
    <row r="40" spans="1:8" ht="15.75" thickBot="1">
      <c r="A40" s="163" t="s">
        <v>129</v>
      </c>
      <c r="B40" s="163"/>
      <c r="C40" s="174">
        <f>C39*25%</f>
        <v>10661.074811532193</v>
      </c>
      <c r="D40" s="174">
        <f>D39*25%</f>
        <v>11795.902802452856</v>
      </c>
      <c r="E40" s="174">
        <f>E39*25%</f>
        <v>12474.975211186222</v>
      </c>
      <c r="F40" s="174">
        <f>F39*25%</f>
        <v>13053.761039866395</v>
      </c>
      <c r="G40" s="174">
        <f>G39*25%</f>
        <v>13657.642487057414</v>
      </c>
      <c r="H40" s="119"/>
    </row>
    <row r="41" spans="1:8" ht="15.75" thickBot="1">
      <c r="A41" s="161" t="s">
        <v>130</v>
      </c>
      <c r="B41" s="161"/>
      <c r="C41" s="186">
        <f>C39-C40</f>
        <v>31983.22443459658</v>
      </c>
      <c r="D41" s="186">
        <f>D39-D40</f>
        <v>35387.70840735857</v>
      </c>
      <c r="E41" s="186">
        <f>E39-E40</f>
        <v>37424.92563355867</v>
      </c>
      <c r="F41" s="186">
        <f>F39-F40</f>
        <v>39161.28311959918</v>
      </c>
      <c r="G41" s="186">
        <f>G39-G40</f>
        <v>40972.92746117224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28268.76226401001</v>
      </c>
      <c r="D49" s="202">
        <f>D41+D42-D47</f>
        <v>31149.470577945136</v>
      </c>
      <c r="E49" s="202">
        <f>E41+E42-E47+E43-E45</f>
        <v>37271.92563355867</v>
      </c>
      <c r="F49" s="202">
        <f>F41+F42-F47</f>
        <v>39908.28311959918</v>
      </c>
      <c r="G49" s="202">
        <f>G41+G42-G47+G48</f>
        <v>43334.92746117224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28268.76226401001</v>
      </c>
      <c r="D54" s="217">
        <f>C55-C54</f>
        <v>2880.708313935127</v>
      </c>
    </row>
    <row r="55" spans="2:4" ht="15">
      <c r="B55" s="205">
        <v>2010</v>
      </c>
      <c r="C55" s="218">
        <f>D49</f>
        <v>31149.470577945136</v>
      </c>
      <c r="D55" s="218">
        <f>C56-C55</f>
        <v>6122.455055613533</v>
      </c>
    </row>
    <row r="56" spans="2:4" ht="15">
      <c r="B56" s="205">
        <v>2011</v>
      </c>
      <c r="C56" s="218">
        <f>E49</f>
        <v>37271.92563355867</v>
      </c>
      <c r="D56" s="218">
        <f>C57-C56</f>
        <v>2636.3574860405133</v>
      </c>
    </row>
    <row r="57" spans="2:4" ht="15">
      <c r="B57" s="205">
        <v>2012</v>
      </c>
      <c r="C57" s="218">
        <f>F49</f>
        <v>39908.28311959918</v>
      </c>
      <c r="D57" s="218">
        <f>C58-C57</f>
        <v>3426.644341573061</v>
      </c>
    </row>
    <row r="58" spans="2:4" ht="15.75" thickBot="1">
      <c r="B58" s="206">
        <v>2013</v>
      </c>
      <c r="C58" s="219">
        <f>G49</f>
        <v>43334.92746117224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2122.539771096195</v>
      </c>
    </row>
    <row r="65" spans="1:2" ht="15.75" thickBot="1">
      <c r="A65" s="282" t="s">
        <v>147</v>
      </c>
      <c r="B65" s="285">
        <f>IRR(D53:D57)</f>
        <v>0.2215409570164038</v>
      </c>
    </row>
    <row r="66" spans="1:3" ht="15">
      <c r="A66" s="231" t="s">
        <v>207</v>
      </c>
      <c r="B66" s="231" t="s">
        <v>145</v>
      </c>
      <c r="C66" s="231" t="s">
        <v>146</v>
      </c>
    </row>
    <row r="67" spans="1:3" ht="15">
      <c r="A67" s="107">
        <f>'Presupuesto de Inversión'!C22</f>
        <v>2.8826111173654967</v>
      </c>
      <c r="B67" s="116">
        <v>0.07</v>
      </c>
      <c r="C67" s="216">
        <f>NPV(B67,D54:D57)+D53</f>
        <v>3359.363698528019</v>
      </c>
    </row>
    <row r="68" spans="1:6" ht="15">
      <c r="A68" s="107">
        <f>'Presupuesto de Inversión'!D22</f>
        <v>2.960441617534365</v>
      </c>
      <c r="B68" s="116">
        <v>0.1</v>
      </c>
      <c r="C68" s="216">
        <f>NPV(B68,D54:D57)+D53</f>
        <v>2553.184542966772</v>
      </c>
      <c r="D68" s="119"/>
      <c r="E68" s="119"/>
      <c r="F68" s="119"/>
    </row>
    <row r="69" spans="1:3" ht="15">
      <c r="A69" s="313">
        <f>'Presupuesto de Inversión'!E22</f>
        <v>3.0403735412077926</v>
      </c>
      <c r="B69" s="116">
        <f>B63</f>
        <v>0.1174</v>
      </c>
      <c r="C69" s="216">
        <f>NPV(B69,D54:D57)+D53</f>
        <v>2122.539771096195</v>
      </c>
    </row>
    <row r="70" spans="1:3" ht="15">
      <c r="A70" s="313">
        <f>'Presupuesto de Inversión'!F22</f>
        <v>3.122463626820403</v>
      </c>
      <c r="B70" s="116">
        <v>0.13</v>
      </c>
      <c r="C70" s="216">
        <f>NPV(B70,D54:D57)+D53</f>
        <v>1826.1328950775332</v>
      </c>
    </row>
    <row r="71" spans="1:3" ht="15">
      <c r="A71" s="313">
        <f>'Presupuesto de Inversión'!G22</f>
        <v>3.2067701447445534</v>
      </c>
      <c r="B71" s="116">
        <v>0.2</v>
      </c>
      <c r="C71" s="216">
        <f>NPV(B71,D54:D57)+D53</f>
        <v>383.7748125892467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75</v>
      </c>
      <c r="C9" s="375"/>
      <c r="D9" s="375"/>
      <c r="E9" s="375"/>
      <c r="F9" s="351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50" t="s">
        <v>87</v>
      </c>
      <c r="B2" s="375"/>
      <c r="C2" s="375"/>
      <c r="D2" s="375"/>
      <c r="E2" s="375"/>
      <c r="F2" s="375"/>
      <c r="G2" s="351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50" t="s">
        <v>93</v>
      </c>
      <c r="C10" s="375"/>
      <c r="D10" s="375"/>
      <c r="E10" s="351"/>
      <c r="G10" s="350" t="s">
        <v>96</v>
      </c>
      <c r="H10" s="375"/>
      <c r="I10" s="375"/>
      <c r="J10" s="351"/>
      <c r="L10" s="350" t="s">
        <v>93</v>
      </c>
      <c r="M10" s="375"/>
      <c r="N10" s="375"/>
      <c r="O10" s="351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50" t="s">
        <v>100</v>
      </c>
      <c r="C16" s="375"/>
      <c r="D16" s="351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50" t="s">
        <v>100</v>
      </c>
      <c r="M16" s="375"/>
      <c r="N16" s="351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50" t="s">
        <v>94</v>
      </c>
      <c r="C18" s="375"/>
      <c r="D18" s="375"/>
      <c r="E18" s="351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50" t="s">
        <v>100</v>
      </c>
      <c r="H23" s="375"/>
      <c r="I23" s="351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50" t="s">
        <v>101</v>
      </c>
      <c r="H25" s="375"/>
      <c r="I25" s="351"/>
      <c r="K25" s="350" t="s">
        <v>102</v>
      </c>
      <c r="L25" s="375"/>
      <c r="M25" s="351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50" t="s">
        <v>100</v>
      </c>
      <c r="C31" s="375"/>
      <c r="D31" s="351"/>
      <c r="E31" s="145">
        <f>D5</f>
        <v>33</v>
      </c>
    </row>
    <row r="32" ht="15.75" thickBot="1"/>
    <row r="33" spans="2:9" ht="15.75" thickBot="1">
      <c r="B33" s="350" t="s">
        <v>95</v>
      </c>
      <c r="C33" s="375"/>
      <c r="D33" s="375"/>
      <c r="E33" s="351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50" t="s">
        <v>100</v>
      </c>
      <c r="C41" s="375"/>
      <c r="D41" s="351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A2:G2"/>
    <mergeCell ref="B10:E10"/>
    <mergeCell ref="G10:J10"/>
    <mergeCell ref="L10:O10"/>
    <mergeCell ref="B16:D16"/>
    <mergeCell ref="L16:N16"/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50" t="s">
        <v>103</v>
      </c>
      <c r="C4" s="351"/>
      <c r="D4" s="18"/>
      <c r="E4" s="350" t="s">
        <v>104</v>
      </c>
      <c r="F4" s="351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50" t="s">
        <v>108</v>
      </c>
      <c r="C9" s="351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99812.43490102499</v>
      </c>
      <c r="E8" s="302"/>
      <c r="F8" s="306"/>
    </row>
    <row r="9" spans="2:3" ht="15.75">
      <c r="B9" s="302" t="s">
        <v>192</v>
      </c>
      <c r="C9" s="309">
        <f>SUM(C6:C8)</f>
        <v>100153.23490102499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104603.23490102499</v>
      </c>
      <c r="E18" s="292" t="s">
        <v>204</v>
      </c>
      <c r="F18" s="301">
        <f>F6+F16</f>
        <v>18893.4</v>
      </c>
    </row>
    <row r="21" ht="15">
      <c r="C21" s="299">
        <f>F18-C18</f>
        <v>-85709.834901025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2009-04-16T17:31:46Z</dcterms:modified>
  <cp:category/>
  <cp:version/>
  <cp:contentType/>
  <cp:contentStatus/>
</cp:coreProperties>
</file>