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4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8640" windowHeight="5115" tabRatio="601" firstSheet="28" activeTab="35"/>
  </bookViews>
  <sheets>
    <sheet name="demanda" sheetId="1" r:id="rId1"/>
    <sheet name="importaciones" sheetId="2" r:id="rId2"/>
    <sheet name="Oferta" sheetId="3" r:id="rId3"/>
    <sheet name="D PROYECTO" sheetId="4" r:id="rId4"/>
    <sheet name="Grafico Prod." sheetId="5" r:id="rId5"/>
    <sheet name="Hoja3" sheetId="6" r:id="rId6"/>
    <sheet name="Rendimiento" sheetId="7" r:id="rId7"/>
    <sheet name="Producción" sheetId="8" r:id="rId8"/>
    <sheet name="Infraestructura" sheetId="9" r:id="rId9"/>
    <sheet name="MOD" sheetId="10" r:id="rId10"/>
    <sheet name="MODF" sheetId="11" r:id="rId11"/>
    <sheet name="MOI" sheetId="12" r:id="rId12"/>
    <sheet name="Utensilios" sheetId="13" r:id="rId13"/>
    <sheet name="Muebles&amp;Enseres" sheetId="14" r:id="rId14"/>
    <sheet name="Maq y Equ" sheetId="15" r:id="rId15"/>
    <sheet name="MI" sheetId="16" r:id="rId16"/>
    <sheet name="MD" sheetId="17" r:id="rId17"/>
    <sheet name="Serv&amp;Sum" sheetId="18" r:id="rId18"/>
    <sheet name="PROD." sheetId="19" r:id="rId19"/>
    <sheet name="Precio" sheetId="20" r:id="rId20"/>
    <sheet name="Inversiones" sheetId="21" r:id="rId21"/>
    <sheet name="Fomento agrícola" sheetId="22" r:id="rId22"/>
    <sheet name="G. Organizac." sheetId="23" r:id="rId23"/>
    <sheet name="K de trabajo" sheetId="24" r:id="rId24"/>
    <sheet name="BGI" sheetId="25" r:id="rId25"/>
    <sheet name="Financiamiento" sheetId="26" r:id="rId26"/>
    <sheet name="Amortización" sheetId="27" r:id="rId27"/>
    <sheet name="Dep, mant, seg." sheetId="28" r:id="rId28"/>
    <sheet name="Ventas1" sheetId="29" r:id="rId29"/>
    <sheet name="Ventas2" sheetId="30" r:id="rId30"/>
    <sheet name="Costos&amp;Gastos" sheetId="31" r:id="rId31"/>
    <sheet name="EP&amp;G" sheetId="32" r:id="rId32"/>
    <sheet name="PE" sheetId="33" r:id="rId33"/>
    <sheet name="FCPROYECTO" sheetId="34" r:id="rId34"/>
    <sheet name="FCrystal Ball" sheetId="35" r:id="rId35"/>
    <sheet name="Sensibilidad" sheetId="36" r:id="rId36"/>
    <sheet name="FCINVERSIONISTA" sheetId="37" r:id="rId37"/>
    <sheet name="PRI" sheetId="38" r:id="rId38"/>
    <sheet name="BC" sheetId="39" r:id="rId39"/>
    <sheet name="dIVISAS" sheetId="40" r:id="rId40"/>
    <sheet name="Jornales" sheetId="41" r:id="rId41"/>
    <sheet name="Agregado" sheetId="42" r:id="rId42"/>
    <sheet name="Hoja1" sheetId="43" r:id="rId43"/>
    <sheet name="Hoja2" sheetId="44" r:id="rId44"/>
    <sheet name="Organigrama" sheetId="45" r:id="rId45"/>
  </sheets>
  <externalReferences>
    <externalReference r:id="rId48"/>
    <externalReference r:id="rId49"/>
    <externalReference r:id="rId50"/>
  </externalReferences>
  <definedNames>
    <definedName name="_xlnm.Print_Area" localSheetId="26">'Amortización'!$A$1:$E$30</definedName>
    <definedName name="_xlnm.Print_Area" localSheetId="38">'BC'!$A$1:$C$17</definedName>
    <definedName name="_xlnm.Print_Area" localSheetId="31">'EP&amp;G'!$A$1:$K$20</definedName>
    <definedName name="_xlnm.Print_Area" localSheetId="33">'FCPROYECTO'!$A$1:$N$24</definedName>
    <definedName name="_xlnm.Print_Area" localSheetId="21">'Fomento agrícola'!$A$1:$E$8</definedName>
    <definedName name="_xlnm.Print_Area" localSheetId="8">'Infraestructura'!$C$1:$F$13</definedName>
    <definedName name="_xlnm.Print_Area" localSheetId="20">'Inversiones'!$A$1:$E$35</definedName>
    <definedName name="_xlnm.Print_Area" localSheetId="28">'Ventas1'!$A$1:$L$16</definedName>
    <definedName name="_xlnm.Print_Area" localSheetId="29">'Ventas2'!$A$1:$L$20</definedName>
    <definedName name="TER">'[1]FLUJO_TER'!$N$22</definedName>
    <definedName name="TIR">#REF!</definedName>
    <definedName name="VAN">#REF!</definedName>
    <definedName name="ZA0" localSheetId="34">"Crystal Ball Data : Ver. 4.0.3"</definedName>
    <definedName name="ZA0A" localSheetId="34">6+106</definedName>
    <definedName name="ZA0C" localSheetId="34">0+0</definedName>
    <definedName name="ZA0D" localSheetId="34">0+0</definedName>
    <definedName name="ZA0F" localSheetId="34">2+101</definedName>
    <definedName name="ZA0T" localSheetId="34">7608860+0</definedName>
    <definedName name="ZA100" localSheetId="34">'FCrystal Ball'!$E$1+"gE1"+16417+0.00015857158714302</definedName>
    <definedName name="ZA101" localSheetId="34">'FCrystal Ball'!$E$2+"fE2"+16929+2.25+"?"+2.75</definedName>
    <definedName name="ZA103" localSheetId="34">'FCrystal Ball'!$E$4+"fE4"+16929+2.7+"?"+3.3</definedName>
    <definedName name="ZA104" localSheetId="34">'FCrystal Ball'!$E$5+"AE5"+16417+137365+13736.5+0+"+"</definedName>
    <definedName name="ZA105" localSheetId="34">'FCrystal Ball'!$E$6+"AE6"+16417+51649+5164.9+0+"+"</definedName>
    <definedName name="ZA106" localSheetId="34">'FCrystal Ball'!$E$3+"gE3"+16417+0.00047571476142905</definedName>
    <definedName name="ZF100" localSheetId="34">'FCrystal Ball'!$B$29+"TIR"+"%"+517+517+441+57+18+350+477+4+3+"-"+"+"+2.6+50+2</definedName>
    <definedName name="ZF101" localSheetId="34">'FCrystal Ball'!$B$30+"VAN"+"$"+41+41+441+72+40+365+499+4+3+"-"+"+"+2.6+50+2</definedName>
  </definedNames>
  <calcPr fullCalcOnLoad="1"/>
</workbook>
</file>

<file path=xl/sharedStrings.xml><?xml version="1.0" encoding="utf-8"?>
<sst xmlns="http://schemas.openxmlformats.org/spreadsheetml/2006/main" count="865" uniqueCount="641">
  <si>
    <t>Total</t>
  </si>
  <si>
    <t>Pingüino</t>
  </si>
  <si>
    <t>Una vez cada quince días</t>
  </si>
  <si>
    <t>Una vez al mes</t>
  </si>
  <si>
    <t>Definitivamente lo compraría</t>
  </si>
  <si>
    <t>Una vez a la semana</t>
  </si>
  <si>
    <t>Guayaquil</t>
  </si>
  <si>
    <t>CSM</t>
  </si>
  <si>
    <t>CSA</t>
  </si>
  <si>
    <t>Sumatoria</t>
  </si>
  <si>
    <t>TOTAL</t>
  </si>
  <si>
    <t>Desempleo</t>
  </si>
  <si>
    <t>M. Potencial</t>
  </si>
  <si>
    <t>P. 1</t>
  </si>
  <si>
    <t>P.5</t>
  </si>
  <si>
    <t>P.14</t>
  </si>
  <si>
    <t>P.17</t>
  </si>
  <si>
    <t>P. 20</t>
  </si>
  <si>
    <t>8 onzas</t>
  </si>
  <si>
    <t>16 onzas</t>
  </si>
  <si>
    <t>x</t>
  </si>
  <si>
    <t>(media libra)</t>
  </si>
  <si>
    <t>(libra)</t>
  </si>
  <si>
    <t xml:space="preserve">x = </t>
  </si>
  <si>
    <t>libras</t>
  </si>
  <si>
    <t>Población potencial</t>
  </si>
  <si>
    <t>Consumo de productos c/ nueces</t>
  </si>
  <si>
    <t>Compra en Mi Comisariato</t>
  </si>
  <si>
    <t>Preferencia por nuez natural, entera sin cáscara</t>
  </si>
  <si>
    <t>Preferencia por nuez tostada con sal</t>
  </si>
  <si>
    <t>Resultados</t>
  </si>
  <si>
    <t>Consumidores potenciales</t>
  </si>
  <si>
    <t>Respuestas para cálculos</t>
  </si>
  <si>
    <t>Alternativa de consumo</t>
  </si>
  <si>
    <t>% de preferencia</t>
  </si>
  <si>
    <t>Tasa mensual de compra</t>
  </si>
  <si>
    <t>C. Demandada</t>
  </si>
  <si>
    <t>Importaciones</t>
  </si>
  <si>
    <t>% Pob. Gye</t>
  </si>
  <si>
    <t>% consumo</t>
  </si>
  <si>
    <t>Consumo en TM</t>
  </si>
  <si>
    <t>Consumo en Kg.</t>
  </si>
  <si>
    <t>Consumo en lbs.</t>
  </si>
  <si>
    <t>AÑOS</t>
  </si>
  <si>
    <t>Consumo en onz.</t>
  </si>
  <si>
    <t>Consumidores finales</t>
  </si>
  <si>
    <t>Empresas, negocios</t>
  </si>
  <si>
    <t>1 lb</t>
  </si>
  <si>
    <t>kilo</t>
  </si>
  <si>
    <t>TM</t>
  </si>
  <si>
    <t>Período</t>
  </si>
  <si>
    <t>D. proyectada</t>
  </si>
  <si>
    <t>O. ajustada</t>
  </si>
  <si>
    <t>D. Proyecto</t>
  </si>
  <si>
    <t>Demanda insatisfecha que cubrirá el Proyecto</t>
  </si>
  <si>
    <t>(En TM)</t>
  </si>
  <si>
    <t>x =</t>
  </si>
  <si>
    <t>Rubro</t>
  </si>
  <si>
    <t>Valor</t>
  </si>
  <si>
    <t>Vida útil</t>
  </si>
  <si>
    <t>Cercas</t>
  </si>
  <si>
    <t>Caminos</t>
  </si>
  <si>
    <t>Bateria baños</t>
  </si>
  <si>
    <t>Instalación electrica y equipo de agua</t>
  </si>
  <si>
    <t>Costo Unitario</t>
  </si>
  <si>
    <t>X =</t>
  </si>
  <si>
    <t>Muestreo de suelo</t>
  </si>
  <si>
    <t>Limpieza del terreno</t>
  </si>
  <si>
    <t>Alineada</t>
  </si>
  <si>
    <t>Hoyada</t>
  </si>
  <si>
    <t>Plantación</t>
  </si>
  <si>
    <t>Fertilización</t>
  </si>
  <si>
    <t xml:space="preserve">   Fondo</t>
  </si>
  <si>
    <t xml:space="preserve">   Química (4/año)</t>
  </si>
  <si>
    <t xml:space="preserve">   Foliar (3/año)</t>
  </si>
  <si>
    <t>Formación de coronas</t>
  </si>
  <si>
    <t>Podas y deschuponadas</t>
  </si>
  <si>
    <t>Deshierbas (3/año)</t>
  </si>
  <si>
    <t>Controles fitosanitarios</t>
  </si>
  <si>
    <t>Cosecha</t>
  </si>
  <si>
    <t>Poscosecha</t>
  </si>
  <si>
    <t>Totales jornales</t>
  </si>
  <si>
    <t>Labor</t>
  </si>
  <si>
    <t>Totales USD</t>
  </si>
  <si>
    <t>X</t>
  </si>
  <si>
    <t>Cantidad</t>
  </si>
  <si>
    <t>C. Unitario</t>
  </si>
  <si>
    <t>Valor total</t>
  </si>
  <si>
    <t>Tractor</t>
  </si>
  <si>
    <t>Equipo de fumigación</t>
  </si>
  <si>
    <t>Carretón</t>
  </si>
  <si>
    <t>Vehículo (camión)</t>
  </si>
  <si>
    <t>Equipo y herramientas agrícolas</t>
  </si>
  <si>
    <t xml:space="preserve">   Bombas de fumigación de mochila</t>
  </si>
  <si>
    <t xml:space="preserve">   Bomba de fumigación de motor</t>
  </si>
  <si>
    <t xml:space="preserve">   Tijeras podadoras</t>
  </si>
  <si>
    <t xml:space="preserve">   Machetes</t>
  </si>
  <si>
    <t xml:space="preserve">   Palas</t>
  </si>
  <si>
    <t xml:space="preserve">   Sierra</t>
  </si>
  <si>
    <t xml:space="preserve">   Excavadoras</t>
  </si>
  <si>
    <t xml:space="preserve">   Carretillas</t>
  </si>
  <si>
    <t xml:space="preserve">   Balanza romana</t>
  </si>
  <si>
    <t xml:space="preserve">   Baldes</t>
  </si>
  <si>
    <t xml:space="preserve">   Barra</t>
  </si>
  <si>
    <t xml:space="preserve">   Gavetas</t>
  </si>
  <si>
    <t xml:space="preserve">   Hacha</t>
  </si>
  <si>
    <t>Varios</t>
  </si>
  <si>
    <t>Varias</t>
  </si>
  <si>
    <t>Indispensable</t>
  </si>
  <si>
    <t>Planta</t>
  </si>
  <si>
    <t>Fertilizante</t>
  </si>
  <si>
    <t xml:space="preserve">   Inicial Kg.</t>
  </si>
  <si>
    <t xml:space="preserve">   Completo Kg.</t>
  </si>
  <si>
    <t xml:space="preserve">   Foliar lt.</t>
  </si>
  <si>
    <t>Fungicida Kg.</t>
  </si>
  <si>
    <t>Insecticida lt.</t>
  </si>
  <si>
    <t>Herbicida lt.</t>
  </si>
  <si>
    <t>Fijador</t>
  </si>
  <si>
    <t>Materiales directos</t>
  </si>
  <si>
    <t>Unidades</t>
  </si>
  <si>
    <t>Precio</t>
  </si>
  <si>
    <t>Fertilizante químico</t>
  </si>
  <si>
    <t>Fertilizante Foliar</t>
  </si>
  <si>
    <t>Fungicida</t>
  </si>
  <si>
    <t>Insecticida</t>
  </si>
  <si>
    <t>Herbicida</t>
  </si>
  <si>
    <t>Plantas</t>
  </si>
  <si>
    <t>Sacos de 50 Kg.</t>
  </si>
  <si>
    <t>Litros</t>
  </si>
  <si>
    <t>Kilogramos</t>
  </si>
  <si>
    <t xml:space="preserve">   Inicial</t>
  </si>
  <si>
    <t xml:space="preserve">   Completo</t>
  </si>
  <si>
    <t xml:space="preserve">   Foliar Kg.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</si>
  <si>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</si>
  <si>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</si>
  <si>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</si>
  <si>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</si>
  <si>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</si>
  <si>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</si>
  <si>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</si>
  <si>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</si>
  <si>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</si>
  <si>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Período de cosecha con menor cantidad</t>
  </si>
  <si>
    <t>Período máximo de cosecha</t>
  </si>
  <si>
    <t>Descripción</t>
  </si>
  <si>
    <t xml:space="preserve">Precio al </t>
  </si>
  <si>
    <t>intermediario local</t>
  </si>
  <si>
    <t xml:space="preserve">Precio de </t>
  </si>
  <si>
    <t>venta al público</t>
  </si>
  <si>
    <t>Envase de 8 onzas de nuez entera sin cáscara</t>
  </si>
  <si>
    <t>PRECIO DE LOS PRODUCTOS EN ÉPOCA DE COSECHA</t>
  </si>
  <si>
    <t>PRECIO DE LOS PRODUCTOS EN ÉPOCA DE NO COSECHA</t>
  </si>
  <si>
    <t>1. Estrategia</t>
  </si>
  <si>
    <t>Superior</t>
  </si>
  <si>
    <t>2. Estrategia de</t>
  </si>
  <si>
    <t>valor alto</t>
  </si>
  <si>
    <t>3. Estrategia de</t>
  </si>
  <si>
    <t>supervalor</t>
  </si>
  <si>
    <t>4. Estrategia de</t>
  </si>
  <si>
    <t>Sobrecobro</t>
  </si>
  <si>
    <t>5. Estrategia de</t>
  </si>
  <si>
    <t>valor medio</t>
  </si>
  <si>
    <t>6. Estrategia de</t>
  </si>
  <si>
    <t>buen valor</t>
  </si>
  <si>
    <t xml:space="preserve">imitación </t>
  </si>
  <si>
    <t>7. Estrategia de</t>
  </si>
  <si>
    <t>8. Estrategia de</t>
  </si>
  <si>
    <t>economía falsa</t>
  </si>
  <si>
    <t>9. Estrategia de</t>
  </si>
  <si>
    <t>economía</t>
  </si>
  <si>
    <t>Alto</t>
  </si>
  <si>
    <t>Mediano</t>
  </si>
  <si>
    <t>Bajo</t>
  </si>
  <si>
    <t>Baja</t>
  </si>
  <si>
    <t>Mediana</t>
  </si>
  <si>
    <t>PRECIO</t>
  </si>
  <si>
    <t>CALIDAD DEL PRODUCTO</t>
  </si>
  <si>
    <t>Exclusividad</t>
  </si>
  <si>
    <t>percibida</t>
  </si>
  <si>
    <t>por el cliente</t>
  </si>
  <si>
    <t>Costos Bajos</t>
  </si>
  <si>
    <t>Diferenciación</t>
  </si>
  <si>
    <t>Liderazgo en costos</t>
  </si>
  <si>
    <t>Para todo</t>
  </si>
  <si>
    <t>el sector</t>
  </si>
  <si>
    <t>Para un nicho</t>
  </si>
  <si>
    <t>o segmento</t>
  </si>
  <si>
    <t>Concentración o enfoque de especialista</t>
  </si>
  <si>
    <t>LA MACADAMIA COLORADA</t>
  </si>
  <si>
    <t>VENTAJA COMPETITIVA</t>
  </si>
  <si>
    <t>ESTRATEGICO</t>
  </si>
  <si>
    <t>OBJETIVO</t>
  </si>
  <si>
    <t>CANTIDAD DE</t>
  </si>
  <si>
    <t>HECTÁREAS</t>
  </si>
  <si>
    <t xml:space="preserve">RENDIMIENTO </t>
  </si>
  <si>
    <t>EN KILOS</t>
  </si>
  <si>
    <t>MERCADO</t>
  </si>
  <si>
    <t>RENDIMIENTO</t>
  </si>
  <si>
    <t>EN TM.</t>
  </si>
  <si>
    <t>Australia</t>
  </si>
  <si>
    <t>EE.UU.</t>
  </si>
  <si>
    <t>Sudáfrica</t>
  </si>
  <si>
    <t>Kenya</t>
  </si>
  <si>
    <t>Guatemala</t>
  </si>
  <si>
    <t>Costa Rica</t>
  </si>
  <si>
    <t>Brasil</t>
  </si>
  <si>
    <t>Asia</t>
  </si>
  <si>
    <t>Europa</t>
  </si>
  <si>
    <t>Otros</t>
  </si>
  <si>
    <t>Vivienda - oficina (80 m2)</t>
  </si>
  <si>
    <t>Guardianía (40 m2)</t>
  </si>
  <si>
    <t>Bodega agrícola (120 m2)</t>
  </si>
  <si>
    <t>Galpón de poscosecha (120 m2)</t>
  </si>
  <si>
    <t>Silo con atmósfera controlada</t>
  </si>
  <si>
    <t>Gerente General</t>
  </si>
  <si>
    <t>Contabilidad</t>
  </si>
  <si>
    <t>Secretaria</t>
  </si>
  <si>
    <t>Control de calidad</t>
  </si>
  <si>
    <t>Jefe de Ventas</t>
  </si>
  <si>
    <t>Choferes</t>
  </si>
  <si>
    <t>Agentes</t>
  </si>
  <si>
    <t>Jefe de Producción</t>
  </si>
  <si>
    <t>Obreros</t>
  </si>
  <si>
    <t>Asistentes</t>
  </si>
  <si>
    <t>Trasctorista</t>
  </si>
  <si>
    <t>2 asistentes de limpieza</t>
  </si>
  <si>
    <t xml:space="preserve">   Lavadora de aspersión</t>
  </si>
  <si>
    <t xml:space="preserve">   Ventilador</t>
  </si>
  <si>
    <t xml:space="preserve">   Estibas para esterilizadora</t>
  </si>
  <si>
    <t xml:space="preserve">   Equipo para verificar vacío</t>
  </si>
  <si>
    <t xml:space="preserve">   Máquina descascaradora</t>
  </si>
  <si>
    <t xml:space="preserve">   Mesón de trabajo</t>
  </si>
  <si>
    <t>ACTIVOS FIJOS NETOS</t>
  </si>
  <si>
    <t>Terreno</t>
  </si>
  <si>
    <t>Fomento Agrícola</t>
  </si>
  <si>
    <t>Cercas y caminos</t>
  </si>
  <si>
    <t>Batería de baños</t>
  </si>
  <si>
    <t>FASE PREOPERATIVA (AÑOS)</t>
  </si>
  <si>
    <t>Implementos del tractor</t>
  </si>
  <si>
    <t>Imprevistos (3%)</t>
  </si>
  <si>
    <t>Equipo y máquinas para planta industrial</t>
  </si>
  <si>
    <t>SUBTOTAL</t>
  </si>
  <si>
    <t>ACTIVOS DIFERIDOS</t>
  </si>
  <si>
    <t>Gastos preoperativos</t>
  </si>
  <si>
    <t>Suministros de oficina</t>
  </si>
  <si>
    <t>PERÍODOS</t>
  </si>
  <si>
    <t>Preparación terreno</t>
  </si>
  <si>
    <t>Mano de obra directa</t>
  </si>
  <si>
    <t>Mano de obra indirecta</t>
  </si>
  <si>
    <t>COSTO TOTAL DE FOMENTO AGRÍCOLA (Miles USD)</t>
  </si>
  <si>
    <t>INVERSIÓN EN ACTIVOS FIJO Y DIFERIDO</t>
  </si>
  <si>
    <t>Guardianía (40m2)</t>
  </si>
  <si>
    <t>Galpón para maquinaria (50 m2)</t>
  </si>
  <si>
    <t>Vivienda-oficina (80 m2)</t>
  </si>
  <si>
    <t>Materiales indirectos</t>
  </si>
  <si>
    <t>Suministros y servicios</t>
  </si>
  <si>
    <t>Mantenimientos y seguros*</t>
  </si>
  <si>
    <t>Capital de Trabajo</t>
  </si>
  <si>
    <t>Rubros</t>
  </si>
  <si>
    <t>Activos Fijos Netos</t>
  </si>
  <si>
    <t>Activos Diferidos</t>
  </si>
  <si>
    <t>INVERSIÓN INICIAL TOTAL</t>
  </si>
  <si>
    <t>FASE PREOPERATIVA</t>
  </si>
  <si>
    <t>INVERSION TOTAL</t>
  </si>
  <si>
    <t xml:space="preserve">   Crédito de proveedores</t>
  </si>
  <si>
    <t xml:space="preserve">   Credito de mediano plazo</t>
  </si>
  <si>
    <t xml:space="preserve">   Créditos de largo plazo</t>
  </si>
  <si>
    <t>TOTAL FINANCIAMIENTO</t>
  </si>
  <si>
    <t>PERÍODO PREOPERATIVO</t>
  </si>
  <si>
    <t>CREDITO DE LARGO PLAZO</t>
  </si>
  <si>
    <t>USD</t>
  </si>
  <si>
    <t>% DESEMBOLSO</t>
  </si>
  <si>
    <t>Monto</t>
  </si>
  <si>
    <t>Interes del crédito anual</t>
  </si>
  <si>
    <t>Plazo (semestre)</t>
  </si>
  <si>
    <t>Período de gracia (semestres)</t>
  </si>
  <si>
    <t>Línea de crédito: Multisectorial CFN</t>
  </si>
  <si>
    <t>MONTO INICIAL:</t>
  </si>
  <si>
    <t>PLAZO (SEMESTRES)</t>
  </si>
  <si>
    <t>GRACIA (SEMESTRES)</t>
  </si>
  <si>
    <t>PERÍODO</t>
  </si>
  <si>
    <t>VALOR</t>
  </si>
  <si>
    <t>(USD)</t>
  </si>
  <si>
    <t>%</t>
  </si>
  <si>
    <t>MANTENIM.</t>
  </si>
  <si>
    <t>SEGURO</t>
  </si>
  <si>
    <t>Bodega agrícola (76 m2)</t>
  </si>
  <si>
    <t>Galpón de poscosecha (76 m2)</t>
  </si>
  <si>
    <t>VIDA</t>
  </si>
  <si>
    <t>ÚTIL</t>
  </si>
  <si>
    <t>Muebles y enseres de oficina</t>
  </si>
  <si>
    <t xml:space="preserve">   Máquina de esterilización y sellado</t>
  </si>
  <si>
    <t>Máquina, herramientas y equipo para planta industrial</t>
  </si>
  <si>
    <t>Mandiles</t>
  </si>
  <si>
    <t>Gorros de cabello</t>
  </si>
  <si>
    <t>Guantes</t>
  </si>
  <si>
    <t>Botas</t>
  </si>
  <si>
    <t>P. Unitario</t>
  </si>
  <si>
    <t>C. Total</t>
  </si>
  <si>
    <t xml:space="preserve">TOTAL </t>
  </si>
  <si>
    <t>Computadoras</t>
  </si>
  <si>
    <t>Escritorios</t>
  </si>
  <si>
    <t>Escritorio Gerencial</t>
  </si>
  <si>
    <t>Sillas</t>
  </si>
  <si>
    <t>Sillas ejecutivas</t>
  </si>
  <si>
    <t>Sillón de 3 personas</t>
  </si>
  <si>
    <t>Línea telefónica</t>
  </si>
  <si>
    <t>Copiadora-scanner-impresora</t>
  </si>
  <si>
    <t>Fax-teléfono</t>
  </si>
  <si>
    <t>Central de Aire</t>
  </si>
  <si>
    <t>(en cajas de 50 u.)</t>
  </si>
  <si>
    <t>Gastos de Organización</t>
  </si>
  <si>
    <t>Utensilios para empleados</t>
  </si>
  <si>
    <t>Superintendencia de Compañías</t>
  </si>
  <si>
    <t>Obtención del RUC</t>
  </si>
  <si>
    <t>Afiliación a la Cámara de la Pequeña</t>
  </si>
  <si>
    <t>Industria (cuota mensual)</t>
  </si>
  <si>
    <t>Inscripcion al Registro Mercantil</t>
  </si>
  <si>
    <t>Número Patronal IESS</t>
  </si>
  <si>
    <t>Permisos de Funcionamiento</t>
  </si>
  <si>
    <t>C. mensual</t>
  </si>
  <si>
    <t>C. anual</t>
  </si>
  <si>
    <t>Laboratista</t>
  </si>
  <si>
    <t>Asistencia técnica</t>
  </si>
  <si>
    <t>Instalación eléctrica y equipo de agua</t>
  </si>
  <si>
    <t>COSTOS DIRECTOS DE PRODUCCIÓN</t>
  </si>
  <si>
    <t>Mano de obra directa (producción nuez)</t>
  </si>
  <si>
    <t>Mano de obra directa (procesamiento nuez)</t>
  </si>
  <si>
    <t>Imprevistos %</t>
  </si>
  <si>
    <t>1/</t>
  </si>
  <si>
    <t>Subtotal</t>
  </si>
  <si>
    <t>COSTOS INDIRECTOS DE PRODUCCIÓN</t>
  </si>
  <si>
    <t>Mantenimiento y seguros</t>
  </si>
  <si>
    <t>Análisis suelo</t>
  </si>
  <si>
    <t>Asesoría técnica ocasional</t>
  </si>
  <si>
    <t>Depreciaciones</t>
  </si>
  <si>
    <t>Amortizaciones</t>
  </si>
  <si>
    <t>GASTOS DE ADMINISTRACIÓN Y VENTAS</t>
  </si>
  <si>
    <t>Remuneraciones personal</t>
  </si>
  <si>
    <t>Movilización y viáticos</t>
  </si>
  <si>
    <t>Comisiones sobre ventas locales</t>
  </si>
  <si>
    <t>Ref.</t>
  </si>
  <si>
    <t>2/</t>
  </si>
  <si>
    <t>Referencias:</t>
  </si>
  <si>
    <t>2/ Porcentaje de imprevistos es del 3%</t>
  </si>
  <si>
    <t>3/</t>
  </si>
  <si>
    <t>3/ Fuente: Ing. Agrónomo José Guamán</t>
  </si>
  <si>
    <t>4/</t>
  </si>
  <si>
    <t>5/</t>
  </si>
  <si>
    <t>VENTAS DEL PROYECTO</t>
  </si>
  <si>
    <t>Macadamia entera, natural sin cáscara</t>
  </si>
  <si>
    <t>% ventas en el mercado local</t>
  </si>
  <si>
    <t>Macadamia tostada con sal</t>
  </si>
  <si>
    <t>% de desperidicos (prod. Neta/prod. Bruta)</t>
  </si>
  <si>
    <t>% de desperdicios (prod. neta/prod. bruta)</t>
  </si>
  <si>
    <t>PRODUCTO</t>
  </si>
  <si>
    <t>Nuez entera natural, sin cáscara</t>
  </si>
  <si>
    <t>Kg.</t>
  </si>
  <si>
    <t xml:space="preserve">   Produccion neta total</t>
  </si>
  <si>
    <t xml:space="preserve">   Precios mercado local</t>
  </si>
  <si>
    <t xml:space="preserve">   Ventas mercado local</t>
  </si>
  <si>
    <t xml:space="preserve">   Subtotal ventas</t>
  </si>
  <si>
    <t>Nuez tostada con sal</t>
  </si>
  <si>
    <t>MERCADO LOCAL</t>
  </si>
  <si>
    <t>TOTAL ESTIMADOS POR VENTAS</t>
  </si>
  <si>
    <t>TOTAL USD</t>
  </si>
  <si>
    <t>Año</t>
  </si>
  <si>
    <t>Kg/Ha 156</t>
  </si>
  <si>
    <t>Kg/árbol</t>
  </si>
  <si>
    <t>AREA</t>
  </si>
  <si>
    <t>Número</t>
  </si>
  <si>
    <t>Sueldo mensual</t>
  </si>
  <si>
    <t>Salario anual</t>
  </si>
  <si>
    <t>Mano de Obra Indirecta</t>
  </si>
  <si>
    <t>Ing. Agrónomo</t>
  </si>
  <si>
    <t>Asistente de plantación</t>
  </si>
  <si>
    <t>Tractorista</t>
  </si>
  <si>
    <t>Administración</t>
  </si>
  <si>
    <t>Conserje</t>
  </si>
  <si>
    <t>Comercialización</t>
  </si>
  <si>
    <t>Chofer</t>
  </si>
  <si>
    <t>Ing. Comercial</t>
  </si>
  <si>
    <t>Agentes vendedores</t>
  </si>
  <si>
    <t>Cajas de cartón (rejas) de 25 Kg.</t>
  </si>
  <si>
    <t>Empaques pequeños de cartón</t>
  </si>
  <si>
    <t>Energía eléctrica</t>
  </si>
  <si>
    <t>Agua potable</t>
  </si>
  <si>
    <t>Teléfono</t>
  </si>
  <si>
    <t>Combustible</t>
  </si>
  <si>
    <t>Lubricantes</t>
  </si>
  <si>
    <t>Preoperativo</t>
  </si>
  <si>
    <t>Operativo</t>
  </si>
  <si>
    <t>USD 50/mes</t>
  </si>
  <si>
    <t>USD 30/mes</t>
  </si>
  <si>
    <t>USD 90/mes</t>
  </si>
  <si>
    <t>USD 75/mes</t>
  </si>
  <si>
    <t>USD 295/mes</t>
  </si>
  <si>
    <t>USD 45/mes</t>
  </si>
  <si>
    <t>USD 150/mes</t>
  </si>
  <si>
    <t>USD 100/mes</t>
  </si>
  <si>
    <t>USD 420/mes</t>
  </si>
  <si>
    <t>Ha cosechadas</t>
  </si>
  <si>
    <t>Cajitas de 8 oz.</t>
  </si>
  <si>
    <t>Producción Bruta Kg.</t>
  </si>
  <si>
    <t>Produccion Neta Kg.</t>
  </si>
  <si>
    <t>75% entera sin cáscara</t>
  </si>
  <si>
    <t>25% tostada con sal</t>
  </si>
  <si>
    <t>Desperdicio (50%)</t>
  </si>
  <si>
    <t>Produccion neta TM</t>
  </si>
  <si>
    <t>Produccion neta lb.</t>
  </si>
  <si>
    <t>Produccion neta oz.</t>
  </si>
  <si>
    <t>Produccion bruta macadamia por período</t>
  </si>
  <si>
    <t xml:space="preserve">   Produccion neta producto total</t>
  </si>
  <si>
    <t>8 oz.</t>
  </si>
  <si>
    <t>Envase de 8 onzas de nuez tostada con sal</t>
  </si>
  <si>
    <t>8 oz</t>
  </si>
  <si>
    <t xml:space="preserve">Publicidad </t>
  </si>
  <si>
    <t>Materiales directos de cosecha</t>
  </si>
  <si>
    <t>Materiales directos de fabricación</t>
  </si>
  <si>
    <t xml:space="preserve">   Utensilios para empleados</t>
  </si>
  <si>
    <t>1/ Comprende costo de sal y benzoato de sodio para nuez tostada con sal</t>
  </si>
  <si>
    <t>Ventas Netas</t>
  </si>
  <si>
    <t>Costo de ventas</t>
  </si>
  <si>
    <t>UTILIDAD BRUTA EN VENTAS</t>
  </si>
  <si>
    <t>Costos indirectos</t>
  </si>
  <si>
    <t>Gastos de administración y de ventas</t>
  </si>
  <si>
    <t>UTILIDAD (PÉRDIDA) OPERACIONAL</t>
  </si>
  <si>
    <t>Gastos Financieros</t>
  </si>
  <si>
    <t>Otros ingresos</t>
  </si>
  <si>
    <t>Otros egresos</t>
  </si>
  <si>
    <t>Impuesto a la renta (25%)</t>
  </si>
  <si>
    <t>Ingresos</t>
  </si>
  <si>
    <t>Costos directos</t>
  </si>
  <si>
    <t>Gastos adm. y venta</t>
  </si>
  <si>
    <t>Depreciación</t>
  </si>
  <si>
    <t>Amortización intang.</t>
  </si>
  <si>
    <t>Utilidad antes imptos</t>
  </si>
  <si>
    <t>Part. trabajadores</t>
  </si>
  <si>
    <t>Imp. a la renta</t>
  </si>
  <si>
    <t>Utilidad Neta</t>
  </si>
  <si>
    <t>Inversión inicial</t>
  </si>
  <si>
    <t>Inversión de reemplazo</t>
  </si>
  <si>
    <t>Inversión cap. trabajo</t>
  </si>
  <si>
    <t>Valor de desecho</t>
  </si>
  <si>
    <t>Flujo de Caja</t>
  </si>
  <si>
    <t>Interés préstamo</t>
  </si>
  <si>
    <t>Préstamo</t>
  </si>
  <si>
    <t>Amortización deuda</t>
  </si>
  <si>
    <t>15% Participación trabajadores</t>
  </si>
  <si>
    <t>VAN</t>
  </si>
  <si>
    <t>TIR</t>
  </si>
  <si>
    <t>4/ Porcentaje de comsion del 3% sobre ventas locales</t>
  </si>
  <si>
    <t>5/ Porcentaje del 1% del total de ventas anuales</t>
  </si>
  <si>
    <t>Tasa y Permisos de funcionamiento</t>
  </si>
  <si>
    <t>(=) Utilidad antes imptos</t>
  </si>
  <si>
    <t>(=) Utilidad Neta</t>
  </si>
  <si>
    <t>LOCAL</t>
  </si>
  <si>
    <t>360 d</t>
  </si>
  <si>
    <t>8h</t>
  </si>
  <si>
    <t>8 obre</t>
  </si>
  <si>
    <t>Activo circulante</t>
  </si>
  <si>
    <t>Caja, Banco</t>
  </si>
  <si>
    <t>Valores e inversiones</t>
  </si>
  <si>
    <t>Activo fijo</t>
  </si>
  <si>
    <t>Equipo de producción</t>
  </si>
  <si>
    <t>Equipo de oficinas y ventas</t>
  </si>
  <si>
    <t>Terreno y obra civil</t>
  </si>
  <si>
    <t>Activo diferido</t>
  </si>
  <si>
    <t>Total de Activos</t>
  </si>
  <si>
    <t>Pasivo Circulante</t>
  </si>
  <si>
    <t>Sueldos, deudores, impuestos</t>
  </si>
  <si>
    <t>Préstamo a diez años</t>
  </si>
  <si>
    <t>CAPITAL</t>
  </si>
  <si>
    <t>Capital social</t>
  </si>
  <si>
    <t>Pasivo + Capital</t>
  </si>
  <si>
    <t>PASIVO</t>
  </si>
  <si>
    <t>Inversión</t>
  </si>
  <si>
    <t>Flujo 1</t>
  </si>
  <si>
    <t>Flujo 2</t>
  </si>
  <si>
    <t>Flujo 3</t>
  </si>
  <si>
    <t>Flujo 4</t>
  </si>
  <si>
    <t>Flujo 5</t>
  </si>
  <si>
    <t>Flujo 6</t>
  </si>
  <si>
    <t>Flujo 7</t>
  </si>
  <si>
    <t>Flujo 8</t>
  </si>
  <si>
    <t>Flujo 9</t>
  </si>
  <si>
    <t>Flujo 10</t>
  </si>
  <si>
    <t>Flujo 11</t>
  </si>
  <si>
    <t>Flujo 12</t>
  </si>
  <si>
    <t>Flujo 13</t>
  </si>
  <si>
    <t>B/C</t>
  </si>
  <si>
    <t>Valores descontado</t>
  </si>
  <si>
    <t>Acumulado</t>
  </si>
  <si>
    <t>Períodos</t>
  </si>
  <si>
    <t>Años productivos</t>
  </si>
  <si>
    <t>Producción (#)</t>
  </si>
  <si>
    <t xml:space="preserve">Precio USD </t>
  </si>
  <si>
    <t>Produccion (#)</t>
  </si>
  <si>
    <t>tostada con sal</t>
  </si>
  <si>
    <t>Precio USD</t>
  </si>
  <si>
    <t>Generación de</t>
  </si>
  <si>
    <t>Divisas</t>
  </si>
  <si>
    <t>entera sin cáscara</t>
  </si>
  <si>
    <t>presentac.</t>
  </si>
  <si>
    <t>Generación de empleo</t>
  </si>
  <si>
    <t>Jornales</t>
  </si>
  <si>
    <t>Empleos fijos</t>
  </si>
  <si>
    <t>Fijos</t>
  </si>
  <si>
    <t>Sueldos y salarios</t>
  </si>
  <si>
    <t>Materia prima y otros materiales</t>
  </si>
  <si>
    <t>Depreciacion, amortización y</t>
  </si>
  <si>
    <t>mantenimiento</t>
  </si>
  <si>
    <t>Gastos de oficina y otros</t>
  </si>
  <si>
    <t>Gastos financieros</t>
  </si>
  <si>
    <t>Utilidad neta del período</t>
  </si>
  <si>
    <t>Valor agregado</t>
  </si>
  <si>
    <t>Valor bruto de</t>
  </si>
  <si>
    <t>la producción</t>
  </si>
  <si>
    <t>Ingreso generado</t>
  </si>
  <si>
    <t>Neto</t>
  </si>
  <si>
    <t>Compras a</t>
  </si>
  <si>
    <t>terceros</t>
  </si>
  <si>
    <t>Total USD</t>
  </si>
  <si>
    <t>Gastos y costos fijos</t>
  </si>
  <si>
    <t>DESCRIPCION</t>
  </si>
  <si>
    <t>SUMAN</t>
  </si>
  <si>
    <t>GASTOS FINANCIEROS</t>
  </si>
  <si>
    <t xml:space="preserve"> </t>
  </si>
  <si>
    <t>COSTO TOTAL</t>
  </si>
  <si>
    <t>COSTO FIJO</t>
  </si>
  <si>
    <t>COSTO VARIABLE</t>
  </si>
  <si>
    <t>MATERIALES DIRECTOS</t>
  </si>
  <si>
    <t>MANO DE OBRA DIRECTA</t>
  </si>
  <si>
    <t xml:space="preserve">              PUNTO DE EQUILIBRIO =</t>
  </si>
  <si>
    <t>CARGA OPERACIONAL</t>
  </si>
  <si>
    <t>(Valores en dólares)</t>
  </si>
  <si>
    <t>PUNTO DE EQUILIBRIO = ----------------------------------------------- x 100%</t>
  </si>
  <si>
    <t>PUNTO DE EQUILIBRIO = -------------------------------------------- x 100%</t>
  </si>
  <si>
    <t xml:space="preserve">                                                   VENTAS - COSTO VARIABLE</t>
  </si>
  <si>
    <t>VENTAS</t>
  </si>
  <si>
    <t>P.E</t>
  </si>
  <si>
    <t>PORCT.</t>
  </si>
  <si>
    <t>CF - CV</t>
  </si>
  <si>
    <t xml:space="preserve">   MANO DE OBRA INDIRECTA</t>
  </si>
  <si>
    <t xml:space="preserve">   MATERIALES INDIRECTOS</t>
  </si>
  <si>
    <t xml:space="preserve">   DEPRECIACION</t>
  </si>
  <si>
    <t xml:space="preserve">   IMPREVISTOS</t>
  </si>
  <si>
    <t xml:space="preserve">   SEGUROS Y MANTENIMIENTO</t>
  </si>
  <si>
    <t xml:space="preserve">   SUMINISTROS Y SERVICIOS</t>
  </si>
  <si>
    <t xml:space="preserve">   PUBLICIDAD</t>
  </si>
  <si>
    <t>CALCULO DEL PUNTO EQUILIBRIO - QUINTO AÑO</t>
  </si>
  <si>
    <t>Producción</t>
  </si>
  <si>
    <t>C Variables</t>
  </si>
  <si>
    <t>DEPRECIAC.</t>
  </si>
  <si>
    <t xml:space="preserve">ANEXO </t>
  </si>
  <si>
    <t>Cantidad1</t>
  </si>
  <si>
    <t>Precio1</t>
  </si>
  <si>
    <t>Cantidad2</t>
  </si>
  <si>
    <t>Precio2</t>
  </si>
  <si>
    <t>Costo variable</t>
  </si>
  <si>
    <t>Gasto adm y de vta.</t>
  </si>
  <si>
    <t>Ingresos por ventas</t>
  </si>
  <si>
    <t>Amortización intag.</t>
  </si>
  <si>
    <t>Part. Trabajadores</t>
  </si>
  <si>
    <t>Impto. a la renta</t>
  </si>
  <si>
    <t>Inversión de cap. Trabajo</t>
  </si>
  <si>
    <t>Crecimiento porcentual anual</t>
  </si>
  <si>
    <t>1 kilo</t>
  </si>
  <si>
    <t>35.6 onzas</t>
  </si>
  <si>
    <t>Ventas</t>
  </si>
  <si>
    <t>Terreno (Ha) 50</t>
  </si>
  <si>
    <t>P.E.= 74.54%</t>
  </si>
  <si>
    <t>220,721-75,565</t>
  </si>
  <si>
    <t>Demanda global mensual en libras</t>
  </si>
  <si>
    <t>PROYECCIÓN DE LA DEMANDA</t>
  </si>
  <si>
    <t>CANTIDAD</t>
  </si>
  <si>
    <t xml:space="preserve">Demanda global mensual </t>
  </si>
  <si>
    <t>Libras</t>
  </si>
  <si>
    <t>Kilos</t>
  </si>
  <si>
    <t>Demanda  Anual</t>
  </si>
  <si>
    <t>*3,5%</t>
  </si>
  <si>
    <t>Bco Central</t>
  </si>
  <si>
    <t>Crec. Del cultivo</t>
  </si>
  <si>
    <t>Demanda local de macadamia segun via lactea 10%</t>
  </si>
  <si>
    <t>RENDIMIENTO EN KILOS POR HECTAREA DE NUEZ DE CONCHA</t>
  </si>
  <si>
    <t>RENDIMIENTO EN KILOS POR HECTÁREA DE NUEZ EN CONCHA</t>
  </si>
  <si>
    <t>Cajitas de 8 onz</t>
  </si>
  <si>
    <t>Precio 1</t>
  </si>
  <si>
    <t>Precio 2</t>
  </si>
  <si>
    <t>RUBRO</t>
  </si>
  <si>
    <t xml:space="preserve">COSTO ANUAL DE MATERIALES INDIRECTOS </t>
  </si>
  <si>
    <t>Cajas de Cartón (rejas) de 25 kg</t>
  </si>
  <si>
    <t>DETALLE</t>
  </si>
  <si>
    <t>FINANCIAMIENTO</t>
  </si>
  <si>
    <t>PROPIO</t>
  </si>
  <si>
    <t>DE TERCEROS</t>
  </si>
  <si>
    <t>FLUJO</t>
  </si>
  <si>
    <t>INTERÉS NOMINAL SEMEST.</t>
  </si>
  <si>
    <t>CRÉDITO DE LARGO PLAZO (USD)</t>
  </si>
  <si>
    <t>UTILIDAD (PÉRDIDA) NETA</t>
  </si>
  <si>
    <t>UTILIDAD (PÉRDIDA) ANTES IMP. RENTA</t>
  </si>
  <si>
    <t>UTILIDAD (PÉRDIDA) ANTES PARTICIP.</t>
  </si>
  <si>
    <t>Pasivo Largo Plazo</t>
  </si>
  <si>
    <t>PERÍODO 1</t>
  </si>
  <si>
    <t>Egresos</t>
  </si>
  <si>
    <t>Saldos</t>
  </si>
  <si>
    <t>Saldos acum.</t>
  </si>
  <si>
    <t>PERÍODO 2</t>
  </si>
  <si>
    <t>PERÍODO 3</t>
  </si>
  <si>
    <t>PERÍODO 4</t>
  </si>
  <si>
    <t>PERÍODO 5</t>
  </si>
  <si>
    <t>Pago de Capital</t>
  </si>
  <si>
    <t>PAGO</t>
  </si>
  <si>
    <t>INTERESES</t>
  </si>
  <si>
    <t>ABONO</t>
  </si>
  <si>
    <t>SALDO</t>
  </si>
  <si>
    <t>INVERSIÓN INICIAL EN ACTIVOS FIJO Y DIFERIDO</t>
  </si>
  <si>
    <t xml:space="preserve">,,,,,,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</si>
  <si>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427,229/189,154</t>
  </si>
  <si>
    <t>por 3000</t>
  </si>
  <si>
    <t>arbol por H</t>
  </si>
  <si>
    <t>Kg por arbol</t>
  </si>
  <si>
    <t>cajitas de produccion</t>
  </si>
  <si>
    <t>por hectarea</t>
  </si>
  <si>
    <t>preparacion</t>
  </si>
  <si>
    <t>crecimiento anual</t>
  </si>
  <si>
    <t>segun crecim anual produccion</t>
  </si>
  <si>
    <t>costo sal y benzoato</t>
  </si>
  <si>
    <t>1% sobre ventas</t>
  </si>
  <si>
    <t>6% sobre ventas</t>
  </si>
  <si>
    <t>precio cajas distrib por produc.</t>
  </si>
  <si>
    <t>fuente ing agronomo</t>
  </si>
  <si>
    <t>activos intangibles</t>
  </si>
  <si>
    <t>salarios administr.</t>
  </si>
  <si>
    <t>costo ventas</t>
  </si>
  <si>
    <t>de la produccion</t>
  </si>
  <si>
    <t>menos depreciac y amortiza</t>
  </si>
  <si>
    <t>metodo economico</t>
  </si>
  <si>
    <t>cubrir costos normal producc</t>
  </si>
  <si>
    <t>entradas y salidas de dinero del proyecto</t>
  </si>
  <si>
    <t xml:space="preserve">depreciacion constante porque como no se reinvierte los activos porque se castiga el proyecto 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</si>
</sst>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"/>
    <numFmt numFmtId="194" formatCode="#,##0.0"/>
    <numFmt numFmtId="195" formatCode="&quot;$&quot;#,##0.00"/>
    <numFmt numFmtId="196" formatCode="&quot;$&quot;#,##0"/>
    <numFmt numFmtId="197" formatCode="0.0%"/>
    <numFmt numFmtId="198" formatCode="[$$-409]#,##0"/>
    <numFmt numFmtId="199" formatCode="&quot;$&quot;#,##0.000000"/>
    <numFmt numFmtId="200" formatCode="#,##0.000"/>
    <numFmt numFmtId="201" formatCode="#,##0.0000"/>
    <numFmt numFmtId="202" formatCode="#,##0.00000"/>
    <numFmt numFmtId="203" formatCode="0.000%"/>
    <numFmt numFmtId="204" formatCode="0.0000%"/>
    <numFmt numFmtId="205" formatCode="0.0000000"/>
    <numFmt numFmtId="206" formatCode="0.000000"/>
    <numFmt numFmtId="207" formatCode="0.00000"/>
    <numFmt numFmtId="208" formatCode="0.0000"/>
    <numFmt numFmtId="209" formatCode="&quot;$&quot;#,##0.0"/>
    <numFmt numFmtId="210" formatCode="#,##0.000000"/>
    <numFmt numFmtId="211" formatCode="#,##0.000000000"/>
    <numFmt numFmtId="212" formatCode="#,##0.00000000"/>
    <numFmt numFmtId="213" formatCode="#,##0.000000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52"/>
      <name val="Bauhaus 93"/>
      <family val="5"/>
    </font>
    <font>
      <i/>
      <sz val="10"/>
      <name val="Arial"/>
      <family val="2"/>
    </font>
    <font>
      <b/>
      <sz val="8"/>
      <name val="Arial"/>
      <family val="2"/>
    </font>
    <font>
      <sz val="11"/>
      <name val="Century Gothic"/>
      <family val="2"/>
    </font>
    <font>
      <b/>
      <sz val="11"/>
      <color indexed="37"/>
      <name val="Century Gothic"/>
      <family val="2"/>
    </font>
    <font>
      <b/>
      <sz val="11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b/>
      <sz val="18"/>
      <name val="Century Gothic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11.75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49"/>
      <name val="Arial"/>
      <family val="0"/>
    </font>
    <font>
      <sz val="10"/>
      <color indexed="21"/>
      <name val="Arial"/>
      <family val="0"/>
    </font>
    <font>
      <sz val="16"/>
      <name val="Arial"/>
      <family val="2"/>
    </font>
    <font>
      <sz val="10"/>
      <color indexed="60"/>
      <name val="Arial"/>
      <family val="0"/>
    </font>
    <font>
      <sz val="14"/>
      <color indexed="60"/>
      <name val="Arial"/>
      <family val="2"/>
    </font>
    <font>
      <sz val="11"/>
      <color indexed="60"/>
      <name val="Century Gothic"/>
      <family val="2"/>
    </font>
    <font>
      <sz val="12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/>
      <right>
        <color indexed="63"/>
      </right>
      <top style="medium">
        <color indexed="39"/>
      </top>
      <bottom>
        <color indexed="63"/>
      </bottom>
    </border>
    <border>
      <left style="thin"/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 style="thin"/>
      <right style="medium">
        <color indexed="39"/>
      </right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/>
      <right>
        <color indexed="63"/>
      </right>
      <top>
        <color indexed="63"/>
      </top>
      <bottom style="medium">
        <color indexed="39"/>
      </bottom>
    </border>
    <border>
      <left style="thin"/>
      <right style="medium">
        <color indexed="39"/>
      </right>
      <top>
        <color indexed="63"/>
      </top>
      <bottom style="medium">
        <color indexed="39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1" applyNumberFormat="0" applyAlignment="0" applyProtection="0"/>
    <xf numFmtId="0" fontId="44" fillId="1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9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16" borderId="1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2" fillId="16" borderId="19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16" borderId="19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24" xfId="0" applyNumberFormat="1" applyBorder="1" applyAlignment="1">
      <alignment horizontal="center"/>
    </xf>
    <xf numFmtId="9" fontId="0" fillId="0" borderId="0" xfId="0" applyNumberFormat="1" applyAlignment="1">
      <alignment/>
    </xf>
    <xf numFmtId="2" fontId="6" fillId="0" borderId="30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10" fontId="6" fillId="0" borderId="34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3" fontId="0" fillId="24" borderId="14" xfId="0" applyNumberForma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195" fontId="0" fillId="24" borderId="14" xfId="0" applyNumberFormat="1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/>
    </xf>
    <xf numFmtId="0" fontId="0" fillId="24" borderId="34" xfId="0" applyFill="1" applyBorder="1" applyAlignment="1">
      <alignment horizontal="center"/>
    </xf>
    <xf numFmtId="0" fontId="2" fillId="24" borderId="37" xfId="0" applyFont="1" applyFill="1" applyBorder="1" applyAlignment="1">
      <alignment/>
    </xf>
    <xf numFmtId="0" fontId="0" fillId="24" borderId="22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0" borderId="30" xfId="0" applyFont="1" applyBorder="1" applyAlignment="1">
      <alignment horizontal="center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justify" vertical="top" wrapText="1"/>
    </xf>
    <xf numFmtId="0" fontId="12" fillId="0" borderId="41" xfId="0" applyFont="1" applyBorder="1" applyAlignment="1">
      <alignment horizontal="justify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0" fontId="9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justify" vertical="top" wrapText="1"/>
    </xf>
    <xf numFmtId="0" fontId="9" fillId="0" borderId="43" xfId="0" applyFont="1" applyBorder="1" applyAlignment="1">
      <alignment horizontal="center" vertical="top" wrapText="1"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25" borderId="46" xfId="0" applyFill="1" applyBorder="1" applyAlignment="1">
      <alignment/>
    </xf>
    <xf numFmtId="0" fontId="0" fillId="26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24" xfId="0" applyFill="1" applyBorder="1" applyAlignment="1">
      <alignment/>
    </xf>
    <xf numFmtId="0" fontId="0" fillId="26" borderId="37" xfId="0" applyFill="1" applyBorder="1" applyAlignment="1">
      <alignment/>
    </xf>
    <xf numFmtId="0" fontId="0" fillId="25" borderId="22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2" fillId="24" borderId="51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195" fontId="0" fillId="24" borderId="13" xfId="0" applyNumberFormat="1" applyFill="1" applyBorder="1" applyAlignment="1">
      <alignment horizontal="center"/>
    </xf>
    <xf numFmtId="195" fontId="0" fillId="24" borderId="52" xfId="0" applyNumberFormat="1" applyFill="1" applyBorder="1" applyAlignment="1">
      <alignment horizontal="center"/>
    </xf>
    <xf numFmtId="195" fontId="0" fillId="24" borderId="19" xfId="0" applyNumberForma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4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5" borderId="38" xfId="0" applyFill="1" applyBorder="1" applyAlignment="1">
      <alignment horizontal="center" vertical="center"/>
    </xf>
    <xf numFmtId="0" fontId="0" fillId="25" borderId="38" xfId="0" applyFill="1" applyBorder="1" applyAlignment="1">
      <alignment vertical="center"/>
    </xf>
    <xf numFmtId="0" fontId="0" fillId="24" borderId="14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2" fontId="0" fillId="24" borderId="36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24" borderId="37" xfId="0" applyNumberFormat="1" applyFill="1" applyBorder="1" applyAlignment="1">
      <alignment horizontal="center"/>
    </xf>
    <xf numFmtId="2" fontId="0" fillId="24" borderId="34" xfId="0" applyNumberFormat="1" applyFill="1" applyBorder="1" applyAlignment="1">
      <alignment horizontal="center"/>
    </xf>
    <xf numFmtId="0" fontId="0" fillId="24" borderId="64" xfId="0" applyFill="1" applyBorder="1" applyAlignment="1">
      <alignment/>
    </xf>
    <xf numFmtId="0" fontId="0" fillId="24" borderId="65" xfId="0" applyFill="1" applyBorder="1" applyAlignment="1">
      <alignment/>
    </xf>
    <xf numFmtId="0" fontId="2" fillId="24" borderId="22" xfId="0" applyFont="1" applyFill="1" applyBorder="1" applyAlignment="1">
      <alignment/>
    </xf>
    <xf numFmtId="0" fontId="0" fillId="0" borderId="64" xfId="0" applyBorder="1" applyAlignment="1">
      <alignment/>
    </xf>
    <xf numFmtId="198" fontId="0" fillId="24" borderId="14" xfId="0" applyNumberFormat="1" applyFill="1" applyBorder="1" applyAlignment="1">
      <alignment/>
    </xf>
    <xf numFmtId="198" fontId="2" fillId="24" borderId="36" xfId="0" applyNumberFormat="1" applyFont="1" applyFill="1" applyBorder="1" applyAlignment="1">
      <alignment/>
    </xf>
    <xf numFmtId="198" fontId="0" fillId="24" borderId="37" xfId="0" applyNumberFormat="1" applyFill="1" applyBorder="1" applyAlignment="1">
      <alignment/>
    </xf>
    <xf numFmtId="198" fontId="2" fillId="24" borderId="34" xfId="0" applyNumberFormat="1" applyFont="1" applyFill="1" applyBorder="1" applyAlignment="1">
      <alignment/>
    </xf>
    <xf numFmtId="198" fontId="2" fillId="24" borderId="37" xfId="0" applyNumberFormat="1" applyFont="1" applyFill="1" applyBorder="1" applyAlignment="1">
      <alignment/>
    </xf>
    <xf numFmtId="196" fontId="0" fillId="0" borderId="0" xfId="0" applyNumberFormat="1" applyAlignment="1">
      <alignment/>
    </xf>
    <xf numFmtId="195" fontId="0" fillId="0" borderId="0" xfId="0" applyNumberFormat="1" applyAlignment="1">
      <alignment/>
    </xf>
    <xf numFmtId="196" fontId="14" fillId="0" borderId="0" xfId="0" applyNumberFormat="1" applyFont="1" applyAlignment="1">
      <alignment/>
    </xf>
    <xf numFmtId="0" fontId="0" fillId="24" borderId="0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4" xfId="0" applyFill="1" applyBorder="1" applyAlignment="1">
      <alignment/>
    </xf>
    <xf numFmtId="0" fontId="2" fillId="24" borderId="34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0" fillId="24" borderId="66" xfId="0" applyFill="1" applyBorder="1" applyAlignment="1">
      <alignment/>
    </xf>
    <xf numFmtId="196" fontId="0" fillId="24" borderId="36" xfId="0" applyNumberFormat="1" applyFill="1" applyBorder="1" applyAlignment="1">
      <alignment horizontal="center"/>
    </xf>
    <xf numFmtId="195" fontId="0" fillId="24" borderId="37" xfId="0" applyNumberFormat="1" applyFill="1" applyBorder="1" applyAlignment="1">
      <alignment horizontal="right"/>
    </xf>
    <xf numFmtId="195" fontId="0" fillId="24" borderId="37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195" fontId="0" fillId="24" borderId="22" xfId="0" applyNumberFormat="1" applyFill="1" applyBorder="1" applyAlignment="1">
      <alignment horizontal="right"/>
    </xf>
    <xf numFmtId="0" fontId="0" fillId="24" borderId="65" xfId="0" applyFill="1" applyBorder="1" applyAlignment="1">
      <alignment horizontal="center"/>
    </xf>
    <xf numFmtId="195" fontId="0" fillId="24" borderId="64" xfId="0" applyNumberFormat="1" applyFill="1" applyBorder="1" applyAlignment="1">
      <alignment horizontal="right"/>
    </xf>
    <xf numFmtId="0" fontId="2" fillId="24" borderId="16" xfId="0" applyFont="1" applyFill="1" applyBorder="1" applyAlignment="1">
      <alignment horizontal="left"/>
    </xf>
    <xf numFmtId="0" fontId="2" fillId="24" borderId="45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195" fontId="0" fillId="24" borderId="18" xfId="0" applyNumberFormat="1" applyFill="1" applyBorder="1" applyAlignment="1">
      <alignment horizontal="right"/>
    </xf>
    <xf numFmtId="0" fontId="0" fillId="24" borderId="67" xfId="0" applyFill="1" applyBorder="1" applyAlignment="1">
      <alignment/>
    </xf>
    <xf numFmtId="195" fontId="0" fillId="24" borderId="68" xfId="0" applyNumberFormat="1" applyFill="1" applyBorder="1" applyAlignment="1">
      <alignment horizontal="right"/>
    </xf>
    <xf numFmtId="0" fontId="0" fillId="24" borderId="63" xfId="0" applyFill="1" applyBorder="1" applyAlignment="1">
      <alignment/>
    </xf>
    <xf numFmtId="195" fontId="0" fillId="24" borderId="35" xfId="0" applyNumberFormat="1" applyFill="1" applyBorder="1" applyAlignment="1">
      <alignment horizontal="right"/>
    </xf>
    <xf numFmtId="195" fontId="2" fillId="24" borderId="19" xfId="0" applyNumberFormat="1" applyFont="1" applyFill="1" applyBorder="1" applyAlignment="1">
      <alignment horizontal="right"/>
    </xf>
    <xf numFmtId="195" fontId="0" fillId="24" borderId="35" xfId="0" applyNumberFormat="1" applyFill="1" applyBorder="1" applyAlignment="1">
      <alignment/>
    </xf>
    <xf numFmtId="195" fontId="2" fillId="24" borderId="24" xfId="0" applyNumberFormat="1" applyFont="1" applyFill="1" applyBorder="1" applyAlignment="1">
      <alignment/>
    </xf>
    <xf numFmtId="195" fontId="0" fillId="24" borderId="22" xfId="0" applyNumberFormat="1" applyFill="1" applyBorder="1" applyAlignment="1">
      <alignment/>
    </xf>
    <xf numFmtId="195" fontId="0" fillId="24" borderId="18" xfId="0" applyNumberFormat="1" applyFill="1" applyBorder="1" applyAlignment="1">
      <alignment/>
    </xf>
    <xf numFmtId="195" fontId="0" fillId="24" borderId="30" xfId="0" applyNumberFormat="1" applyFill="1" applyBorder="1" applyAlignment="1">
      <alignment/>
    </xf>
    <xf numFmtId="195" fontId="2" fillId="24" borderId="3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0" xfId="0" applyBorder="1" applyAlignment="1">
      <alignment/>
    </xf>
    <xf numFmtId="0" fontId="2" fillId="25" borderId="30" xfId="0" applyFont="1" applyFill="1" applyBorder="1" applyAlignment="1">
      <alignment horizontal="center"/>
    </xf>
    <xf numFmtId="0" fontId="2" fillId="24" borderId="64" xfId="0" applyFont="1" applyFill="1" applyBorder="1" applyAlignment="1">
      <alignment horizontal="center"/>
    </xf>
    <xf numFmtId="0" fontId="2" fillId="24" borderId="65" xfId="0" applyFont="1" applyFill="1" applyBorder="1" applyAlignment="1">
      <alignment horizontal="center"/>
    </xf>
    <xf numFmtId="3" fontId="0" fillId="24" borderId="14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3" fontId="0" fillId="24" borderId="65" xfId="0" applyNumberFormat="1" applyFill="1" applyBorder="1" applyAlignment="1">
      <alignment/>
    </xf>
    <xf numFmtId="3" fontId="0" fillId="24" borderId="36" xfId="0" applyNumberFormat="1" applyFill="1" applyBorder="1" applyAlignment="1">
      <alignment/>
    </xf>
    <xf numFmtId="3" fontId="0" fillId="24" borderId="34" xfId="0" applyNumberFormat="1" applyFill="1" applyBorder="1" applyAlignment="1">
      <alignment/>
    </xf>
    <xf numFmtId="195" fontId="0" fillId="0" borderId="30" xfId="0" applyNumberFormat="1" applyBorder="1" applyAlignment="1">
      <alignment/>
    </xf>
    <xf numFmtId="0" fontId="10" fillId="24" borderId="22" xfId="0" applyFont="1" applyFill="1" applyBorder="1" applyAlignment="1">
      <alignment horizontal="center"/>
    </xf>
    <xf numFmtId="0" fontId="10" fillId="24" borderId="30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4" xfId="0" applyFont="1" applyFill="1" applyBorder="1" applyAlignment="1">
      <alignment horizontal="center"/>
    </xf>
    <xf numFmtId="0" fontId="9" fillId="24" borderId="36" xfId="0" applyFont="1" applyFill="1" applyBorder="1" applyAlignment="1">
      <alignment horizontal="center"/>
    </xf>
    <xf numFmtId="0" fontId="9" fillId="24" borderId="37" xfId="0" applyFont="1" applyFill="1" applyBorder="1" applyAlignment="1">
      <alignment/>
    </xf>
    <xf numFmtId="0" fontId="9" fillId="24" borderId="37" xfId="0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0" fontId="10" fillId="24" borderId="37" xfId="0" applyFont="1" applyFill="1" applyBorder="1" applyAlignment="1">
      <alignment/>
    </xf>
    <xf numFmtId="0" fontId="10" fillId="24" borderId="37" xfId="0" applyFont="1" applyFill="1" applyBorder="1" applyAlignment="1">
      <alignment horizontal="center"/>
    </xf>
    <xf numFmtId="0" fontId="10" fillId="24" borderId="34" xfId="0" applyFont="1" applyFill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10" fontId="6" fillId="0" borderId="65" xfId="0" applyNumberFormat="1" applyFont="1" applyBorder="1" applyAlignment="1">
      <alignment horizontal="center"/>
    </xf>
    <xf numFmtId="4" fontId="6" fillId="0" borderId="65" xfId="0" applyNumberFormat="1" applyFont="1" applyBorder="1" applyAlignment="1">
      <alignment horizontal="center"/>
    </xf>
    <xf numFmtId="4" fontId="6" fillId="0" borderId="68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4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69" xfId="0" applyBorder="1" applyAlignment="1">
      <alignment/>
    </xf>
    <xf numFmtId="0" fontId="0" fillId="0" borderId="40" xfId="0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99" fontId="0" fillId="0" borderId="0" xfId="0" applyNumberFormat="1" applyAlignment="1">
      <alignment/>
    </xf>
    <xf numFmtId="3" fontId="2" fillId="24" borderId="37" xfId="0" applyNumberFormat="1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0" fillId="24" borderId="30" xfId="0" applyFill="1" applyBorder="1" applyAlignment="1">
      <alignment/>
    </xf>
    <xf numFmtId="9" fontId="0" fillId="24" borderId="34" xfId="0" applyNumberFormat="1" applyFill="1" applyBorder="1" applyAlignment="1">
      <alignment/>
    </xf>
    <xf numFmtId="0" fontId="0" fillId="24" borderId="22" xfId="0" applyFill="1" applyBorder="1" applyAlignment="1">
      <alignment horizontal="center"/>
    </xf>
    <xf numFmtId="0" fontId="4" fillId="24" borderId="14" xfId="0" applyFont="1" applyFill="1" applyBorder="1" applyAlignment="1">
      <alignment/>
    </xf>
    <xf numFmtId="3" fontId="0" fillId="24" borderId="36" xfId="0" applyNumberFormat="1" applyFill="1" applyBorder="1" applyAlignment="1">
      <alignment horizontal="center"/>
    </xf>
    <xf numFmtId="196" fontId="2" fillId="24" borderId="3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9" fillId="24" borderId="14" xfId="0" applyNumberFormat="1" applyFont="1" applyFill="1" applyBorder="1" applyAlignment="1">
      <alignment horizontal="center"/>
    </xf>
    <xf numFmtId="3" fontId="9" fillId="24" borderId="37" xfId="0" applyNumberFormat="1" applyFont="1" applyFill="1" applyBorder="1" applyAlignment="1">
      <alignment horizontal="center"/>
    </xf>
    <xf numFmtId="192" fontId="9" fillId="0" borderId="0" xfId="0" applyNumberFormat="1" applyFont="1" applyAlignment="1">
      <alignment/>
    </xf>
    <xf numFmtId="0" fontId="10" fillId="24" borderId="64" xfId="0" applyFont="1" applyFill="1" applyBorder="1" applyAlignment="1">
      <alignment horizontal="center"/>
    </xf>
    <xf numFmtId="0" fontId="10" fillId="24" borderId="65" xfId="0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196" fontId="9" fillId="24" borderId="36" xfId="0" applyNumberFormat="1" applyFont="1" applyFill="1" applyBorder="1" applyAlignment="1">
      <alignment horizontal="center"/>
    </xf>
    <xf numFmtId="2" fontId="9" fillId="24" borderId="37" xfId="0" applyNumberFormat="1" applyFont="1" applyFill="1" applyBorder="1" applyAlignment="1">
      <alignment horizontal="center"/>
    </xf>
    <xf numFmtId="196" fontId="9" fillId="24" borderId="34" xfId="0" applyNumberFormat="1" applyFont="1" applyFill="1" applyBorder="1" applyAlignment="1">
      <alignment horizontal="center"/>
    </xf>
    <xf numFmtId="3" fontId="10" fillId="24" borderId="30" xfId="0" applyNumberFormat="1" applyFont="1" applyFill="1" applyBorder="1" applyAlignment="1">
      <alignment horizontal="center"/>
    </xf>
    <xf numFmtId="196" fontId="10" fillId="24" borderId="30" xfId="0" applyNumberFormat="1" applyFont="1" applyFill="1" applyBorder="1" applyAlignment="1">
      <alignment horizontal="center"/>
    </xf>
    <xf numFmtId="3" fontId="0" fillId="24" borderId="34" xfId="0" applyNumberFormat="1" applyFill="1" applyBorder="1" applyAlignment="1">
      <alignment horizontal="center"/>
    </xf>
    <xf numFmtId="3" fontId="2" fillId="24" borderId="37" xfId="0" applyNumberFormat="1" applyFont="1" applyFill="1" applyBorder="1" applyAlignment="1">
      <alignment horizontal="center"/>
    </xf>
    <xf numFmtId="3" fontId="2" fillId="24" borderId="34" xfId="0" applyNumberFormat="1" applyFont="1" applyFill="1" applyBorder="1" applyAlignment="1">
      <alignment horizontal="center"/>
    </xf>
    <xf numFmtId="9" fontId="0" fillId="24" borderId="65" xfId="0" applyNumberFormat="1" applyFill="1" applyBorder="1" applyAlignment="1">
      <alignment/>
    </xf>
    <xf numFmtId="9" fontId="0" fillId="24" borderId="36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0" xfId="0" applyNumberFormat="1" applyFill="1" applyBorder="1" applyAlignment="1">
      <alignment/>
    </xf>
    <xf numFmtId="0" fontId="1" fillId="19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3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3" fontId="16" fillId="0" borderId="36" xfId="49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6" fillId="0" borderId="14" xfId="49" applyNumberFormat="1" applyFont="1" applyBorder="1" applyAlignment="1">
      <alignment horizontal="right"/>
    </xf>
    <xf numFmtId="3" fontId="16" fillId="0" borderId="36" xfId="0" applyNumberFormat="1" applyFont="1" applyBorder="1" applyAlignment="1">
      <alignment horizontal="right"/>
    </xf>
    <xf numFmtId="3" fontId="16" fillId="0" borderId="66" xfId="49" applyNumberFormat="1" applyFont="1" applyBorder="1" applyAlignment="1">
      <alignment horizontal="right"/>
    </xf>
    <xf numFmtId="0" fontId="16" fillId="0" borderId="36" xfId="0" applyFont="1" applyBorder="1" applyAlignment="1">
      <alignment horizontal="left"/>
    </xf>
    <xf numFmtId="3" fontId="16" fillId="0" borderId="0" xfId="49" applyNumberFormat="1" applyFont="1" applyBorder="1" applyAlignment="1">
      <alignment horizontal="right"/>
    </xf>
    <xf numFmtId="0" fontId="16" fillId="0" borderId="34" xfId="0" applyFont="1" applyBorder="1" applyAlignment="1">
      <alignment horizontal="center"/>
    </xf>
    <xf numFmtId="3" fontId="16" fillId="0" borderId="49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3" fontId="16" fillId="0" borderId="50" xfId="0" applyNumberFormat="1" applyFont="1" applyBorder="1" applyAlignment="1">
      <alignment horizontal="right"/>
    </xf>
    <xf numFmtId="0" fontId="20" fillId="0" borderId="34" xfId="0" applyFont="1" applyBorder="1" applyAlignment="1">
      <alignment horizontal="center"/>
    </xf>
    <xf numFmtId="3" fontId="18" fillId="0" borderId="49" xfId="49" applyNumberFormat="1" applyFont="1" applyBorder="1" applyAlignment="1">
      <alignment horizontal="right"/>
    </xf>
    <xf numFmtId="3" fontId="18" fillId="0" borderId="34" xfId="49" applyNumberFormat="1" applyFont="1" applyBorder="1" applyAlignment="1">
      <alignment horizontal="right"/>
    </xf>
    <xf numFmtId="3" fontId="18" fillId="0" borderId="50" xfId="49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3" fontId="16" fillId="0" borderId="0" xfId="49" applyNumberFormat="1" applyFont="1" applyBorder="1" applyAlignment="1">
      <alignment horizontal="center"/>
    </xf>
    <xf numFmtId="189" fontId="16" fillId="0" borderId="0" xfId="49" applyFont="1" applyAlignment="1">
      <alignment horizontal="center"/>
    </xf>
    <xf numFmtId="191" fontId="16" fillId="0" borderId="0" xfId="48" applyFont="1" applyAlignment="1">
      <alignment horizontal="center"/>
    </xf>
    <xf numFmtId="0" fontId="16" fillId="0" borderId="0" xfId="0" applyFont="1" applyAlignment="1" quotePrefix="1">
      <alignment horizontal="right"/>
    </xf>
    <xf numFmtId="2" fontId="16" fillId="0" borderId="0" xfId="0" applyNumberFormat="1" applyFont="1" applyAlignment="1" quotePrefix="1">
      <alignment horizontal="right"/>
    </xf>
    <xf numFmtId="3" fontId="16" fillId="0" borderId="36" xfId="0" applyNumberFormat="1" applyFont="1" applyBorder="1" applyAlignment="1">
      <alignment/>
    </xf>
    <xf numFmtId="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6" fillId="24" borderId="64" xfId="0" applyFont="1" applyFill="1" applyBorder="1" applyAlignment="1">
      <alignment/>
    </xf>
    <xf numFmtId="0" fontId="5" fillId="24" borderId="22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4" borderId="22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3" fontId="6" fillId="24" borderId="14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10" fontId="6" fillId="24" borderId="14" xfId="0" applyNumberFormat="1" applyFont="1" applyFill="1" applyBorder="1" applyAlignment="1">
      <alignment horizontal="center"/>
    </xf>
    <xf numFmtId="10" fontId="6" fillId="24" borderId="36" xfId="0" applyNumberFormat="1" applyFont="1" applyFill="1" applyBorder="1" applyAlignment="1">
      <alignment horizontal="center"/>
    </xf>
    <xf numFmtId="0" fontId="6" fillId="24" borderId="37" xfId="0" applyFont="1" applyFill="1" applyBorder="1" applyAlignment="1">
      <alignment/>
    </xf>
    <xf numFmtId="3" fontId="6" fillId="24" borderId="37" xfId="0" applyNumberFormat="1" applyFont="1" applyFill="1" applyBorder="1" applyAlignment="1">
      <alignment horizontal="center"/>
    </xf>
    <xf numFmtId="10" fontId="6" fillId="24" borderId="37" xfId="0" applyNumberFormat="1" applyFont="1" applyFill="1" applyBorder="1" applyAlignment="1">
      <alignment horizontal="center"/>
    </xf>
    <xf numFmtId="10" fontId="6" fillId="24" borderId="34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195" fontId="6" fillId="24" borderId="14" xfId="0" applyNumberFormat="1" applyFont="1" applyFill="1" applyBorder="1" applyAlignment="1">
      <alignment horizontal="center"/>
    </xf>
    <xf numFmtId="195" fontId="6" fillId="24" borderId="36" xfId="0" applyNumberFormat="1" applyFont="1" applyFill="1" applyBorder="1" applyAlignment="1">
      <alignment horizontal="center"/>
    </xf>
    <xf numFmtId="195" fontId="6" fillId="24" borderId="37" xfId="0" applyNumberFormat="1" applyFont="1" applyFill="1" applyBorder="1" applyAlignment="1">
      <alignment horizontal="center"/>
    </xf>
    <xf numFmtId="195" fontId="6" fillId="24" borderId="34" xfId="0" applyNumberFormat="1" applyFont="1" applyFill="1" applyBorder="1" applyAlignment="1">
      <alignment horizontal="center"/>
    </xf>
    <xf numFmtId="195" fontId="6" fillId="24" borderId="22" xfId="0" applyNumberFormat="1" applyFont="1" applyFill="1" applyBorder="1" applyAlignment="1">
      <alignment horizontal="center"/>
    </xf>
    <xf numFmtId="195" fontId="6" fillId="24" borderId="30" xfId="0" applyNumberFormat="1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195" fontId="6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71" xfId="0" applyBorder="1" applyAlignment="1">
      <alignment/>
    </xf>
    <xf numFmtId="3" fontId="0" fillId="0" borderId="7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2" fillId="0" borderId="47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0" fillId="24" borderId="64" xfId="0" applyFill="1" applyBorder="1" applyAlignment="1">
      <alignment horizontal="center"/>
    </xf>
    <xf numFmtId="3" fontId="0" fillId="24" borderId="65" xfId="0" applyNumberForma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15" borderId="25" xfId="0" applyFont="1" applyFill="1" applyBorder="1" applyAlignment="1">
      <alignment/>
    </xf>
    <xf numFmtId="0" fontId="2" fillId="15" borderId="38" xfId="0" applyFont="1" applyFill="1" applyBorder="1" applyAlignment="1">
      <alignment horizontal="center"/>
    </xf>
    <xf numFmtId="0" fontId="2" fillId="15" borderId="38" xfId="0" applyFont="1" applyFill="1" applyBorder="1" applyAlignment="1">
      <alignment/>
    </xf>
    <xf numFmtId="3" fontId="0" fillId="22" borderId="69" xfId="0" applyNumberFormat="1" applyFill="1" applyBorder="1" applyAlignment="1">
      <alignment/>
    </xf>
    <xf numFmtId="3" fontId="0" fillId="22" borderId="41" xfId="0" applyNumberFormat="1" applyFill="1" applyBorder="1" applyAlignment="1">
      <alignment/>
    </xf>
    <xf numFmtId="3" fontId="2" fillId="22" borderId="41" xfId="0" applyNumberFormat="1" applyFont="1" applyFill="1" applyBorder="1" applyAlignment="1">
      <alignment/>
    </xf>
    <xf numFmtId="4" fontId="0" fillId="22" borderId="41" xfId="0" applyNumberFormat="1" applyFill="1" applyBorder="1" applyAlignment="1">
      <alignment/>
    </xf>
    <xf numFmtId="0" fontId="2" fillId="22" borderId="44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3" fontId="0" fillId="22" borderId="46" xfId="0" applyNumberFormat="1" applyFill="1" applyBorder="1" applyAlignment="1">
      <alignment horizontal="center"/>
    </xf>
    <xf numFmtId="3" fontId="0" fillId="22" borderId="32" xfId="0" applyNumberFormat="1" applyFill="1" applyBorder="1" applyAlignment="1">
      <alignment horizontal="center"/>
    </xf>
    <xf numFmtId="0" fontId="23" fillId="0" borderId="0" xfId="0" applyFont="1" applyAlignment="1">
      <alignment/>
    </xf>
    <xf numFmtId="10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3" fontId="0" fillId="22" borderId="21" xfId="0" applyNumberFormat="1" applyFill="1" applyBorder="1" applyAlignment="1">
      <alignment horizontal="center"/>
    </xf>
    <xf numFmtId="3" fontId="0" fillId="22" borderId="17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3" fontId="0" fillId="22" borderId="22" xfId="0" applyNumberFormat="1" applyFill="1" applyBorder="1" applyAlignment="1">
      <alignment horizontal="center"/>
    </xf>
    <xf numFmtId="3" fontId="0" fillId="22" borderId="18" xfId="0" applyNumberForma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3" fontId="0" fillId="22" borderId="71" xfId="0" applyNumberFormat="1" applyFill="1" applyBorder="1" applyAlignment="1">
      <alignment horizontal="center"/>
    </xf>
    <xf numFmtId="3" fontId="0" fillId="22" borderId="64" xfId="0" applyNumberFormat="1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3" fontId="0" fillId="22" borderId="72" xfId="0" applyNumberFormat="1" applyFill="1" applyBorder="1" applyAlignment="1">
      <alignment horizontal="center"/>
    </xf>
    <xf numFmtId="3" fontId="0" fillId="22" borderId="23" xfId="0" applyNumberFormat="1" applyFill="1" applyBorder="1" applyAlignment="1">
      <alignment horizontal="center"/>
    </xf>
    <xf numFmtId="3" fontId="0" fillId="22" borderId="24" xfId="0" applyNumberForma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21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0" fillId="23" borderId="12" xfId="0" applyFill="1" applyBorder="1" applyAlignment="1">
      <alignment horizontal="center"/>
    </xf>
    <xf numFmtId="3" fontId="0" fillId="23" borderId="14" xfId="0" applyNumberFormat="1" applyFill="1" applyBorder="1" applyAlignment="1">
      <alignment horizontal="center"/>
    </xf>
    <xf numFmtId="3" fontId="0" fillId="23" borderId="13" xfId="0" applyNumberForma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3" fontId="0" fillId="23" borderId="52" xfId="0" applyNumberFormat="1" applyFill="1" applyBorder="1" applyAlignment="1">
      <alignment horizontal="center"/>
    </xf>
    <xf numFmtId="3" fontId="0" fillId="23" borderId="19" xfId="0" applyNumberFormat="1" applyFill="1" applyBorder="1" applyAlignment="1">
      <alignment horizontal="center"/>
    </xf>
    <xf numFmtId="0" fontId="0" fillId="7" borderId="30" xfId="0" applyFill="1" applyBorder="1" applyAlignment="1">
      <alignment/>
    </xf>
    <xf numFmtId="0" fontId="0" fillId="7" borderId="30" xfId="0" applyFill="1" applyBorder="1" applyAlignment="1">
      <alignment horizontal="center"/>
    </xf>
    <xf numFmtId="3" fontId="0" fillId="7" borderId="30" xfId="0" applyNumberForma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1" borderId="47" xfId="0" applyFont="1" applyFill="1" applyBorder="1" applyAlignment="1">
      <alignment horizontal="center"/>
    </xf>
    <xf numFmtId="0" fontId="0" fillId="27" borderId="14" xfId="0" applyFill="1" applyBorder="1" applyAlignment="1">
      <alignment/>
    </xf>
    <xf numFmtId="1" fontId="0" fillId="27" borderId="14" xfId="0" applyNumberFormat="1" applyFill="1" applyBorder="1" applyAlignment="1">
      <alignment horizontal="right"/>
    </xf>
    <xf numFmtId="1" fontId="0" fillId="27" borderId="65" xfId="0" applyNumberFormat="1" applyFill="1" applyBorder="1" applyAlignment="1">
      <alignment horizontal="right"/>
    </xf>
    <xf numFmtId="1" fontId="0" fillId="27" borderId="36" xfId="0" applyNumberFormat="1" applyFill="1" applyBorder="1" applyAlignment="1">
      <alignment horizontal="right"/>
    </xf>
    <xf numFmtId="1" fontId="0" fillId="27" borderId="36" xfId="0" applyNumberFormat="1" applyFill="1" applyBorder="1" applyAlignment="1">
      <alignment/>
    </xf>
    <xf numFmtId="0" fontId="0" fillId="27" borderId="37" xfId="0" applyFill="1" applyBorder="1" applyAlignment="1">
      <alignment/>
    </xf>
    <xf numFmtId="1" fontId="0" fillId="27" borderId="34" xfId="0" applyNumberFormat="1" applyFill="1" applyBorder="1" applyAlignment="1">
      <alignment horizontal="right"/>
    </xf>
    <xf numFmtId="1" fontId="0" fillId="27" borderId="34" xfId="0" applyNumberFormat="1" applyFill="1" applyBorder="1" applyAlignment="1">
      <alignment/>
    </xf>
    <xf numFmtId="0" fontId="2" fillId="27" borderId="22" xfId="0" applyFont="1" applyFill="1" applyBorder="1" applyAlignment="1">
      <alignment/>
    </xf>
    <xf numFmtId="3" fontId="2" fillId="27" borderId="22" xfId="0" applyNumberFormat="1" applyFont="1" applyFill="1" applyBorder="1" applyAlignment="1">
      <alignment horizontal="right"/>
    </xf>
    <xf numFmtId="3" fontId="2" fillId="27" borderId="30" xfId="0" applyNumberFormat="1" applyFont="1" applyFill="1" applyBorder="1" applyAlignment="1">
      <alignment horizontal="right"/>
    </xf>
    <xf numFmtId="1" fontId="2" fillId="27" borderId="34" xfId="0" applyNumberFormat="1" applyFont="1" applyFill="1" applyBorder="1" applyAlignment="1">
      <alignment horizontal="right"/>
    </xf>
    <xf numFmtId="0" fontId="2" fillId="27" borderId="37" xfId="0" applyFont="1" applyFill="1" applyBorder="1" applyAlignment="1">
      <alignment/>
    </xf>
    <xf numFmtId="3" fontId="2" fillId="27" borderId="37" xfId="0" applyNumberFormat="1" applyFont="1" applyFill="1" applyBorder="1" applyAlignment="1">
      <alignment horizontal="right"/>
    </xf>
    <xf numFmtId="3" fontId="2" fillId="27" borderId="34" xfId="0" applyNumberFormat="1" applyFont="1" applyFill="1" applyBorder="1" applyAlignment="1">
      <alignment horizontal="right"/>
    </xf>
    <xf numFmtId="0" fontId="2" fillId="28" borderId="22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0" fillId="29" borderId="14" xfId="0" applyFill="1" applyBorder="1" applyAlignment="1">
      <alignment horizontal="left"/>
    </xf>
    <xf numFmtId="0" fontId="0" fillId="29" borderId="14" xfId="0" applyFill="1" applyBorder="1" applyAlignment="1">
      <alignment horizontal="center"/>
    </xf>
    <xf numFmtId="195" fontId="0" fillId="29" borderId="14" xfId="0" applyNumberFormat="1" applyFill="1" applyBorder="1" applyAlignment="1">
      <alignment horizontal="center"/>
    </xf>
    <xf numFmtId="195" fontId="0" fillId="29" borderId="14" xfId="0" applyNumberFormat="1" applyFill="1" applyBorder="1" applyAlignment="1">
      <alignment/>
    </xf>
    <xf numFmtId="195" fontId="0" fillId="29" borderId="36" xfId="0" applyNumberFormat="1" applyFill="1" applyBorder="1" applyAlignment="1">
      <alignment/>
    </xf>
    <xf numFmtId="0" fontId="0" fillId="29" borderId="37" xfId="0" applyFill="1" applyBorder="1" applyAlignment="1">
      <alignment horizontal="left"/>
    </xf>
    <xf numFmtId="0" fontId="0" fillId="29" borderId="37" xfId="0" applyFill="1" applyBorder="1" applyAlignment="1">
      <alignment horizontal="center"/>
    </xf>
    <xf numFmtId="195" fontId="0" fillId="29" borderId="37" xfId="0" applyNumberFormat="1" applyFill="1" applyBorder="1" applyAlignment="1">
      <alignment horizontal="center"/>
    </xf>
    <xf numFmtId="195" fontId="0" fillId="29" borderId="37" xfId="0" applyNumberFormat="1" applyFill="1" applyBorder="1" applyAlignment="1">
      <alignment/>
    </xf>
    <xf numFmtId="195" fontId="0" fillId="29" borderId="34" xfId="0" applyNumberFormat="1" applyFill="1" applyBorder="1" applyAlignment="1">
      <alignment/>
    </xf>
    <xf numFmtId="0" fontId="2" fillId="29" borderId="64" xfId="0" applyFont="1" applyFill="1" applyBorder="1" applyAlignment="1">
      <alignment horizontal="center"/>
    </xf>
    <xf numFmtId="0" fontId="2" fillId="29" borderId="65" xfId="0" applyFont="1" applyFill="1" applyBorder="1" applyAlignment="1">
      <alignment horizontal="center"/>
    </xf>
    <xf numFmtId="0" fontId="2" fillId="29" borderId="37" xfId="0" applyFont="1" applyFill="1" applyBorder="1" applyAlignment="1">
      <alignment horizontal="center"/>
    </xf>
    <xf numFmtId="0" fontId="2" fillId="29" borderId="34" xfId="0" applyFont="1" applyFill="1" applyBorder="1" applyAlignment="1">
      <alignment horizontal="center"/>
    </xf>
    <xf numFmtId="0" fontId="0" fillId="28" borderId="14" xfId="0" applyFill="1" applyBorder="1" applyAlignment="1">
      <alignment/>
    </xf>
    <xf numFmtId="0" fontId="0" fillId="28" borderId="3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4" xfId="0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3" fontId="0" fillId="0" borderId="65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right"/>
    </xf>
    <xf numFmtId="3" fontId="2" fillId="0" borderId="34" xfId="0" applyNumberFormat="1" applyFont="1" applyFill="1" applyBorder="1" applyAlignment="1">
      <alignment/>
    </xf>
    <xf numFmtId="0" fontId="2" fillId="11" borderId="37" xfId="0" applyFont="1" applyFill="1" applyBorder="1" applyAlignment="1">
      <alignment/>
    </xf>
    <xf numFmtId="0" fontId="0" fillId="11" borderId="37" xfId="0" applyFill="1" applyBorder="1" applyAlignment="1">
      <alignment/>
    </xf>
    <xf numFmtId="196" fontId="2" fillId="11" borderId="37" xfId="0" applyNumberFormat="1" applyFont="1" applyFill="1" applyBorder="1" applyAlignment="1">
      <alignment horizontal="center"/>
    </xf>
    <xf numFmtId="0" fontId="0" fillId="11" borderId="34" xfId="0" applyFill="1" applyBorder="1" applyAlignment="1">
      <alignment/>
    </xf>
    <xf numFmtId="0" fontId="0" fillId="23" borderId="14" xfId="0" applyFill="1" applyBorder="1" applyAlignment="1">
      <alignment/>
    </xf>
    <xf numFmtId="1" fontId="0" fillId="23" borderId="14" xfId="0" applyNumberFormat="1" applyFill="1" applyBorder="1" applyAlignment="1">
      <alignment horizontal="center"/>
    </xf>
    <xf numFmtId="196" fontId="0" fillId="23" borderId="14" xfId="0" applyNumberFormat="1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/>
    </xf>
    <xf numFmtId="1" fontId="0" fillId="23" borderId="37" xfId="0" applyNumberFormat="1" applyFill="1" applyBorder="1" applyAlignment="1">
      <alignment horizontal="center"/>
    </xf>
    <xf numFmtId="196" fontId="0" fillId="23" borderId="37" xfId="0" applyNumberFormat="1" applyFill="1" applyBorder="1" applyAlignment="1">
      <alignment horizontal="center"/>
    </xf>
    <xf numFmtId="196" fontId="0" fillId="23" borderId="34" xfId="0" applyNumberFormat="1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199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5" fillId="22" borderId="30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/>
    </xf>
    <xf numFmtId="0" fontId="6" fillId="4" borderId="30" xfId="0" applyFont="1" applyFill="1" applyBorder="1" applyAlignment="1">
      <alignment/>
    </xf>
    <xf numFmtId="3" fontId="6" fillId="4" borderId="30" xfId="0" applyNumberFormat="1" applyFont="1" applyFill="1" applyBorder="1" applyAlignment="1">
      <alignment/>
    </xf>
    <xf numFmtId="0" fontId="5" fillId="4" borderId="30" xfId="0" applyFont="1" applyFill="1" applyBorder="1" applyAlignment="1">
      <alignment/>
    </xf>
    <xf numFmtId="3" fontId="5" fillId="4" borderId="30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/>
    </xf>
    <xf numFmtId="0" fontId="0" fillId="28" borderId="30" xfId="0" applyFont="1" applyFill="1" applyBorder="1" applyAlignment="1">
      <alignment/>
    </xf>
    <xf numFmtId="0" fontId="0" fillId="28" borderId="34" xfId="0" applyFont="1" applyFill="1" applyBorder="1" applyAlignment="1">
      <alignment/>
    </xf>
    <xf numFmtId="0" fontId="0" fillId="28" borderId="30" xfId="0" applyFont="1" applyFill="1" applyBorder="1" applyAlignment="1">
      <alignment horizontal="right"/>
    </xf>
    <xf numFmtId="3" fontId="0" fillId="28" borderId="30" xfId="0" applyNumberFormat="1" applyFont="1" applyFill="1" applyBorder="1" applyAlignment="1">
      <alignment horizontal="right"/>
    </xf>
    <xf numFmtId="192" fontId="0" fillId="28" borderId="30" xfId="0" applyNumberFormat="1" applyFont="1" applyFill="1" applyBorder="1" applyAlignment="1">
      <alignment horizontal="right"/>
    </xf>
    <xf numFmtId="196" fontId="0" fillId="28" borderId="14" xfId="0" applyNumberFormat="1" applyFill="1" applyBorder="1" applyAlignment="1">
      <alignment/>
    </xf>
    <xf numFmtId="196" fontId="0" fillId="28" borderId="36" xfId="0" applyNumberFormat="1" applyFill="1" applyBorder="1" applyAlignment="1">
      <alignment/>
    </xf>
    <xf numFmtId="196" fontId="0" fillId="28" borderId="37" xfId="0" applyNumberFormat="1" applyFill="1" applyBorder="1" applyAlignment="1">
      <alignment/>
    </xf>
    <xf numFmtId="196" fontId="0" fillId="28" borderId="34" xfId="0" applyNumberFormat="1" applyFill="1" applyBorder="1" applyAlignment="1">
      <alignment/>
    </xf>
    <xf numFmtId="196" fontId="2" fillId="28" borderId="37" xfId="0" applyNumberFormat="1" applyFont="1" applyFill="1" applyBorder="1" applyAlignment="1">
      <alignment/>
    </xf>
    <xf numFmtId="196" fontId="2" fillId="28" borderId="34" xfId="0" applyNumberFormat="1" applyFont="1" applyFill="1" applyBorder="1" applyAlignment="1">
      <alignment/>
    </xf>
    <xf numFmtId="196" fontId="0" fillId="28" borderId="64" xfId="0" applyNumberFormat="1" applyFill="1" applyBorder="1" applyAlignment="1">
      <alignment/>
    </xf>
    <xf numFmtId="196" fontId="0" fillId="28" borderId="65" xfId="0" applyNumberFormat="1" applyFill="1" applyBorder="1" applyAlignment="1">
      <alignment/>
    </xf>
    <xf numFmtId="0" fontId="2" fillId="22" borderId="30" xfId="0" applyFont="1" applyFill="1" applyBorder="1" applyAlignment="1">
      <alignment/>
    </xf>
    <xf numFmtId="0" fontId="0" fillId="28" borderId="64" xfId="0" applyFill="1" applyBorder="1" applyAlignment="1">
      <alignment/>
    </xf>
    <xf numFmtId="0" fontId="2" fillId="28" borderId="37" xfId="0" applyFont="1" applyFill="1" applyBorder="1" applyAlignment="1">
      <alignment/>
    </xf>
    <xf numFmtId="0" fontId="2" fillId="7" borderId="37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/>
    </xf>
    <xf numFmtId="3" fontId="2" fillId="14" borderId="22" xfId="0" applyNumberFormat="1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0" fillId="28" borderId="14" xfId="0" applyFont="1" applyFill="1" applyBorder="1" applyAlignment="1">
      <alignment/>
    </xf>
    <xf numFmtId="3" fontId="0" fillId="28" borderId="14" xfId="0" applyNumberFormat="1" applyFont="1" applyFill="1" applyBorder="1" applyAlignment="1">
      <alignment horizontal="center"/>
    </xf>
    <xf numFmtId="0" fontId="0" fillId="28" borderId="36" xfId="0" applyFont="1" applyFill="1" applyBorder="1" applyAlignment="1">
      <alignment horizontal="center"/>
    </xf>
    <xf numFmtId="0" fontId="0" fillId="28" borderId="37" xfId="0" applyFont="1" applyFill="1" applyBorder="1" applyAlignment="1">
      <alignment/>
    </xf>
    <xf numFmtId="3" fontId="0" fillId="28" borderId="37" xfId="0" applyNumberFormat="1" applyFont="1" applyFill="1" applyBorder="1" applyAlignment="1">
      <alignment horizontal="center"/>
    </xf>
    <xf numFmtId="0" fontId="2" fillId="30" borderId="22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2" xfId="0" applyFont="1" applyFill="1" applyBorder="1" applyAlignment="1">
      <alignment horizontal="center"/>
    </xf>
    <xf numFmtId="0" fontId="2" fillId="30" borderId="37" xfId="0" applyFont="1" applyFill="1" applyBorder="1" applyAlignment="1">
      <alignment horizontal="center"/>
    </xf>
    <xf numFmtId="0" fontId="0" fillId="30" borderId="73" xfId="0" applyFill="1" applyBorder="1" applyAlignment="1">
      <alignment/>
    </xf>
    <xf numFmtId="0" fontId="2" fillId="30" borderId="14" xfId="0" applyFont="1" applyFill="1" applyBorder="1" applyAlignment="1">
      <alignment horizontal="center"/>
    </xf>
    <xf numFmtId="0" fontId="2" fillId="30" borderId="64" xfId="0" applyFont="1" applyFill="1" applyBorder="1" applyAlignment="1">
      <alignment horizontal="center"/>
    </xf>
    <xf numFmtId="0" fontId="2" fillId="30" borderId="65" xfId="0" applyFont="1" applyFill="1" applyBorder="1" applyAlignment="1">
      <alignment horizontal="center"/>
    </xf>
    <xf numFmtId="0" fontId="2" fillId="30" borderId="15" xfId="0" applyFont="1" applyFill="1" applyBorder="1" applyAlignment="1">
      <alignment/>
    </xf>
    <xf numFmtId="0" fontId="0" fillId="30" borderId="47" xfId="0" applyFill="1" applyBorder="1" applyAlignment="1">
      <alignment/>
    </xf>
    <xf numFmtId="0" fontId="0" fillId="30" borderId="74" xfId="0" applyFill="1" applyBorder="1" applyAlignment="1">
      <alignment/>
    </xf>
    <xf numFmtId="0" fontId="0" fillId="0" borderId="12" xfId="0" applyFill="1" applyBorder="1" applyAlignment="1">
      <alignment/>
    </xf>
    <xf numFmtId="196" fontId="0" fillId="0" borderId="14" xfId="0" applyNumberFormat="1" applyFill="1" applyBorder="1" applyAlignment="1">
      <alignment/>
    </xf>
    <xf numFmtId="196" fontId="0" fillId="0" borderId="13" xfId="0" applyNumberFormat="1" applyFill="1" applyBorder="1" applyAlignment="1">
      <alignment/>
    </xf>
    <xf numFmtId="0" fontId="0" fillId="0" borderId="63" xfId="0" applyFill="1" applyBorder="1" applyAlignment="1">
      <alignment/>
    </xf>
    <xf numFmtId="196" fontId="0" fillId="0" borderId="37" xfId="0" applyNumberFormat="1" applyFill="1" applyBorder="1" applyAlignment="1">
      <alignment/>
    </xf>
    <xf numFmtId="196" fontId="0" fillId="0" borderId="35" xfId="0" applyNumberFormat="1" applyFill="1" applyBorder="1" applyAlignment="1">
      <alignment/>
    </xf>
    <xf numFmtId="0" fontId="2" fillId="0" borderId="63" xfId="0" applyFont="1" applyFill="1" applyBorder="1" applyAlignment="1">
      <alignment horizontal="center"/>
    </xf>
    <xf numFmtId="196" fontId="2" fillId="0" borderId="37" xfId="0" applyNumberFormat="1" applyFont="1" applyFill="1" applyBorder="1" applyAlignment="1">
      <alignment/>
    </xf>
    <xf numFmtId="196" fontId="2" fillId="0" borderId="35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96" fontId="0" fillId="0" borderId="0" xfId="0" applyNumberFormat="1" applyFill="1" applyBorder="1" applyAlignment="1">
      <alignment/>
    </xf>
    <xf numFmtId="196" fontId="0" fillId="0" borderId="42" xfId="0" applyNumberFormat="1" applyFill="1" applyBorder="1" applyAlignment="1">
      <alignment/>
    </xf>
    <xf numFmtId="196" fontId="0" fillId="30" borderId="47" xfId="0" applyNumberFormat="1" applyFill="1" applyBorder="1" applyAlignment="1">
      <alignment/>
    </xf>
    <xf numFmtId="196" fontId="0" fillId="30" borderId="74" xfId="0" applyNumberFormat="1" applyFill="1" applyBorder="1" applyAlignment="1">
      <alignment/>
    </xf>
    <xf numFmtId="196" fontId="0" fillId="0" borderId="64" xfId="0" applyNumberFormat="1" applyFill="1" applyBorder="1" applyAlignment="1">
      <alignment/>
    </xf>
    <xf numFmtId="196" fontId="0" fillId="0" borderId="68" xfId="0" applyNumberFormat="1" applyFill="1" applyBorder="1" applyAlignment="1">
      <alignment/>
    </xf>
    <xf numFmtId="0" fontId="2" fillId="30" borderId="46" xfId="0" applyFont="1" applyFill="1" applyBorder="1" applyAlignment="1">
      <alignment/>
    </xf>
    <xf numFmtId="196" fontId="2" fillId="30" borderId="32" xfId="0" applyNumberFormat="1" applyFont="1" applyFill="1" applyBorder="1" applyAlignment="1">
      <alignment/>
    </xf>
    <xf numFmtId="196" fontId="2" fillId="30" borderId="24" xfId="0" applyNumberFormat="1" applyFont="1" applyFill="1" applyBorder="1" applyAlignment="1">
      <alignment/>
    </xf>
    <xf numFmtId="0" fontId="2" fillId="30" borderId="30" xfId="0" applyFont="1" applyFill="1" applyBorder="1" applyAlignment="1">
      <alignment horizontal="center"/>
    </xf>
    <xf numFmtId="195" fontId="0" fillId="0" borderId="14" xfId="0" applyNumberFormat="1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195" fontId="0" fillId="0" borderId="14" xfId="0" applyNumberFormat="1" applyFill="1" applyBorder="1" applyAlignment="1">
      <alignment horizontal="center"/>
    </xf>
    <xf numFmtId="195" fontId="0" fillId="0" borderId="37" xfId="0" applyNumberFormat="1" applyFill="1" applyBorder="1" applyAlignment="1">
      <alignment horizontal="center"/>
    </xf>
    <xf numFmtId="195" fontId="0" fillId="0" borderId="37" xfId="0" applyNumberFormat="1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30" borderId="37" xfId="0" applyFont="1" applyFill="1" applyBorder="1" applyAlignment="1">
      <alignment/>
    </xf>
    <xf numFmtId="195" fontId="0" fillId="30" borderId="37" xfId="0" applyNumberFormat="1" applyFont="1" applyFill="1" applyBorder="1" applyAlignment="1">
      <alignment horizontal="center"/>
    </xf>
    <xf numFmtId="195" fontId="2" fillId="30" borderId="37" xfId="0" applyNumberFormat="1" applyFont="1" applyFill="1" applyBorder="1" applyAlignment="1">
      <alignment horizontal="right"/>
    </xf>
    <xf numFmtId="0" fontId="0" fillId="30" borderId="34" xfId="0" applyFont="1" applyFill="1" applyBorder="1" applyAlignment="1">
      <alignment horizontal="center"/>
    </xf>
    <xf numFmtId="2" fontId="2" fillId="30" borderId="37" xfId="0" applyNumberFormat="1" applyFont="1" applyFill="1" applyBorder="1" applyAlignment="1">
      <alignment horizontal="center"/>
    </xf>
    <xf numFmtId="2" fontId="2" fillId="30" borderId="34" xfId="0" applyNumberFormat="1" applyFont="1" applyFill="1" applyBorder="1" applyAlignment="1">
      <alignment horizontal="center"/>
    </xf>
    <xf numFmtId="0" fontId="0" fillId="30" borderId="0" xfId="0" applyFill="1" applyBorder="1" applyAlignment="1">
      <alignment/>
    </xf>
    <xf numFmtId="196" fontId="0" fillId="30" borderId="0" xfId="0" applyNumberFormat="1" applyFill="1" applyBorder="1" applyAlignment="1">
      <alignment/>
    </xf>
    <xf numFmtId="9" fontId="0" fillId="30" borderId="0" xfId="0" applyNumberFormat="1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42" xfId="0" applyFill="1" applyBorder="1" applyAlignment="1">
      <alignment/>
    </xf>
    <xf numFmtId="0" fontId="0" fillId="30" borderId="12" xfId="0" applyFont="1" applyFill="1" applyBorder="1" applyAlignment="1">
      <alignment/>
    </xf>
    <xf numFmtId="0" fontId="2" fillId="30" borderId="15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/>
    </xf>
    <xf numFmtId="196" fontId="2" fillId="30" borderId="23" xfId="0" applyNumberFormat="1" applyFont="1" applyFill="1" applyBorder="1" applyAlignment="1">
      <alignment horizontal="center"/>
    </xf>
    <xf numFmtId="196" fontId="2" fillId="30" borderId="32" xfId="0" applyNumberFormat="1" applyFont="1" applyFill="1" applyBorder="1" applyAlignment="1">
      <alignment horizontal="center"/>
    </xf>
    <xf numFmtId="196" fontId="2" fillId="30" borderId="19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66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0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0" fillId="24" borderId="71" xfId="0" applyFill="1" applyBorder="1" applyAlignment="1">
      <alignment/>
    </xf>
    <xf numFmtId="0" fontId="0" fillId="24" borderId="75" xfId="0" applyFill="1" applyBorder="1" applyAlignment="1">
      <alignment/>
    </xf>
    <xf numFmtId="9" fontId="0" fillId="24" borderId="14" xfId="0" applyNumberFormat="1" applyFill="1" applyBorder="1" applyAlignment="1">
      <alignment/>
    </xf>
    <xf numFmtId="0" fontId="0" fillId="30" borderId="71" xfId="0" applyFill="1" applyBorder="1" applyAlignment="1">
      <alignment/>
    </xf>
    <xf numFmtId="0" fontId="0" fillId="30" borderId="75" xfId="0" applyFill="1" applyBorder="1" applyAlignment="1">
      <alignment/>
    </xf>
    <xf numFmtId="0" fontId="0" fillId="30" borderId="49" xfId="0" applyFill="1" applyBorder="1" applyAlignment="1">
      <alignment/>
    </xf>
    <xf numFmtId="0" fontId="0" fillId="30" borderId="50" xfId="0" applyFill="1" applyBorder="1" applyAlignment="1">
      <alignment/>
    </xf>
    <xf numFmtId="0" fontId="2" fillId="30" borderId="50" xfId="0" applyFont="1" applyFill="1" applyBorder="1" applyAlignment="1">
      <alignment/>
    </xf>
    <xf numFmtId="3" fontId="2" fillId="30" borderId="37" xfId="0" applyNumberFormat="1" applyFont="1" applyFill="1" applyBorder="1" applyAlignment="1">
      <alignment/>
    </xf>
    <xf numFmtId="3" fontId="2" fillId="30" borderId="34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65" xfId="0" applyFill="1" applyBorder="1" applyAlignment="1">
      <alignment/>
    </xf>
    <xf numFmtId="4" fontId="0" fillId="0" borderId="36" xfId="0" applyNumberFormat="1" applyFill="1" applyBorder="1" applyAlignment="1">
      <alignment/>
    </xf>
    <xf numFmtId="0" fontId="0" fillId="0" borderId="49" xfId="0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2" fillId="30" borderId="34" xfId="0" applyNumberFormat="1" applyFont="1" applyFill="1" applyBorder="1" applyAlignment="1">
      <alignment/>
    </xf>
    <xf numFmtId="0" fontId="0" fillId="30" borderId="48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24" borderId="37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65" xfId="0" applyFont="1" applyFill="1" applyBorder="1" applyAlignment="1">
      <alignment horizontal="center"/>
    </xf>
    <xf numFmtId="3" fontId="0" fillId="0" borderId="6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7" xfId="0" applyFill="1" applyBorder="1" applyAlignment="1">
      <alignment horizontal="right"/>
    </xf>
    <xf numFmtId="3" fontId="0" fillId="0" borderId="30" xfId="0" applyNumberForma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30" borderId="3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1" fillId="30" borderId="0" xfId="0" applyFont="1" applyFill="1" applyAlignment="1">
      <alignment horizontal="center"/>
    </xf>
    <xf numFmtId="0" fontId="1" fillId="30" borderId="22" xfId="0" applyFont="1" applyFill="1" applyBorder="1" applyAlignment="1">
      <alignment horizontal="center"/>
    </xf>
    <xf numFmtId="3" fontId="2" fillId="30" borderId="22" xfId="0" applyNumberFormat="1" applyFont="1" applyFill="1" applyBorder="1" applyAlignment="1">
      <alignment/>
    </xf>
    <xf numFmtId="3" fontId="2" fillId="30" borderId="30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0" borderId="64" xfId="0" applyFont="1" applyFill="1" applyBorder="1" applyAlignment="1">
      <alignment/>
    </xf>
    <xf numFmtId="0" fontId="2" fillId="30" borderId="34" xfId="0" applyFont="1" applyFill="1" applyBorder="1" applyAlignment="1">
      <alignment/>
    </xf>
    <xf numFmtId="0" fontId="2" fillId="3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2" fillId="30" borderId="47" xfId="0" applyFont="1" applyFill="1" applyBorder="1" applyAlignment="1">
      <alignment/>
    </xf>
    <xf numFmtId="0" fontId="2" fillId="30" borderId="30" xfId="0" applyFont="1" applyFill="1" applyBorder="1" applyAlignment="1">
      <alignment horizontal="right"/>
    </xf>
    <xf numFmtId="0" fontId="2" fillId="30" borderId="49" xfId="0" applyFont="1" applyFill="1" applyBorder="1" applyAlignment="1">
      <alignment/>
    </xf>
    <xf numFmtId="2" fontId="2" fillId="30" borderId="3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96" fontId="0" fillId="0" borderId="13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0" fontId="0" fillId="0" borderId="0" xfId="0" applyFill="1" applyAlignment="1">
      <alignment/>
    </xf>
    <xf numFmtId="195" fontId="2" fillId="0" borderId="0" xfId="0" applyNumberFormat="1" applyFont="1" applyFill="1" applyBorder="1" applyAlignment="1">
      <alignment/>
    </xf>
    <xf numFmtId="10" fontId="14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0" fontId="36" fillId="0" borderId="0" xfId="0" applyNumberFormat="1" applyFont="1" applyAlignment="1">
      <alignment/>
    </xf>
    <xf numFmtId="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4" borderId="31" xfId="0" applyFill="1" applyBorder="1" applyAlignment="1">
      <alignment/>
    </xf>
    <xf numFmtId="0" fontId="2" fillId="4" borderId="3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95" fontId="0" fillId="4" borderId="30" xfId="0" applyNumberFormat="1" applyFill="1" applyBorder="1" applyAlignment="1">
      <alignment/>
    </xf>
    <xf numFmtId="195" fontId="0" fillId="4" borderId="18" xfId="0" applyNumberFormat="1" applyFill="1" applyBorder="1" applyAlignment="1">
      <alignment/>
    </xf>
    <xf numFmtId="0" fontId="2" fillId="4" borderId="31" xfId="0" applyFont="1" applyFill="1" applyBorder="1" applyAlignment="1">
      <alignment/>
    </xf>
    <xf numFmtId="195" fontId="2" fillId="4" borderId="30" xfId="0" applyNumberFormat="1" applyFont="1" applyFill="1" applyBorder="1" applyAlignment="1">
      <alignment/>
    </xf>
    <xf numFmtId="195" fontId="3" fillId="4" borderId="18" xfId="0" applyNumberFormat="1" applyFont="1" applyFill="1" applyBorder="1" applyAlignment="1">
      <alignment/>
    </xf>
    <xf numFmtId="0" fontId="2" fillId="4" borderId="46" xfId="0" applyFont="1" applyFill="1" applyBorder="1" applyAlignment="1">
      <alignment/>
    </xf>
    <xf numFmtId="195" fontId="2" fillId="4" borderId="32" xfId="0" applyNumberFormat="1" applyFont="1" applyFill="1" applyBorder="1" applyAlignment="1">
      <alignment/>
    </xf>
    <xf numFmtId="195" fontId="3" fillId="4" borderId="24" xfId="0" applyNumberFormat="1" applyFont="1" applyFill="1" applyBorder="1" applyAlignment="1">
      <alignment/>
    </xf>
    <xf numFmtId="196" fontId="0" fillId="0" borderId="14" xfId="0" applyNumberFormat="1" applyFill="1" applyBorder="1" applyAlignment="1">
      <alignment horizontal="center"/>
    </xf>
    <xf numFmtId="196" fontId="0" fillId="0" borderId="13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196" fontId="0" fillId="0" borderId="35" xfId="0" applyNumberForma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72" xfId="0" applyFont="1" applyFill="1" applyBorder="1" applyAlignment="1">
      <alignment horizontal="center"/>
    </xf>
    <xf numFmtId="0" fontId="2" fillId="25" borderId="48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0" fontId="0" fillId="22" borderId="48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3" borderId="36" xfId="0" applyFont="1" applyFill="1" applyBorder="1" applyAlignment="1">
      <alignment horizontal="center"/>
    </xf>
    <xf numFmtId="9" fontId="0" fillId="23" borderId="36" xfId="0" applyNumberFormat="1" applyFont="1" applyFill="1" applyBorder="1" applyAlignment="1">
      <alignment horizontal="center"/>
    </xf>
    <xf numFmtId="0" fontId="0" fillId="23" borderId="36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3" fontId="0" fillId="23" borderId="0" xfId="0" applyNumberFormat="1" applyFont="1" applyFill="1" applyBorder="1" applyAlignment="1">
      <alignment horizontal="center"/>
    </xf>
    <xf numFmtId="9" fontId="0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2" fillId="25" borderId="47" xfId="0" applyFont="1" applyFill="1" applyBorder="1" applyAlignment="1">
      <alignment horizontal="center"/>
    </xf>
    <xf numFmtId="0" fontId="0" fillId="23" borderId="73" xfId="0" applyFont="1" applyFill="1" applyBorder="1" applyAlignment="1">
      <alignment/>
    </xf>
    <xf numFmtId="0" fontId="0" fillId="23" borderId="42" xfId="0" applyFont="1" applyFill="1" applyBorder="1" applyAlignment="1">
      <alignment/>
    </xf>
    <xf numFmtId="0" fontId="2" fillId="23" borderId="42" xfId="0" applyFont="1" applyFill="1" applyBorder="1" applyAlignment="1">
      <alignment horizontal="center"/>
    </xf>
    <xf numFmtId="9" fontId="0" fillId="23" borderId="42" xfId="0" applyNumberFormat="1" applyFont="1" applyFill="1" applyBorder="1" applyAlignment="1">
      <alignment horizontal="center"/>
    </xf>
    <xf numFmtId="0" fontId="0" fillId="23" borderId="76" xfId="0" applyFont="1" applyFill="1" applyBorder="1" applyAlignment="1">
      <alignment/>
    </xf>
    <xf numFmtId="0" fontId="0" fillId="23" borderId="70" xfId="0" applyFont="1" applyFill="1" applyBorder="1" applyAlignment="1">
      <alignment horizontal="center"/>
    </xf>
    <xf numFmtId="0" fontId="0" fillId="23" borderId="77" xfId="0" applyFont="1" applyFill="1" applyBorder="1" applyAlignment="1">
      <alignment/>
    </xf>
    <xf numFmtId="0" fontId="0" fillId="23" borderId="43" xfId="0" applyFont="1" applyFill="1" applyBorder="1" applyAlignment="1">
      <alignment/>
    </xf>
    <xf numFmtId="0" fontId="2" fillId="23" borderId="64" xfId="0" applyFont="1" applyFill="1" applyBorder="1" applyAlignment="1">
      <alignment/>
    </xf>
    <xf numFmtId="196" fontId="0" fillId="23" borderId="65" xfId="0" applyNumberFormat="1" applyFill="1" applyBorder="1" applyAlignment="1">
      <alignment/>
    </xf>
    <xf numFmtId="0" fontId="2" fillId="23" borderId="14" xfId="0" applyFont="1" applyFill="1" applyBorder="1" applyAlignment="1">
      <alignment/>
    </xf>
    <xf numFmtId="196" fontId="0" fillId="23" borderId="36" xfId="0" applyNumberFormat="1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22" xfId="0" applyFill="1" applyBorder="1" applyAlignment="1">
      <alignment/>
    </xf>
    <xf numFmtId="196" fontId="0" fillId="23" borderId="30" xfId="0" applyNumberFormat="1" applyFill="1" applyBorder="1" applyAlignment="1">
      <alignment/>
    </xf>
    <xf numFmtId="0" fontId="2" fillId="23" borderId="37" xfId="0" applyFont="1" applyFill="1" applyBorder="1" applyAlignment="1">
      <alignment/>
    </xf>
    <xf numFmtId="196" fontId="2" fillId="23" borderId="34" xfId="0" applyNumberFormat="1" applyFont="1" applyFill="1" applyBorder="1" applyAlignment="1">
      <alignment/>
    </xf>
    <xf numFmtId="196" fontId="2" fillId="23" borderId="30" xfId="0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2" fillId="15" borderId="25" xfId="0" applyFont="1" applyFill="1" applyBorder="1" applyAlignment="1">
      <alignment horizontal="center"/>
    </xf>
    <xf numFmtId="0" fontId="22" fillId="15" borderId="80" xfId="0" applyFont="1" applyFill="1" applyBorder="1" applyAlignment="1">
      <alignment horizontal="center"/>
    </xf>
    <xf numFmtId="0" fontId="22" fillId="15" borderId="81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3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80" xfId="0" applyFont="1" applyFill="1" applyBorder="1" applyAlignment="1">
      <alignment horizontal="center"/>
    </xf>
    <xf numFmtId="0" fontId="2" fillId="8" borderId="8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24" borderId="82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24" borderId="83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2" fillId="30" borderId="37" xfId="0" applyFont="1" applyFill="1" applyBorder="1" applyAlignment="1">
      <alignment horizontal="center"/>
    </xf>
    <xf numFmtId="0" fontId="2" fillId="30" borderId="49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center"/>
    </xf>
    <xf numFmtId="0" fontId="2" fillId="30" borderId="84" xfId="0" applyFont="1" applyFill="1" applyBorder="1" applyAlignment="1">
      <alignment horizontal="center"/>
    </xf>
    <xf numFmtId="0" fontId="2" fillId="30" borderId="85" xfId="0" applyFont="1" applyFill="1" applyBorder="1" applyAlignment="1">
      <alignment horizontal="center"/>
    </xf>
    <xf numFmtId="0" fontId="2" fillId="30" borderId="68" xfId="0" applyFont="1" applyFill="1" applyBorder="1" applyAlignment="1">
      <alignment horizontal="center" vertical="center" wrapText="1"/>
    </xf>
    <xf numFmtId="0" fontId="0" fillId="30" borderId="13" xfId="0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/>
    </xf>
    <xf numFmtId="0" fontId="2" fillId="30" borderId="22" xfId="0" applyFont="1" applyFill="1" applyBorder="1" applyAlignment="1">
      <alignment horizontal="center"/>
    </xf>
    <xf numFmtId="0" fontId="2" fillId="30" borderId="47" xfId="0" applyFont="1" applyFill="1" applyBorder="1" applyAlignment="1">
      <alignment horizontal="center"/>
    </xf>
    <xf numFmtId="0" fontId="2" fillId="30" borderId="48" xfId="0" applyFont="1" applyFill="1" applyBorder="1" applyAlignment="1">
      <alignment horizontal="center"/>
    </xf>
    <xf numFmtId="195" fontId="0" fillId="24" borderId="65" xfId="0" applyNumberFormat="1" applyFill="1" applyBorder="1" applyAlignment="1">
      <alignment horizontal="right" vertical="center" wrapText="1"/>
    </xf>
    <xf numFmtId="195" fontId="0" fillId="24" borderId="34" xfId="0" applyNumberFormat="1" applyFill="1" applyBorder="1" applyAlignment="1">
      <alignment horizontal="right" vertical="center" wrapText="1"/>
    </xf>
    <xf numFmtId="0" fontId="2" fillId="22" borderId="16" xfId="0" applyFont="1" applyFill="1" applyBorder="1" applyAlignment="1">
      <alignment horizontal="center"/>
    </xf>
    <xf numFmtId="0" fontId="2" fillId="22" borderId="84" xfId="0" applyFont="1" applyFill="1" applyBorder="1" applyAlignment="1">
      <alignment horizontal="center"/>
    </xf>
    <xf numFmtId="0" fontId="2" fillId="22" borderId="85" xfId="0" applyFont="1" applyFill="1" applyBorder="1" applyAlignment="1">
      <alignment horizontal="center"/>
    </xf>
    <xf numFmtId="0" fontId="2" fillId="22" borderId="44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22" borderId="47" xfId="0" applyFont="1" applyFill="1" applyBorder="1" applyAlignment="1">
      <alignment horizontal="center"/>
    </xf>
    <xf numFmtId="0" fontId="2" fillId="22" borderId="74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48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65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/>
    </xf>
    <xf numFmtId="0" fontId="2" fillId="7" borderId="85" xfId="0" applyFont="1" applyFill="1" applyBorder="1" applyAlignment="1">
      <alignment horizontal="center"/>
    </xf>
    <xf numFmtId="0" fontId="2" fillId="7" borderId="65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8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30" borderId="65" xfId="0" applyFont="1" applyFill="1" applyBorder="1" applyAlignment="1">
      <alignment horizontal="center"/>
    </xf>
    <xf numFmtId="0" fontId="2" fillId="30" borderId="34" xfId="0" applyFont="1" applyFill="1" applyBorder="1" applyAlignment="1">
      <alignment horizontal="center"/>
    </xf>
    <xf numFmtId="0" fontId="2" fillId="30" borderId="30" xfId="0" applyFont="1" applyFill="1" applyBorder="1" applyAlignment="1">
      <alignment horizontal="center"/>
    </xf>
    <xf numFmtId="0" fontId="2" fillId="30" borderId="64" xfId="0" applyFont="1" applyFill="1" applyBorder="1" applyAlignment="1">
      <alignment horizontal="center"/>
    </xf>
    <xf numFmtId="0" fontId="2" fillId="30" borderId="75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66" xfId="0" applyFont="1" applyFill="1" applyBorder="1" applyAlignment="1">
      <alignment horizontal="center"/>
    </xf>
    <xf numFmtId="0" fontId="2" fillId="30" borderId="3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6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/>
    </xf>
    <xf numFmtId="0" fontId="2" fillId="24" borderId="71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2" fillId="24" borderId="64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70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0" fillId="25" borderId="25" xfId="0" applyFill="1" applyBorder="1" applyAlignment="1">
      <alignment horizontal="center" vertical="center"/>
    </xf>
    <xf numFmtId="0" fontId="0" fillId="25" borderId="78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Países productores de Nuez de Macadamia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7025"/>
          <c:w val="0.6545"/>
          <c:h val="0.4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'Grafico Prod.'!$A$1:$A$7</c:f>
              <c:strCache/>
            </c:strRef>
          </c:cat>
          <c:val>
            <c:numRef>
              <c:f>'Grafico Prod.'!$B$1:$B$7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mundial de nuez de Macadamia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875"/>
          <c:w val="0.69775"/>
          <c:h val="0.47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Hoja3!$A$1:$A$5</c:f>
              <c:strCache/>
            </c:strRef>
          </c:cat>
          <c:val>
            <c:numRef>
              <c:f>Hoja3!$B$1:$B$5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DEL PUNTO DE EQUILIBRIO</a:t>
            </a:r>
          </a:p>
        </c:rich>
      </c:tx>
      <c:layout>
        <c:manualLayout>
          <c:xMode val="factor"/>
          <c:yMode val="factor"/>
          <c:x val="0.04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575"/>
          <c:w val="0.92675"/>
          <c:h val="0.68525"/>
        </c:manualLayout>
      </c:layout>
      <c:lineChart>
        <c:grouping val="standard"/>
        <c:varyColors val="0"/>
        <c:ser>
          <c:idx val="0"/>
          <c:order val="0"/>
          <c:tx>
            <c:strRef>
              <c:f>PE!$I$7</c:f>
              <c:strCache>
                <c:ptCount val="1"/>
                <c:pt idx="0">
                  <c:v>VENTAS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PE!$H$8:$H$18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PE!$I$8:$I$18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PE!$J$7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PE!$H$8:$H$18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PE!$J$8:$J$18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PE!$K$7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PE!$H$8:$H$18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PE!$K$8:$K$18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PE!$L$7</c:f>
              <c:strCache>
                <c:ptCount val="1"/>
                <c:pt idx="0">
                  <c:v>CF - CV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PE!$H$8:$H$18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PE!$L$8:$L$18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 val="autoZero"/>
        <c:auto val="0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DOLARES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5934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5"/>
          <c:y val="0.92425"/>
          <c:w val="0.753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Sensbilidad de la TIR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625"/>
          <c:w val="0.75675"/>
          <c:h val="0.7345"/>
        </c:manualLayout>
      </c:layout>
      <c:lineChart>
        <c:grouping val="standard"/>
        <c:varyColors val="0"/>
        <c:ser>
          <c:idx val="1"/>
          <c:order val="0"/>
          <c:tx>
            <c:strRef>
              <c:f>Sensibilidad!$A$2</c:f>
              <c:strCache>
                <c:ptCount val="1"/>
                <c:pt idx="0">
                  <c:v>Ventas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Sensibilidad!$B$1:$G$1</c:f>
              <c:numCache/>
            </c:numRef>
          </c:cat>
          <c:val>
            <c:numRef>
              <c:f>Sensibilidad!$B$2:$G$2</c:f>
              <c:numCache/>
            </c:numRef>
          </c:val>
          <c:smooth val="0"/>
        </c:ser>
        <c:marker val="1"/>
        <c:axId val="55981321"/>
        <c:axId val="34069842"/>
      </c:lineChart>
      <c:lineChart>
        <c:grouping val="standard"/>
        <c:varyColors val="0"/>
        <c:ser>
          <c:idx val="0"/>
          <c:order val="1"/>
          <c:tx>
            <c:strRef>
              <c:f>Sensibilidad!$A$3</c:f>
              <c:strCache>
                <c:ptCount val="1"/>
                <c:pt idx="0">
                  <c:v>Producción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Sensibilidad!$B$1:$G$1</c:f>
              <c:numCache/>
            </c:numRef>
          </c:cat>
          <c:val>
            <c:numRef>
              <c:f>Sensibilidad!$B$3:$G$3</c:f>
              <c:numCache/>
            </c:numRef>
          </c:val>
          <c:smooth val="0"/>
        </c:ser>
        <c:marker val="1"/>
        <c:axId val="38193123"/>
        <c:axId val="8193788"/>
      </c:lineChart>
      <c:catAx>
        <c:axId val="5598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Variaciones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0"/>
        <c:lblOffset val="100"/>
        <c:tickLblSkip val="1"/>
        <c:noMultiLvlLbl val="0"/>
      </c:catAx>
      <c:valAx>
        <c:axId val="34069842"/>
        <c:scaling>
          <c:orientation val="minMax"/>
          <c:max val="0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TIR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At val="1"/>
        <c:crossBetween val="between"/>
        <c:dispUnits/>
        <c:majorUnit val="0.05"/>
      </c:valAx>
      <c:catAx>
        <c:axId val="38193123"/>
        <c:scaling>
          <c:orientation val="minMax"/>
        </c:scaling>
        <c:axPos val="b"/>
        <c:delete val="1"/>
        <c:majorTickMark val="out"/>
        <c:minorTickMark val="none"/>
        <c:tickLblPos val="nextTo"/>
        <c:crossAx val="8193788"/>
        <c:crosses val="autoZero"/>
        <c:auto val="0"/>
        <c:lblOffset val="100"/>
        <c:tickLblSkip val="1"/>
        <c:noMultiLvlLbl val="0"/>
      </c:catAx>
      <c:valAx>
        <c:axId val="8193788"/>
        <c:scaling>
          <c:orientation val="minMax"/>
          <c:max val="0.3"/>
          <c:min val="0.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23"/>
        <c:crosses val="max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4375"/>
          <c:w val="0.16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Sensibilidad del VAN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55"/>
          <c:w val="0.7755"/>
          <c:h val="0.81525"/>
        </c:manualLayout>
      </c:layout>
      <c:lineChart>
        <c:grouping val="standard"/>
        <c:varyColors val="0"/>
        <c:ser>
          <c:idx val="1"/>
          <c:order val="0"/>
          <c:tx>
            <c:strRef>
              <c:f>Sensibilidad!$A$29</c:f>
              <c:strCache>
                <c:ptCount val="1"/>
                <c:pt idx="0">
                  <c:v>Ventas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Sensibilidad!$B$28:$G$28</c:f>
              <c:numCache/>
            </c:numRef>
          </c:cat>
          <c:val>
            <c:numRef>
              <c:f>Sensibilidad!$B$29:$G$29</c:f>
              <c:numCache/>
            </c:numRef>
          </c:val>
          <c:smooth val="0"/>
        </c:ser>
        <c:marker val="1"/>
        <c:axId val="6635229"/>
        <c:axId val="59717062"/>
      </c:lineChart>
      <c:lineChart>
        <c:grouping val="standard"/>
        <c:varyColors val="0"/>
        <c:ser>
          <c:idx val="0"/>
          <c:order val="1"/>
          <c:tx>
            <c:strRef>
              <c:f>Sensibilidad!$A$30</c:f>
              <c:strCache>
                <c:ptCount val="1"/>
                <c:pt idx="0">
                  <c:v>Producción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Sensibilidad!$B$28:$G$28</c:f>
              <c:numCache/>
            </c:numRef>
          </c:cat>
          <c:val>
            <c:numRef>
              <c:f>Sensibilidad!$B$30:$G$30</c:f>
              <c:numCache/>
            </c:numRef>
          </c:val>
          <c:smooth val="0"/>
        </c:ser>
        <c:marker val="1"/>
        <c:axId val="582647"/>
        <c:axId val="5243824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0"/>
        <c:lblOffset val="100"/>
        <c:tickLblSkip val="1"/>
        <c:noMultiLvlLbl val="0"/>
      </c:catAx>
      <c:valAx>
        <c:axId val="597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 (USD)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At val="1"/>
        <c:crossBetween val="between"/>
        <c:dispUnits/>
      </c:valAx>
      <c:catAx>
        <c:axId val="582647"/>
        <c:scaling>
          <c:orientation val="minMax"/>
        </c:scaling>
        <c:axPos val="b"/>
        <c:delete val="1"/>
        <c:majorTickMark val="out"/>
        <c:minorTickMark val="none"/>
        <c:tickLblPos val="nextTo"/>
        <c:crossAx val="5243824"/>
        <c:crosses val="autoZero"/>
        <c:auto val="0"/>
        <c:lblOffset val="100"/>
        <c:tickLblSkip val="1"/>
        <c:noMultiLvlLbl val="0"/>
      </c:catAx>
      <c:valAx>
        <c:axId val="52438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81"/>
          <c:w val="0.147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Sensibilidad Costos Variables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25"/>
          <c:w val="0.75775"/>
          <c:h val="0.80625"/>
        </c:manualLayout>
      </c:layout>
      <c:lineChart>
        <c:grouping val="standard"/>
        <c:varyColors val="0"/>
        <c:ser>
          <c:idx val="1"/>
          <c:order val="0"/>
          <c:tx>
            <c:v>VAN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Sensibilidad!$C$52:$H$52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Sensibilidad!$C$53:$H$53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7194417"/>
        <c:axId val="22096570"/>
      </c:lineChart>
      <c:lineChart>
        <c:grouping val="standard"/>
        <c:varyColors val="0"/>
        <c:ser>
          <c:idx val="0"/>
          <c:order val="1"/>
          <c:tx>
            <c:v>TIR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Sensibilidad!$C$52:$H$52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Sensibilidad!$C$54:$H$54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651403"/>
        <c:axId val="44991716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6570"/>
        <c:crosses val="autoZero"/>
        <c:auto val="0"/>
        <c:lblOffset val="100"/>
        <c:tickLblSkip val="1"/>
        <c:noMultiLvlLbl val="0"/>
      </c:catAx>
      <c:valAx>
        <c:axId val="22096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417"/>
        <c:crossesAt val="1"/>
        <c:crossBetween val="between"/>
        <c:dispUnits/>
      </c:valAx>
      <c:catAx>
        <c:axId val="64651403"/>
        <c:scaling>
          <c:orientation val="minMax"/>
        </c:scaling>
        <c:axPos val="b"/>
        <c:delete val="1"/>
        <c:majorTickMark val="out"/>
        <c:minorTickMark val="none"/>
        <c:tickLblPos val="nextTo"/>
        <c:crossAx val="44991716"/>
        <c:crosses val="autoZero"/>
        <c:auto val="0"/>
        <c:lblOffset val="100"/>
        <c:tickLblSkip val="1"/>
        <c:noMultiLvlLbl val="0"/>
      </c:catAx>
      <c:valAx>
        <c:axId val="4499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TIR</a:t>
                </a:r>
              </a:p>
            </c:rich>
          </c:tx>
          <c:layout>
            <c:manualLayout>
              <c:xMode val="factor"/>
              <c:yMode val="factor"/>
              <c:x val="0.23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7825"/>
          <c:w val="0.112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123825</xdr:rowOff>
    </xdr:from>
    <xdr:to>
      <xdr:col>9</xdr:col>
      <xdr:colOff>504825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314575" y="285750"/>
        <a:ext cx="5048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152400</xdr:rowOff>
    </xdr:from>
    <xdr:to>
      <xdr:col>9</xdr:col>
      <xdr:colOff>447675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2333625" y="1285875"/>
        <a:ext cx="4972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161925</xdr:rowOff>
    </xdr:from>
    <xdr:to>
      <xdr:col>13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781800" y="1209675"/>
        <a:ext cx="59626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895350</xdr:colOff>
      <xdr:row>12</xdr:row>
      <xdr:rowOff>66675</xdr:rowOff>
    </xdr:from>
    <xdr:to>
      <xdr:col>10</xdr:col>
      <xdr:colOff>895350</xdr:colOff>
      <xdr:row>23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1268075" y="2581275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5</xdr:row>
      <xdr:rowOff>66675</xdr:rowOff>
    </xdr:from>
    <xdr:to>
      <xdr:col>11</xdr:col>
      <xdr:colOff>104775</xdr:colOff>
      <xdr:row>24</xdr:row>
      <xdr:rowOff>123825</xdr:rowOff>
    </xdr:to>
    <xdr:graphicFrame>
      <xdr:nvGraphicFramePr>
        <xdr:cNvPr id="1" name="Chart 4"/>
        <xdr:cNvGraphicFramePr/>
      </xdr:nvGraphicFramePr>
      <xdr:xfrm>
        <a:off x="3171825" y="876300"/>
        <a:ext cx="5562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29</xdr:row>
      <xdr:rowOff>104775</xdr:rowOff>
    </xdr:from>
    <xdr:to>
      <xdr:col>10</xdr:col>
      <xdr:colOff>200025</xdr:colOff>
      <xdr:row>50</xdr:row>
      <xdr:rowOff>38100</xdr:rowOff>
    </xdr:to>
    <xdr:graphicFrame>
      <xdr:nvGraphicFramePr>
        <xdr:cNvPr id="2" name="Chart 7"/>
        <xdr:cNvGraphicFramePr/>
      </xdr:nvGraphicFramePr>
      <xdr:xfrm>
        <a:off x="2047875" y="4800600"/>
        <a:ext cx="60198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733425</xdr:colOff>
      <xdr:row>55</xdr:row>
      <xdr:rowOff>76200</xdr:rowOff>
    </xdr:from>
    <xdr:to>
      <xdr:col>9</xdr:col>
      <xdr:colOff>676275</xdr:colOff>
      <xdr:row>74</xdr:row>
      <xdr:rowOff>133350</xdr:rowOff>
    </xdr:to>
    <xdr:graphicFrame>
      <xdr:nvGraphicFramePr>
        <xdr:cNvPr id="3" name="Chart 8"/>
        <xdr:cNvGraphicFramePr/>
      </xdr:nvGraphicFramePr>
      <xdr:xfrm>
        <a:off x="2505075" y="8982075"/>
        <a:ext cx="52768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133350</xdr:rowOff>
    </xdr:from>
    <xdr:to>
      <xdr:col>7</xdr:col>
      <xdr:colOff>647700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867150" y="647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123825</xdr:rowOff>
    </xdr:from>
    <xdr:to>
      <xdr:col>7</xdr:col>
      <xdr:colOff>647700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867150" y="11525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609600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3857625" y="15430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0</xdr:rowOff>
    </xdr:from>
    <xdr:to>
      <xdr:col>8</xdr:col>
      <xdr:colOff>600075</xdr:colOff>
      <xdr:row>7</xdr:row>
      <xdr:rowOff>9525</xdr:rowOff>
    </xdr:to>
    <xdr:sp>
      <xdr:nvSpPr>
        <xdr:cNvPr id="4" name="Line 5"/>
        <xdr:cNvSpPr>
          <a:spLocks/>
        </xdr:cNvSpPr>
      </xdr:nvSpPr>
      <xdr:spPr>
        <a:xfrm>
          <a:off x="5105400" y="154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39052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6</xdr:row>
      <xdr:rowOff>0</xdr:rowOff>
    </xdr:from>
    <xdr:to>
      <xdr:col>0</xdr:col>
      <xdr:colOff>400050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400050" y="15430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8</xdr:row>
      <xdr:rowOff>0</xdr:rowOff>
    </xdr:from>
    <xdr:to>
      <xdr:col>8</xdr:col>
      <xdr:colOff>609600</xdr:colOff>
      <xdr:row>8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5114925" y="2057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123825</xdr:rowOff>
    </xdr:from>
    <xdr:to>
      <xdr:col>10</xdr:col>
      <xdr:colOff>352425</xdr:colOff>
      <xdr:row>8</xdr:row>
      <xdr:rowOff>123825</xdr:rowOff>
    </xdr:to>
    <xdr:sp>
      <xdr:nvSpPr>
        <xdr:cNvPr id="9" name="Line 13"/>
        <xdr:cNvSpPr>
          <a:spLocks/>
        </xdr:cNvSpPr>
      </xdr:nvSpPr>
      <xdr:spPr>
        <a:xfrm>
          <a:off x="5124450" y="2181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10</xdr:col>
      <xdr:colOff>352425</xdr:colOff>
      <xdr:row>9</xdr:row>
      <xdr:rowOff>0</xdr:rowOff>
    </xdr:to>
    <xdr:sp>
      <xdr:nvSpPr>
        <xdr:cNvPr id="10" name="Line 14"/>
        <xdr:cNvSpPr>
          <a:spLocks/>
        </xdr:cNvSpPr>
      </xdr:nvSpPr>
      <xdr:spPr>
        <a:xfrm>
          <a:off x="6096000" y="21812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8</xdr:row>
      <xdr:rowOff>133350</xdr:rowOff>
    </xdr:from>
    <xdr:to>
      <xdr:col>8</xdr:col>
      <xdr:colOff>609600</xdr:colOff>
      <xdr:row>8</xdr:row>
      <xdr:rowOff>247650</xdr:rowOff>
    </xdr:to>
    <xdr:sp>
      <xdr:nvSpPr>
        <xdr:cNvPr id="11" name="Line 17"/>
        <xdr:cNvSpPr>
          <a:spLocks/>
        </xdr:cNvSpPr>
      </xdr:nvSpPr>
      <xdr:spPr>
        <a:xfrm>
          <a:off x="5114925" y="2190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314325</xdr:colOff>
      <xdr:row>9</xdr:row>
      <xdr:rowOff>0</xdr:rowOff>
    </xdr:to>
    <xdr:sp>
      <xdr:nvSpPr>
        <xdr:cNvPr id="12" name="Line 18"/>
        <xdr:cNvSpPr>
          <a:spLocks/>
        </xdr:cNvSpPr>
      </xdr:nvSpPr>
      <xdr:spPr>
        <a:xfrm>
          <a:off x="1819275" y="2057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8</xdr:row>
      <xdr:rowOff>114300</xdr:rowOff>
    </xdr:from>
    <xdr:to>
      <xdr:col>5</xdr:col>
      <xdr:colOff>381000</xdr:colOff>
      <xdr:row>8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942975" y="2171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8</xdr:row>
      <xdr:rowOff>114300</xdr:rowOff>
    </xdr:from>
    <xdr:to>
      <xdr:col>1</xdr:col>
      <xdr:colOff>381000</xdr:colOff>
      <xdr:row>8</xdr:row>
      <xdr:rowOff>247650</xdr:rowOff>
    </xdr:to>
    <xdr:sp>
      <xdr:nvSpPr>
        <xdr:cNvPr id="14" name="Line 20"/>
        <xdr:cNvSpPr>
          <a:spLocks/>
        </xdr:cNvSpPr>
      </xdr:nvSpPr>
      <xdr:spPr>
        <a:xfrm>
          <a:off x="942975" y="2171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114300</xdr:rowOff>
    </xdr:from>
    <xdr:to>
      <xdr:col>5</xdr:col>
      <xdr:colOff>381000</xdr:colOff>
      <xdr:row>8</xdr:row>
      <xdr:rowOff>238125</xdr:rowOff>
    </xdr:to>
    <xdr:sp>
      <xdr:nvSpPr>
        <xdr:cNvPr id="15" name="Line 21"/>
        <xdr:cNvSpPr>
          <a:spLocks/>
        </xdr:cNvSpPr>
      </xdr:nvSpPr>
      <xdr:spPr>
        <a:xfrm>
          <a:off x="2828925" y="2171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133350</xdr:rowOff>
    </xdr:from>
    <xdr:to>
      <xdr:col>6</xdr:col>
      <xdr:colOff>638175</xdr:colOff>
      <xdr:row>3</xdr:row>
      <xdr:rowOff>133350</xdr:rowOff>
    </xdr:to>
    <xdr:sp>
      <xdr:nvSpPr>
        <xdr:cNvPr id="16" name="Line 22"/>
        <xdr:cNvSpPr>
          <a:spLocks/>
        </xdr:cNvSpPr>
      </xdr:nvSpPr>
      <xdr:spPr>
        <a:xfrm>
          <a:off x="3209925" y="904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0</xdr:rowOff>
    </xdr:from>
    <xdr:to>
      <xdr:col>3</xdr:col>
      <xdr:colOff>323850</xdr:colOff>
      <xdr:row>6</xdr:row>
      <xdr:rowOff>238125</xdr:rowOff>
    </xdr:to>
    <xdr:sp>
      <xdr:nvSpPr>
        <xdr:cNvPr id="17" name="Line 23"/>
        <xdr:cNvSpPr>
          <a:spLocks/>
        </xdr:cNvSpPr>
      </xdr:nvSpPr>
      <xdr:spPr>
        <a:xfrm>
          <a:off x="1828800" y="1543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sto%20de%20huevos%20de%20codorni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o.ROBERTO-G5T71LZ\Configuraci&#243;n%20local\Temp\Directorio%20temporal%202%20para%20PROYECTO%20Macadamia.zip\PROYECTO%20Macadamia\TESIS%20RICARDO\Anexo%20adic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uariouno\Mis%20documentos\Project%20Consulting%20Group\Proyecto%20Macadamia\IMPORTACIONES\Importaciones%20Glob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año"/>
      <sheetName val="Costo Maquila"/>
      <sheetName val="inv.1"/>
      <sheetName val="CMD"/>
      <sheetName val="CMI"/>
      <sheetName val="Mant.yRep."/>
      <sheetName val="serv-bas"/>
      <sheetName val="Seguros"/>
      <sheetName val="DEPREC&amp;AMORT"/>
      <sheetName val="Gastos Admin."/>
      <sheetName val="PVI"/>
      <sheetName val="Gast. Financ"/>
      <sheetName val="COSTOS IMPORTADOR"/>
      <sheetName val="cost_prod"/>
      <sheetName val="P&amp;G"/>
      <sheetName val="BG-INICIO"/>
      <sheetName val="fluj_caj"/>
      <sheetName val="BALANCES"/>
      <sheetName val="TIR-VAN"/>
      <sheetName val="RAZONES_FINAN"/>
      <sheetName val="TIR&amp;VAN "/>
      <sheetName val="FLUJO CAJA"/>
      <sheetName val="VARIACION PRECIO"/>
      <sheetName val="FLUJO_TER"/>
      <sheetName val="TABLA_TER"/>
      <sheetName val="VARIAC_PRECIO"/>
      <sheetName val="VARIAC_VTAS"/>
      <sheetName val="VARIAC_COSTOS"/>
      <sheetName val="res_sens_varaiab"/>
    </sheetNames>
    <sheetDataSet>
      <sheetData sheetId="23">
        <row r="22">
          <cell r="N22">
            <v>0.2652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ación"/>
      <sheetName val="P1"/>
      <sheetName val="P2"/>
      <sheetName val="P4"/>
      <sheetName val="P5"/>
      <sheetName val="P7"/>
      <sheetName val="P8"/>
      <sheetName val="P9"/>
      <sheetName val="P11"/>
      <sheetName val="P12"/>
      <sheetName val="P13"/>
      <sheetName val="P14"/>
      <sheetName val="P15"/>
      <sheetName val="P16"/>
      <sheetName val="P17"/>
      <sheetName val="P18"/>
      <sheetName val="P19-1"/>
      <sheetName val="P19-2"/>
      <sheetName val="P19-3"/>
      <sheetName val="P19-4"/>
      <sheetName val="P19-5"/>
      <sheetName val="P19-6"/>
      <sheetName val="P20"/>
      <sheetName val="GRAFICOS"/>
    </sheetNames>
    <sheetDataSet>
      <sheetData sheetId="23">
        <row r="2">
          <cell r="C2">
            <v>0.9259259259259259</v>
          </cell>
        </row>
        <row r="61">
          <cell r="C61">
            <v>0.6266666666666667</v>
          </cell>
        </row>
        <row r="142">
          <cell r="C142">
            <v>0.44</v>
          </cell>
        </row>
        <row r="241">
          <cell r="C241">
            <v>0.6</v>
          </cell>
        </row>
        <row r="245">
          <cell r="C245">
            <v>0.2</v>
          </cell>
        </row>
        <row r="296">
          <cell r="C296">
            <v>0.3</v>
          </cell>
        </row>
        <row r="339">
          <cell r="C339">
            <v>0.21428571428571427</v>
          </cell>
        </row>
        <row r="340">
          <cell r="C340">
            <v>0.2571428571428571</v>
          </cell>
        </row>
        <row r="341">
          <cell r="C341">
            <v>0.5285714285714286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oyecciones"/>
    </sheetNames>
    <sheetDataSet>
      <sheetData sheetId="2">
        <row r="15">
          <cell r="C15">
            <v>2.6094872518463124</v>
          </cell>
        </row>
        <row r="16">
          <cell r="C16">
            <v>3.3513511951223505</v>
          </cell>
        </row>
        <row r="17">
          <cell r="C17">
            <v>4.093215138398389</v>
          </cell>
        </row>
        <row r="18">
          <cell r="C18">
            <v>4.835079081674427</v>
          </cell>
        </row>
        <row r="19">
          <cell r="C19">
            <v>5.576943024950465</v>
          </cell>
        </row>
        <row r="20">
          <cell r="C20">
            <v>6.318806968226502</v>
          </cell>
        </row>
        <row r="21">
          <cell r="C21">
            <v>7.060670911502541</v>
          </cell>
        </row>
        <row r="22">
          <cell r="C22">
            <v>7.802534854778578</v>
          </cell>
        </row>
        <row r="23">
          <cell r="C23">
            <v>8.544398798054617</v>
          </cell>
        </row>
        <row r="24">
          <cell r="C24">
            <v>9.286262741330654</v>
          </cell>
        </row>
        <row r="25">
          <cell r="C25">
            <v>10.028126684606692</v>
          </cell>
        </row>
        <row r="26">
          <cell r="C26">
            <v>10.76999062788273</v>
          </cell>
        </row>
        <row r="27">
          <cell r="C27">
            <v>11.511854571158768</v>
          </cell>
        </row>
        <row r="28">
          <cell r="C28">
            <v>12.253718514434807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K24">
      <selection activeCell="V44" sqref="V44"/>
    </sheetView>
  </sheetViews>
  <sheetFormatPr defaultColWidth="11.421875" defaultRowHeight="12.75"/>
  <cols>
    <col min="2" max="2" width="41.28125" style="0" bestFit="1" customWidth="1"/>
    <col min="3" max="3" width="16.421875" style="0" bestFit="1" customWidth="1"/>
    <col min="4" max="4" width="24.140625" style="0" bestFit="1" customWidth="1"/>
    <col min="5" max="5" width="14.421875" style="0" bestFit="1" customWidth="1"/>
    <col min="7" max="7" width="8.57421875" style="0" bestFit="1" customWidth="1"/>
    <col min="9" max="9" width="25.57421875" style="0" customWidth="1"/>
    <col min="10" max="10" width="13.57421875" style="0" customWidth="1"/>
    <col min="13" max="13" width="17.140625" style="0" customWidth="1"/>
    <col min="16" max="29" width="7.00390625" style="0" customWidth="1"/>
  </cols>
  <sheetData>
    <row r="1" spans="1:5" ht="12.75">
      <c r="A1" t="s">
        <v>6</v>
      </c>
      <c r="B1" s="12">
        <f>2039789*(1.024)^5</f>
        <v>2296598.2450786093</v>
      </c>
      <c r="E1">
        <v>293876</v>
      </c>
    </row>
    <row r="2" spans="1:5" ht="12.75">
      <c r="A2" t="s">
        <v>7</v>
      </c>
      <c r="B2" s="4">
        <v>0.292</v>
      </c>
      <c r="E2">
        <f>2039789-237473-242802-235076-132496-E1</f>
        <v>898066</v>
      </c>
    </row>
    <row r="3" spans="1:6" ht="12.75">
      <c r="A3" t="s">
        <v>8</v>
      </c>
      <c r="B3" s="4">
        <v>0.086</v>
      </c>
      <c r="E3" s="12">
        <f>SUM(E1:E2)</f>
        <v>1191942</v>
      </c>
      <c r="F3" s="4">
        <f>E3/2039789</f>
        <v>0.5843457337989371</v>
      </c>
    </row>
    <row r="4" spans="1:6" ht="12.75">
      <c r="A4" t="s">
        <v>9</v>
      </c>
      <c r="B4" s="4">
        <f>SUM(B2:B3)</f>
        <v>0.378</v>
      </c>
      <c r="E4" t="s">
        <v>11</v>
      </c>
      <c r="F4" s="4">
        <v>0.096</v>
      </c>
    </row>
    <row r="5" spans="1:2" ht="12.75">
      <c r="A5" t="s">
        <v>10</v>
      </c>
      <c r="B5" s="12">
        <f>B1*B4</f>
        <v>868114.1366397144</v>
      </c>
    </row>
    <row r="6" ht="12.75">
      <c r="B6" s="12">
        <f>B5*F3</f>
        <v>507278.7921959646</v>
      </c>
    </row>
    <row r="7" ht="12.75">
      <c r="B7" s="12">
        <f>B6*F4</f>
        <v>48698.764050812606</v>
      </c>
    </row>
    <row r="8" spans="1:2" ht="12.75">
      <c r="A8" t="s">
        <v>12</v>
      </c>
      <c r="B8" s="13">
        <f>B6-B7</f>
        <v>458580.028145152</v>
      </c>
    </row>
    <row r="9" spans="1:2" ht="12.75">
      <c r="A9" t="s">
        <v>13</v>
      </c>
      <c r="B9" s="4">
        <f>+'[2]GRAFICOS'!C2</f>
        <v>0.9259259259259259</v>
      </c>
    </row>
    <row r="10" ht="12.75">
      <c r="B10" s="14">
        <f>B8*B9</f>
        <v>424611.1371714371</v>
      </c>
    </row>
    <row r="11" spans="1:2" ht="12.75">
      <c r="A11" t="s">
        <v>14</v>
      </c>
      <c r="B11" s="4">
        <f>+'[2]GRAFICOS'!C61</f>
        <v>0.6266666666666667</v>
      </c>
    </row>
    <row r="12" ht="12.75">
      <c r="B12" s="14">
        <f>B10*B11</f>
        <v>266089.6459607673</v>
      </c>
    </row>
    <row r="13" spans="1:4" ht="12.75">
      <c r="A13" t="s">
        <v>15</v>
      </c>
      <c r="B13" s="4">
        <f>+'[2]GRAFICOS'!C241</f>
        <v>0.6</v>
      </c>
      <c r="C13" s="4">
        <f>+'[2]GRAFICOS'!C245</f>
        <v>0.2</v>
      </c>
      <c r="D13" s="4">
        <f>SUM(B13:C13)</f>
        <v>0.8</v>
      </c>
    </row>
    <row r="14" spans="2:4" ht="12.75">
      <c r="B14" s="14">
        <f>B12*B13</f>
        <v>159653.78757646037</v>
      </c>
      <c r="C14" s="14">
        <f>B12*C13</f>
        <v>53217.92919215346</v>
      </c>
      <c r="D14" s="12">
        <f>SUM(B14:C14)</f>
        <v>212871.71676861384</v>
      </c>
    </row>
    <row r="15" ht="12.75">
      <c r="B15" s="15">
        <f>B14+C14</f>
        <v>212871.71676861384</v>
      </c>
    </row>
    <row r="16" spans="1:4" ht="12.75">
      <c r="A16" t="s">
        <v>16</v>
      </c>
      <c r="B16" s="4">
        <f>+'[2]GRAFICOS'!C296</f>
        <v>0.3</v>
      </c>
      <c r="C16" s="4"/>
      <c r="D16" s="4"/>
    </row>
    <row r="17" spans="2:4" ht="12.75">
      <c r="B17" s="14">
        <f>B15*B16</f>
        <v>63861.51503058415</v>
      </c>
      <c r="C17" s="14"/>
      <c r="D17" s="12"/>
    </row>
    <row r="18" ht="13.5" thickBot="1">
      <c r="B18" s="15">
        <f>+B17</f>
        <v>63861.51503058415</v>
      </c>
    </row>
    <row r="19" spans="2:5" ht="13.5" thickBot="1">
      <c r="B19" s="36" t="s">
        <v>33</v>
      </c>
      <c r="C19" s="37" t="s">
        <v>34</v>
      </c>
      <c r="D19" s="37" t="s">
        <v>35</v>
      </c>
      <c r="E19" s="39" t="s">
        <v>36</v>
      </c>
    </row>
    <row r="20" spans="1:5" ht="12.75">
      <c r="A20" t="s">
        <v>17</v>
      </c>
      <c r="B20" s="25" t="s">
        <v>3</v>
      </c>
      <c r="C20" s="33">
        <f>+'[2]GRAFICOS'!C341</f>
        <v>0.5285714285714286</v>
      </c>
      <c r="D20" s="27">
        <v>1</v>
      </c>
      <c r="E20" s="28">
        <f>$B$18*C20*D20</f>
        <v>33755.37223045163</v>
      </c>
    </row>
    <row r="21" spans="2:5" ht="12.75">
      <c r="B21" s="17" t="s">
        <v>2</v>
      </c>
      <c r="C21" s="34">
        <f>+'[2]GRAFICOS'!C340</f>
        <v>0.2571428571428571</v>
      </c>
      <c r="D21" s="29">
        <v>2</v>
      </c>
      <c r="E21" s="30">
        <f>$B$18*C21*D21</f>
        <v>32843.064872871844</v>
      </c>
    </row>
    <row r="22" spans="2:5" ht="13.5" thickBot="1">
      <c r="B22" s="26" t="s">
        <v>5</v>
      </c>
      <c r="C22" s="35">
        <f>+'[2]GRAFICOS'!C339</f>
        <v>0.21428571428571427</v>
      </c>
      <c r="D22" s="31">
        <v>4</v>
      </c>
      <c r="E22" s="32">
        <f>$B$18*C22*D22</f>
        <v>54738.441454786414</v>
      </c>
    </row>
    <row r="23" spans="2:8" ht="13.5" thickBot="1">
      <c r="B23" s="699" t="s">
        <v>9</v>
      </c>
      <c r="C23" s="700"/>
      <c r="D23" s="701"/>
      <c r="E23" s="38">
        <f>SUM(E20:E22)</f>
        <v>121336.87855810988</v>
      </c>
      <c r="G23" s="16" t="s">
        <v>18</v>
      </c>
      <c r="H23" s="16" t="s">
        <v>21</v>
      </c>
    </row>
    <row r="24" spans="6:8" ht="12.75">
      <c r="F24" t="s">
        <v>20</v>
      </c>
      <c r="G24" s="16" t="s">
        <v>19</v>
      </c>
      <c r="H24" s="16" t="s">
        <v>22</v>
      </c>
    </row>
    <row r="26" spans="6:8" ht="12.75">
      <c r="F26" t="s">
        <v>23</v>
      </c>
      <c r="G26" s="13">
        <f>(E23/2)</f>
        <v>60668.43927905494</v>
      </c>
      <c r="H26" s="16" t="s">
        <v>24</v>
      </c>
    </row>
    <row r="27" spans="7:8" ht="13.5" thickBot="1">
      <c r="G27" s="13"/>
      <c r="H27" s="16"/>
    </row>
    <row r="28" spans="2:15" ht="13.5" thickBot="1">
      <c r="B28" s="19" t="s">
        <v>32</v>
      </c>
      <c r="C28" s="20" t="s">
        <v>30</v>
      </c>
      <c r="I28" s="705" t="s">
        <v>573</v>
      </c>
      <c r="J28" s="706"/>
      <c r="N28" s="361"/>
      <c r="O28" s="361"/>
    </row>
    <row r="29" spans="2:15" ht="16.5" customHeight="1">
      <c r="B29" s="9" t="s">
        <v>25</v>
      </c>
      <c r="C29" s="21">
        <f>+B8</f>
        <v>458580.028145152</v>
      </c>
      <c r="G29" s="4">
        <f>J29/J31</f>
        <v>0.9980179377629492</v>
      </c>
      <c r="I29" s="6" t="s">
        <v>45</v>
      </c>
      <c r="J29" s="44">
        <f>+G26</f>
        <v>60668.43927905494</v>
      </c>
      <c r="K29" s="16" t="s">
        <v>19</v>
      </c>
      <c r="L29" t="s">
        <v>47</v>
      </c>
      <c r="N29" s="357"/>
      <c r="O29" s="358"/>
    </row>
    <row r="30" spans="2:15" ht="16.5" customHeight="1" thickBot="1">
      <c r="B30" s="9" t="s">
        <v>26</v>
      </c>
      <c r="C30" s="22">
        <f>+B9</f>
        <v>0.9259259259259259</v>
      </c>
      <c r="G30" s="4">
        <f>100%-G29</f>
        <v>0.0019820622370507746</v>
      </c>
      <c r="I30" s="7" t="s">
        <v>46</v>
      </c>
      <c r="J30" s="45">
        <f>+importaciones!G2/12</f>
        <v>120.4874360729038</v>
      </c>
      <c r="K30" s="16" t="s">
        <v>19</v>
      </c>
      <c r="L30" t="s">
        <v>47</v>
      </c>
      <c r="N30" s="357"/>
      <c r="O30" s="358"/>
    </row>
    <row r="31" spans="2:15" ht="16.5" customHeight="1" thickBot="1">
      <c r="B31" s="17"/>
      <c r="C31" s="23">
        <f>C29*C30</f>
        <v>424611.1371714371</v>
      </c>
      <c r="I31" s="18" t="s">
        <v>10</v>
      </c>
      <c r="J31" s="46">
        <f>J29+J30</f>
        <v>60788.92671512784</v>
      </c>
      <c r="N31" s="359"/>
      <c r="O31" s="360"/>
    </row>
    <row r="32" spans="2:3" ht="12.75">
      <c r="B32" s="9" t="s">
        <v>27</v>
      </c>
      <c r="C32" s="22">
        <f>+B11</f>
        <v>0.6266666666666667</v>
      </c>
    </row>
    <row r="33" spans="2:3" ht="12.75">
      <c r="B33" s="17"/>
      <c r="C33" s="23">
        <f>C31*C32</f>
        <v>266089.6459607673</v>
      </c>
    </row>
    <row r="34" spans="2:12" ht="12.75">
      <c r="B34" s="9" t="s">
        <v>28</v>
      </c>
      <c r="C34" s="22">
        <f>+B13</f>
        <v>0.6</v>
      </c>
      <c r="D34" s="4">
        <f>C34/80%</f>
        <v>0.7499999999999999</v>
      </c>
      <c r="J34" s="30">
        <f>J31/2.2</f>
        <v>27631.33032505811</v>
      </c>
      <c r="K34" s="16" t="s">
        <v>48</v>
      </c>
      <c r="L34" s="16"/>
    </row>
    <row r="35" spans="2:11" ht="12.75">
      <c r="B35" s="9" t="s">
        <v>29</v>
      </c>
      <c r="C35" s="22">
        <f>+C13</f>
        <v>0.2</v>
      </c>
      <c r="D35" s="50">
        <f>C35/80%</f>
        <v>0.25</v>
      </c>
      <c r="J35" s="47">
        <f>J34/1000</f>
        <v>27.63133032505811</v>
      </c>
      <c r="K35" t="s">
        <v>49</v>
      </c>
    </row>
    <row r="36" spans="2:3" ht="12.75">
      <c r="B36" s="17"/>
      <c r="C36" s="23">
        <f>C33*(C34+C35)</f>
        <v>212871.71676861384</v>
      </c>
    </row>
    <row r="37" spans="2:10" ht="13.5" thickBot="1">
      <c r="B37" s="26" t="s">
        <v>4</v>
      </c>
      <c r="C37" s="49">
        <f>+B16</f>
        <v>0.3</v>
      </c>
      <c r="J37" s="48">
        <f>J35*12</f>
        <v>331.5759639006973</v>
      </c>
    </row>
    <row r="38" spans="2:3" ht="13.5" thickBot="1">
      <c r="B38" s="18" t="s">
        <v>31</v>
      </c>
      <c r="C38" s="24">
        <f>C36*C37</f>
        <v>63861.51503058415</v>
      </c>
    </row>
    <row r="39" spans="9:10" ht="12.75">
      <c r="I39" s="361"/>
      <c r="J39" s="361"/>
    </row>
    <row r="40" spans="9:11" ht="12.75">
      <c r="I40" s="357"/>
      <c r="J40" s="358"/>
      <c r="K40" s="16"/>
    </row>
    <row r="41" spans="9:11" ht="13.5" thickBot="1">
      <c r="I41" s="357"/>
      <c r="J41" s="358"/>
      <c r="K41" s="16"/>
    </row>
    <row r="42" spans="9:29" ht="25.5" customHeight="1" thickBot="1">
      <c r="I42" s="359"/>
      <c r="J42" s="360"/>
      <c r="O42" s="702" t="s">
        <v>574</v>
      </c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03"/>
      <c r="AA42" s="703"/>
      <c r="AB42" s="703"/>
      <c r="AC42" s="704"/>
    </row>
    <row r="43" spans="15:29" ht="25.5" customHeight="1">
      <c r="O43" s="355" t="s">
        <v>43</v>
      </c>
      <c r="P43" s="369">
        <v>2006</v>
      </c>
      <c r="Q43" s="370">
        <v>2007</v>
      </c>
      <c r="R43" s="370">
        <v>2008</v>
      </c>
      <c r="S43" s="370">
        <v>2009</v>
      </c>
      <c r="T43" s="370">
        <v>2010</v>
      </c>
      <c r="U43" s="370">
        <v>2011</v>
      </c>
      <c r="V43" s="370">
        <v>2012</v>
      </c>
      <c r="W43" s="370">
        <v>2013</v>
      </c>
      <c r="X43" s="370">
        <v>2014</v>
      </c>
      <c r="Y43" s="370">
        <v>2015</v>
      </c>
      <c r="Z43" s="370">
        <v>2016</v>
      </c>
      <c r="AA43" s="370">
        <v>2017</v>
      </c>
      <c r="AB43" s="370">
        <v>2018</v>
      </c>
      <c r="AC43" s="371">
        <v>2019</v>
      </c>
    </row>
    <row r="44" spans="15:29" ht="25.5" customHeight="1" thickBot="1">
      <c r="O44" s="356" t="s">
        <v>575</v>
      </c>
      <c r="P44" s="372">
        <f>'D PROYECTO'!B4</f>
        <v>331.5759639006973</v>
      </c>
      <c r="Q44" s="373">
        <f>'D PROYECTO'!B5</f>
        <v>339.25133343543564</v>
      </c>
      <c r="R44" s="372">
        <f>'D PROYECTO'!B6</f>
        <v>347.1043735612559</v>
      </c>
      <c r="S44" s="373">
        <f>'D PROYECTO'!B7</f>
        <v>355.139197023322</v>
      </c>
      <c r="T44" s="372">
        <f>'D PROYECTO'!B8</f>
        <v>363.36001176923224</v>
      </c>
      <c r="U44" s="373">
        <f>'D PROYECTO'!B9</f>
        <v>371.7711231527793</v>
      </c>
      <c r="V44" s="372">
        <f>'D PROYECTO'!B10</f>
        <v>380.3769361887233</v>
      </c>
      <c r="W44" s="373">
        <f>'D PROYECTO'!B11</f>
        <v>389.18195785975854</v>
      </c>
      <c r="X44" s="372">
        <f>'D PROYECTO'!B12</f>
        <v>398.1907994768826</v>
      </c>
      <c r="Y44" s="373">
        <f>'D PROYECTO'!B13</f>
        <v>407.408179094403</v>
      </c>
      <c r="Z44" s="372">
        <f>'D PROYECTO'!B14</f>
        <v>416.83892398084754</v>
      </c>
      <c r="AA44" s="373">
        <f>'D PROYECTO'!B15</f>
        <v>426.4879731470709</v>
      </c>
      <c r="AB44" s="372">
        <f>'D PROYECTO'!B16</f>
        <v>436.3603799328827</v>
      </c>
      <c r="AC44" s="373">
        <f>'D PROYECTO'!B17</f>
        <v>446.4613146535513</v>
      </c>
    </row>
    <row r="47" ht="13.5" thickBot="1"/>
    <row r="48" spans="9:13" ht="18.75" customHeight="1" thickBot="1">
      <c r="I48" s="362" t="s">
        <v>576</v>
      </c>
      <c r="J48" s="363" t="s">
        <v>577</v>
      </c>
      <c r="K48" s="363" t="s">
        <v>578</v>
      </c>
      <c r="L48" s="363" t="s">
        <v>49</v>
      </c>
      <c r="M48" s="364" t="s">
        <v>579</v>
      </c>
    </row>
    <row r="49" spans="9:13" ht="12.75">
      <c r="I49" s="352" t="s">
        <v>45</v>
      </c>
      <c r="J49" s="365">
        <f>J29</f>
        <v>60668.43927905494</v>
      </c>
      <c r="K49" s="365">
        <f>J49/2.2</f>
        <v>27576.563308661334</v>
      </c>
      <c r="L49" s="365">
        <f>K49/1000</f>
        <v>27.576563308661335</v>
      </c>
      <c r="M49" s="365">
        <f>L49*12</f>
        <v>330.918759703936</v>
      </c>
    </row>
    <row r="50" spans="9:13" ht="13.5" thickBot="1">
      <c r="I50" s="353" t="s">
        <v>46</v>
      </c>
      <c r="J50" s="366">
        <v>120</v>
      </c>
      <c r="K50" s="366">
        <f>J50/2.2</f>
        <v>54.54545454545454</v>
      </c>
      <c r="L50" s="368">
        <f>K50/1000</f>
        <v>0.05454545454545454</v>
      </c>
      <c r="M50" s="368">
        <f>L50*12</f>
        <v>0.6545454545454545</v>
      </c>
    </row>
    <row r="51" spans="9:13" ht="13.5" thickBot="1">
      <c r="I51" s="354" t="s">
        <v>10</v>
      </c>
      <c r="J51" s="367">
        <f>J49+J50</f>
        <v>60788.43927905494</v>
      </c>
      <c r="K51" s="367">
        <f>SUM(K49:K50)</f>
        <v>27631.10876320679</v>
      </c>
      <c r="L51" s="367">
        <f>SUM(L49:L50)</f>
        <v>27.63110876320679</v>
      </c>
      <c r="M51" s="367">
        <f>SUM(M49:M50)</f>
        <v>331.57330515848145</v>
      </c>
    </row>
  </sheetData>
  <sheetProtection/>
  <mergeCells count="3">
    <mergeCell ref="B23:D23"/>
    <mergeCell ref="O42:AC42"/>
    <mergeCell ref="I28:J28"/>
  </mergeCells>
  <printOptions/>
  <pageMargins left="0.75" right="0.75" top="1" bottom="1" header="0" footer="0"/>
  <pageSetup horizontalDpi="300" verticalDpi="300" orientation="portrait" r:id="rId1"/>
  <ignoredErrors>
    <ignoredError sqref="B11 B13 C31:C32 C33 Y4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P1">
      <selection activeCell="R16" sqref="R16"/>
    </sheetView>
  </sheetViews>
  <sheetFormatPr defaultColWidth="11.421875" defaultRowHeight="12.75"/>
  <cols>
    <col min="17" max="17" width="21.7109375" style="0" bestFit="1" customWidth="1"/>
    <col min="18" max="27" width="5.7109375" style="0" customWidth="1"/>
    <col min="28" max="30" width="5.57421875" style="0" bestFit="1" customWidth="1"/>
  </cols>
  <sheetData>
    <row r="1" spans="1:30" ht="28.5" customHeight="1">
      <c r="A1">
        <v>50</v>
      </c>
      <c r="B1">
        <v>80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Q1" s="408" t="s">
        <v>82</v>
      </c>
      <c r="R1" s="408">
        <v>1</v>
      </c>
      <c r="S1" s="408">
        <v>2</v>
      </c>
      <c r="T1" s="408">
        <v>3</v>
      </c>
      <c r="U1" s="408">
        <v>4</v>
      </c>
      <c r="V1" s="408">
        <v>5</v>
      </c>
      <c r="W1" s="408">
        <v>6</v>
      </c>
      <c r="X1" s="408">
        <v>7</v>
      </c>
      <c r="Y1" s="408">
        <v>8</v>
      </c>
      <c r="Z1" s="408">
        <v>9</v>
      </c>
      <c r="AA1" s="409">
        <v>10</v>
      </c>
      <c r="AB1" s="410">
        <v>11</v>
      </c>
      <c r="AC1" s="408">
        <v>12</v>
      </c>
      <c r="AD1" s="409">
        <v>13</v>
      </c>
    </row>
    <row r="2" spans="1:30" ht="12.75">
      <c r="A2">
        <v>53</v>
      </c>
      <c r="B2" t="s">
        <v>20</v>
      </c>
      <c r="C2">
        <f>1/36</f>
        <v>0.027777777777777776</v>
      </c>
      <c r="D2">
        <f>1/11</f>
        <v>0.09090909090909091</v>
      </c>
      <c r="E2">
        <f>1/16</f>
        <v>0.0625</v>
      </c>
      <c r="F2">
        <f>1/20</f>
        <v>0.05</v>
      </c>
      <c r="G2">
        <f>1/28</f>
        <v>0.03571428571428571</v>
      </c>
      <c r="H2">
        <f>1/34</f>
        <v>0.029411764705882353</v>
      </c>
      <c r="I2">
        <f>1/41</f>
        <v>0.024390243902439025</v>
      </c>
      <c r="J2">
        <f>1/52</f>
        <v>0.019230769230769232</v>
      </c>
      <c r="K2">
        <f>1/60</f>
        <v>0.016666666666666666</v>
      </c>
      <c r="L2">
        <f>1/66</f>
        <v>0.015151515151515152</v>
      </c>
      <c r="M2">
        <f>1/74</f>
        <v>0.013513513513513514</v>
      </c>
      <c r="N2">
        <f>1/78</f>
        <v>0.01282051282051282</v>
      </c>
      <c r="O2">
        <f>1/80</f>
        <v>0.0125</v>
      </c>
      <c r="Q2" s="411" t="s">
        <v>66</v>
      </c>
      <c r="R2" s="412">
        <v>1</v>
      </c>
      <c r="S2" s="412">
        <f>+R2</f>
        <v>1</v>
      </c>
      <c r="T2" s="412">
        <f aca="true" t="shared" si="0" ref="T2:AD2">+S2</f>
        <v>1</v>
      </c>
      <c r="U2" s="412">
        <f t="shared" si="0"/>
        <v>1</v>
      </c>
      <c r="V2" s="412">
        <f t="shared" si="0"/>
        <v>1</v>
      </c>
      <c r="W2" s="412">
        <f t="shared" si="0"/>
        <v>1</v>
      </c>
      <c r="X2" s="412">
        <f t="shared" si="0"/>
        <v>1</v>
      </c>
      <c r="Y2" s="412">
        <f t="shared" si="0"/>
        <v>1</v>
      </c>
      <c r="Z2" s="412">
        <f t="shared" si="0"/>
        <v>1</v>
      </c>
      <c r="AA2" s="412">
        <f t="shared" si="0"/>
        <v>1</v>
      </c>
      <c r="AB2" s="412">
        <f t="shared" si="0"/>
        <v>1</v>
      </c>
      <c r="AC2" s="412">
        <f t="shared" si="0"/>
        <v>1</v>
      </c>
      <c r="AD2" s="413">
        <f t="shared" si="0"/>
        <v>1</v>
      </c>
    </row>
    <row r="3" spans="3:30" ht="12.75">
      <c r="C3">
        <f>12/36</f>
        <v>0.3333333333333333</v>
      </c>
      <c r="D3">
        <v>0</v>
      </c>
      <c r="Q3" s="411" t="s">
        <v>67</v>
      </c>
      <c r="R3" s="412">
        <v>12</v>
      </c>
      <c r="S3" s="412">
        <f aca="true" t="shared" si="1" ref="S3:S16">42*D3</f>
        <v>0</v>
      </c>
      <c r="T3" s="412">
        <f aca="true" t="shared" si="2" ref="T3:T16">60*E3</f>
        <v>0</v>
      </c>
      <c r="U3" s="412">
        <f>76*F3</f>
        <v>0</v>
      </c>
      <c r="V3" s="412">
        <f>106*G3</f>
        <v>0</v>
      </c>
      <c r="W3" s="412">
        <f>129*H3</f>
        <v>0</v>
      </c>
      <c r="X3" s="412">
        <f>155*I3</f>
        <v>0</v>
      </c>
      <c r="Y3" s="412">
        <f>197*J3</f>
        <v>0</v>
      </c>
      <c r="Z3" s="412">
        <f>227*K3</f>
        <v>0</v>
      </c>
      <c r="AA3" s="414">
        <f>249*L3</f>
        <v>0</v>
      </c>
      <c r="AB3" s="414">
        <f>280*M3</f>
        <v>0</v>
      </c>
      <c r="AC3" s="414">
        <f>295*N3</f>
        <v>0</v>
      </c>
      <c r="AD3" s="415">
        <f>302*O3</f>
        <v>0</v>
      </c>
    </row>
    <row r="4" spans="1:30" ht="12.75">
      <c r="A4" t="s">
        <v>65</v>
      </c>
      <c r="B4" s="8">
        <f>(B1*A2)/A1</f>
        <v>84.8</v>
      </c>
      <c r="C4">
        <f>2/36</f>
        <v>0.05555555555555555</v>
      </c>
      <c r="D4">
        <v>0</v>
      </c>
      <c r="Q4" s="411" t="s">
        <v>68</v>
      </c>
      <c r="R4" s="412">
        <v>2</v>
      </c>
      <c r="S4" s="412">
        <f t="shared" si="1"/>
        <v>0</v>
      </c>
      <c r="T4" s="412">
        <f t="shared" si="2"/>
        <v>0</v>
      </c>
      <c r="U4" s="412">
        <f>76*F4</f>
        <v>0</v>
      </c>
      <c r="V4" s="412">
        <f>106*G4</f>
        <v>0</v>
      </c>
      <c r="W4" s="412">
        <f>129*H4</f>
        <v>0</v>
      </c>
      <c r="X4" s="412">
        <f>155*I4</f>
        <v>0</v>
      </c>
      <c r="Y4" s="412">
        <f>197*J4</f>
        <v>0</v>
      </c>
      <c r="Z4" s="412">
        <f>227*K4</f>
        <v>0</v>
      </c>
      <c r="AA4" s="414">
        <f>249*L4</f>
        <v>0</v>
      </c>
      <c r="AB4" s="414">
        <f>280*M4</f>
        <v>0</v>
      </c>
      <c r="AC4" s="414">
        <f>295*N4</f>
        <v>0</v>
      </c>
      <c r="AD4" s="415">
        <f>302*O4</f>
        <v>0</v>
      </c>
    </row>
    <row r="5" spans="3:30" ht="12.75">
      <c r="C5">
        <f>6/36</f>
        <v>0.16666666666666666</v>
      </c>
      <c r="D5">
        <v>0</v>
      </c>
      <c r="Q5" s="411" t="s">
        <v>69</v>
      </c>
      <c r="R5" s="412">
        <v>6</v>
      </c>
      <c r="S5" s="412">
        <f t="shared" si="1"/>
        <v>0</v>
      </c>
      <c r="T5" s="412">
        <f t="shared" si="2"/>
        <v>0</v>
      </c>
      <c r="U5" s="412">
        <f>76*F5</f>
        <v>0</v>
      </c>
      <c r="V5" s="412">
        <f>106*G5</f>
        <v>0</v>
      </c>
      <c r="W5" s="412">
        <f>129*H5</f>
        <v>0</v>
      </c>
      <c r="X5" s="412">
        <f>155*I5</f>
        <v>0</v>
      </c>
      <c r="Y5" s="412">
        <f>197*J5</f>
        <v>0</v>
      </c>
      <c r="Z5" s="412">
        <f>227*K5</f>
        <v>0</v>
      </c>
      <c r="AA5" s="414">
        <f>249*L5</f>
        <v>0</v>
      </c>
      <c r="AB5" s="414">
        <f>280*M5</f>
        <v>0</v>
      </c>
      <c r="AC5" s="414">
        <f>295*N5</f>
        <v>0</v>
      </c>
      <c r="AD5" s="415">
        <f>302*O5</f>
        <v>0</v>
      </c>
    </row>
    <row r="6" spans="3:30" ht="12.75">
      <c r="C6">
        <f>4/36</f>
        <v>0.1111111111111111</v>
      </c>
      <c r="D6">
        <v>0</v>
      </c>
      <c r="Q6" s="411" t="s">
        <v>70</v>
      </c>
      <c r="R6" s="412">
        <v>4</v>
      </c>
      <c r="S6" s="412">
        <f t="shared" si="1"/>
        <v>0</v>
      </c>
      <c r="T6" s="412">
        <f t="shared" si="2"/>
        <v>0</v>
      </c>
      <c r="U6" s="412">
        <f>76*F6</f>
        <v>0</v>
      </c>
      <c r="V6" s="412">
        <f>106*G6</f>
        <v>0</v>
      </c>
      <c r="W6" s="412">
        <f>129*H6</f>
        <v>0</v>
      </c>
      <c r="X6" s="412">
        <f>155*I6</f>
        <v>0</v>
      </c>
      <c r="Y6" s="412">
        <f>197*J6</f>
        <v>0</v>
      </c>
      <c r="Z6" s="412">
        <f>227*K6</f>
        <v>0</v>
      </c>
      <c r="AA6" s="414">
        <f>249*L6</f>
        <v>0</v>
      </c>
      <c r="AB6" s="414">
        <f>280*M6</f>
        <v>0</v>
      </c>
      <c r="AC6" s="414">
        <f>295*N6</f>
        <v>0</v>
      </c>
      <c r="AD6" s="415">
        <f>302*O6</f>
        <v>0</v>
      </c>
    </row>
    <row r="7" spans="17:30" ht="12.75">
      <c r="Q7" s="411" t="s">
        <v>71</v>
      </c>
      <c r="R7" s="412"/>
      <c r="S7" s="412"/>
      <c r="T7" s="412"/>
      <c r="U7" s="412"/>
      <c r="V7" s="412"/>
      <c r="W7" s="412"/>
      <c r="X7" s="412"/>
      <c r="Y7" s="412"/>
      <c r="Z7" s="412"/>
      <c r="AA7" s="414"/>
      <c r="AB7" s="414"/>
      <c r="AC7" s="414"/>
      <c r="AD7" s="415"/>
    </row>
    <row r="8" spans="3:30" ht="12.75">
      <c r="C8">
        <f>+C2</f>
        <v>0.027777777777777776</v>
      </c>
      <c r="Q8" s="411" t="s">
        <v>72</v>
      </c>
      <c r="R8" s="412">
        <v>1</v>
      </c>
      <c r="S8" s="412">
        <f t="shared" si="1"/>
        <v>0</v>
      </c>
      <c r="T8" s="412">
        <f t="shared" si="2"/>
        <v>0</v>
      </c>
      <c r="U8" s="412">
        <f>76*F8</f>
        <v>0</v>
      </c>
      <c r="V8" s="412">
        <f>106*G8</f>
        <v>0</v>
      </c>
      <c r="W8" s="412">
        <f>129*H8</f>
        <v>0</v>
      </c>
      <c r="X8" s="412">
        <f>155*I8</f>
        <v>0</v>
      </c>
      <c r="Y8" s="412">
        <f>197*J8</f>
        <v>0</v>
      </c>
      <c r="Z8" s="412">
        <f>227*K8</f>
        <v>0</v>
      </c>
      <c r="AA8" s="414">
        <f>249*L8</f>
        <v>0</v>
      </c>
      <c r="AB8" s="414">
        <f>280*M8</f>
        <v>0</v>
      </c>
      <c r="AC8" s="414">
        <f>295*N8</f>
        <v>0</v>
      </c>
      <c r="AD8" s="415">
        <f>302*O8</f>
        <v>0</v>
      </c>
    </row>
    <row r="9" spans="3:30" ht="12.75">
      <c r="C9">
        <f>+C8</f>
        <v>0.027777777777777776</v>
      </c>
      <c r="D9">
        <f>+D2</f>
        <v>0.09090909090909091</v>
      </c>
      <c r="E9">
        <f>2/16</f>
        <v>0.125</v>
      </c>
      <c r="F9">
        <f>2/20</f>
        <v>0.1</v>
      </c>
      <c r="G9">
        <f>3/28</f>
        <v>0.10714285714285714</v>
      </c>
      <c r="H9">
        <f>3/34</f>
        <v>0.08823529411764706</v>
      </c>
      <c r="I9">
        <f>3/41</f>
        <v>0.07317073170731707</v>
      </c>
      <c r="J9">
        <f>3/52</f>
        <v>0.057692307692307696</v>
      </c>
      <c r="K9">
        <f>3/60</f>
        <v>0.05</v>
      </c>
      <c r="L9">
        <f>3/66</f>
        <v>0.045454545454545456</v>
      </c>
      <c r="M9">
        <f>3/74</f>
        <v>0.04054054054054054</v>
      </c>
      <c r="N9">
        <f>3/78</f>
        <v>0.038461538461538464</v>
      </c>
      <c r="O9">
        <f>3/80</f>
        <v>0.0375</v>
      </c>
      <c r="Q9" s="411" t="s">
        <v>73</v>
      </c>
      <c r="R9" s="412">
        <v>1</v>
      </c>
      <c r="S9" s="412">
        <v>1</v>
      </c>
      <c r="T9" s="412">
        <v>2</v>
      </c>
      <c r="U9" s="412">
        <v>2</v>
      </c>
      <c r="V9" s="412">
        <v>3</v>
      </c>
      <c r="W9" s="412">
        <v>3</v>
      </c>
      <c r="X9" s="412">
        <v>3</v>
      </c>
      <c r="Y9" s="412">
        <v>3</v>
      </c>
      <c r="Z9" s="412">
        <v>3</v>
      </c>
      <c r="AA9" s="414">
        <v>3</v>
      </c>
      <c r="AB9" s="414">
        <v>3</v>
      </c>
      <c r="AC9" s="414">
        <v>3</v>
      </c>
      <c r="AD9" s="415">
        <v>3</v>
      </c>
    </row>
    <row r="10" spans="3:30" ht="12.75">
      <c r="C10">
        <f>+C9</f>
        <v>0.027777777777777776</v>
      </c>
      <c r="D10">
        <f>+D9</f>
        <v>0.09090909090909091</v>
      </c>
      <c r="E10">
        <f aca="true" t="shared" si="3" ref="E10:L11">+E9</f>
        <v>0.125</v>
      </c>
      <c r="F10">
        <f t="shared" si="3"/>
        <v>0.1</v>
      </c>
      <c r="G10">
        <f t="shared" si="3"/>
        <v>0.10714285714285714</v>
      </c>
      <c r="H10">
        <f t="shared" si="3"/>
        <v>0.08823529411764706</v>
      </c>
      <c r="I10">
        <f t="shared" si="3"/>
        <v>0.07317073170731707</v>
      </c>
      <c r="J10">
        <f t="shared" si="3"/>
        <v>0.057692307692307696</v>
      </c>
      <c r="K10">
        <f t="shared" si="3"/>
        <v>0.05</v>
      </c>
      <c r="L10">
        <f t="shared" si="3"/>
        <v>0.045454545454545456</v>
      </c>
      <c r="M10">
        <f aca="true" t="shared" si="4" ref="M10:O12">+M9</f>
        <v>0.04054054054054054</v>
      </c>
      <c r="N10">
        <f t="shared" si="4"/>
        <v>0.038461538461538464</v>
      </c>
      <c r="O10">
        <f t="shared" si="4"/>
        <v>0.0375</v>
      </c>
      <c r="Q10" s="411" t="s">
        <v>74</v>
      </c>
      <c r="R10" s="412">
        <v>1</v>
      </c>
      <c r="S10" s="412">
        <v>1</v>
      </c>
      <c r="T10" s="412">
        <v>2</v>
      </c>
      <c r="U10" s="412">
        <v>2</v>
      </c>
      <c r="V10" s="412">
        <v>3</v>
      </c>
      <c r="W10" s="412">
        <v>3</v>
      </c>
      <c r="X10" s="412">
        <v>3</v>
      </c>
      <c r="Y10" s="412">
        <v>3</v>
      </c>
      <c r="Z10" s="412">
        <v>3</v>
      </c>
      <c r="AA10" s="414">
        <v>3</v>
      </c>
      <c r="AB10" s="414">
        <v>3</v>
      </c>
      <c r="AC10" s="414">
        <v>3</v>
      </c>
      <c r="AD10" s="415">
        <v>3</v>
      </c>
    </row>
    <row r="11" spans="3:30" ht="12.75">
      <c r="C11">
        <f>+C10</f>
        <v>0.027777777777777776</v>
      </c>
      <c r="D11">
        <f>+D10</f>
        <v>0.09090909090909091</v>
      </c>
      <c r="E11">
        <f t="shared" si="3"/>
        <v>0.125</v>
      </c>
      <c r="F11">
        <f t="shared" si="3"/>
        <v>0.1</v>
      </c>
      <c r="G11">
        <f t="shared" si="3"/>
        <v>0.10714285714285714</v>
      </c>
      <c r="H11">
        <f t="shared" si="3"/>
        <v>0.08823529411764706</v>
      </c>
      <c r="I11">
        <f t="shared" si="3"/>
        <v>0.07317073170731707</v>
      </c>
      <c r="J11">
        <f t="shared" si="3"/>
        <v>0.057692307692307696</v>
      </c>
      <c r="K11">
        <f t="shared" si="3"/>
        <v>0.05</v>
      </c>
      <c r="L11">
        <f t="shared" si="3"/>
        <v>0.045454545454545456</v>
      </c>
      <c r="M11">
        <f t="shared" si="4"/>
        <v>0.04054054054054054</v>
      </c>
      <c r="N11">
        <f t="shared" si="4"/>
        <v>0.038461538461538464</v>
      </c>
      <c r="O11">
        <f t="shared" si="4"/>
        <v>0.0375</v>
      </c>
      <c r="Q11" s="411" t="s">
        <v>75</v>
      </c>
      <c r="R11" s="412">
        <v>1</v>
      </c>
      <c r="S11" s="412">
        <v>1</v>
      </c>
      <c r="T11" s="412">
        <v>2</v>
      </c>
      <c r="U11" s="412">
        <v>2</v>
      </c>
      <c r="V11" s="412">
        <v>3</v>
      </c>
      <c r="W11" s="412">
        <v>3</v>
      </c>
      <c r="X11" s="412">
        <v>3</v>
      </c>
      <c r="Y11" s="412">
        <v>3</v>
      </c>
      <c r="Z11" s="412">
        <v>3</v>
      </c>
      <c r="AA11" s="414">
        <v>3</v>
      </c>
      <c r="AB11" s="414">
        <v>3</v>
      </c>
      <c r="AC11" s="414">
        <v>3</v>
      </c>
      <c r="AD11" s="415">
        <v>3</v>
      </c>
    </row>
    <row r="12" spans="3:30" ht="12.75">
      <c r="C12">
        <f>+C4</f>
        <v>0.05555555555555555</v>
      </c>
      <c r="D12">
        <f>2/11</f>
        <v>0.18181818181818182</v>
      </c>
      <c r="E12">
        <f>3/16</f>
        <v>0.1875</v>
      </c>
      <c r="F12">
        <f>3/20</f>
        <v>0.15</v>
      </c>
      <c r="G12">
        <f aca="true" t="shared" si="5" ref="G12:L12">+G11</f>
        <v>0.10714285714285714</v>
      </c>
      <c r="H12">
        <f t="shared" si="5"/>
        <v>0.08823529411764706</v>
      </c>
      <c r="I12">
        <f t="shared" si="5"/>
        <v>0.07317073170731707</v>
      </c>
      <c r="J12">
        <f t="shared" si="5"/>
        <v>0.057692307692307696</v>
      </c>
      <c r="K12">
        <f t="shared" si="5"/>
        <v>0.05</v>
      </c>
      <c r="L12">
        <f t="shared" si="5"/>
        <v>0.045454545454545456</v>
      </c>
      <c r="M12">
        <f t="shared" si="4"/>
        <v>0.04054054054054054</v>
      </c>
      <c r="N12">
        <f t="shared" si="4"/>
        <v>0.038461538461538464</v>
      </c>
      <c r="O12">
        <f t="shared" si="4"/>
        <v>0.0375</v>
      </c>
      <c r="Q12" s="411" t="s">
        <v>76</v>
      </c>
      <c r="R12" s="412">
        <v>2</v>
      </c>
      <c r="S12" s="412">
        <v>2</v>
      </c>
      <c r="T12" s="412">
        <v>3</v>
      </c>
      <c r="U12" s="412">
        <v>3</v>
      </c>
      <c r="V12" s="412">
        <v>3</v>
      </c>
      <c r="W12" s="412">
        <v>3</v>
      </c>
      <c r="X12" s="412">
        <v>3</v>
      </c>
      <c r="Y12" s="412">
        <v>3</v>
      </c>
      <c r="Z12" s="412">
        <v>3</v>
      </c>
      <c r="AA12" s="414">
        <v>3</v>
      </c>
      <c r="AB12" s="414">
        <v>3</v>
      </c>
      <c r="AC12" s="414">
        <v>3</v>
      </c>
      <c r="AD12" s="415">
        <v>3</v>
      </c>
    </row>
    <row r="13" spans="3:30" ht="12.75">
      <c r="C13">
        <f>3/36</f>
        <v>0.08333333333333333</v>
      </c>
      <c r="D13">
        <f>3/11</f>
        <v>0.2727272727272727</v>
      </c>
      <c r="E13">
        <f>+E12</f>
        <v>0.1875</v>
      </c>
      <c r="F13">
        <f>4/20</f>
        <v>0.2</v>
      </c>
      <c r="G13">
        <f>4/28</f>
        <v>0.14285714285714285</v>
      </c>
      <c r="H13">
        <f>4/34</f>
        <v>0.11764705882352941</v>
      </c>
      <c r="I13">
        <f>4/41</f>
        <v>0.0975609756097561</v>
      </c>
      <c r="J13">
        <f>4/52</f>
        <v>0.07692307692307693</v>
      </c>
      <c r="K13">
        <f>4/60</f>
        <v>0.06666666666666667</v>
      </c>
      <c r="L13">
        <f>4/66</f>
        <v>0.06060606060606061</v>
      </c>
      <c r="M13">
        <f>4/74</f>
        <v>0.05405405405405406</v>
      </c>
      <c r="N13">
        <f>4/78</f>
        <v>0.05128205128205128</v>
      </c>
      <c r="O13">
        <f>4/80</f>
        <v>0.05</v>
      </c>
      <c r="Q13" s="411" t="s">
        <v>77</v>
      </c>
      <c r="R13" s="412">
        <v>3</v>
      </c>
      <c r="S13" s="412">
        <v>3</v>
      </c>
      <c r="T13" s="412">
        <v>3</v>
      </c>
      <c r="U13" s="412">
        <v>4</v>
      </c>
      <c r="V13" s="412">
        <v>4</v>
      </c>
      <c r="W13" s="412">
        <v>4</v>
      </c>
      <c r="X13" s="412">
        <v>4</v>
      </c>
      <c r="Y13" s="412">
        <v>4</v>
      </c>
      <c r="Z13" s="412">
        <v>4</v>
      </c>
      <c r="AA13" s="414">
        <v>4</v>
      </c>
      <c r="AB13" s="414">
        <v>4</v>
      </c>
      <c r="AC13" s="414">
        <v>4</v>
      </c>
      <c r="AD13" s="415">
        <v>4</v>
      </c>
    </row>
    <row r="14" spans="3:30" ht="12.75">
      <c r="C14">
        <f>+C12</f>
        <v>0.05555555555555555</v>
      </c>
      <c r="D14">
        <f>+D12</f>
        <v>0.18181818181818182</v>
      </c>
      <c r="E14">
        <f>+E13</f>
        <v>0.1875</v>
      </c>
      <c r="F14">
        <f>+F13</f>
        <v>0.2</v>
      </c>
      <c r="G14">
        <f>+G13</f>
        <v>0.14285714285714285</v>
      </c>
      <c r="H14">
        <f>4/34</f>
        <v>0.11764705882352941</v>
      </c>
      <c r="I14">
        <f aca="true" t="shared" si="6" ref="I14:O14">+I13</f>
        <v>0.0975609756097561</v>
      </c>
      <c r="J14">
        <f t="shared" si="6"/>
        <v>0.07692307692307693</v>
      </c>
      <c r="K14">
        <f t="shared" si="6"/>
        <v>0.06666666666666667</v>
      </c>
      <c r="L14">
        <f t="shared" si="6"/>
        <v>0.06060606060606061</v>
      </c>
      <c r="M14">
        <f t="shared" si="6"/>
        <v>0.05405405405405406</v>
      </c>
      <c r="N14">
        <f t="shared" si="6"/>
        <v>0.05128205128205128</v>
      </c>
      <c r="O14">
        <f t="shared" si="6"/>
        <v>0.05</v>
      </c>
      <c r="Q14" s="411" t="s">
        <v>78</v>
      </c>
      <c r="R14" s="412">
        <v>2</v>
      </c>
      <c r="S14" s="412">
        <v>2</v>
      </c>
      <c r="T14" s="412">
        <v>3</v>
      </c>
      <c r="U14" s="412">
        <v>4</v>
      </c>
      <c r="V14" s="412">
        <v>4</v>
      </c>
      <c r="W14" s="412">
        <v>4</v>
      </c>
      <c r="X14" s="412">
        <v>4</v>
      </c>
      <c r="Y14" s="412">
        <v>4</v>
      </c>
      <c r="Z14" s="412">
        <v>4</v>
      </c>
      <c r="AA14" s="414">
        <v>4</v>
      </c>
      <c r="AB14" s="414">
        <v>4</v>
      </c>
      <c r="AC14" s="414">
        <v>4</v>
      </c>
      <c r="AD14" s="415">
        <v>4</v>
      </c>
    </row>
    <row r="15" spans="6:30" ht="12.75">
      <c r="F15">
        <f>1/20</f>
        <v>0.05</v>
      </c>
      <c r="G15">
        <f>5/28</f>
        <v>0.17857142857142858</v>
      </c>
      <c r="H15">
        <f>10/34</f>
        <v>0.29411764705882354</v>
      </c>
      <c r="I15">
        <f>16/41</f>
        <v>0.3902439024390244</v>
      </c>
      <c r="J15">
        <f>27/52</f>
        <v>0.5192307692307693</v>
      </c>
      <c r="K15">
        <f>35/60</f>
        <v>0.5833333333333334</v>
      </c>
      <c r="L15">
        <f>41/66</f>
        <v>0.6212121212121212</v>
      </c>
      <c r="M15">
        <f>49/74</f>
        <v>0.6621621621621622</v>
      </c>
      <c r="N15">
        <f>53/78</f>
        <v>0.6794871794871795</v>
      </c>
      <c r="O15">
        <f>55/80</f>
        <v>0.6875</v>
      </c>
      <c r="Q15" s="411" t="s">
        <v>79</v>
      </c>
      <c r="R15" s="412">
        <f>136*C15</f>
        <v>0</v>
      </c>
      <c r="S15" s="412">
        <f t="shared" si="1"/>
        <v>0</v>
      </c>
      <c r="T15" s="412">
        <f t="shared" si="2"/>
        <v>0</v>
      </c>
      <c r="U15" s="412">
        <v>1</v>
      </c>
      <c r="V15" s="412">
        <v>5</v>
      </c>
      <c r="W15" s="412">
        <v>10</v>
      </c>
      <c r="X15" s="412">
        <v>16</v>
      </c>
      <c r="Y15" s="412">
        <v>27</v>
      </c>
      <c r="Z15" s="412">
        <v>35</v>
      </c>
      <c r="AA15" s="414">
        <v>41</v>
      </c>
      <c r="AB15" s="414">
        <v>49</v>
      </c>
      <c r="AC15" s="414">
        <v>53</v>
      </c>
      <c r="AD15" s="415">
        <v>55</v>
      </c>
    </row>
    <row r="16" spans="6:30" ht="12.75">
      <c r="F16">
        <f>+F15</f>
        <v>0.05</v>
      </c>
      <c r="G16">
        <f>2/28</f>
        <v>0.07142857142857142</v>
      </c>
      <c r="H16">
        <f>3/34</f>
        <v>0.08823529411764706</v>
      </c>
      <c r="I16">
        <f>4/41</f>
        <v>0.0975609756097561</v>
      </c>
      <c r="J16">
        <f>4/52</f>
        <v>0.07692307692307693</v>
      </c>
      <c r="K16">
        <f>4/60</f>
        <v>0.06666666666666667</v>
      </c>
      <c r="L16">
        <f>4/66</f>
        <v>0.06060606060606061</v>
      </c>
      <c r="M16">
        <f>+M14</f>
        <v>0.05405405405405406</v>
      </c>
      <c r="N16">
        <f>+N14</f>
        <v>0.05128205128205128</v>
      </c>
      <c r="O16">
        <f>+O14</f>
        <v>0.05</v>
      </c>
      <c r="Q16" s="416" t="s">
        <v>80</v>
      </c>
      <c r="R16" s="412">
        <f>136*C16</f>
        <v>0</v>
      </c>
      <c r="S16" s="412">
        <f t="shared" si="1"/>
        <v>0</v>
      </c>
      <c r="T16" s="412">
        <f t="shared" si="2"/>
        <v>0</v>
      </c>
      <c r="U16" s="412">
        <v>1</v>
      </c>
      <c r="V16" s="412">
        <v>2</v>
      </c>
      <c r="W16" s="412">
        <v>3</v>
      </c>
      <c r="X16" s="412">
        <v>4</v>
      </c>
      <c r="Y16" s="412">
        <v>4</v>
      </c>
      <c r="Z16" s="412">
        <v>4</v>
      </c>
      <c r="AA16" s="414">
        <v>4</v>
      </c>
      <c r="AB16" s="414">
        <v>4</v>
      </c>
      <c r="AC16" s="417">
        <v>4</v>
      </c>
      <c r="AD16" s="418">
        <v>4</v>
      </c>
    </row>
    <row r="17" spans="17:30" ht="12.75">
      <c r="Q17" s="419" t="s">
        <v>81</v>
      </c>
      <c r="R17" s="420">
        <f aca="true" t="shared" si="7" ref="R17:AD17">SUM(R2:R16)</f>
        <v>36</v>
      </c>
      <c r="S17" s="420">
        <f t="shared" si="7"/>
        <v>11</v>
      </c>
      <c r="T17" s="420">
        <f t="shared" si="7"/>
        <v>16</v>
      </c>
      <c r="U17" s="420">
        <f t="shared" si="7"/>
        <v>20</v>
      </c>
      <c r="V17" s="420">
        <f t="shared" si="7"/>
        <v>28</v>
      </c>
      <c r="W17" s="420">
        <f t="shared" si="7"/>
        <v>34</v>
      </c>
      <c r="X17" s="420">
        <f t="shared" si="7"/>
        <v>41</v>
      </c>
      <c r="Y17" s="420">
        <f t="shared" si="7"/>
        <v>52</v>
      </c>
      <c r="Z17" s="420">
        <f t="shared" si="7"/>
        <v>60</v>
      </c>
      <c r="AA17" s="421">
        <f t="shared" si="7"/>
        <v>66</v>
      </c>
      <c r="AB17" s="421">
        <f t="shared" si="7"/>
        <v>74</v>
      </c>
      <c r="AC17" s="422">
        <f t="shared" si="7"/>
        <v>78</v>
      </c>
      <c r="AD17" s="422">
        <f t="shared" si="7"/>
        <v>80</v>
      </c>
    </row>
    <row r="18" spans="17:30" ht="12.75">
      <c r="Q18" s="423" t="s">
        <v>83</v>
      </c>
      <c r="R18" s="424">
        <f>R17*5</f>
        <v>180</v>
      </c>
      <c r="S18" s="424">
        <f aca="true" t="shared" si="8" ref="S18:AD18">S17*5</f>
        <v>55</v>
      </c>
      <c r="T18" s="424">
        <f t="shared" si="8"/>
        <v>80</v>
      </c>
      <c r="U18" s="424">
        <f t="shared" si="8"/>
        <v>100</v>
      </c>
      <c r="V18" s="424">
        <f t="shared" si="8"/>
        <v>140</v>
      </c>
      <c r="W18" s="424">
        <f t="shared" si="8"/>
        <v>170</v>
      </c>
      <c r="X18" s="424">
        <f t="shared" si="8"/>
        <v>205</v>
      </c>
      <c r="Y18" s="424">
        <f t="shared" si="8"/>
        <v>260</v>
      </c>
      <c r="Z18" s="424">
        <f t="shared" si="8"/>
        <v>300</v>
      </c>
      <c r="AA18" s="424">
        <f t="shared" si="8"/>
        <v>330</v>
      </c>
      <c r="AB18" s="424">
        <f t="shared" si="8"/>
        <v>370</v>
      </c>
      <c r="AC18" s="424">
        <f t="shared" si="8"/>
        <v>390</v>
      </c>
      <c r="AD18" s="425">
        <f t="shared" si="8"/>
        <v>400</v>
      </c>
    </row>
  </sheetData>
  <sheetProtection/>
  <printOptions/>
  <pageMargins left="0.75" right="0.75" top="1" bottom="1" header="0" footer="0"/>
  <pageSetup horizontalDpi="300" verticalDpi="300" orientation="portrait" r:id="rId1"/>
  <ignoredErrors>
    <ignoredError sqref="E12 F15 G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5.00390625" style="0" customWidth="1"/>
  </cols>
  <sheetData>
    <row r="1" spans="1:5" ht="28.5" customHeight="1">
      <c r="A1" s="426" t="s">
        <v>144</v>
      </c>
      <c r="B1" s="426" t="s">
        <v>85</v>
      </c>
      <c r="C1" s="426" t="s">
        <v>86</v>
      </c>
      <c r="D1" s="426" t="s">
        <v>320</v>
      </c>
      <c r="E1" s="427" t="s">
        <v>321</v>
      </c>
    </row>
    <row r="2" spans="1:5" ht="15" customHeight="1">
      <c r="A2" s="428" t="s">
        <v>222</v>
      </c>
      <c r="B2" s="429">
        <v>8</v>
      </c>
      <c r="C2" s="430">
        <v>170</v>
      </c>
      <c r="D2" s="431">
        <f>C2*B2</f>
        <v>1360</v>
      </c>
      <c r="E2" s="432">
        <f>D2*12</f>
        <v>16320</v>
      </c>
    </row>
    <row r="3" spans="1:5" ht="15" customHeight="1">
      <c r="A3" s="433" t="s">
        <v>322</v>
      </c>
      <c r="B3" s="434">
        <v>1</v>
      </c>
      <c r="C3" s="435">
        <v>300</v>
      </c>
      <c r="D3" s="436">
        <f>C3*B3</f>
        <v>300</v>
      </c>
      <c r="E3" s="437">
        <f>D3*12</f>
        <v>3600</v>
      </c>
    </row>
    <row r="4" ht="12.75">
      <c r="E4" s="168">
        <f>SUM(E2:E3)</f>
        <v>19920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7" sqref="A17:C17"/>
    </sheetView>
  </sheetViews>
  <sheetFormatPr defaultColWidth="11.421875" defaultRowHeight="12.75"/>
  <cols>
    <col min="1" max="1" width="20.57421875" style="0" bestFit="1" customWidth="1"/>
    <col min="3" max="3" width="15.7109375" style="0" bestFit="1" customWidth="1"/>
    <col min="4" max="4" width="13.28125" style="0" bestFit="1" customWidth="1"/>
  </cols>
  <sheetData>
    <row r="1" spans="1:4" ht="12.75">
      <c r="A1" s="438" t="s">
        <v>369</v>
      </c>
      <c r="B1" s="438" t="s">
        <v>370</v>
      </c>
      <c r="C1" s="438" t="s">
        <v>371</v>
      </c>
      <c r="D1" s="439" t="s">
        <v>372</v>
      </c>
    </row>
    <row r="2" spans="1:4" ht="12.75">
      <c r="A2" s="440"/>
      <c r="B2" s="440"/>
      <c r="C2" s="440" t="s">
        <v>282</v>
      </c>
      <c r="D2" s="441" t="s">
        <v>282</v>
      </c>
    </row>
    <row r="3" spans="1:4" ht="16.5" customHeight="1">
      <c r="A3" s="664" t="s">
        <v>373</v>
      </c>
      <c r="B3" s="665"/>
      <c r="C3" s="665"/>
      <c r="D3" s="666"/>
    </row>
    <row r="4" spans="1:4" ht="12.75">
      <c r="A4" s="444" t="s">
        <v>374</v>
      </c>
      <c r="B4" s="445">
        <v>1</v>
      </c>
      <c r="C4" s="446">
        <v>500</v>
      </c>
      <c r="D4" s="447">
        <f>B4*C4*12</f>
        <v>6000</v>
      </c>
    </row>
    <row r="5" spans="1:4" ht="12.75">
      <c r="A5" s="444" t="s">
        <v>375</v>
      </c>
      <c r="B5" s="448">
        <v>2</v>
      </c>
      <c r="C5" s="449">
        <v>350</v>
      </c>
      <c r="D5" s="450">
        <f>B5*C5*12</f>
        <v>8400</v>
      </c>
    </row>
    <row r="6" spans="1:4" ht="12.75">
      <c r="A6" s="451" t="s">
        <v>376</v>
      </c>
      <c r="B6" s="452">
        <v>1</v>
      </c>
      <c r="C6" s="453">
        <v>220</v>
      </c>
      <c r="D6" s="454">
        <f>B6*C6*12</f>
        <v>2640</v>
      </c>
    </row>
    <row r="7" spans="1:4" ht="15" customHeight="1">
      <c r="A7" s="667" t="s">
        <v>330</v>
      </c>
      <c r="B7" s="656"/>
      <c r="C7" s="657"/>
      <c r="D7" s="455">
        <f>D4+D5+D6</f>
        <v>17040</v>
      </c>
    </row>
    <row r="8" spans="1:4" ht="15" customHeight="1">
      <c r="A8" s="664" t="s">
        <v>377</v>
      </c>
      <c r="B8" s="665"/>
      <c r="C8" s="665"/>
      <c r="D8" s="666"/>
    </row>
    <row r="9" spans="1:4" ht="12.75">
      <c r="A9" s="69" t="s">
        <v>214</v>
      </c>
      <c r="B9" s="349">
        <v>1</v>
      </c>
      <c r="C9" s="350">
        <v>800</v>
      </c>
      <c r="D9" s="209">
        <f>B9*C9*12</f>
        <v>9600</v>
      </c>
    </row>
    <row r="10" spans="1:4" ht="12.75">
      <c r="A10" s="69" t="s">
        <v>216</v>
      </c>
      <c r="B10" s="151">
        <v>1</v>
      </c>
      <c r="C10" s="251">
        <v>250</v>
      </c>
      <c r="D10" s="210">
        <f>B10*C10*12</f>
        <v>3000</v>
      </c>
    </row>
    <row r="11" spans="1:4" ht="12.75">
      <c r="A11" s="72" t="s">
        <v>378</v>
      </c>
      <c r="B11" s="152">
        <v>2</v>
      </c>
      <c r="C11" s="265">
        <v>170</v>
      </c>
      <c r="D11" s="211">
        <f>B11*C11*12</f>
        <v>4080</v>
      </c>
    </row>
    <row r="12" spans="1:4" ht="17.25" customHeight="1">
      <c r="A12" s="661" t="s">
        <v>330</v>
      </c>
      <c r="B12" s="662"/>
      <c r="C12" s="663"/>
      <c r="D12" s="242">
        <f>SUM(D9:D11)</f>
        <v>16680</v>
      </c>
    </row>
    <row r="13" spans="1:4" ht="18.75" customHeight="1">
      <c r="A13" s="664" t="s">
        <v>379</v>
      </c>
      <c r="B13" s="665"/>
      <c r="C13" s="665"/>
      <c r="D13" s="666"/>
    </row>
    <row r="14" spans="1:4" ht="12.75">
      <c r="A14" s="69" t="s">
        <v>380</v>
      </c>
      <c r="B14" s="349">
        <v>2</v>
      </c>
      <c r="C14" s="350">
        <v>200</v>
      </c>
      <c r="D14" s="209">
        <f>B14*C14*12</f>
        <v>4800</v>
      </c>
    </row>
    <row r="15" spans="1:4" ht="12.75">
      <c r="A15" s="69" t="s">
        <v>381</v>
      </c>
      <c r="B15" s="151">
        <v>1</v>
      </c>
      <c r="C15" s="251">
        <v>400</v>
      </c>
      <c r="D15" s="210">
        <f>B15*C15*12</f>
        <v>4800</v>
      </c>
    </row>
    <row r="16" spans="1:4" ht="12.75">
      <c r="A16" s="72" t="s">
        <v>382</v>
      </c>
      <c r="B16" s="152">
        <v>2</v>
      </c>
      <c r="C16" s="265">
        <v>220</v>
      </c>
      <c r="D16" s="211">
        <f>B16*C16*12</f>
        <v>5280</v>
      </c>
    </row>
    <row r="17" spans="1:4" ht="18.75" customHeight="1">
      <c r="A17" s="661" t="s">
        <v>330</v>
      </c>
      <c r="B17" s="662"/>
      <c r="C17" s="663"/>
      <c r="D17" s="242">
        <f>SUM(D14:D16)</f>
        <v>14880</v>
      </c>
    </row>
  </sheetData>
  <sheetProtection/>
  <mergeCells count="6">
    <mergeCell ref="A17:C17"/>
    <mergeCell ref="A3:D3"/>
    <mergeCell ref="A8:D8"/>
    <mergeCell ref="A13:D13"/>
    <mergeCell ref="A7:C7"/>
    <mergeCell ref="A12:C1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6.57421875" style="0" bestFit="1" customWidth="1"/>
  </cols>
  <sheetData>
    <row r="1" spans="1:4" ht="15" customHeight="1">
      <c r="A1" s="183" t="s">
        <v>144</v>
      </c>
      <c r="B1" s="184" t="s">
        <v>85</v>
      </c>
      <c r="C1" s="185" t="s">
        <v>297</v>
      </c>
      <c r="D1" s="186" t="s">
        <v>298</v>
      </c>
    </row>
    <row r="2" spans="1:4" ht="15" customHeight="1">
      <c r="A2" s="187" t="s">
        <v>293</v>
      </c>
      <c r="B2" s="179">
        <v>8</v>
      </c>
      <c r="C2" s="180">
        <v>10</v>
      </c>
      <c r="D2" s="188">
        <f>B2*C2</f>
        <v>80</v>
      </c>
    </row>
    <row r="3" spans="1:4" ht="15" customHeight="1">
      <c r="A3" s="189" t="s">
        <v>294</v>
      </c>
      <c r="B3" s="181">
        <v>1</v>
      </c>
      <c r="C3" s="182">
        <v>5</v>
      </c>
      <c r="D3" s="190">
        <f>B3*C3</f>
        <v>5</v>
      </c>
    </row>
    <row r="4" spans="1:4" ht="15" customHeight="1">
      <c r="A4" s="191" t="s">
        <v>310</v>
      </c>
      <c r="B4" s="73"/>
      <c r="C4" s="177"/>
      <c r="D4" s="192"/>
    </row>
    <row r="5" spans="1:4" ht="15" customHeight="1">
      <c r="A5" s="187" t="s">
        <v>295</v>
      </c>
      <c r="B5" s="179">
        <v>8</v>
      </c>
      <c r="C5" s="180">
        <v>2</v>
      </c>
      <c r="D5" s="188">
        <f>B5*C5</f>
        <v>16</v>
      </c>
    </row>
    <row r="6" spans="1:4" ht="15" customHeight="1">
      <c r="A6" s="191" t="s">
        <v>296</v>
      </c>
      <c r="B6" s="73">
        <v>8</v>
      </c>
      <c r="C6" s="177">
        <v>5</v>
      </c>
      <c r="D6" s="192">
        <f>B6*C6</f>
        <v>40</v>
      </c>
    </row>
    <row r="7" spans="1:4" ht="15" customHeight="1" thickBot="1">
      <c r="A7" s="658" t="s">
        <v>299</v>
      </c>
      <c r="B7" s="659"/>
      <c r="C7" s="711"/>
      <c r="D7" s="193">
        <f>SUM(D2:D6)</f>
        <v>141</v>
      </c>
    </row>
  </sheetData>
  <sheetProtection/>
  <mergeCells count="1">
    <mergeCell ref="A7:C7"/>
  </mergeCells>
  <printOptions/>
  <pageMargins left="0.75" right="0.75" top="1" bottom="1" header="0" footer="0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25.421875" style="0" bestFit="1" customWidth="1"/>
  </cols>
  <sheetData>
    <row r="1" spans="1:4" ht="15" customHeight="1">
      <c r="A1" s="183" t="s">
        <v>144</v>
      </c>
      <c r="B1" s="184" t="s">
        <v>85</v>
      </c>
      <c r="C1" s="185" t="s">
        <v>297</v>
      </c>
      <c r="D1" s="186" t="s">
        <v>298</v>
      </c>
    </row>
    <row r="2" spans="1:4" ht="15" customHeight="1">
      <c r="A2" s="187" t="s">
        <v>300</v>
      </c>
      <c r="B2" s="179">
        <v>4</v>
      </c>
      <c r="C2" s="196">
        <v>650</v>
      </c>
      <c r="D2" s="197">
        <f>B2*C2</f>
        <v>2600</v>
      </c>
    </row>
    <row r="3" spans="1:4" ht="15" customHeight="1">
      <c r="A3" s="187" t="s">
        <v>307</v>
      </c>
      <c r="B3" s="179">
        <v>2</v>
      </c>
      <c r="C3" s="196">
        <v>90</v>
      </c>
      <c r="D3" s="197">
        <f>B3*C3</f>
        <v>180</v>
      </c>
    </row>
    <row r="4" spans="1:4" ht="15" customHeight="1">
      <c r="A4" s="187" t="s">
        <v>301</v>
      </c>
      <c r="B4" s="179">
        <v>3</v>
      </c>
      <c r="C4" s="196">
        <v>75</v>
      </c>
      <c r="D4" s="197">
        <f aca="true" t="shared" si="0" ref="D4:D11">B4*C4</f>
        <v>225</v>
      </c>
    </row>
    <row r="5" spans="1:4" ht="15" customHeight="1">
      <c r="A5" s="187" t="s">
        <v>302</v>
      </c>
      <c r="B5" s="179">
        <v>1</v>
      </c>
      <c r="C5" s="196">
        <v>150</v>
      </c>
      <c r="D5" s="197">
        <f t="shared" si="0"/>
        <v>150</v>
      </c>
    </row>
    <row r="6" spans="1:4" ht="15" customHeight="1">
      <c r="A6" s="187" t="s">
        <v>303</v>
      </c>
      <c r="B6" s="179">
        <v>5</v>
      </c>
      <c r="C6" s="196">
        <v>45</v>
      </c>
      <c r="D6" s="197">
        <f t="shared" si="0"/>
        <v>225</v>
      </c>
    </row>
    <row r="7" spans="1:4" ht="15" customHeight="1">
      <c r="A7" s="187" t="s">
        <v>304</v>
      </c>
      <c r="B7" s="179">
        <v>1</v>
      </c>
      <c r="C7" s="196">
        <v>60</v>
      </c>
      <c r="D7" s="197">
        <f t="shared" si="0"/>
        <v>60</v>
      </c>
    </row>
    <row r="8" spans="1:4" ht="15" customHeight="1">
      <c r="A8" s="187" t="s">
        <v>305</v>
      </c>
      <c r="B8" s="179">
        <v>1</v>
      </c>
      <c r="C8" s="196">
        <v>85</v>
      </c>
      <c r="D8" s="197">
        <f t="shared" si="0"/>
        <v>85</v>
      </c>
    </row>
    <row r="9" spans="1:4" ht="15" customHeight="1">
      <c r="A9" s="187" t="s">
        <v>308</v>
      </c>
      <c r="B9" s="179">
        <v>4</v>
      </c>
      <c r="C9" s="196">
        <v>110</v>
      </c>
      <c r="D9" s="197">
        <f t="shared" si="0"/>
        <v>440</v>
      </c>
    </row>
    <row r="10" spans="1:4" ht="15" customHeight="1">
      <c r="A10" s="187" t="s">
        <v>306</v>
      </c>
      <c r="B10" s="179">
        <v>1</v>
      </c>
      <c r="C10" s="196">
        <v>100</v>
      </c>
      <c r="D10" s="197">
        <f t="shared" si="0"/>
        <v>100</v>
      </c>
    </row>
    <row r="11" spans="1:4" ht="15" customHeight="1">
      <c r="A11" s="191" t="s">
        <v>309</v>
      </c>
      <c r="B11" s="73">
        <v>1</v>
      </c>
      <c r="C11" s="178">
        <v>1200</v>
      </c>
      <c r="D11" s="194">
        <f t="shared" si="0"/>
        <v>1200</v>
      </c>
    </row>
    <row r="12" spans="1:4" ht="15" customHeight="1" thickBot="1">
      <c r="A12" s="658" t="s">
        <v>10</v>
      </c>
      <c r="B12" s="659"/>
      <c r="C12" s="711"/>
      <c r="D12" s="195">
        <f>SUM(D2:D11)</f>
        <v>5265</v>
      </c>
    </row>
  </sheetData>
  <sheetProtection/>
  <mergeCells count="1">
    <mergeCell ref="A12:C12"/>
  </mergeCells>
  <printOptions/>
  <pageMargins left="0.75" right="0.75" top="1" bottom="1" header="0" footer="0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E1">
      <selection activeCell="H29" sqref="H29"/>
    </sheetView>
  </sheetViews>
  <sheetFormatPr defaultColWidth="11.421875" defaultRowHeight="12.75"/>
  <cols>
    <col min="5" max="5" width="46.00390625" style="0" bestFit="1" customWidth="1"/>
    <col min="6" max="6" width="12.28125" style="0" bestFit="1" customWidth="1"/>
  </cols>
  <sheetData>
    <row r="1" spans="5:9" ht="22.5" customHeight="1">
      <c r="E1" s="408" t="s">
        <v>57</v>
      </c>
      <c r="F1" s="408" t="s">
        <v>85</v>
      </c>
      <c r="G1" s="408" t="s">
        <v>86</v>
      </c>
      <c r="H1" s="408" t="s">
        <v>87</v>
      </c>
      <c r="I1" s="409" t="s">
        <v>59</v>
      </c>
    </row>
    <row r="2" spans="1:9" ht="12.75">
      <c r="A2">
        <v>1</v>
      </c>
      <c r="B2" s="4">
        <f aca="true" t="shared" si="0" ref="B2:B20">A2/$A$30</f>
        <v>0.011235955056179775</v>
      </c>
      <c r="C2" s="1">
        <v>50</v>
      </c>
      <c r="D2" s="1">
        <v>2</v>
      </c>
      <c r="E2" s="460" t="s">
        <v>88</v>
      </c>
      <c r="F2" s="461">
        <v>1</v>
      </c>
      <c r="G2" s="462">
        <v>9500</v>
      </c>
      <c r="H2" s="462">
        <f>F2*G2</f>
        <v>9500</v>
      </c>
      <c r="I2" s="463">
        <v>10</v>
      </c>
    </row>
    <row r="3" spans="1:9" ht="12.75">
      <c r="A3">
        <v>1</v>
      </c>
      <c r="B3" s="4">
        <f t="shared" si="0"/>
        <v>0.011235955056179775</v>
      </c>
      <c r="C3" s="1">
        <v>189</v>
      </c>
      <c r="D3" s="1" t="s">
        <v>84</v>
      </c>
      <c r="E3" s="460" t="s">
        <v>89</v>
      </c>
      <c r="F3" s="461">
        <v>1</v>
      </c>
      <c r="G3" s="462">
        <v>2500</v>
      </c>
      <c r="H3" s="462">
        <f aca="true" t="shared" si="1" ref="H3:H19">F3*G3</f>
        <v>2500</v>
      </c>
      <c r="I3" s="463">
        <v>5</v>
      </c>
    </row>
    <row r="4" spans="1:9" ht="12.75">
      <c r="A4">
        <v>1</v>
      </c>
      <c r="B4" s="4">
        <f t="shared" si="0"/>
        <v>0.011235955056179775</v>
      </c>
      <c r="E4" s="460" t="s">
        <v>90</v>
      </c>
      <c r="F4" s="461">
        <v>1</v>
      </c>
      <c r="G4" s="462">
        <v>2000</v>
      </c>
      <c r="H4" s="462">
        <f t="shared" si="1"/>
        <v>2000</v>
      </c>
      <c r="I4" s="463">
        <v>5</v>
      </c>
    </row>
    <row r="5" spans="1:9" ht="12.75">
      <c r="A5">
        <v>1</v>
      </c>
      <c r="B5" s="4">
        <f t="shared" si="0"/>
        <v>0.011235955056179775</v>
      </c>
      <c r="C5" s="1" t="s">
        <v>65</v>
      </c>
      <c r="D5" s="2">
        <f>(C3*D2)/C2</f>
        <v>7.56</v>
      </c>
      <c r="E5" s="460" t="s">
        <v>91</v>
      </c>
      <c r="F5" s="461">
        <v>2</v>
      </c>
      <c r="G5" s="462">
        <v>16500</v>
      </c>
      <c r="H5" s="462">
        <f t="shared" si="1"/>
        <v>33000</v>
      </c>
      <c r="I5" s="463">
        <v>5</v>
      </c>
    </row>
    <row r="6" spans="2:9" ht="12.75">
      <c r="B6" s="4">
        <f t="shared" si="0"/>
        <v>0</v>
      </c>
      <c r="E6" s="460" t="s">
        <v>92</v>
      </c>
      <c r="F6" s="461" t="s">
        <v>106</v>
      </c>
      <c r="G6" s="462"/>
      <c r="H6" s="462"/>
      <c r="I6" s="463"/>
    </row>
    <row r="7" spans="1:9" ht="12.75">
      <c r="A7">
        <v>4</v>
      </c>
      <c r="B7" s="4">
        <f t="shared" si="0"/>
        <v>0.0449438202247191</v>
      </c>
      <c r="E7" s="460" t="s">
        <v>93</v>
      </c>
      <c r="F7" s="461">
        <v>4</v>
      </c>
      <c r="G7" s="462">
        <v>65</v>
      </c>
      <c r="H7" s="462">
        <f t="shared" si="1"/>
        <v>260</v>
      </c>
      <c r="I7" s="463">
        <v>3</v>
      </c>
    </row>
    <row r="8" spans="1:9" ht="12.75">
      <c r="A8">
        <v>2</v>
      </c>
      <c r="B8" s="4">
        <f t="shared" si="0"/>
        <v>0.02247191011235955</v>
      </c>
      <c r="E8" s="460" t="s">
        <v>94</v>
      </c>
      <c r="F8" s="461">
        <v>2</v>
      </c>
      <c r="G8" s="462">
        <v>520</v>
      </c>
      <c r="H8" s="462">
        <f t="shared" si="1"/>
        <v>1040</v>
      </c>
      <c r="I8" s="463">
        <v>3</v>
      </c>
    </row>
    <row r="9" spans="1:9" ht="12.75">
      <c r="A9">
        <v>10</v>
      </c>
      <c r="B9" s="4">
        <f t="shared" si="0"/>
        <v>0.11235955056179775</v>
      </c>
      <c r="E9" s="460" t="s">
        <v>95</v>
      </c>
      <c r="F9" s="461">
        <v>10</v>
      </c>
      <c r="G9" s="462">
        <v>12</v>
      </c>
      <c r="H9" s="462">
        <f t="shared" si="1"/>
        <v>120</v>
      </c>
      <c r="I9" s="463">
        <v>3</v>
      </c>
    </row>
    <row r="10" spans="1:9" ht="12.75">
      <c r="A10">
        <v>11</v>
      </c>
      <c r="B10" s="4">
        <f t="shared" si="0"/>
        <v>0.12359550561797752</v>
      </c>
      <c r="E10" s="460" t="s">
        <v>96</v>
      </c>
      <c r="F10" s="461">
        <v>11</v>
      </c>
      <c r="G10" s="462">
        <v>5.5</v>
      </c>
      <c r="H10" s="462">
        <f t="shared" si="1"/>
        <v>60.5</v>
      </c>
      <c r="I10" s="463">
        <v>3</v>
      </c>
    </row>
    <row r="11" spans="1:9" ht="12.75">
      <c r="A11">
        <v>6</v>
      </c>
      <c r="B11" s="4">
        <f t="shared" si="0"/>
        <v>0.06741573033707865</v>
      </c>
      <c r="E11" s="460" t="s">
        <v>97</v>
      </c>
      <c r="F11" s="461">
        <v>6</v>
      </c>
      <c r="G11" s="462">
        <v>8</v>
      </c>
      <c r="H11" s="462">
        <f t="shared" si="1"/>
        <v>48</v>
      </c>
      <c r="I11" s="463">
        <v>3</v>
      </c>
    </row>
    <row r="12" spans="1:9" ht="12.75">
      <c r="A12">
        <v>6</v>
      </c>
      <c r="B12" s="4">
        <f t="shared" si="0"/>
        <v>0.06741573033707865</v>
      </c>
      <c r="E12" s="460" t="s">
        <v>98</v>
      </c>
      <c r="F12" s="461">
        <v>6</v>
      </c>
      <c r="G12" s="462">
        <v>11</v>
      </c>
      <c r="H12" s="462">
        <f t="shared" si="1"/>
        <v>66</v>
      </c>
      <c r="I12" s="463">
        <v>3</v>
      </c>
    </row>
    <row r="13" spans="1:9" ht="12.75">
      <c r="A13">
        <v>5</v>
      </c>
      <c r="B13" s="4">
        <f t="shared" si="0"/>
        <v>0.056179775280898875</v>
      </c>
      <c r="E13" s="460" t="s">
        <v>99</v>
      </c>
      <c r="F13" s="461">
        <v>5</v>
      </c>
      <c r="G13" s="462">
        <v>11.5</v>
      </c>
      <c r="H13" s="462">
        <f t="shared" si="1"/>
        <v>57.5</v>
      </c>
      <c r="I13" s="463">
        <v>3</v>
      </c>
    </row>
    <row r="14" spans="1:9" ht="12.75">
      <c r="A14">
        <v>4</v>
      </c>
      <c r="B14" s="4">
        <f t="shared" si="0"/>
        <v>0.0449438202247191</v>
      </c>
      <c r="E14" s="460" t="s">
        <v>100</v>
      </c>
      <c r="F14" s="461">
        <v>4</v>
      </c>
      <c r="G14" s="462">
        <v>32</v>
      </c>
      <c r="H14" s="462">
        <f t="shared" si="1"/>
        <v>128</v>
      </c>
      <c r="I14" s="463">
        <v>3</v>
      </c>
    </row>
    <row r="15" spans="1:9" ht="12.75">
      <c r="A15">
        <v>1</v>
      </c>
      <c r="B15" s="4">
        <f t="shared" si="0"/>
        <v>0.011235955056179775</v>
      </c>
      <c r="E15" s="460" t="s">
        <v>101</v>
      </c>
      <c r="F15" s="461">
        <v>1</v>
      </c>
      <c r="G15" s="462">
        <v>950</v>
      </c>
      <c r="H15" s="462">
        <f t="shared" si="1"/>
        <v>950</v>
      </c>
      <c r="I15" s="463">
        <v>3</v>
      </c>
    </row>
    <row r="16" spans="1:9" ht="12.75">
      <c r="A16">
        <v>10</v>
      </c>
      <c r="B16" s="4">
        <f t="shared" si="0"/>
        <v>0.11235955056179775</v>
      </c>
      <c r="E16" s="460" t="s">
        <v>102</v>
      </c>
      <c r="F16" s="461">
        <v>10</v>
      </c>
      <c r="G16" s="462">
        <v>1</v>
      </c>
      <c r="H16" s="462">
        <f t="shared" si="1"/>
        <v>10</v>
      </c>
      <c r="I16" s="463">
        <v>3</v>
      </c>
    </row>
    <row r="17" spans="1:9" ht="12.75">
      <c r="A17">
        <v>3</v>
      </c>
      <c r="B17" s="4">
        <f t="shared" si="0"/>
        <v>0.033707865168539325</v>
      </c>
      <c r="E17" s="460" t="s">
        <v>103</v>
      </c>
      <c r="F17" s="461">
        <v>3</v>
      </c>
      <c r="G17" s="462">
        <v>18</v>
      </c>
      <c r="H17" s="462">
        <f t="shared" si="1"/>
        <v>54</v>
      </c>
      <c r="I17" s="463">
        <v>3</v>
      </c>
    </row>
    <row r="18" spans="1:9" ht="12.75">
      <c r="A18">
        <v>20</v>
      </c>
      <c r="B18" s="4">
        <f t="shared" si="0"/>
        <v>0.2247191011235955</v>
      </c>
      <c r="E18" s="460" t="s">
        <v>104</v>
      </c>
      <c r="F18" s="461">
        <v>20</v>
      </c>
      <c r="G18" s="462">
        <v>9</v>
      </c>
      <c r="H18" s="462">
        <f t="shared" si="1"/>
        <v>180</v>
      </c>
      <c r="I18" s="463">
        <v>3</v>
      </c>
    </row>
    <row r="19" spans="1:9" ht="12.75">
      <c r="A19">
        <v>2</v>
      </c>
      <c r="B19" s="4">
        <f t="shared" si="0"/>
        <v>0.02247191011235955</v>
      </c>
      <c r="E19" s="460" t="s">
        <v>105</v>
      </c>
      <c r="F19" s="461">
        <v>2</v>
      </c>
      <c r="G19" s="462">
        <v>13</v>
      </c>
      <c r="H19" s="462">
        <f t="shared" si="1"/>
        <v>26</v>
      </c>
      <c r="I19" s="463">
        <v>3</v>
      </c>
    </row>
    <row r="20" spans="2:9" ht="12.75">
      <c r="B20" s="4">
        <f t="shared" si="0"/>
        <v>0</v>
      </c>
      <c r="E20" s="460" t="s">
        <v>292</v>
      </c>
      <c r="F20" s="461" t="s">
        <v>107</v>
      </c>
      <c r="G20" s="462"/>
      <c r="H20" s="462"/>
      <c r="I20" s="463"/>
    </row>
    <row r="21" spans="2:9" ht="12.75">
      <c r="B21" s="4"/>
      <c r="E21" s="460" t="s">
        <v>226</v>
      </c>
      <c r="F21" s="461">
        <v>1</v>
      </c>
      <c r="G21" s="462">
        <v>1000</v>
      </c>
      <c r="H21" s="462">
        <f aca="true" t="shared" si="2" ref="H21:H27">G21*F21</f>
        <v>1000</v>
      </c>
      <c r="I21" s="463">
        <v>10</v>
      </c>
    </row>
    <row r="22" spans="1:9" ht="12.75">
      <c r="A22">
        <v>1</v>
      </c>
      <c r="B22" s="4">
        <f>A22/$A$30</f>
        <v>0.011235955056179775</v>
      </c>
      <c r="E22" s="460" t="s">
        <v>230</v>
      </c>
      <c r="F22" s="461">
        <v>1</v>
      </c>
      <c r="G22" s="462">
        <v>3500</v>
      </c>
      <c r="H22" s="462">
        <f t="shared" si="2"/>
        <v>3500</v>
      </c>
      <c r="I22" s="463">
        <v>10</v>
      </c>
    </row>
    <row r="23" spans="2:9" ht="12.75">
      <c r="B23" s="4"/>
      <c r="E23" s="460" t="s">
        <v>291</v>
      </c>
      <c r="F23" s="461">
        <v>1</v>
      </c>
      <c r="G23" s="462">
        <v>10000</v>
      </c>
      <c r="H23" s="462">
        <f t="shared" si="2"/>
        <v>10000</v>
      </c>
      <c r="I23" s="463">
        <v>10</v>
      </c>
    </row>
    <row r="24" spans="2:9" ht="12.75">
      <c r="B24" s="4"/>
      <c r="E24" s="460" t="s">
        <v>231</v>
      </c>
      <c r="F24" s="461">
        <v>1</v>
      </c>
      <c r="G24" s="462">
        <v>900</v>
      </c>
      <c r="H24" s="462">
        <f t="shared" si="2"/>
        <v>900</v>
      </c>
      <c r="I24" s="463">
        <v>5</v>
      </c>
    </row>
    <row r="25" spans="2:9" ht="12.75">
      <c r="B25" s="4"/>
      <c r="E25" s="460" t="s">
        <v>228</v>
      </c>
      <c r="F25" s="461">
        <v>1</v>
      </c>
      <c r="G25" s="462">
        <v>300</v>
      </c>
      <c r="H25" s="462">
        <f t="shared" si="2"/>
        <v>300</v>
      </c>
      <c r="I25" s="463">
        <v>5</v>
      </c>
    </row>
    <row r="26" spans="2:9" ht="12.75">
      <c r="B26" s="4"/>
      <c r="E26" s="460" t="s">
        <v>229</v>
      </c>
      <c r="F26" s="461">
        <v>1</v>
      </c>
      <c r="G26" s="462">
        <v>300</v>
      </c>
      <c r="H26" s="462">
        <f t="shared" si="2"/>
        <v>300</v>
      </c>
      <c r="I26" s="463">
        <v>5</v>
      </c>
    </row>
    <row r="27" spans="2:9" ht="12.75">
      <c r="B27" s="4"/>
      <c r="E27" s="460" t="s">
        <v>227</v>
      </c>
      <c r="F27" s="461">
        <v>1</v>
      </c>
      <c r="G27" s="462">
        <v>500</v>
      </c>
      <c r="H27" s="462">
        <f t="shared" si="2"/>
        <v>500</v>
      </c>
      <c r="I27" s="463">
        <v>5</v>
      </c>
    </row>
    <row r="28" spans="5:9" ht="12.75">
      <c r="E28" s="460" t="s">
        <v>419</v>
      </c>
      <c r="F28" s="461" t="s">
        <v>106</v>
      </c>
      <c r="G28" s="462"/>
      <c r="H28" s="462">
        <f>+Utensilios!D7</f>
        <v>141</v>
      </c>
      <c r="I28" s="463">
        <v>3</v>
      </c>
    </row>
    <row r="29" spans="5:9" ht="12.75">
      <c r="E29" s="464" t="s">
        <v>290</v>
      </c>
      <c r="F29" s="465" t="s">
        <v>108</v>
      </c>
      <c r="G29" s="466"/>
      <c r="H29" s="467">
        <f>+'Muebles&amp;Enseres'!D12</f>
        <v>5265</v>
      </c>
      <c r="I29" s="468">
        <v>5</v>
      </c>
    </row>
    <row r="30" spans="1:9" ht="21" customHeight="1">
      <c r="A30">
        <f>SUM(A2:A29)</f>
        <v>89</v>
      </c>
      <c r="E30" s="456" t="s">
        <v>0</v>
      </c>
      <c r="F30" s="457"/>
      <c r="G30" s="457"/>
      <c r="H30" s="458">
        <f>SUM(H2:H29)</f>
        <v>71906</v>
      </c>
      <c r="I30" s="459"/>
    </row>
    <row r="34" spans="6:7" ht="12.75">
      <c r="F34">
        <v>1</v>
      </c>
      <c r="G34">
        <v>10.93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3" sqref="B13:B14"/>
    </sheetView>
  </sheetViews>
  <sheetFormatPr defaultColWidth="11.421875" defaultRowHeight="12.75"/>
  <cols>
    <col min="1" max="1" width="27.140625" style="0" customWidth="1"/>
    <col min="2" max="2" width="12.140625" style="0" customWidth="1"/>
    <col min="3" max="3" width="11.8515625" style="0" customWidth="1"/>
    <col min="4" max="11" width="8.8515625" style="0" customWidth="1"/>
    <col min="13" max="13" width="19.7109375" style="0" customWidth="1"/>
  </cols>
  <sheetData>
    <row r="1" spans="1:2" ht="12.75">
      <c r="A1" s="78" t="s">
        <v>57</v>
      </c>
      <c r="B1" s="78" t="s">
        <v>86</v>
      </c>
    </row>
    <row r="2" spans="1:3" ht="12.75">
      <c r="A2" s="203" t="s">
        <v>383</v>
      </c>
      <c r="B2" s="212">
        <v>0.03</v>
      </c>
      <c r="C2" s="240">
        <f>B2/G3</f>
        <v>3.4090909090909085E-05</v>
      </c>
    </row>
    <row r="3" spans="1:7" ht="12.75">
      <c r="A3" s="203" t="s">
        <v>384</v>
      </c>
      <c r="B3" s="212">
        <v>0.08</v>
      </c>
      <c r="D3">
        <v>25</v>
      </c>
      <c r="E3">
        <v>2.2</v>
      </c>
      <c r="F3">
        <v>16</v>
      </c>
      <c r="G3">
        <f>D3*E3*F3</f>
        <v>880.0000000000001</v>
      </c>
    </row>
    <row r="4" spans="5:6" ht="12.75">
      <c r="E4">
        <v>1</v>
      </c>
      <c r="F4">
        <v>1</v>
      </c>
    </row>
    <row r="12" spans="1:13" ht="12.75">
      <c r="A12" t="s">
        <v>586</v>
      </c>
      <c r="B12" s="8">
        <v>8408.4</v>
      </c>
      <c r="C12" s="8">
        <v>50450.4</v>
      </c>
      <c r="D12" s="8">
        <v>84084</v>
      </c>
      <c r="E12" s="8">
        <v>134534.4</v>
      </c>
      <c r="F12" s="8">
        <v>235435.2</v>
      </c>
      <c r="G12" s="8">
        <v>302702.4</v>
      </c>
      <c r="H12" s="8">
        <v>353152.8</v>
      </c>
      <c r="I12" s="8">
        <v>420420</v>
      </c>
      <c r="J12" s="8">
        <v>454053.6</v>
      </c>
      <c r="K12" s="8">
        <v>470870.4</v>
      </c>
      <c r="M12" s="633" t="s">
        <v>622</v>
      </c>
    </row>
    <row r="13" spans="1:11" ht="12.75">
      <c r="A13" t="s">
        <v>587</v>
      </c>
      <c r="B13" s="469">
        <v>3.4090909090909085E-05</v>
      </c>
      <c r="C13" s="469">
        <v>3.4090909090909085E-05</v>
      </c>
      <c r="D13" s="469">
        <v>3.4090909090909085E-05</v>
      </c>
      <c r="E13" s="469">
        <v>3.40909090909091E-05</v>
      </c>
      <c r="F13" s="469">
        <v>3.40909090909091E-05</v>
      </c>
      <c r="G13" s="469">
        <v>3.40909090909091E-05</v>
      </c>
      <c r="H13" s="469">
        <v>3.40909090909091E-05</v>
      </c>
      <c r="I13" s="469">
        <v>3.40909090909091E-05</v>
      </c>
      <c r="J13" s="469">
        <v>3.40909090909091E-05</v>
      </c>
      <c r="K13" s="469">
        <v>3.40909090909091E-05</v>
      </c>
    </row>
    <row r="14" spans="1:11" ht="12.75">
      <c r="A14" t="s">
        <v>588</v>
      </c>
      <c r="B14" s="470">
        <v>0.08</v>
      </c>
      <c r="C14" s="470">
        <v>0.08</v>
      </c>
      <c r="D14" s="470">
        <v>0.08</v>
      </c>
      <c r="E14" s="470">
        <v>0.08</v>
      </c>
      <c r="F14" s="470">
        <v>0.08</v>
      </c>
      <c r="G14" s="470">
        <v>0.08</v>
      </c>
      <c r="H14" s="470">
        <v>0.08</v>
      </c>
      <c r="I14" s="470">
        <v>0.08</v>
      </c>
      <c r="J14" s="470">
        <v>0.08</v>
      </c>
      <c r="K14" s="470">
        <v>0.08</v>
      </c>
    </row>
    <row r="19" spans="1:11" ht="24" customHeight="1">
      <c r="A19" s="712" t="s">
        <v>589</v>
      </c>
      <c r="B19" s="712" t="s">
        <v>590</v>
      </c>
      <c r="C19" s="712"/>
      <c r="D19" s="712"/>
      <c r="E19" s="712"/>
      <c r="F19" s="712"/>
      <c r="G19" s="712"/>
      <c r="H19" s="712"/>
      <c r="I19" s="712"/>
      <c r="J19" s="712"/>
      <c r="K19" s="712"/>
    </row>
    <row r="20" spans="1:11" ht="12.75">
      <c r="A20" s="712"/>
      <c r="B20" s="471">
        <v>2010</v>
      </c>
      <c r="C20" s="471">
        <v>2011</v>
      </c>
      <c r="D20" s="471">
        <v>2012</v>
      </c>
      <c r="E20" s="471">
        <v>2013</v>
      </c>
      <c r="F20" s="471">
        <v>2014</v>
      </c>
      <c r="G20" s="471">
        <v>2015</v>
      </c>
      <c r="H20" s="471">
        <v>2016</v>
      </c>
      <c r="I20" s="471">
        <v>2017</v>
      </c>
      <c r="J20" s="471">
        <v>2018</v>
      </c>
      <c r="K20" s="471">
        <v>2019</v>
      </c>
    </row>
    <row r="21" spans="1:11" ht="12.75">
      <c r="A21" s="472" t="s">
        <v>591</v>
      </c>
      <c r="B21" s="472">
        <f>B12*B13</f>
        <v>0.28664999999999996</v>
      </c>
      <c r="C21" s="472">
        <f>C12*C13</f>
        <v>1.7198999999999998</v>
      </c>
      <c r="D21" s="472">
        <f aca="true" t="shared" si="0" ref="D21:K21">D12*D13</f>
        <v>2.8664999999999994</v>
      </c>
      <c r="E21" s="472">
        <f t="shared" si="0"/>
        <v>4.586400000000001</v>
      </c>
      <c r="F21" s="472">
        <f t="shared" si="0"/>
        <v>8.026200000000003</v>
      </c>
      <c r="G21" s="472">
        <f t="shared" si="0"/>
        <v>10.319400000000003</v>
      </c>
      <c r="H21" s="472">
        <f t="shared" si="0"/>
        <v>12.039300000000003</v>
      </c>
      <c r="I21" s="472">
        <f t="shared" si="0"/>
        <v>14.332500000000003</v>
      </c>
      <c r="J21" s="472">
        <f t="shared" si="0"/>
        <v>15.479100000000003</v>
      </c>
      <c r="K21" s="472">
        <f t="shared" si="0"/>
        <v>16.052400000000006</v>
      </c>
    </row>
    <row r="22" spans="1:11" ht="12.75">
      <c r="A22" s="473" t="s">
        <v>384</v>
      </c>
      <c r="B22" s="474">
        <f>B12*B14</f>
        <v>672.672</v>
      </c>
      <c r="C22" s="474">
        <f aca="true" t="shared" si="1" ref="C22:K22">C12*C14</f>
        <v>4036.032</v>
      </c>
      <c r="D22" s="474">
        <f t="shared" si="1"/>
        <v>6726.72</v>
      </c>
      <c r="E22" s="474">
        <f t="shared" si="1"/>
        <v>10762.752</v>
      </c>
      <c r="F22" s="474">
        <f t="shared" si="1"/>
        <v>18834.816000000003</v>
      </c>
      <c r="G22" s="474">
        <f t="shared" si="1"/>
        <v>24216.192000000003</v>
      </c>
      <c r="H22" s="474">
        <f t="shared" si="1"/>
        <v>28252.224</v>
      </c>
      <c r="I22" s="474">
        <f t="shared" si="1"/>
        <v>33633.6</v>
      </c>
      <c r="J22" s="474">
        <f t="shared" si="1"/>
        <v>36324.288</v>
      </c>
      <c r="K22" s="474">
        <f t="shared" si="1"/>
        <v>37669.632000000005</v>
      </c>
    </row>
    <row r="23" spans="1:11" ht="12.75">
      <c r="A23" s="475" t="s">
        <v>10</v>
      </c>
      <c r="B23" s="476">
        <f aca="true" t="shared" si="2" ref="B23:K23">SUM(B21:B22)</f>
        <v>672.95865</v>
      </c>
      <c r="C23" s="476">
        <f>SUM(C21:C22)</f>
        <v>4037.7519</v>
      </c>
      <c r="D23" s="476">
        <f t="shared" si="2"/>
        <v>6729.5865</v>
      </c>
      <c r="E23" s="476">
        <f t="shared" si="2"/>
        <v>10767.3384</v>
      </c>
      <c r="F23" s="476">
        <f t="shared" si="2"/>
        <v>18842.842200000003</v>
      </c>
      <c r="G23" s="476">
        <f t="shared" si="2"/>
        <v>24226.511400000003</v>
      </c>
      <c r="H23" s="476">
        <f t="shared" si="2"/>
        <v>28264.2633</v>
      </c>
      <c r="I23" s="476">
        <f t="shared" si="2"/>
        <v>33647.932499999995</v>
      </c>
      <c r="J23" s="476">
        <f t="shared" si="2"/>
        <v>36339.7671</v>
      </c>
      <c r="K23" s="476">
        <f t="shared" si="2"/>
        <v>37685.684400000006</v>
      </c>
    </row>
  </sheetData>
  <sheetProtection/>
  <mergeCells count="2">
    <mergeCell ref="A19:A20"/>
    <mergeCell ref="B19:K19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57421875" style="0" customWidth="1"/>
    <col min="3" max="15" width="7.00390625" style="0" customWidth="1"/>
  </cols>
  <sheetData>
    <row r="1" spans="1:14" ht="13.5" thickBot="1">
      <c r="A1" s="86" t="s">
        <v>57</v>
      </c>
      <c r="B1" s="87">
        <v>1</v>
      </c>
      <c r="C1" s="87">
        <v>2</v>
      </c>
      <c r="D1" s="87">
        <v>3</v>
      </c>
      <c r="E1" s="87">
        <v>4</v>
      </c>
      <c r="F1" s="87">
        <v>5</v>
      </c>
      <c r="G1" s="87">
        <v>6</v>
      </c>
      <c r="H1" s="87">
        <v>7</v>
      </c>
      <c r="I1" s="87">
        <v>8</v>
      </c>
      <c r="J1" s="87">
        <v>9</v>
      </c>
      <c r="K1" s="87">
        <v>10</v>
      </c>
      <c r="L1" s="231">
        <v>11</v>
      </c>
      <c r="M1" s="232">
        <v>12</v>
      </c>
      <c r="N1" s="232">
        <v>13</v>
      </c>
    </row>
    <row r="2" spans="1:14" ht="12.75">
      <c r="A2" s="88" t="s">
        <v>109</v>
      </c>
      <c r="B2" s="89">
        <v>156</v>
      </c>
      <c r="C2" s="89">
        <v>2</v>
      </c>
      <c r="D2" s="89"/>
      <c r="E2" s="89"/>
      <c r="F2" s="89"/>
      <c r="G2" s="89"/>
      <c r="H2" s="89"/>
      <c r="I2" s="89"/>
      <c r="J2" s="89"/>
      <c r="K2" s="89"/>
      <c r="L2" s="233"/>
      <c r="M2" s="6"/>
      <c r="N2" s="236"/>
    </row>
    <row r="3" spans="1:14" ht="12.75">
      <c r="A3" s="88" t="s">
        <v>110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233"/>
      <c r="M3" s="9"/>
      <c r="N3" s="237"/>
    </row>
    <row r="4" spans="1:14" ht="12.75">
      <c r="A4" s="88" t="s">
        <v>111</v>
      </c>
      <c r="B4" s="89">
        <v>24</v>
      </c>
      <c r="C4" s="89">
        <v>0.3</v>
      </c>
      <c r="D4" s="89"/>
      <c r="E4" s="89"/>
      <c r="F4" s="89"/>
      <c r="G4" s="89"/>
      <c r="H4" s="89"/>
      <c r="I4" s="89"/>
      <c r="J4" s="89"/>
      <c r="K4" s="89"/>
      <c r="L4" s="233"/>
      <c r="M4" s="9"/>
      <c r="N4" s="237"/>
    </row>
    <row r="5" spans="1:14" ht="12.75">
      <c r="A5" s="88" t="s">
        <v>112</v>
      </c>
      <c r="B5" s="89">
        <v>78</v>
      </c>
      <c r="C5" s="89">
        <v>156</v>
      </c>
      <c r="D5" s="89">
        <v>234</v>
      </c>
      <c r="E5" s="89">
        <v>312</v>
      </c>
      <c r="F5" s="89">
        <v>390</v>
      </c>
      <c r="G5" s="89">
        <v>468</v>
      </c>
      <c r="H5" s="89">
        <v>546</v>
      </c>
      <c r="I5" s="89">
        <v>624</v>
      </c>
      <c r="J5" s="89">
        <v>702</v>
      </c>
      <c r="K5" s="89">
        <v>780</v>
      </c>
      <c r="L5" s="230">
        <v>858</v>
      </c>
      <c r="M5" s="235">
        <v>936</v>
      </c>
      <c r="N5" s="234">
        <v>936</v>
      </c>
    </row>
    <row r="6" spans="1:14" ht="12.75">
      <c r="A6" s="88" t="s">
        <v>113</v>
      </c>
      <c r="B6" s="89">
        <v>1</v>
      </c>
      <c r="C6" s="89">
        <v>1</v>
      </c>
      <c r="D6" s="89">
        <v>1</v>
      </c>
      <c r="E6" s="89">
        <v>2</v>
      </c>
      <c r="F6" s="89">
        <v>2</v>
      </c>
      <c r="G6" s="89">
        <v>2</v>
      </c>
      <c r="H6" s="89">
        <v>2</v>
      </c>
      <c r="I6" s="89">
        <v>2</v>
      </c>
      <c r="J6" s="89">
        <v>2</v>
      </c>
      <c r="K6" s="89">
        <v>2</v>
      </c>
      <c r="L6" s="230">
        <v>2</v>
      </c>
      <c r="M6" s="235">
        <v>2</v>
      </c>
      <c r="N6" s="234">
        <v>2</v>
      </c>
    </row>
    <row r="7" spans="1:14" ht="12.75">
      <c r="A7" s="88" t="s">
        <v>114</v>
      </c>
      <c r="B7" s="89">
        <v>3</v>
      </c>
      <c r="C7" s="89">
        <v>3</v>
      </c>
      <c r="D7" s="89">
        <v>3</v>
      </c>
      <c r="E7" s="89">
        <v>4</v>
      </c>
      <c r="F7" s="89">
        <v>4</v>
      </c>
      <c r="G7" s="89">
        <v>4</v>
      </c>
      <c r="H7" s="89">
        <v>4</v>
      </c>
      <c r="I7" s="89">
        <v>4</v>
      </c>
      <c r="J7" s="89">
        <v>4</v>
      </c>
      <c r="K7" s="89">
        <v>4</v>
      </c>
      <c r="L7" s="230">
        <v>4</v>
      </c>
      <c r="M7" s="235">
        <v>4</v>
      </c>
      <c r="N7" s="234">
        <v>4</v>
      </c>
    </row>
    <row r="8" spans="1:14" ht="12.75">
      <c r="A8" s="88" t="s">
        <v>115</v>
      </c>
      <c r="B8" s="89">
        <v>2</v>
      </c>
      <c r="C8" s="89">
        <v>2</v>
      </c>
      <c r="D8" s="89">
        <v>2</v>
      </c>
      <c r="E8" s="89">
        <v>3</v>
      </c>
      <c r="F8" s="89">
        <v>3</v>
      </c>
      <c r="G8" s="89">
        <v>3</v>
      </c>
      <c r="H8" s="89">
        <v>3</v>
      </c>
      <c r="I8" s="89">
        <v>3</v>
      </c>
      <c r="J8" s="89">
        <v>3</v>
      </c>
      <c r="K8" s="89">
        <v>3</v>
      </c>
      <c r="L8" s="230">
        <v>3</v>
      </c>
      <c r="M8" s="235">
        <v>3</v>
      </c>
      <c r="N8" s="234">
        <v>3</v>
      </c>
    </row>
    <row r="9" spans="1:14" ht="12.75">
      <c r="A9" s="88" t="s">
        <v>116</v>
      </c>
      <c r="B9" s="89">
        <v>3</v>
      </c>
      <c r="C9" s="89">
        <v>3</v>
      </c>
      <c r="D9" s="89">
        <v>3</v>
      </c>
      <c r="E9" s="89">
        <v>3</v>
      </c>
      <c r="F9" s="89">
        <v>3</v>
      </c>
      <c r="G9" s="89">
        <v>3</v>
      </c>
      <c r="H9" s="89">
        <v>3</v>
      </c>
      <c r="I9" s="89">
        <v>3</v>
      </c>
      <c r="J9" s="89">
        <v>3</v>
      </c>
      <c r="K9" s="89">
        <v>3</v>
      </c>
      <c r="L9" s="230">
        <v>3</v>
      </c>
      <c r="M9" s="235">
        <v>3</v>
      </c>
      <c r="N9" s="234">
        <v>3</v>
      </c>
    </row>
    <row r="10" spans="1:14" ht="13.5" thickBot="1">
      <c r="A10" s="90" t="s">
        <v>117</v>
      </c>
      <c r="B10" s="91">
        <v>1</v>
      </c>
      <c r="C10" s="91">
        <v>1</v>
      </c>
      <c r="D10" s="91">
        <v>1</v>
      </c>
      <c r="E10" s="91">
        <v>2</v>
      </c>
      <c r="F10" s="91">
        <v>2</v>
      </c>
      <c r="G10" s="91">
        <v>2</v>
      </c>
      <c r="H10" s="91">
        <v>2</v>
      </c>
      <c r="I10" s="91">
        <v>2</v>
      </c>
      <c r="J10" s="91">
        <v>2</v>
      </c>
      <c r="K10" s="91">
        <v>2</v>
      </c>
      <c r="L10" s="244">
        <v>2</v>
      </c>
      <c r="M10" s="245">
        <v>2</v>
      </c>
      <c r="N10" s="246">
        <v>2</v>
      </c>
    </row>
    <row r="12" ht="13.5" thickBot="1"/>
    <row r="13" spans="1:3" ht="32.25" thickBot="1">
      <c r="A13" s="79" t="s">
        <v>118</v>
      </c>
      <c r="B13" s="80" t="s">
        <v>119</v>
      </c>
      <c r="C13" s="80" t="s">
        <v>120</v>
      </c>
    </row>
    <row r="14" spans="1:3" ht="15.75">
      <c r="A14" s="81" t="s">
        <v>109</v>
      </c>
      <c r="B14" s="83" t="s">
        <v>126</v>
      </c>
      <c r="C14" s="83">
        <v>7</v>
      </c>
    </row>
    <row r="15" spans="1:3" ht="25.5">
      <c r="A15" s="88" t="s">
        <v>121</v>
      </c>
      <c r="B15" s="89" t="s">
        <v>127</v>
      </c>
      <c r="C15" s="83">
        <v>12</v>
      </c>
    </row>
    <row r="16" spans="1:3" ht="15.75">
      <c r="A16" s="88" t="s">
        <v>122</v>
      </c>
      <c r="B16" s="83" t="s">
        <v>128</v>
      </c>
      <c r="C16" s="83">
        <v>5</v>
      </c>
    </row>
    <row r="17" spans="1:3" ht="15.75">
      <c r="A17" s="81" t="s">
        <v>123</v>
      </c>
      <c r="B17" s="83" t="s">
        <v>129</v>
      </c>
      <c r="C17" s="83">
        <v>15</v>
      </c>
    </row>
    <row r="18" spans="1:3" ht="15.75">
      <c r="A18" s="81" t="s">
        <v>124</v>
      </c>
      <c r="B18" s="83" t="s">
        <v>128</v>
      </c>
      <c r="C18" s="83">
        <v>13</v>
      </c>
    </row>
    <row r="19" spans="1:3" ht="15.75">
      <c r="A19" s="81" t="s">
        <v>125</v>
      </c>
      <c r="B19" s="83" t="s">
        <v>128</v>
      </c>
      <c r="C19" s="83">
        <v>5</v>
      </c>
    </row>
    <row r="20" spans="1:3" ht="16.5" thickBot="1">
      <c r="A20" s="82" t="s">
        <v>117</v>
      </c>
      <c r="B20" s="84" t="s">
        <v>128</v>
      </c>
      <c r="C20" s="84">
        <v>7</v>
      </c>
    </row>
    <row r="23" ht="15.75">
      <c r="A23" s="85"/>
    </row>
    <row r="24" ht="15.75">
      <c r="A24" s="85"/>
    </row>
    <row r="25" ht="15.75">
      <c r="A25" s="85"/>
    </row>
    <row r="26" spans="1:7" ht="20.25">
      <c r="A26" s="85"/>
      <c r="F26" s="634" t="s">
        <v>623</v>
      </c>
      <c r="G26" s="144"/>
    </row>
    <row r="27" ht="15.75">
      <c r="A27" s="85"/>
    </row>
    <row r="28" ht="15.75">
      <c r="A28" s="85"/>
    </row>
    <row r="29" spans="2:15" ht="12.75">
      <c r="B29" s="76" t="s">
        <v>57</v>
      </c>
      <c r="C29" s="76">
        <v>1</v>
      </c>
      <c r="D29" s="76">
        <v>2</v>
      </c>
      <c r="E29" s="76">
        <v>3</v>
      </c>
      <c r="F29" s="76">
        <v>4</v>
      </c>
      <c r="G29" s="76">
        <v>5</v>
      </c>
      <c r="H29" s="76">
        <v>6</v>
      </c>
      <c r="I29" s="76">
        <v>7</v>
      </c>
      <c r="J29" s="76">
        <v>8</v>
      </c>
      <c r="K29" s="76">
        <v>9</v>
      </c>
      <c r="L29" s="78">
        <v>10</v>
      </c>
      <c r="M29" s="78">
        <v>11</v>
      </c>
      <c r="N29" s="78">
        <v>12</v>
      </c>
      <c r="O29" s="78">
        <v>13</v>
      </c>
    </row>
    <row r="30" spans="2:16" ht="12.75">
      <c r="B30" s="11" t="s">
        <v>109</v>
      </c>
      <c r="C30" s="92">
        <f>B2*$C$14</f>
        <v>1092</v>
      </c>
      <c r="D30" s="92">
        <f>C2*$C$14</f>
        <v>14</v>
      </c>
      <c r="E30" s="92"/>
      <c r="F30" s="92"/>
      <c r="G30" s="92"/>
      <c r="H30" s="92"/>
      <c r="I30" s="92"/>
      <c r="J30" s="92"/>
      <c r="K30" s="92"/>
      <c r="L30" s="94"/>
      <c r="N30" s="161"/>
      <c r="O30" s="161"/>
      <c r="P30" s="11"/>
    </row>
    <row r="31" spans="2:16" ht="12.75">
      <c r="B31" s="11" t="s">
        <v>110</v>
      </c>
      <c r="C31" s="92"/>
      <c r="D31" s="92"/>
      <c r="E31" s="92"/>
      <c r="F31" s="92"/>
      <c r="G31" s="92"/>
      <c r="H31" s="92"/>
      <c r="I31" s="92"/>
      <c r="J31" s="92"/>
      <c r="K31" s="92"/>
      <c r="L31" s="94"/>
      <c r="N31" s="11"/>
      <c r="O31" s="11"/>
      <c r="P31" s="11"/>
    </row>
    <row r="32" spans="2:16" ht="12.75">
      <c r="B32" s="11" t="s">
        <v>130</v>
      </c>
      <c r="C32" s="92">
        <v>6</v>
      </c>
      <c r="D32" s="200">
        <v>0.07</v>
      </c>
      <c r="E32" s="92"/>
      <c r="F32" s="92"/>
      <c r="G32" s="92"/>
      <c r="H32" s="92"/>
      <c r="I32" s="92"/>
      <c r="J32" s="92"/>
      <c r="K32" s="92"/>
      <c r="L32" s="94"/>
      <c r="N32" s="11"/>
      <c r="O32" s="11"/>
      <c r="P32" s="11"/>
    </row>
    <row r="33" spans="2:16" ht="12.75">
      <c r="B33" s="11" t="s">
        <v>131</v>
      </c>
      <c r="C33" s="92">
        <v>19</v>
      </c>
      <c r="D33" s="92">
        <v>37</v>
      </c>
      <c r="E33" s="92">
        <v>56</v>
      </c>
      <c r="F33" s="92">
        <v>75</v>
      </c>
      <c r="G33" s="92">
        <v>94</v>
      </c>
      <c r="H33" s="92">
        <v>112</v>
      </c>
      <c r="I33" s="92">
        <v>131</v>
      </c>
      <c r="J33" s="92">
        <v>150</v>
      </c>
      <c r="K33" s="92">
        <v>168</v>
      </c>
      <c r="L33" s="94">
        <v>187</v>
      </c>
      <c r="M33" s="238">
        <v>206</v>
      </c>
      <c r="N33" s="238">
        <v>225</v>
      </c>
      <c r="O33" s="239">
        <v>225</v>
      </c>
      <c r="P33" s="11"/>
    </row>
    <row r="34" spans="2:15" ht="12.75">
      <c r="B34" s="11" t="s">
        <v>132</v>
      </c>
      <c r="C34" s="92">
        <f aca="true" t="shared" si="0" ref="C34:H34">B6*$C$16</f>
        <v>5</v>
      </c>
      <c r="D34" s="92">
        <f t="shared" si="0"/>
        <v>5</v>
      </c>
      <c r="E34" s="92">
        <f t="shared" si="0"/>
        <v>5</v>
      </c>
      <c r="F34" s="92">
        <f t="shared" si="0"/>
        <v>10</v>
      </c>
      <c r="G34" s="92">
        <f t="shared" si="0"/>
        <v>10</v>
      </c>
      <c r="H34" s="92">
        <f t="shared" si="0"/>
        <v>10</v>
      </c>
      <c r="I34" s="92">
        <v>15</v>
      </c>
      <c r="J34" s="92">
        <v>15</v>
      </c>
      <c r="K34" s="92">
        <v>15</v>
      </c>
      <c r="L34" s="94">
        <v>15</v>
      </c>
      <c r="M34" s="238">
        <v>15</v>
      </c>
      <c r="N34" s="238">
        <v>15</v>
      </c>
      <c r="O34" s="238">
        <v>15</v>
      </c>
    </row>
    <row r="35" spans="2:15" ht="12.75">
      <c r="B35" s="11" t="s">
        <v>114</v>
      </c>
      <c r="C35" s="92">
        <f>B7*$C$17</f>
        <v>45</v>
      </c>
      <c r="D35" s="92">
        <f aca="true" t="shared" si="1" ref="D35:L35">C7*$C$17</f>
        <v>45</v>
      </c>
      <c r="E35" s="92">
        <f t="shared" si="1"/>
        <v>45</v>
      </c>
      <c r="F35" s="92">
        <f t="shared" si="1"/>
        <v>60</v>
      </c>
      <c r="G35" s="92">
        <f t="shared" si="1"/>
        <v>60</v>
      </c>
      <c r="H35" s="92">
        <f t="shared" si="1"/>
        <v>60</v>
      </c>
      <c r="I35" s="92">
        <f t="shared" si="1"/>
        <v>60</v>
      </c>
      <c r="J35" s="92">
        <f t="shared" si="1"/>
        <v>60</v>
      </c>
      <c r="K35" s="92">
        <f t="shared" si="1"/>
        <v>60</v>
      </c>
      <c r="L35" s="94">
        <f t="shared" si="1"/>
        <v>60</v>
      </c>
      <c r="M35" s="94">
        <f>L7*$C$17</f>
        <v>60</v>
      </c>
      <c r="N35" s="94">
        <f>M7*$C$17</f>
        <v>60</v>
      </c>
      <c r="O35" s="94">
        <f>N7*$C$17</f>
        <v>60</v>
      </c>
    </row>
    <row r="36" spans="2:15" ht="12.75">
      <c r="B36" s="11" t="s">
        <v>115</v>
      </c>
      <c r="C36" s="92">
        <f>B8*$C$18</f>
        <v>26</v>
      </c>
      <c r="D36" s="92">
        <f aca="true" t="shared" si="2" ref="D36:L36">C8*$C$18</f>
        <v>26</v>
      </c>
      <c r="E36" s="92">
        <f t="shared" si="2"/>
        <v>26</v>
      </c>
      <c r="F36" s="92">
        <f t="shared" si="2"/>
        <v>39</v>
      </c>
      <c r="G36" s="92">
        <f t="shared" si="2"/>
        <v>39</v>
      </c>
      <c r="H36" s="92">
        <f t="shared" si="2"/>
        <v>39</v>
      </c>
      <c r="I36" s="92">
        <f t="shared" si="2"/>
        <v>39</v>
      </c>
      <c r="J36" s="92">
        <f t="shared" si="2"/>
        <v>39</v>
      </c>
      <c r="K36" s="92">
        <f t="shared" si="2"/>
        <v>39</v>
      </c>
      <c r="L36" s="94">
        <f t="shared" si="2"/>
        <v>39</v>
      </c>
      <c r="M36" s="94">
        <f>L8*$C$18</f>
        <v>39</v>
      </c>
      <c r="N36" s="94">
        <f>M8*$C$18</f>
        <v>39</v>
      </c>
      <c r="O36" s="94">
        <f>N8*$C$18</f>
        <v>39</v>
      </c>
    </row>
    <row r="37" spans="2:15" ht="12.75">
      <c r="B37" s="11" t="s">
        <v>116</v>
      </c>
      <c r="C37" s="92">
        <f>B9*$C$19</f>
        <v>15</v>
      </c>
      <c r="D37" s="92">
        <f aca="true" t="shared" si="3" ref="D37:L37">C9*$C$19</f>
        <v>15</v>
      </c>
      <c r="E37" s="92">
        <f t="shared" si="3"/>
        <v>15</v>
      </c>
      <c r="F37" s="92">
        <f t="shared" si="3"/>
        <v>15</v>
      </c>
      <c r="G37" s="92">
        <f t="shared" si="3"/>
        <v>15</v>
      </c>
      <c r="H37" s="92">
        <f t="shared" si="3"/>
        <v>15</v>
      </c>
      <c r="I37" s="92">
        <f t="shared" si="3"/>
        <v>15</v>
      </c>
      <c r="J37" s="92">
        <f t="shared" si="3"/>
        <v>15</v>
      </c>
      <c r="K37" s="92">
        <f t="shared" si="3"/>
        <v>15</v>
      </c>
      <c r="L37" s="94">
        <f t="shared" si="3"/>
        <v>15</v>
      </c>
      <c r="M37" s="94">
        <f>L9*$C$19</f>
        <v>15</v>
      </c>
      <c r="N37" s="94">
        <f>M9*$C$19</f>
        <v>15</v>
      </c>
      <c r="O37" s="94">
        <f>N9*$C$19</f>
        <v>15</v>
      </c>
    </row>
    <row r="38" spans="2:15" ht="12.75">
      <c r="B38" s="77" t="s">
        <v>117</v>
      </c>
      <c r="C38" s="93">
        <f>B10*$C$20</f>
        <v>7</v>
      </c>
      <c r="D38" s="93">
        <f aca="true" t="shared" si="4" ref="D38:L38">C10*$C$20</f>
        <v>7</v>
      </c>
      <c r="E38" s="93">
        <f t="shared" si="4"/>
        <v>7</v>
      </c>
      <c r="F38" s="93">
        <f t="shared" si="4"/>
        <v>14</v>
      </c>
      <c r="G38" s="93">
        <f t="shared" si="4"/>
        <v>14</v>
      </c>
      <c r="H38" s="93">
        <f t="shared" si="4"/>
        <v>14</v>
      </c>
      <c r="I38" s="93">
        <f t="shared" si="4"/>
        <v>14</v>
      </c>
      <c r="J38" s="93">
        <f t="shared" si="4"/>
        <v>14</v>
      </c>
      <c r="K38" s="93">
        <f t="shared" si="4"/>
        <v>14</v>
      </c>
      <c r="L38" s="95">
        <f t="shared" si="4"/>
        <v>14</v>
      </c>
      <c r="M38" s="95">
        <f>L10*$C$20</f>
        <v>14</v>
      </c>
      <c r="N38" s="95">
        <f>M10*$C$20</f>
        <v>14</v>
      </c>
      <c r="O38" s="95">
        <f>N10*$C$20</f>
        <v>14</v>
      </c>
    </row>
    <row r="39" spans="2:15" ht="12.75">
      <c r="B39" s="96" t="s">
        <v>0</v>
      </c>
      <c r="C39" s="97">
        <f>SUM(C30:C38)</f>
        <v>1215</v>
      </c>
      <c r="D39" s="97">
        <f aca="true" t="shared" si="5" ref="D39:L39">SUM(D30:D38)</f>
        <v>149.07</v>
      </c>
      <c r="E39" s="97">
        <f t="shared" si="5"/>
        <v>154</v>
      </c>
      <c r="F39" s="97">
        <f t="shared" si="5"/>
        <v>213</v>
      </c>
      <c r="G39" s="97">
        <f t="shared" si="5"/>
        <v>232</v>
      </c>
      <c r="H39" s="97">
        <f t="shared" si="5"/>
        <v>250</v>
      </c>
      <c r="I39" s="97">
        <f t="shared" si="5"/>
        <v>274</v>
      </c>
      <c r="J39" s="97">
        <f t="shared" si="5"/>
        <v>293</v>
      </c>
      <c r="K39" s="97">
        <f t="shared" si="5"/>
        <v>311</v>
      </c>
      <c r="L39" s="97">
        <f t="shared" si="5"/>
        <v>330</v>
      </c>
      <c r="M39" s="97">
        <f>SUM(M30:M38)</f>
        <v>349</v>
      </c>
      <c r="N39" s="97">
        <f>SUM(N30:N38)</f>
        <v>368</v>
      </c>
      <c r="O39" s="97">
        <f>SUM(O30:O38)</f>
        <v>368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5.7109375" style="0" customWidth="1"/>
    <col min="2" max="3" width="13.7109375" style="0" customWidth="1"/>
  </cols>
  <sheetData>
    <row r="1" spans="1:3" ht="15" customHeight="1">
      <c r="A1" s="213" t="s">
        <v>57</v>
      </c>
      <c r="B1" s="213" t="s">
        <v>390</v>
      </c>
      <c r="C1" s="214" t="s">
        <v>391</v>
      </c>
    </row>
    <row r="2" spans="1:6" ht="15" customHeight="1">
      <c r="A2" s="215" t="s">
        <v>385</v>
      </c>
      <c r="B2" s="216" t="s">
        <v>392</v>
      </c>
      <c r="C2" s="217" t="s">
        <v>395</v>
      </c>
      <c r="E2">
        <v>30</v>
      </c>
      <c r="F2">
        <v>50</v>
      </c>
    </row>
    <row r="3" spans="1:6" ht="15" customHeight="1">
      <c r="A3" s="215" t="s">
        <v>386</v>
      </c>
      <c r="B3" s="216" t="s">
        <v>393</v>
      </c>
      <c r="C3" s="217" t="s">
        <v>397</v>
      </c>
      <c r="E3" t="s">
        <v>20</v>
      </c>
      <c r="F3">
        <v>189</v>
      </c>
    </row>
    <row r="4" spans="1:3" ht="15" customHeight="1">
      <c r="A4" s="215" t="s">
        <v>387</v>
      </c>
      <c r="B4" s="216" t="s">
        <v>392</v>
      </c>
      <c r="C4" s="217" t="s">
        <v>392</v>
      </c>
    </row>
    <row r="5" spans="1:6" ht="15" customHeight="1">
      <c r="A5" s="215" t="s">
        <v>388</v>
      </c>
      <c r="B5" s="216" t="s">
        <v>394</v>
      </c>
      <c r="C5" s="217" t="s">
        <v>398</v>
      </c>
      <c r="E5" t="s">
        <v>84</v>
      </c>
      <c r="F5">
        <f>(E2*F3)/F2</f>
        <v>113.4</v>
      </c>
    </row>
    <row r="6" spans="1:3" ht="15" customHeight="1">
      <c r="A6" s="218" t="s">
        <v>389</v>
      </c>
      <c r="B6" s="219" t="s">
        <v>395</v>
      </c>
      <c r="C6" s="220" t="s">
        <v>399</v>
      </c>
    </row>
    <row r="7" spans="1:3" ht="15" customHeight="1">
      <c r="A7" s="221" t="s">
        <v>0</v>
      </c>
      <c r="B7" s="222" t="s">
        <v>396</v>
      </c>
      <c r="C7" s="223" t="s">
        <v>400</v>
      </c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1" width="5.7109375" style="0" customWidth="1"/>
    <col min="12" max="12" width="6.7109375" style="0" customWidth="1"/>
  </cols>
  <sheetData>
    <row r="1" spans="1:12" ht="12.75">
      <c r="A1" s="99" t="s">
        <v>133</v>
      </c>
      <c r="B1" s="100" t="s">
        <v>134</v>
      </c>
      <c r="C1" s="100" t="s">
        <v>135</v>
      </c>
      <c r="D1" s="100" t="s">
        <v>136</v>
      </c>
      <c r="E1" s="100" t="s">
        <v>135</v>
      </c>
      <c r="F1" s="100" t="s">
        <v>137</v>
      </c>
      <c r="G1" s="100" t="s">
        <v>137</v>
      </c>
      <c r="H1" s="100" t="s">
        <v>136</v>
      </c>
      <c r="I1" s="100" t="s">
        <v>138</v>
      </c>
      <c r="J1" s="100" t="s">
        <v>139</v>
      </c>
      <c r="K1" s="100" t="s">
        <v>140</v>
      </c>
      <c r="L1" s="20" t="s">
        <v>141</v>
      </c>
    </row>
    <row r="2" spans="1:12" ht="13.5" thickBot="1">
      <c r="A2" s="101"/>
      <c r="B2" s="102"/>
      <c r="C2" s="102"/>
      <c r="D2" s="102"/>
      <c r="E2" s="102"/>
      <c r="F2" s="102"/>
      <c r="G2" s="102"/>
      <c r="H2" s="102"/>
      <c r="I2" s="103"/>
      <c r="J2" s="103"/>
      <c r="K2" s="103"/>
      <c r="L2" s="104"/>
    </row>
    <row r="4" spans="1:12" ht="12.75">
      <c r="A4" s="106"/>
      <c r="B4" s="75" t="s">
        <v>142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05"/>
      <c r="B5" s="72" t="s">
        <v>143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8" ht="12.75">
      <c r="J8" s="98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5.7109375" style="0" bestFit="1" customWidth="1"/>
    <col min="2" max="2" width="12.7109375" style="0" bestFit="1" customWidth="1"/>
    <col min="3" max="3" width="9.7109375" style="0" bestFit="1" customWidth="1"/>
    <col min="4" max="4" width="10.28125" style="0" bestFit="1" customWidth="1"/>
    <col min="5" max="5" width="14.00390625" style="0" bestFit="1" customWidth="1"/>
    <col min="6" max="6" width="14.140625" style="0" bestFit="1" customWidth="1"/>
    <col min="7" max="7" width="14.421875" style="0" bestFit="1" customWidth="1"/>
    <col min="8" max="8" width="14.8515625" style="0" bestFit="1" customWidth="1"/>
  </cols>
  <sheetData>
    <row r="1" spans="1:9" ht="13.5" thickBot="1">
      <c r="A1" s="41" t="s">
        <v>43</v>
      </c>
      <c r="B1" s="42" t="s">
        <v>37</v>
      </c>
      <c r="C1" s="42" t="s">
        <v>38</v>
      </c>
      <c r="D1" s="42" t="s">
        <v>39</v>
      </c>
      <c r="E1" s="42" t="s">
        <v>40</v>
      </c>
      <c r="F1" s="42" t="s">
        <v>41</v>
      </c>
      <c r="G1" s="42" t="s">
        <v>42</v>
      </c>
      <c r="H1" s="43" t="s">
        <v>44</v>
      </c>
      <c r="I1" s="40" t="s">
        <v>1</v>
      </c>
    </row>
    <row r="2" spans="1:9" ht="12.75">
      <c r="A2" s="61">
        <v>2006</v>
      </c>
      <c r="B2" s="62">
        <f>+'[3]proyecciones'!$C$15</f>
        <v>2.6094872518463124</v>
      </c>
      <c r="C2" s="63">
        <v>0.272</v>
      </c>
      <c r="D2" s="63">
        <f>+'[2]GRAFICOS'!C2</f>
        <v>0.9259259259259259</v>
      </c>
      <c r="E2" s="62">
        <f aca="true" t="shared" si="0" ref="E2:E15">B2*C2*D2</f>
        <v>0.6572041967612935</v>
      </c>
      <c r="F2" s="64">
        <f aca="true" t="shared" si="1" ref="F2:F15">E2*1000</f>
        <v>657.2041967612935</v>
      </c>
      <c r="G2" s="64">
        <f>F2*2.2</f>
        <v>1445.8492328748457</v>
      </c>
      <c r="H2" s="65">
        <f aca="true" t="shared" si="2" ref="H2:H15">G2*16</f>
        <v>23133.58772599753</v>
      </c>
      <c r="I2" s="3">
        <f>+'[2]GRAFICOS'!C142</f>
        <v>0.44</v>
      </c>
    </row>
    <row r="3" spans="1:9" ht="12.75">
      <c r="A3" s="54">
        <v>2007</v>
      </c>
      <c r="B3" s="51">
        <f>+'[3]proyecciones'!$C$16</f>
        <v>3.3513511951223505</v>
      </c>
      <c r="C3" s="52">
        <f aca="true" t="shared" si="3" ref="C3:C15">C2*(1+2.5%)</f>
        <v>0.2788</v>
      </c>
      <c r="D3" s="52">
        <f aca="true" t="shared" si="4" ref="D3:D15">+D2</f>
        <v>0.9259259259259259</v>
      </c>
      <c r="E3" s="51">
        <f t="shared" si="0"/>
        <v>0.8651451048149178</v>
      </c>
      <c r="F3" s="53">
        <f t="shared" si="1"/>
        <v>865.1451048149178</v>
      </c>
      <c r="G3" s="64">
        <f aca="true" t="shared" si="5" ref="G3:G15">F3*2.2</f>
        <v>1903.3192305928192</v>
      </c>
      <c r="H3" s="55">
        <f t="shared" si="2"/>
        <v>30453.107689485107</v>
      </c>
      <c r="I3" s="3">
        <f>+I2</f>
        <v>0.44</v>
      </c>
    </row>
    <row r="4" spans="1:9" ht="12.75">
      <c r="A4" s="54">
        <v>2008</v>
      </c>
      <c r="B4" s="51">
        <f>+'[3]proyecciones'!$C$17</f>
        <v>4.093215138398389</v>
      </c>
      <c r="C4" s="52">
        <f t="shared" si="3"/>
        <v>0.28576999999999997</v>
      </c>
      <c r="D4" s="52">
        <f t="shared" si="4"/>
        <v>0.9259259259259259</v>
      </c>
      <c r="E4" s="51">
        <f t="shared" si="0"/>
        <v>1.0830723056482476</v>
      </c>
      <c r="F4" s="53">
        <f t="shared" si="1"/>
        <v>1083.0723056482477</v>
      </c>
      <c r="G4" s="64">
        <f t="shared" si="5"/>
        <v>2382.7590724261454</v>
      </c>
      <c r="H4" s="55">
        <f t="shared" si="2"/>
        <v>38124.145158818326</v>
      </c>
      <c r="I4" s="3">
        <f>+I3</f>
        <v>0.44</v>
      </c>
    </row>
    <row r="5" spans="1:9" ht="12.75">
      <c r="A5" s="54">
        <v>2009</v>
      </c>
      <c r="B5" s="51">
        <f>+'[3]proyecciones'!$C$18</f>
        <v>4.835079081674427</v>
      </c>
      <c r="C5" s="52">
        <f t="shared" si="3"/>
        <v>0.29291424999999993</v>
      </c>
      <c r="D5" s="52">
        <f t="shared" si="4"/>
        <v>0.9259259259259259</v>
      </c>
      <c r="E5" s="51">
        <f t="shared" si="0"/>
        <v>1.3113551508327344</v>
      </c>
      <c r="F5" s="53">
        <f t="shared" si="1"/>
        <v>1311.3551508327344</v>
      </c>
      <c r="G5" s="64">
        <f t="shared" si="5"/>
        <v>2884.9813318320157</v>
      </c>
      <c r="H5" s="55">
        <f t="shared" si="2"/>
        <v>46159.70130931225</v>
      </c>
      <c r="I5" s="3">
        <f>+I4</f>
        <v>0.44</v>
      </c>
    </row>
    <row r="6" spans="1:9" ht="12.75">
      <c r="A6" s="54">
        <v>2010</v>
      </c>
      <c r="B6" s="51">
        <f>+'[3]proyecciones'!$C$19</f>
        <v>5.576943024950465</v>
      </c>
      <c r="C6" s="52">
        <f t="shared" si="3"/>
        <v>0.3002371062499999</v>
      </c>
      <c r="D6" s="52">
        <f t="shared" si="4"/>
        <v>0.9259259259259259</v>
      </c>
      <c r="E6" s="51">
        <f t="shared" si="0"/>
        <v>1.5503752180854153</v>
      </c>
      <c r="F6" s="53">
        <f t="shared" si="1"/>
        <v>1550.3752180854153</v>
      </c>
      <c r="G6" s="64">
        <f t="shared" si="5"/>
        <v>3410.825479787914</v>
      </c>
      <c r="H6" s="55">
        <f t="shared" si="2"/>
        <v>54573.207676606624</v>
      </c>
      <c r="I6" s="3">
        <f>+I5</f>
        <v>0.44</v>
      </c>
    </row>
    <row r="7" spans="1:9" ht="12.75">
      <c r="A7" s="54">
        <v>2011</v>
      </c>
      <c r="B7" s="51">
        <f>+'[3]proyecciones'!$C$20</f>
        <v>6.318806968226502</v>
      </c>
      <c r="C7" s="52">
        <f t="shared" si="3"/>
        <v>0.30774303390624985</v>
      </c>
      <c r="D7" s="52">
        <f t="shared" si="4"/>
        <v>0.9259259259259259</v>
      </c>
      <c r="E7" s="51">
        <f t="shared" si="0"/>
        <v>1.8005266917314593</v>
      </c>
      <c r="F7" s="53">
        <f t="shared" si="1"/>
        <v>1800.5266917314593</v>
      </c>
      <c r="G7" s="64">
        <f t="shared" si="5"/>
        <v>3961.158721809211</v>
      </c>
      <c r="H7" s="55">
        <f t="shared" si="2"/>
        <v>63378.539548947374</v>
      </c>
      <c r="I7" s="3">
        <f>+I6</f>
        <v>0.44</v>
      </c>
    </row>
    <row r="8" spans="1:8" ht="12.75">
      <c r="A8" s="56">
        <v>2012</v>
      </c>
      <c r="B8" s="51">
        <f>+'[3]proyecciones'!$C$21</f>
        <v>7.060670911502541</v>
      </c>
      <c r="C8" s="52">
        <f t="shared" si="3"/>
        <v>0.3154366097539061</v>
      </c>
      <c r="D8" s="52">
        <f t="shared" si="4"/>
        <v>0.9259259259259259</v>
      </c>
      <c r="E8" s="51">
        <f t="shared" si="0"/>
        <v>2.062216754548503</v>
      </c>
      <c r="F8" s="53">
        <f t="shared" si="1"/>
        <v>2062.216754548503</v>
      </c>
      <c r="G8" s="64">
        <f t="shared" si="5"/>
        <v>4536.876860006707</v>
      </c>
      <c r="H8" s="55">
        <f t="shared" si="2"/>
        <v>72590.02976010731</v>
      </c>
    </row>
    <row r="9" spans="1:8" ht="12.75">
      <c r="A9" s="56">
        <v>2013</v>
      </c>
      <c r="B9" s="51">
        <f>+'[3]proyecciones'!$C$22</f>
        <v>7.802534854778578</v>
      </c>
      <c r="C9" s="52">
        <f t="shared" si="3"/>
        <v>0.3233225249977537</v>
      </c>
      <c r="D9" s="52">
        <f t="shared" si="4"/>
        <v>0.9259259259259259</v>
      </c>
      <c r="E9" s="51">
        <f t="shared" si="0"/>
        <v>2.3358659913240665</v>
      </c>
      <c r="F9" s="53">
        <f t="shared" si="1"/>
        <v>2335.8659913240663</v>
      </c>
      <c r="G9" s="64">
        <f t="shared" si="5"/>
        <v>5138.905180912946</v>
      </c>
      <c r="H9" s="55">
        <f t="shared" si="2"/>
        <v>82222.48289460714</v>
      </c>
    </row>
    <row r="10" spans="1:8" ht="12.75">
      <c r="A10" s="56">
        <v>2014</v>
      </c>
      <c r="B10" s="51">
        <f>+'[3]proyecciones'!$C$23</f>
        <v>8.544398798054617</v>
      </c>
      <c r="C10" s="52">
        <f t="shared" si="3"/>
        <v>0.33140558812269755</v>
      </c>
      <c r="D10" s="52">
        <f t="shared" si="4"/>
        <v>0.9259259259259259</v>
      </c>
      <c r="E10" s="51">
        <f t="shared" si="0"/>
        <v>2.6219088044668153</v>
      </c>
      <c r="F10" s="53">
        <f t="shared" si="1"/>
        <v>2621.908804466815</v>
      </c>
      <c r="G10" s="64">
        <f t="shared" si="5"/>
        <v>5768.1993698269935</v>
      </c>
      <c r="H10" s="55">
        <f t="shared" si="2"/>
        <v>92291.1899172319</v>
      </c>
    </row>
    <row r="11" spans="1:8" ht="12.75">
      <c r="A11" s="56">
        <v>2015</v>
      </c>
      <c r="B11" s="224">
        <f>+'[3]proyecciones'!$C$24</f>
        <v>9.286262741330654</v>
      </c>
      <c r="C11" s="225">
        <f t="shared" si="3"/>
        <v>0.339690727825765</v>
      </c>
      <c r="D11" s="225">
        <f t="shared" si="4"/>
        <v>0.9259259259259259</v>
      </c>
      <c r="E11" s="224">
        <f t="shared" si="0"/>
        <v>2.9207938420221238</v>
      </c>
      <c r="F11" s="226">
        <f t="shared" si="1"/>
        <v>2920.793842022124</v>
      </c>
      <c r="G11" s="226">
        <f t="shared" si="5"/>
        <v>6425.746452448673</v>
      </c>
      <c r="H11" s="227">
        <f t="shared" si="2"/>
        <v>102811.94323917877</v>
      </c>
    </row>
    <row r="12" spans="1:8" ht="12.75">
      <c r="A12" s="56">
        <v>2016</v>
      </c>
      <c r="B12" s="224">
        <f>+'[3]proyecciones'!$C$25</f>
        <v>10.028126684606692</v>
      </c>
      <c r="C12" s="225">
        <f t="shared" si="3"/>
        <v>0.34818299602140906</v>
      </c>
      <c r="D12" s="225">
        <f t="shared" si="4"/>
        <v>0.9259259259259259</v>
      </c>
      <c r="E12" s="224">
        <f t="shared" si="0"/>
        <v>3.232984438452405</v>
      </c>
      <c r="F12" s="226">
        <f t="shared" si="1"/>
        <v>3232.984438452405</v>
      </c>
      <c r="G12" s="226">
        <f t="shared" si="5"/>
        <v>7112.5657645952915</v>
      </c>
      <c r="H12" s="227">
        <f t="shared" si="2"/>
        <v>113801.05223352466</v>
      </c>
    </row>
    <row r="13" spans="1:8" ht="12.75">
      <c r="A13" s="56">
        <v>2017</v>
      </c>
      <c r="B13" s="224">
        <f>+'[3]proyecciones'!$C$26</f>
        <v>10.76999062788273</v>
      </c>
      <c r="C13" s="225">
        <f t="shared" si="3"/>
        <v>0.3568875709219443</v>
      </c>
      <c r="D13" s="225">
        <f t="shared" si="4"/>
        <v>0.9259259259259259</v>
      </c>
      <c r="E13" s="224">
        <f t="shared" si="0"/>
        <v>3.5589590685529386</v>
      </c>
      <c r="F13" s="226">
        <f t="shared" si="1"/>
        <v>3558.959068552939</v>
      </c>
      <c r="G13" s="226">
        <f t="shared" si="5"/>
        <v>7829.709950816466</v>
      </c>
      <c r="H13" s="227">
        <f t="shared" si="2"/>
        <v>125275.35921306345</v>
      </c>
    </row>
    <row r="14" spans="1:8" ht="12.75">
      <c r="A14" s="56">
        <v>2018</v>
      </c>
      <c r="B14" s="224">
        <f>+'[3]proyecciones'!$C$27</f>
        <v>11.511854571158768</v>
      </c>
      <c r="C14" s="225">
        <f t="shared" si="3"/>
        <v>0.36580976019499284</v>
      </c>
      <c r="D14" s="225">
        <f t="shared" si="4"/>
        <v>0.9259259259259259</v>
      </c>
      <c r="E14" s="224">
        <f t="shared" si="0"/>
        <v>3.899211814884464</v>
      </c>
      <c r="F14" s="226">
        <f t="shared" si="1"/>
        <v>3899.2118148844643</v>
      </c>
      <c r="G14" s="226">
        <f t="shared" si="5"/>
        <v>8578.265992745823</v>
      </c>
      <c r="H14" s="227">
        <f t="shared" si="2"/>
        <v>137252.25588393316</v>
      </c>
    </row>
    <row r="15" spans="1:8" ht="13.5" thickBot="1">
      <c r="A15" s="243">
        <v>2019</v>
      </c>
      <c r="B15" s="57">
        <f>+'[3]proyecciones'!$C$28</f>
        <v>12.253718514434807</v>
      </c>
      <c r="C15" s="58">
        <f t="shared" si="3"/>
        <v>0.3749550041998676</v>
      </c>
      <c r="D15" s="58">
        <f t="shared" si="4"/>
        <v>0.9259259259259259</v>
      </c>
      <c r="E15" s="57">
        <f t="shared" si="0"/>
        <v>4.254252849114721</v>
      </c>
      <c r="F15" s="59">
        <f t="shared" si="1"/>
        <v>4254.25284911472</v>
      </c>
      <c r="G15" s="59">
        <f t="shared" si="5"/>
        <v>9359.356268052386</v>
      </c>
      <c r="H15" s="60">
        <f t="shared" si="2"/>
        <v>149749.70028883818</v>
      </c>
    </row>
  </sheetData>
  <sheetProtection/>
  <printOptions/>
  <pageMargins left="0.75" right="0.75" top="1" bottom="1" header="0" footer="0"/>
  <pageSetup horizontalDpi="300" verticalDpi="300" orientation="portrait" r:id="rId1"/>
  <ignoredErrors>
    <ignoredError sqref="E3:E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9.7109375" style="0" customWidth="1"/>
    <col min="2" max="2" width="18.421875" style="0" bestFit="1" customWidth="1"/>
    <col min="3" max="3" width="15.57421875" style="0" bestFit="1" customWidth="1"/>
  </cols>
  <sheetData>
    <row r="1" spans="1:3" ht="13.5" thickBot="1">
      <c r="A1" s="699" t="s">
        <v>150</v>
      </c>
      <c r="B1" s="700"/>
      <c r="C1" s="713"/>
    </row>
    <row r="2" spans="1:3" ht="12.75">
      <c r="A2" s="714" t="s">
        <v>144</v>
      </c>
      <c r="B2" s="111" t="s">
        <v>145</v>
      </c>
      <c r="C2" s="112" t="s">
        <v>147</v>
      </c>
    </row>
    <row r="3" spans="1:3" ht="12.75">
      <c r="A3" s="715"/>
      <c r="B3" s="113" t="s">
        <v>146</v>
      </c>
      <c r="C3" s="114" t="s">
        <v>148</v>
      </c>
    </row>
    <row r="4" spans="1:3" ht="12.75">
      <c r="A4" s="115" t="s">
        <v>149</v>
      </c>
      <c r="B4" s="70">
        <f>2.5</f>
        <v>2.5</v>
      </c>
      <c r="C4" s="117">
        <f>B4*1.2</f>
        <v>3</v>
      </c>
    </row>
    <row r="5" spans="1:3" ht="13.5" thickBot="1">
      <c r="A5" s="116" t="s">
        <v>414</v>
      </c>
      <c r="B5" s="118">
        <f>3</f>
        <v>3</v>
      </c>
      <c r="C5" s="119">
        <f>B5*1.2</f>
        <v>3.5999999999999996</v>
      </c>
    </row>
    <row r="6" ht="13.5" thickBot="1"/>
    <row r="7" spans="1:3" ht="13.5" thickBot="1">
      <c r="A7" s="699" t="s">
        <v>151</v>
      </c>
      <c r="B7" s="700"/>
      <c r="C7" s="713"/>
    </row>
    <row r="8" spans="1:3" ht="12.75">
      <c r="A8" s="714" t="s">
        <v>144</v>
      </c>
      <c r="B8" s="111" t="s">
        <v>145</v>
      </c>
      <c r="C8" s="112" t="s">
        <v>147</v>
      </c>
    </row>
    <row r="9" spans="1:3" ht="12.75">
      <c r="A9" s="715"/>
      <c r="B9" s="113" t="s">
        <v>146</v>
      </c>
      <c r="C9" s="114" t="s">
        <v>148</v>
      </c>
    </row>
    <row r="10" spans="1:3" ht="12.75">
      <c r="A10" s="115" t="s">
        <v>149</v>
      </c>
      <c r="B10" s="70">
        <v>3</v>
      </c>
      <c r="C10" s="117">
        <f>B10*1.2</f>
        <v>3.5999999999999996</v>
      </c>
    </row>
    <row r="11" spans="1:3" ht="13.5" thickBot="1">
      <c r="A11" s="116" t="s">
        <v>414</v>
      </c>
      <c r="B11" s="118">
        <v>3.5</v>
      </c>
      <c r="C11" s="119">
        <f>B11*1.2</f>
        <v>4.2</v>
      </c>
    </row>
    <row r="18" spans="2:3" ht="12.75">
      <c r="B18">
        <v>2.5</v>
      </c>
      <c r="C18" t="s">
        <v>18</v>
      </c>
    </row>
    <row r="19" spans="2:3" ht="12.75">
      <c r="B19" t="s">
        <v>567</v>
      </c>
      <c r="C19" t="s">
        <v>568</v>
      </c>
    </row>
    <row r="21" ht="12.75">
      <c r="B21">
        <f>(2.5*35.6)/8</f>
        <v>11.125</v>
      </c>
    </row>
  </sheetData>
  <sheetProtection/>
  <mergeCells count="4">
    <mergeCell ref="A1:C1"/>
    <mergeCell ref="A7:C7"/>
    <mergeCell ref="A2:A3"/>
    <mergeCell ref="A8:A9"/>
  </mergeCells>
  <printOptions/>
  <pageMargins left="0.75" right="0.75" top="1" bottom="1" header="0" footer="0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B1">
      <selection activeCell="H6" sqref="H6"/>
    </sheetView>
  </sheetViews>
  <sheetFormatPr defaultColWidth="11.421875" defaultRowHeight="12.75"/>
  <cols>
    <col min="1" max="1" width="47.00390625" style="0" bestFit="1" customWidth="1"/>
    <col min="2" max="2" width="10.140625" style="0" bestFit="1" customWidth="1"/>
    <col min="3" max="4" width="10.140625" style="0" customWidth="1"/>
    <col min="5" max="5" width="10.140625" style="0" bestFit="1" customWidth="1"/>
    <col min="8" max="8" width="18.00390625" style="0" bestFit="1" customWidth="1"/>
    <col min="13" max="13" width="12.7109375" style="0" bestFit="1" customWidth="1"/>
  </cols>
  <sheetData>
    <row r="1" spans="1:12" ht="16.5" customHeight="1">
      <c r="A1" s="505"/>
      <c r="B1" s="718" t="s">
        <v>250</v>
      </c>
      <c r="C1" s="719"/>
      <c r="D1" s="719"/>
      <c r="E1" s="720"/>
      <c r="H1" s="725" t="s">
        <v>261</v>
      </c>
      <c r="I1" s="725"/>
      <c r="J1" s="725"/>
      <c r="K1" s="725"/>
      <c r="L1" s="725"/>
    </row>
    <row r="2" spans="1:12" ht="12.75">
      <c r="A2" s="506" t="s">
        <v>592</v>
      </c>
      <c r="B2" s="716" t="s">
        <v>237</v>
      </c>
      <c r="C2" s="717"/>
      <c r="D2" s="717"/>
      <c r="E2" s="721" t="s">
        <v>10</v>
      </c>
      <c r="H2" s="725" t="s">
        <v>262</v>
      </c>
      <c r="I2" s="725"/>
      <c r="J2" s="725"/>
      <c r="K2" s="725"/>
      <c r="L2" s="723" t="s">
        <v>10</v>
      </c>
    </row>
    <row r="3" spans="1:12" ht="12.75">
      <c r="A3" s="508"/>
      <c r="B3" s="509">
        <v>1</v>
      </c>
      <c r="C3" s="510">
        <v>2</v>
      </c>
      <c r="D3" s="511">
        <v>3</v>
      </c>
      <c r="E3" s="722"/>
      <c r="H3" s="491" t="s">
        <v>589</v>
      </c>
      <c r="I3" s="477">
        <v>1</v>
      </c>
      <c r="J3" s="477">
        <v>2</v>
      </c>
      <c r="K3" s="477">
        <v>3</v>
      </c>
      <c r="L3" s="724"/>
    </row>
    <row r="4" spans="1:12" ht="12.75">
      <c r="A4" s="512" t="s">
        <v>232</v>
      </c>
      <c r="B4" s="513"/>
      <c r="C4" s="513"/>
      <c r="D4" s="513"/>
      <c r="E4" s="514"/>
      <c r="H4" s="492" t="s">
        <v>259</v>
      </c>
      <c r="I4" s="489">
        <f>+B26</f>
        <v>266319.73549999995</v>
      </c>
      <c r="J4" s="489">
        <f>+C26</f>
        <v>29004.401287</v>
      </c>
      <c r="K4" s="489">
        <f>+D26</f>
        <v>94586.1154</v>
      </c>
      <c r="L4" s="490">
        <f>+E26</f>
        <v>389910.252187</v>
      </c>
    </row>
    <row r="5" spans="1:13" ht="12.75">
      <c r="A5" s="515" t="s">
        <v>233</v>
      </c>
      <c r="B5" s="516">
        <f>+Infraestructura!E2</f>
        <v>100000</v>
      </c>
      <c r="C5" s="516">
        <v>0</v>
      </c>
      <c r="D5" s="516">
        <v>0</v>
      </c>
      <c r="E5" s="517">
        <f>SUM(B5:D5)</f>
        <v>100000</v>
      </c>
      <c r="H5" s="442" t="s">
        <v>260</v>
      </c>
      <c r="I5" s="483">
        <f>+B33</f>
        <v>13960</v>
      </c>
      <c r="J5" s="483">
        <f>+C33</f>
        <v>13780</v>
      </c>
      <c r="K5" s="483">
        <f>+D33</f>
        <v>13780</v>
      </c>
      <c r="L5" s="484">
        <f>SUM(I5:K5)</f>
        <v>41520</v>
      </c>
      <c r="M5" s="167"/>
    </row>
    <row r="6" spans="1:12" ht="12.75">
      <c r="A6" s="515" t="s">
        <v>234</v>
      </c>
      <c r="B6" s="516">
        <f>+'Fomento agrícola'!B8*1000</f>
        <v>88265.84999999999</v>
      </c>
      <c r="C6" s="516">
        <f>+'Fomento agrícola'!C8*1000</f>
        <v>28159.6129</v>
      </c>
      <c r="D6" s="516">
        <f>+'Fomento agrícola'!D8*1000</f>
        <v>29670.179999999997</v>
      </c>
      <c r="E6" s="517">
        <f aca="true" t="shared" si="0" ref="E6:E25">SUM(B6:D6)</f>
        <v>146095.64289999998</v>
      </c>
      <c r="H6" s="443" t="s">
        <v>257</v>
      </c>
      <c r="I6" s="485">
        <f>-'K de trabajo'!T11</f>
        <v>32718.450093055424</v>
      </c>
      <c r="J6" s="485">
        <f>+I6</f>
        <v>32718.450093055424</v>
      </c>
      <c r="K6" s="485">
        <f>+J6</f>
        <v>32718.450093055424</v>
      </c>
      <c r="L6" s="486">
        <f>SUM(I6:K6)</f>
        <v>98155.35027916628</v>
      </c>
    </row>
    <row r="7" spans="1:14" ht="12.75">
      <c r="A7" s="515" t="s">
        <v>251</v>
      </c>
      <c r="B7" s="516">
        <f>+Infraestructura!E4</f>
        <v>2000</v>
      </c>
      <c r="C7" s="516">
        <v>0</v>
      </c>
      <c r="D7" s="516">
        <v>0</v>
      </c>
      <c r="E7" s="517">
        <f t="shared" si="0"/>
        <v>2000</v>
      </c>
      <c r="H7" s="493" t="s">
        <v>263</v>
      </c>
      <c r="I7" s="487">
        <f>SUM(I4:I6)</f>
        <v>312998.1855930554</v>
      </c>
      <c r="J7" s="487">
        <f>SUM(J4:J6)</f>
        <v>75502.85138005542</v>
      </c>
      <c r="K7" s="487">
        <f>SUM(K4:K6)</f>
        <v>141084.56549305542</v>
      </c>
      <c r="L7" s="488">
        <f>SUM(L4:L6)</f>
        <v>529585.6024661663</v>
      </c>
      <c r="M7" s="168"/>
      <c r="N7" s="50"/>
    </row>
    <row r="8" spans="1:14" ht="12.75">
      <c r="A8" s="515" t="s">
        <v>235</v>
      </c>
      <c r="B8" s="516">
        <f>+Infraestructura!E9+Infraestructura!E10</f>
        <v>19000</v>
      </c>
      <c r="C8" s="516">
        <v>0</v>
      </c>
      <c r="D8" s="516">
        <v>0</v>
      </c>
      <c r="E8" s="517">
        <f t="shared" si="0"/>
        <v>19000</v>
      </c>
      <c r="M8" s="169"/>
      <c r="N8" s="50"/>
    </row>
    <row r="9" spans="1:13" ht="12.75">
      <c r="A9" s="515" t="s">
        <v>236</v>
      </c>
      <c r="B9" s="516">
        <f>+Infraestructura!E11</f>
        <v>2280</v>
      </c>
      <c r="C9" s="516">
        <v>0</v>
      </c>
      <c r="D9" s="516">
        <v>0</v>
      </c>
      <c r="E9" s="517">
        <f t="shared" si="0"/>
        <v>2280</v>
      </c>
      <c r="L9">
        <v>150000</v>
      </c>
      <c r="M9" s="630"/>
    </row>
    <row r="10" spans="1:13" ht="12.75">
      <c r="A10" s="515" t="s">
        <v>211</v>
      </c>
      <c r="B10" s="516">
        <f>+Infraestructura!E5</f>
        <v>3952</v>
      </c>
      <c r="C10" s="516">
        <v>0</v>
      </c>
      <c r="D10" s="516">
        <v>0</v>
      </c>
      <c r="E10" s="517">
        <f t="shared" si="0"/>
        <v>3952</v>
      </c>
      <c r="L10" s="167">
        <f>L7-L9</f>
        <v>379585.60246616625</v>
      </c>
      <c r="M10" s="4"/>
    </row>
    <row r="11" spans="1:5" ht="12.75">
      <c r="A11" s="515" t="s">
        <v>252</v>
      </c>
      <c r="B11" s="516">
        <f>+Infraestructura!E6</f>
        <v>900</v>
      </c>
      <c r="C11" s="516">
        <v>0</v>
      </c>
      <c r="D11" s="516">
        <v>0</v>
      </c>
      <c r="E11" s="517">
        <f t="shared" si="0"/>
        <v>900</v>
      </c>
    </row>
    <row r="12" spans="1:5" ht="12.75">
      <c r="A12" s="515" t="s">
        <v>212</v>
      </c>
      <c r="B12" s="516">
        <v>0</v>
      </c>
      <c r="C12" s="516">
        <v>0</v>
      </c>
      <c r="D12" s="516">
        <f>+Infraestructura!E7</f>
        <v>1520</v>
      </c>
      <c r="E12" s="517">
        <f t="shared" si="0"/>
        <v>1520</v>
      </c>
    </row>
    <row r="13" spans="1:5" ht="12.75">
      <c r="A13" s="515" t="s">
        <v>253</v>
      </c>
      <c r="B13" s="516">
        <f>+Infraestructura!E3</f>
        <v>6000</v>
      </c>
      <c r="C13" s="516">
        <v>0</v>
      </c>
      <c r="D13" s="516">
        <v>0</v>
      </c>
      <c r="E13" s="517">
        <f t="shared" si="0"/>
        <v>6000</v>
      </c>
    </row>
    <row r="14" spans="1:5" ht="12.75">
      <c r="A14" s="515" t="s">
        <v>213</v>
      </c>
      <c r="B14" s="516">
        <v>0</v>
      </c>
      <c r="C14" s="516">
        <v>0</v>
      </c>
      <c r="D14" s="516">
        <f>+Infraestructura!E8</f>
        <v>9000</v>
      </c>
      <c r="E14" s="517">
        <f t="shared" si="0"/>
        <v>9000</v>
      </c>
    </row>
    <row r="15" spans="1:5" ht="12.75">
      <c r="A15" s="515" t="s">
        <v>63</v>
      </c>
      <c r="B15" s="516">
        <f>+Infraestructura!E12</f>
        <v>11400</v>
      </c>
      <c r="C15" s="516">
        <v>0</v>
      </c>
      <c r="D15" s="516">
        <v>0</v>
      </c>
      <c r="E15" s="517">
        <f t="shared" si="0"/>
        <v>11400</v>
      </c>
    </row>
    <row r="16" spans="1:5" ht="12.75">
      <c r="A16" s="515" t="s">
        <v>88</v>
      </c>
      <c r="B16" s="516">
        <f>+'Maq y Equ'!H2</f>
        <v>9500</v>
      </c>
      <c r="C16" s="516">
        <v>0</v>
      </c>
      <c r="D16" s="516">
        <v>0</v>
      </c>
      <c r="E16" s="517">
        <f t="shared" si="0"/>
        <v>9500</v>
      </c>
    </row>
    <row r="17" spans="1:5" ht="12.75">
      <c r="A17" s="515" t="s">
        <v>238</v>
      </c>
      <c r="B17" s="516">
        <v>4500</v>
      </c>
      <c r="C17" s="516">
        <v>0</v>
      </c>
      <c r="D17" s="516">
        <v>0</v>
      </c>
      <c r="E17" s="517">
        <f t="shared" si="0"/>
        <v>4500</v>
      </c>
    </row>
    <row r="18" spans="1:5" ht="12.75">
      <c r="A18" s="515" t="s">
        <v>89</v>
      </c>
      <c r="B18" s="516">
        <f>+'Maq y Equ'!H3</f>
        <v>2500</v>
      </c>
      <c r="C18" s="516">
        <v>0</v>
      </c>
      <c r="D18" s="516">
        <v>0</v>
      </c>
      <c r="E18" s="517">
        <f t="shared" si="0"/>
        <v>2500</v>
      </c>
    </row>
    <row r="19" spans="1:5" ht="12.75">
      <c r="A19" s="515" t="s">
        <v>90</v>
      </c>
      <c r="B19" s="516">
        <v>0</v>
      </c>
      <c r="C19" s="516">
        <v>0</v>
      </c>
      <c r="D19" s="516">
        <f>+'Maq y Equ'!H4</f>
        <v>2000</v>
      </c>
      <c r="E19" s="517">
        <f t="shared" si="0"/>
        <v>2000</v>
      </c>
    </row>
    <row r="20" spans="1:5" ht="12.75">
      <c r="A20" s="515" t="s">
        <v>91</v>
      </c>
      <c r="B20" s="516">
        <v>0</v>
      </c>
      <c r="C20" s="516">
        <v>0</v>
      </c>
      <c r="D20" s="516">
        <f>+'Maq y Equ'!H5</f>
        <v>33000</v>
      </c>
      <c r="E20" s="517">
        <f t="shared" si="0"/>
        <v>33000</v>
      </c>
    </row>
    <row r="21" spans="1:5" ht="12.75">
      <c r="A21" s="515" t="s">
        <v>92</v>
      </c>
      <c r="B21" s="516">
        <f>+'Maq y Equ'!H7+'Maq y Equ'!H8+'Maq y Equ'!H9+'Maq y Equ'!H10+'Maq y Equ'!H11+'Maq y Equ'!H12+'Maq y Equ'!H13+'Maq y Equ'!H14+'Maq y Equ'!H15+'Maq y Equ'!H16+'Maq y Equ'!H17+'Maq y Equ'!H18+'Maq y Equ'!H19</f>
        <v>3000</v>
      </c>
      <c r="C21" s="516">
        <v>0</v>
      </c>
      <c r="D21" s="516">
        <v>0</v>
      </c>
      <c r="E21" s="517">
        <f t="shared" si="0"/>
        <v>3000</v>
      </c>
    </row>
    <row r="22" spans="1:5" ht="12.75">
      <c r="A22" s="515" t="s">
        <v>240</v>
      </c>
      <c r="B22" s="516">
        <v>0</v>
      </c>
      <c r="C22" s="516">
        <v>0</v>
      </c>
      <c r="D22" s="516">
        <f>'Maq y Equ'!H21+'Maq y Equ'!H22+'Maq y Equ'!H23+'Maq y Equ'!H24+'Maq y Equ'!H25+'Maq y Equ'!H26+'Maq y Equ'!H27</f>
        <v>16500</v>
      </c>
      <c r="E22" s="517">
        <f t="shared" si="0"/>
        <v>16500</v>
      </c>
    </row>
    <row r="23" spans="1:5" ht="12.75">
      <c r="A23" s="515" t="s">
        <v>312</v>
      </c>
      <c r="B23" s="516">
        <v>0</v>
      </c>
      <c r="C23" s="516">
        <v>0</v>
      </c>
      <c r="D23" s="516">
        <f>+'Maq y Equ'!H28</f>
        <v>141</v>
      </c>
      <c r="E23" s="517">
        <f t="shared" si="0"/>
        <v>141</v>
      </c>
    </row>
    <row r="24" spans="1:5" ht="12.75">
      <c r="A24" s="515" t="s">
        <v>290</v>
      </c>
      <c r="B24" s="516">
        <f>+'Maq y Equ'!H29</f>
        <v>5265</v>
      </c>
      <c r="C24" s="516">
        <v>0</v>
      </c>
      <c r="D24" s="516">
        <v>0</v>
      </c>
      <c r="E24" s="517">
        <f t="shared" si="0"/>
        <v>5265</v>
      </c>
    </row>
    <row r="25" spans="1:5" ht="12.75">
      <c r="A25" s="518" t="s">
        <v>239</v>
      </c>
      <c r="B25" s="519">
        <f>SUM(B5:B24)*0.03</f>
        <v>7756.885499999999</v>
      </c>
      <c r="C25" s="519">
        <f>SUM(C5:C24)*0.03</f>
        <v>844.788387</v>
      </c>
      <c r="D25" s="519">
        <f>SUM(D5:D24)*0.03</f>
        <v>2754.9354</v>
      </c>
      <c r="E25" s="520">
        <f t="shared" si="0"/>
        <v>11356.609287</v>
      </c>
    </row>
    <row r="26" spans="1:5" ht="12.75">
      <c r="A26" s="521" t="s">
        <v>241</v>
      </c>
      <c r="B26" s="522">
        <f>SUM(B5:B25)</f>
        <v>266319.73549999995</v>
      </c>
      <c r="C26" s="522">
        <f>SUM(C5:C25)</f>
        <v>29004.401287</v>
      </c>
      <c r="D26" s="522">
        <f>SUM(D5:D25)</f>
        <v>94586.1154</v>
      </c>
      <c r="E26" s="523">
        <f>SUM(E5:E25)</f>
        <v>389910.252187</v>
      </c>
    </row>
    <row r="27" spans="1:5" ht="12.75">
      <c r="A27" s="524"/>
      <c r="B27" s="525"/>
      <c r="C27" s="525"/>
      <c r="D27" s="525"/>
      <c r="E27" s="526"/>
    </row>
    <row r="28" spans="1:5" ht="12.75">
      <c r="A28" s="512" t="s">
        <v>242</v>
      </c>
      <c r="B28" s="527"/>
      <c r="C28" s="527"/>
      <c r="D28" s="527"/>
      <c r="E28" s="528"/>
    </row>
    <row r="29" spans="1:5" ht="12.75">
      <c r="A29" s="515" t="s">
        <v>243</v>
      </c>
      <c r="B29" s="529">
        <v>12840</v>
      </c>
      <c r="C29" s="529">
        <f>+B29</f>
        <v>12840</v>
      </c>
      <c r="D29" s="529">
        <f>+C29</f>
        <v>12840</v>
      </c>
      <c r="E29" s="530">
        <f>B29+C29+D29</f>
        <v>38520</v>
      </c>
    </row>
    <row r="30" spans="1:5" ht="12.75">
      <c r="A30" s="515" t="s">
        <v>244</v>
      </c>
      <c r="B30" s="516">
        <f>0.5*1000</f>
        <v>500</v>
      </c>
      <c r="C30" s="516">
        <v>500</v>
      </c>
      <c r="D30" s="516">
        <v>500</v>
      </c>
      <c r="E30" s="517">
        <f>B30+C30+D30</f>
        <v>1500</v>
      </c>
    </row>
    <row r="31" spans="1:5" ht="12.75">
      <c r="A31" s="515" t="s">
        <v>319</v>
      </c>
      <c r="B31" s="516">
        <v>200</v>
      </c>
      <c r="C31" s="516">
        <v>200</v>
      </c>
      <c r="D31" s="516">
        <v>200</v>
      </c>
      <c r="E31" s="517">
        <f>B31+C31+D31</f>
        <v>600</v>
      </c>
    </row>
    <row r="32" spans="1:5" ht="12.75">
      <c r="A32" s="518" t="s">
        <v>311</v>
      </c>
      <c r="B32" s="519">
        <f>+'G. Organizac.'!B8+20*11</f>
        <v>420</v>
      </c>
      <c r="C32" s="519">
        <f>20*12</f>
        <v>240</v>
      </c>
      <c r="D32" s="519">
        <f>+C32</f>
        <v>240</v>
      </c>
      <c r="E32" s="520">
        <f>B32+C32+D32</f>
        <v>900</v>
      </c>
    </row>
    <row r="33" spans="1:5" ht="12.75">
      <c r="A33" s="521" t="s">
        <v>241</v>
      </c>
      <c r="B33" s="522">
        <f>SUM(B29:B32)</f>
        <v>13960</v>
      </c>
      <c r="C33" s="522">
        <f>SUM(C29:C32)</f>
        <v>13780</v>
      </c>
      <c r="D33" s="522">
        <f>SUM(D29:D32)</f>
        <v>13780</v>
      </c>
      <c r="E33" s="523">
        <f>SUM(B33:D33)</f>
        <v>41520</v>
      </c>
    </row>
    <row r="34" spans="1:5" ht="12.75">
      <c r="A34" s="524"/>
      <c r="B34" s="525"/>
      <c r="C34" s="525"/>
      <c r="D34" s="525"/>
      <c r="E34" s="526"/>
    </row>
    <row r="35" spans="1:5" ht="18" customHeight="1" thickBot="1">
      <c r="A35" s="531" t="s">
        <v>616</v>
      </c>
      <c r="B35" s="532">
        <f>B26+B33</f>
        <v>280279.73549999995</v>
      </c>
      <c r="C35" s="532">
        <f>C26+C33</f>
        <v>42784.401287</v>
      </c>
      <c r="D35" s="532">
        <f>D26+D33</f>
        <v>108366.1154</v>
      </c>
      <c r="E35" s="533">
        <f>B35+C35+D35</f>
        <v>431430.25218699995</v>
      </c>
    </row>
  </sheetData>
  <sheetProtection/>
  <mergeCells count="6">
    <mergeCell ref="B2:D2"/>
    <mergeCell ref="B1:E1"/>
    <mergeCell ref="E2:E3"/>
    <mergeCell ref="L2:L3"/>
    <mergeCell ref="H2:K2"/>
    <mergeCell ref="H1:L1"/>
  </mergeCells>
  <printOptions/>
  <pageMargins left="1.220472440944882" right="0.7480314960629921" top="2.0078740157480315" bottom="0.984251968503937" header="0" footer="0"/>
  <pageSetup horizontalDpi="600" verticalDpi="600" orientation="portrait" paperSize="9" r:id="rId1"/>
  <headerFooter alignWithMargins="0">
    <oddHeader>&amp;C&amp;"Arial,Negrita"
&amp;12ANEXO 5
ANEXOS FINANCIEROS
5.1 PLAN DE INVERSIONES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421875" style="0" customWidth="1"/>
  </cols>
  <sheetData>
    <row r="1" spans="1:5" ht="24" customHeight="1">
      <c r="A1" s="726" t="s">
        <v>249</v>
      </c>
      <c r="B1" s="727"/>
      <c r="C1" s="727"/>
      <c r="D1" s="727"/>
      <c r="E1" s="728"/>
    </row>
    <row r="2" spans="1:5" ht="15" customHeight="1">
      <c r="A2" s="504" t="s">
        <v>245</v>
      </c>
      <c r="B2" s="504">
        <v>1</v>
      </c>
      <c r="C2" s="504">
        <v>2</v>
      </c>
      <c r="D2" s="504">
        <v>3</v>
      </c>
      <c r="E2" s="534" t="s">
        <v>10</v>
      </c>
    </row>
    <row r="3" spans="1:8" ht="15" customHeight="1">
      <c r="A3" s="69" t="s">
        <v>246</v>
      </c>
      <c r="B3" s="153">
        <v>0.3</v>
      </c>
      <c r="C3" s="153">
        <f>+B3</f>
        <v>0.3</v>
      </c>
      <c r="D3" s="153">
        <f>+C3</f>
        <v>0.3</v>
      </c>
      <c r="E3" s="154">
        <f aca="true" t="shared" si="0" ref="E3:E8">B3+C3+D3</f>
        <v>0.8999999999999999</v>
      </c>
      <c r="G3">
        <v>0.25</v>
      </c>
      <c r="H3">
        <v>50</v>
      </c>
    </row>
    <row r="4" spans="1:10" ht="15" customHeight="1">
      <c r="A4" s="69" t="s">
        <v>118</v>
      </c>
      <c r="B4" s="153">
        <f>(MD!C39*49)/1000</f>
        <v>59.535</v>
      </c>
      <c r="C4" s="153">
        <f>(MD!D39*49)/1000</f>
        <v>7.304429999999999</v>
      </c>
      <c r="D4" s="153">
        <f>(MD!E39*49)/1000</f>
        <v>7.546</v>
      </c>
      <c r="E4" s="154">
        <f t="shared" si="0"/>
        <v>74.38543</v>
      </c>
      <c r="G4" t="s">
        <v>84</v>
      </c>
      <c r="H4">
        <v>189</v>
      </c>
      <c r="J4" t="s">
        <v>624</v>
      </c>
    </row>
    <row r="5" spans="1:10" ht="15" customHeight="1">
      <c r="A5" s="69" t="s">
        <v>247</v>
      </c>
      <c r="B5" s="153">
        <f>(MOD!R18*49)/1000</f>
        <v>8.82</v>
      </c>
      <c r="C5" s="153">
        <f>(MOD!S18*49)/1000</f>
        <v>2.695</v>
      </c>
      <c r="D5" s="151">
        <f>(MOD!T18*49)/1000</f>
        <v>3.92</v>
      </c>
      <c r="E5" s="154">
        <f t="shared" si="0"/>
        <v>15.435</v>
      </c>
      <c r="H5" s="155">
        <f>(H4*G3)/H3</f>
        <v>0.945</v>
      </c>
      <c r="J5">
        <f>$D3*1000</f>
        <v>300</v>
      </c>
    </row>
    <row r="6" spans="1:5" ht="15" customHeight="1">
      <c r="A6" s="69" t="s">
        <v>248</v>
      </c>
      <c r="B6" s="151">
        <f>(MOI!D4+MOI!D5+MOI!D6)/1000</f>
        <v>17.04</v>
      </c>
      <c r="C6" s="151">
        <f>+B6</f>
        <v>17.04</v>
      </c>
      <c r="D6" s="151">
        <f>+C6</f>
        <v>17.04</v>
      </c>
      <c r="E6" s="71">
        <f t="shared" si="0"/>
        <v>51.12</v>
      </c>
    </row>
    <row r="7" spans="1:5" ht="15" customHeight="1">
      <c r="A7" s="72" t="s">
        <v>239</v>
      </c>
      <c r="B7" s="156">
        <f>0.03*(B3+B4+B5+B6)</f>
        <v>2.5708499999999996</v>
      </c>
      <c r="C7" s="156">
        <f>0.03*(C3+C4+C5+C6)</f>
        <v>0.8201828999999999</v>
      </c>
      <c r="D7" s="156">
        <f>0.03*(D3+D4+D5+D6)</f>
        <v>0.8641799999999998</v>
      </c>
      <c r="E7" s="157">
        <f t="shared" si="0"/>
        <v>4.255212899999999</v>
      </c>
    </row>
    <row r="8" spans="1:5" ht="15" customHeight="1">
      <c r="A8" s="543" t="s">
        <v>10</v>
      </c>
      <c r="B8" s="547">
        <f>SUM(B3:B7)</f>
        <v>88.26584999999999</v>
      </c>
      <c r="C8" s="547">
        <f>SUM(C3:C7)</f>
        <v>28.1596129</v>
      </c>
      <c r="D8" s="547">
        <f>SUM(D3:D7)</f>
        <v>29.67018</v>
      </c>
      <c r="E8" s="548">
        <f t="shared" si="0"/>
        <v>146.09564289999997</v>
      </c>
    </row>
  </sheetData>
  <sheetProtection/>
  <mergeCells count="1">
    <mergeCell ref="A1:E1"/>
  </mergeCells>
  <printOptions/>
  <pageMargins left="1.5748031496062993" right="0.7480314960629921" top="1.85" bottom="0.984251968503937" header="0.37" footer="0"/>
  <pageSetup horizontalDpi="600" verticalDpi="600" orientation="portrait" paperSize="9" r:id="rId1"/>
  <headerFooter alignWithMargins="0">
    <oddHeader>&amp;C
&amp;"Arial,Negrita"&amp;12ANEXOS FINANCIEROS
ANEXO 5.2 FOMENTO AGRÌCOLA</oddHeader>
  </headerFooter>
  <ignoredErrors>
    <ignoredError sqref="B8:D8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32.00390625" style="0" bestFit="1" customWidth="1"/>
  </cols>
  <sheetData>
    <row r="1" spans="1:2" ht="15" customHeight="1">
      <c r="A1" s="67" t="s">
        <v>57</v>
      </c>
      <c r="B1" s="68" t="s">
        <v>58</v>
      </c>
    </row>
    <row r="2" spans="1:2" ht="15" customHeight="1">
      <c r="A2" s="75" t="s">
        <v>313</v>
      </c>
      <c r="B2" s="198">
        <v>140</v>
      </c>
    </row>
    <row r="3" spans="1:2" ht="15" customHeight="1">
      <c r="A3" s="75" t="s">
        <v>314</v>
      </c>
      <c r="B3" s="198">
        <v>0</v>
      </c>
    </row>
    <row r="4" spans="1:2" ht="15" customHeight="1">
      <c r="A4" s="158" t="s">
        <v>315</v>
      </c>
      <c r="B4" s="729">
        <v>20</v>
      </c>
    </row>
    <row r="5" spans="1:2" ht="15" customHeight="1">
      <c r="A5" s="72" t="s">
        <v>316</v>
      </c>
      <c r="B5" s="730"/>
    </row>
    <row r="6" spans="1:2" ht="15" customHeight="1">
      <c r="A6" s="75" t="s">
        <v>317</v>
      </c>
      <c r="B6" s="198">
        <v>30</v>
      </c>
    </row>
    <row r="7" spans="1:2" ht="15" customHeight="1">
      <c r="A7" s="75" t="s">
        <v>318</v>
      </c>
      <c r="B7" s="198">
        <v>10</v>
      </c>
    </row>
    <row r="8" spans="1:2" ht="15" customHeight="1">
      <c r="A8" s="113" t="s">
        <v>10</v>
      </c>
      <c r="B8" s="199">
        <f>SUM(B2:B7)</f>
        <v>200</v>
      </c>
    </row>
  </sheetData>
  <sheetProtection/>
  <mergeCells count="1">
    <mergeCell ref="B4:B5"/>
  </mergeCells>
  <printOptions/>
  <pageMargins left="0.75" right="0.75" top="1" bottom="1" header="0" footer="0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F6">
      <selection activeCell="T28" sqref="T28"/>
    </sheetView>
  </sheetViews>
  <sheetFormatPr defaultColWidth="11.421875" defaultRowHeight="12.75"/>
  <cols>
    <col min="1" max="1" width="23.8515625" style="0" bestFit="1" customWidth="1"/>
    <col min="8" max="8" width="13.28125" style="0" bestFit="1" customWidth="1"/>
    <col min="9" max="9" width="11.140625" style="0" bestFit="1" customWidth="1"/>
    <col min="10" max="16" width="10.7109375" style="0" bestFit="1" customWidth="1"/>
    <col min="17" max="20" width="11.7109375" style="0" bestFit="1" customWidth="1"/>
  </cols>
  <sheetData>
    <row r="1" spans="1:5" ht="15" customHeight="1">
      <c r="A1" s="160" t="s">
        <v>258</v>
      </c>
      <c r="B1" s="67">
        <v>1</v>
      </c>
      <c r="C1" s="67">
        <v>2</v>
      </c>
      <c r="D1" s="67">
        <v>3</v>
      </c>
      <c r="E1" s="68" t="s">
        <v>10</v>
      </c>
    </row>
    <row r="2" spans="1:5" ht="15" customHeight="1">
      <c r="A2" s="69" t="s">
        <v>254</v>
      </c>
      <c r="B2" s="162">
        <v>0</v>
      </c>
      <c r="C2" s="162">
        <v>0</v>
      </c>
      <c r="D2" s="162">
        <v>0</v>
      </c>
      <c r="E2" s="163">
        <f>SUM(B2:D2)</f>
        <v>0</v>
      </c>
    </row>
    <row r="3" spans="1:5" ht="15" customHeight="1">
      <c r="A3" s="69" t="s">
        <v>255</v>
      </c>
      <c r="B3" s="162">
        <f>295*12</f>
        <v>3540</v>
      </c>
      <c r="C3" s="162">
        <f>+B3</f>
        <v>3540</v>
      </c>
      <c r="D3" s="162">
        <f>+C3</f>
        <v>3540</v>
      </c>
      <c r="E3" s="163">
        <f>SUM(B3:D3)</f>
        <v>10620</v>
      </c>
    </row>
    <row r="4" spans="1:5" ht="15" customHeight="1">
      <c r="A4" s="69" t="s">
        <v>323</v>
      </c>
      <c r="B4" s="162">
        <v>800</v>
      </c>
      <c r="C4" s="162">
        <v>800</v>
      </c>
      <c r="D4" s="162">
        <v>800</v>
      </c>
      <c r="E4" s="163">
        <f>SUM(B4:D4)</f>
        <v>2400</v>
      </c>
    </row>
    <row r="5" spans="1:5" ht="15" customHeight="1" thickBot="1">
      <c r="A5" s="69" t="s">
        <v>427</v>
      </c>
      <c r="B5" s="162">
        <f>Amortización!D10+Amortización!C10+Amortización!C11+Amortización!D11</f>
        <v>26155.367093055418</v>
      </c>
      <c r="C5" s="162">
        <f>Amortización!C12+Amortización!D12+Amortización!C13+Amortización!D13</f>
        <v>26155.367093055418</v>
      </c>
      <c r="D5" s="162">
        <f>Amortización!C14+Amortización!D14+Amortización!C15+Amortización!D15</f>
        <v>26155.367093055414</v>
      </c>
      <c r="E5" s="163">
        <f>B5+C5+D5</f>
        <v>78466.10127916625</v>
      </c>
    </row>
    <row r="6" spans="1:20" ht="15" customHeight="1">
      <c r="A6" s="72" t="s">
        <v>256</v>
      </c>
      <c r="B6" s="164">
        <f>+'Dep, mant, seg.'!G24+'Dep, mant, seg.'!H24</f>
        <v>2223.0829999999996</v>
      </c>
      <c r="C6" s="164">
        <f>+B6</f>
        <v>2223.0829999999996</v>
      </c>
      <c r="D6" s="164">
        <f>+C6</f>
        <v>2223.0829999999996</v>
      </c>
      <c r="E6" s="165">
        <f>SUM(B6:D6)</f>
        <v>6669.248999999999</v>
      </c>
      <c r="H6" s="734" t="s">
        <v>603</v>
      </c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6"/>
    </row>
    <row r="7" spans="1:20" ht="15" customHeight="1">
      <c r="A7" s="74" t="s">
        <v>257</v>
      </c>
      <c r="B7" s="166">
        <f>SUM(B2:B6)</f>
        <v>32718.450093055417</v>
      </c>
      <c r="C7" s="166">
        <f>SUM(C2:C6)</f>
        <v>32718.450093055417</v>
      </c>
      <c r="D7" s="166">
        <f>SUM(D2:D6)</f>
        <v>32718.450093055413</v>
      </c>
      <c r="E7" s="165">
        <f>SUM(E2:E6)</f>
        <v>98155.35027916625</v>
      </c>
      <c r="H7" s="641"/>
      <c r="I7" s="642">
        <v>1</v>
      </c>
      <c r="J7" s="642">
        <v>2</v>
      </c>
      <c r="K7" s="642">
        <v>3</v>
      </c>
      <c r="L7" s="642">
        <v>4</v>
      </c>
      <c r="M7" s="642">
        <v>5</v>
      </c>
      <c r="N7" s="642">
        <v>6</v>
      </c>
      <c r="O7" s="642">
        <v>7</v>
      </c>
      <c r="P7" s="642">
        <v>8</v>
      </c>
      <c r="Q7" s="642">
        <v>9</v>
      </c>
      <c r="R7" s="642">
        <v>10</v>
      </c>
      <c r="S7" s="642">
        <v>11</v>
      </c>
      <c r="T7" s="643">
        <v>12</v>
      </c>
    </row>
    <row r="8" spans="8:20" ht="12.75">
      <c r="H8" s="641" t="s">
        <v>431</v>
      </c>
      <c r="I8" s="644">
        <v>0</v>
      </c>
      <c r="J8" s="644">
        <v>0</v>
      </c>
      <c r="K8" s="644">
        <v>0</v>
      </c>
      <c r="L8" s="644">
        <v>0</v>
      </c>
      <c r="M8" s="644">
        <v>0</v>
      </c>
      <c r="N8" s="644">
        <v>0</v>
      </c>
      <c r="O8" s="644">
        <v>0</v>
      </c>
      <c r="P8" s="644">
        <v>0</v>
      </c>
      <c r="Q8" s="644">
        <v>0</v>
      </c>
      <c r="R8" s="644">
        <v>0</v>
      </c>
      <c r="S8" s="644">
        <v>0</v>
      </c>
      <c r="T8" s="645">
        <v>0</v>
      </c>
    </row>
    <row r="9" spans="8:20" ht="12.75">
      <c r="H9" s="641" t="s">
        <v>604</v>
      </c>
      <c r="I9" s="644">
        <f>+B7/12</f>
        <v>2726.537507754618</v>
      </c>
      <c r="J9" s="644">
        <f>+I9</f>
        <v>2726.537507754618</v>
      </c>
      <c r="K9" s="644">
        <f aca="true" t="shared" si="0" ref="K9:T9">+J9</f>
        <v>2726.537507754618</v>
      </c>
      <c r="L9" s="644">
        <f t="shared" si="0"/>
        <v>2726.537507754618</v>
      </c>
      <c r="M9" s="644">
        <f t="shared" si="0"/>
        <v>2726.537507754618</v>
      </c>
      <c r="N9" s="644">
        <f t="shared" si="0"/>
        <v>2726.537507754618</v>
      </c>
      <c r="O9" s="644">
        <f t="shared" si="0"/>
        <v>2726.537507754618</v>
      </c>
      <c r="P9" s="644">
        <f t="shared" si="0"/>
        <v>2726.537507754618</v>
      </c>
      <c r="Q9" s="644">
        <f t="shared" si="0"/>
        <v>2726.537507754618</v>
      </c>
      <c r="R9" s="644">
        <f t="shared" si="0"/>
        <v>2726.537507754618</v>
      </c>
      <c r="S9" s="644">
        <f t="shared" si="0"/>
        <v>2726.537507754618</v>
      </c>
      <c r="T9" s="645">
        <f t="shared" si="0"/>
        <v>2726.537507754618</v>
      </c>
    </row>
    <row r="10" spans="8:20" ht="12.75">
      <c r="H10" s="641" t="s">
        <v>605</v>
      </c>
      <c r="I10" s="644">
        <f>I8-I9</f>
        <v>-2726.537507754618</v>
      </c>
      <c r="J10" s="644">
        <f aca="true" t="shared" si="1" ref="J10:T10">J8-J9</f>
        <v>-2726.537507754618</v>
      </c>
      <c r="K10" s="644">
        <f t="shared" si="1"/>
        <v>-2726.537507754618</v>
      </c>
      <c r="L10" s="644">
        <f t="shared" si="1"/>
        <v>-2726.537507754618</v>
      </c>
      <c r="M10" s="644">
        <f t="shared" si="1"/>
        <v>-2726.537507754618</v>
      </c>
      <c r="N10" s="644">
        <f t="shared" si="1"/>
        <v>-2726.537507754618</v>
      </c>
      <c r="O10" s="644">
        <f t="shared" si="1"/>
        <v>-2726.537507754618</v>
      </c>
      <c r="P10" s="644">
        <f t="shared" si="1"/>
        <v>-2726.537507754618</v>
      </c>
      <c r="Q10" s="644">
        <f t="shared" si="1"/>
        <v>-2726.537507754618</v>
      </c>
      <c r="R10" s="644">
        <f t="shared" si="1"/>
        <v>-2726.537507754618</v>
      </c>
      <c r="S10" s="644">
        <f t="shared" si="1"/>
        <v>-2726.537507754618</v>
      </c>
      <c r="T10" s="645">
        <f t="shared" si="1"/>
        <v>-2726.537507754618</v>
      </c>
    </row>
    <row r="11" spans="5:20" ht="12.75">
      <c r="E11" s="627"/>
      <c r="H11" s="646" t="s">
        <v>606</v>
      </c>
      <c r="I11" s="647">
        <f>+I10</f>
        <v>-2726.537507754618</v>
      </c>
      <c r="J11" s="647">
        <f>I11+J10</f>
        <v>-5453.075015509236</v>
      </c>
      <c r="K11" s="647">
        <f aca="true" t="shared" si="2" ref="K11:T11">J11+K10</f>
        <v>-8179.612523263855</v>
      </c>
      <c r="L11" s="647">
        <f t="shared" si="2"/>
        <v>-10906.150031018473</v>
      </c>
      <c r="M11" s="647">
        <f t="shared" si="2"/>
        <v>-13632.68753877309</v>
      </c>
      <c r="N11" s="647">
        <f t="shared" si="2"/>
        <v>-16359.225046527708</v>
      </c>
      <c r="O11" s="647">
        <f t="shared" si="2"/>
        <v>-19085.762554282326</v>
      </c>
      <c r="P11" s="647">
        <f t="shared" si="2"/>
        <v>-21812.300062036946</v>
      </c>
      <c r="Q11" s="647">
        <f t="shared" si="2"/>
        <v>-24538.837569791565</v>
      </c>
      <c r="R11" s="647">
        <f t="shared" si="2"/>
        <v>-27265.375077546185</v>
      </c>
      <c r="S11" s="647">
        <f t="shared" si="2"/>
        <v>-29991.912585300804</v>
      </c>
      <c r="T11" s="648">
        <f t="shared" si="2"/>
        <v>-32718.450093055424</v>
      </c>
    </row>
    <row r="12" spans="8:20" ht="12.75">
      <c r="H12" s="737" t="s">
        <v>607</v>
      </c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9"/>
    </row>
    <row r="13" spans="8:20" ht="12.75">
      <c r="H13" s="641"/>
      <c r="I13" s="642">
        <v>1</v>
      </c>
      <c r="J13" s="642">
        <v>2</v>
      </c>
      <c r="K13" s="642">
        <v>3</v>
      </c>
      <c r="L13" s="642">
        <v>4</v>
      </c>
      <c r="M13" s="642">
        <v>5</v>
      </c>
      <c r="N13" s="642">
        <v>6</v>
      </c>
      <c r="O13" s="642">
        <v>7</v>
      </c>
      <c r="P13" s="642">
        <v>8</v>
      </c>
      <c r="Q13" s="642">
        <v>9</v>
      </c>
      <c r="R13" s="642">
        <v>10</v>
      </c>
      <c r="S13" s="642">
        <v>11</v>
      </c>
      <c r="T13" s="643">
        <v>12</v>
      </c>
    </row>
    <row r="14" spans="8:20" ht="12.75">
      <c r="H14" s="641" t="s">
        <v>431</v>
      </c>
      <c r="I14" s="644">
        <v>0</v>
      </c>
      <c r="J14" s="644">
        <v>0</v>
      </c>
      <c r="K14" s="644">
        <v>0</v>
      </c>
      <c r="L14" s="644">
        <v>0</v>
      </c>
      <c r="M14" s="644">
        <v>0</v>
      </c>
      <c r="N14" s="644">
        <v>0</v>
      </c>
      <c r="O14" s="644">
        <v>0</v>
      </c>
      <c r="P14" s="644">
        <v>0</v>
      </c>
      <c r="Q14" s="644">
        <v>0</v>
      </c>
      <c r="R14" s="644">
        <v>0</v>
      </c>
      <c r="S14" s="644">
        <v>0</v>
      </c>
      <c r="T14" s="645">
        <v>0</v>
      </c>
    </row>
    <row r="15" spans="8:20" ht="12.75">
      <c r="H15" s="641" t="s">
        <v>604</v>
      </c>
      <c r="I15" s="644">
        <f>+C7/12</f>
        <v>2726.537507754618</v>
      </c>
      <c r="J15" s="644">
        <f>+I15</f>
        <v>2726.537507754618</v>
      </c>
      <c r="K15" s="644">
        <f aca="true" t="shared" si="3" ref="K15:T15">+J15</f>
        <v>2726.537507754618</v>
      </c>
      <c r="L15" s="644">
        <f t="shared" si="3"/>
        <v>2726.537507754618</v>
      </c>
      <c r="M15" s="644">
        <f t="shared" si="3"/>
        <v>2726.537507754618</v>
      </c>
      <c r="N15" s="644">
        <f t="shared" si="3"/>
        <v>2726.537507754618</v>
      </c>
      <c r="O15" s="644">
        <f t="shared" si="3"/>
        <v>2726.537507754618</v>
      </c>
      <c r="P15" s="644">
        <f t="shared" si="3"/>
        <v>2726.537507754618</v>
      </c>
      <c r="Q15" s="644">
        <f t="shared" si="3"/>
        <v>2726.537507754618</v>
      </c>
      <c r="R15" s="644">
        <f t="shared" si="3"/>
        <v>2726.537507754618</v>
      </c>
      <c r="S15" s="644">
        <f t="shared" si="3"/>
        <v>2726.537507754618</v>
      </c>
      <c r="T15" s="645">
        <f t="shared" si="3"/>
        <v>2726.537507754618</v>
      </c>
    </row>
    <row r="16" spans="8:20" ht="12.75">
      <c r="H16" s="641" t="s">
        <v>605</v>
      </c>
      <c r="I16" s="644">
        <f aca="true" t="shared" si="4" ref="I16:T16">I14-I15</f>
        <v>-2726.537507754618</v>
      </c>
      <c r="J16" s="644">
        <f t="shared" si="4"/>
        <v>-2726.537507754618</v>
      </c>
      <c r="K16" s="644">
        <f t="shared" si="4"/>
        <v>-2726.537507754618</v>
      </c>
      <c r="L16" s="644">
        <f t="shared" si="4"/>
        <v>-2726.537507754618</v>
      </c>
      <c r="M16" s="644">
        <f t="shared" si="4"/>
        <v>-2726.537507754618</v>
      </c>
      <c r="N16" s="644">
        <f t="shared" si="4"/>
        <v>-2726.537507754618</v>
      </c>
      <c r="O16" s="644">
        <f t="shared" si="4"/>
        <v>-2726.537507754618</v>
      </c>
      <c r="P16" s="644">
        <f t="shared" si="4"/>
        <v>-2726.537507754618</v>
      </c>
      <c r="Q16" s="644">
        <f t="shared" si="4"/>
        <v>-2726.537507754618</v>
      </c>
      <c r="R16" s="644">
        <f t="shared" si="4"/>
        <v>-2726.537507754618</v>
      </c>
      <c r="S16" s="644">
        <f t="shared" si="4"/>
        <v>-2726.537507754618</v>
      </c>
      <c r="T16" s="645">
        <f t="shared" si="4"/>
        <v>-2726.537507754618</v>
      </c>
    </row>
    <row r="17" spans="8:20" ht="12.75">
      <c r="H17" s="646" t="s">
        <v>606</v>
      </c>
      <c r="I17" s="647">
        <f>+I16</f>
        <v>-2726.537507754618</v>
      </c>
      <c r="J17" s="647">
        <f aca="true" t="shared" si="5" ref="J17:T17">I17+J16</f>
        <v>-5453.075015509236</v>
      </c>
      <c r="K17" s="647">
        <f t="shared" si="5"/>
        <v>-8179.612523263855</v>
      </c>
      <c r="L17" s="647">
        <f t="shared" si="5"/>
        <v>-10906.150031018473</v>
      </c>
      <c r="M17" s="647">
        <f t="shared" si="5"/>
        <v>-13632.68753877309</v>
      </c>
      <c r="N17" s="647">
        <f t="shared" si="5"/>
        <v>-16359.225046527708</v>
      </c>
      <c r="O17" s="647">
        <f t="shared" si="5"/>
        <v>-19085.762554282326</v>
      </c>
      <c r="P17" s="647">
        <f t="shared" si="5"/>
        <v>-21812.300062036946</v>
      </c>
      <c r="Q17" s="647">
        <f t="shared" si="5"/>
        <v>-24538.837569791565</v>
      </c>
      <c r="R17" s="647">
        <f t="shared" si="5"/>
        <v>-27265.375077546185</v>
      </c>
      <c r="S17" s="647">
        <f t="shared" si="5"/>
        <v>-29991.912585300804</v>
      </c>
      <c r="T17" s="648">
        <f t="shared" si="5"/>
        <v>-32718.450093055424</v>
      </c>
    </row>
    <row r="18" spans="8:20" ht="12.75">
      <c r="H18" s="737" t="s">
        <v>608</v>
      </c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9"/>
    </row>
    <row r="19" spans="8:20" ht="12.75">
      <c r="H19" s="641"/>
      <c r="I19" s="642">
        <v>1</v>
      </c>
      <c r="J19" s="642">
        <v>2</v>
      </c>
      <c r="K19" s="642">
        <v>3</v>
      </c>
      <c r="L19" s="642">
        <v>4</v>
      </c>
      <c r="M19" s="642">
        <v>5</v>
      </c>
      <c r="N19" s="642">
        <v>6</v>
      </c>
      <c r="O19" s="642">
        <v>7</v>
      </c>
      <c r="P19" s="642">
        <v>8</v>
      </c>
      <c r="Q19" s="642">
        <v>9</v>
      </c>
      <c r="R19" s="642">
        <v>10</v>
      </c>
      <c r="S19" s="642">
        <v>11</v>
      </c>
      <c r="T19" s="643">
        <v>12</v>
      </c>
    </row>
    <row r="20" spans="8:20" ht="12.75">
      <c r="H20" s="641" t="s">
        <v>431</v>
      </c>
      <c r="I20" s="644">
        <v>0</v>
      </c>
      <c r="J20" s="644">
        <v>0</v>
      </c>
      <c r="K20" s="644">
        <v>0</v>
      </c>
      <c r="L20" s="644">
        <v>0</v>
      </c>
      <c r="M20" s="644">
        <v>0</v>
      </c>
      <c r="N20" s="644">
        <v>0</v>
      </c>
      <c r="O20" s="644">
        <v>0</v>
      </c>
      <c r="P20" s="644">
        <v>0</v>
      </c>
      <c r="Q20" s="644">
        <v>0</v>
      </c>
      <c r="R20" s="644">
        <v>0</v>
      </c>
      <c r="S20" s="644">
        <v>0</v>
      </c>
      <c r="T20" s="645">
        <v>0</v>
      </c>
    </row>
    <row r="21" spans="8:20" ht="12.75">
      <c r="H21" s="641" t="s">
        <v>604</v>
      </c>
      <c r="I21" s="644">
        <f>+D7/12</f>
        <v>2726.5375077546178</v>
      </c>
      <c r="J21" s="644">
        <f>+I21</f>
        <v>2726.5375077546178</v>
      </c>
      <c r="K21" s="644">
        <f aca="true" t="shared" si="6" ref="K21:T21">+J21</f>
        <v>2726.5375077546178</v>
      </c>
      <c r="L21" s="644">
        <f t="shared" si="6"/>
        <v>2726.5375077546178</v>
      </c>
      <c r="M21" s="644">
        <f t="shared" si="6"/>
        <v>2726.5375077546178</v>
      </c>
      <c r="N21" s="644">
        <f t="shared" si="6"/>
        <v>2726.5375077546178</v>
      </c>
      <c r="O21" s="644">
        <f t="shared" si="6"/>
        <v>2726.5375077546178</v>
      </c>
      <c r="P21" s="644">
        <f t="shared" si="6"/>
        <v>2726.5375077546178</v>
      </c>
      <c r="Q21" s="644">
        <f t="shared" si="6"/>
        <v>2726.5375077546178</v>
      </c>
      <c r="R21" s="644">
        <f t="shared" si="6"/>
        <v>2726.5375077546178</v>
      </c>
      <c r="S21" s="644">
        <f t="shared" si="6"/>
        <v>2726.5375077546178</v>
      </c>
      <c r="T21" s="645">
        <f t="shared" si="6"/>
        <v>2726.5375077546178</v>
      </c>
    </row>
    <row r="22" spans="8:20" ht="12.75">
      <c r="H22" s="641" t="s">
        <v>605</v>
      </c>
      <c r="I22" s="644">
        <f aca="true" t="shared" si="7" ref="I22:T22">I20-I21</f>
        <v>-2726.5375077546178</v>
      </c>
      <c r="J22" s="644">
        <f t="shared" si="7"/>
        <v>-2726.5375077546178</v>
      </c>
      <c r="K22" s="644">
        <f t="shared" si="7"/>
        <v>-2726.5375077546178</v>
      </c>
      <c r="L22" s="644">
        <f t="shared" si="7"/>
        <v>-2726.5375077546178</v>
      </c>
      <c r="M22" s="644">
        <f t="shared" si="7"/>
        <v>-2726.5375077546178</v>
      </c>
      <c r="N22" s="644">
        <f t="shared" si="7"/>
        <v>-2726.5375077546178</v>
      </c>
      <c r="O22" s="644">
        <f t="shared" si="7"/>
        <v>-2726.5375077546178</v>
      </c>
      <c r="P22" s="644">
        <f t="shared" si="7"/>
        <v>-2726.5375077546178</v>
      </c>
      <c r="Q22" s="644">
        <f t="shared" si="7"/>
        <v>-2726.5375077546178</v>
      </c>
      <c r="R22" s="644">
        <f t="shared" si="7"/>
        <v>-2726.5375077546178</v>
      </c>
      <c r="S22" s="644">
        <f t="shared" si="7"/>
        <v>-2726.5375077546178</v>
      </c>
      <c r="T22" s="645">
        <f t="shared" si="7"/>
        <v>-2726.5375077546178</v>
      </c>
    </row>
    <row r="23" spans="8:20" ht="12.75">
      <c r="H23" s="646" t="s">
        <v>606</v>
      </c>
      <c r="I23" s="647">
        <f>+I22</f>
        <v>-2726.5375077546178</v>
      </c>
      <c r="J23" s="647">
        <f aca="true" t="shared" si="8" ref="J23:T23">I23+J22</f>
        <v>-5453.0750155092355</v>
      </c>
      <c r="K23" s="647">
        <f t="shared" si="8"/>
        <v>-8179.612523263853</v>
      </c>
      <c r="L23" s="647">
        <f t="shared" si="8"/>
        <v>-10906.150031018471</v>
      </c>
      <c r="M23" s="647">
        <f t="shared" si="8"/>
        <v>-13632.687538773089</v>
      </c>
      <c r="N23" s="647">
        <f t="shared" si="8"/>
        <v>-16359.225046527707</v>
      </c>
      <c r="O23" s="647">
        <f t="shared" si="8"/>
        <v>-19085.762554282323</v>
      </c>
      <c r="P23" s="647">
        <f t="shared" si="8"/>
        <v>-21812.300062036942</v>
      </c>
      <c r="Q23" s="647">
        <f t="shared" si="8"/>
        <v>-24538.83756979156</v>
      </c>
      <c r="R23" s="647">
        <f t="shared" si="8"/>
        <v>-27265.37507754618</v>
      </c>
      <c r="S23" s="647">
        <f t="shared" si="8"/>
        <v>-29991.9125853008</v>
      </c>
      <c r="T23" s="648">
        <f t="shared" si="8"/>
        <v>-32718.45009305542</v>
      </c>
    </row>
    <row r="24" spans="8:20" ht="12.75">
      <c r="H24" s="737" t="s">
        <v>609</v>
      </c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9"/>
    </row>
    <row r="25" spans="8:20" ht="12.75">
      <c r="H25" s="641"/>
      <c r="I25" s="642">
        <v>1</v>
      </c>
      <c r="J25" s="642">
        <v>2</v>
      </c>
      <c r="K25" s="642">
        <v>3</v>
      </c>
      <c r="L25" s="642">
        <v>4</v>
      </c>
      <c r="M25" s="642">
        <v>5</v>
      </c>
      <c r="N25" s="642">
        <v>6</v>
      </c>
      <c r="O25" s="642">
        <v>7</v>
      </c>
      <c r="P25" s="642">
        <v>8</v>
      </c>
      <c r="Q25" s="642">
        <v>9</v>
      </c>
      <c r="R25" s="642">
        <v>10</v>
      </c>
      <c r="S25" s="642">
        <v>11</v>
      </c>
      <c r="T25" s="643">
        <v>12</v>
      </c>
    </row>
    <row r="26" spans="8:20" ht="12.75">
      <c r="H26" s="641" t="s">
        <v>431</v>
      </c>
      <c r="I26" s="644">
        <f>+'EP&amp;G'!B2/12</f>
        <v>1839.3375000000003</v>
      </c>
      <c r="J26" s="644">
        <f>+I26</f>
        <v>1839.3375000000003</v>
      </c>
      <c r="K26" s="644">
        <f aca="true" t="shared" si="9" ref="K26:T26">+J26</f>
        <v>1839.3375000000003</v>
      </c>
      <c r="L26" s="644">
        <f t="shared" si="9"/>
        <v>1839.3375000000003</v>
      </c>
      <c r="M26" s="644">
        <f t="shared" si="9"/>
        <v>1839.3375000000003</v>
      </c>
      <c r="N26" s="644">
        <f t="shared" si="9"/>
        <v>1839.3375000000003</v>
      </c>
      <c r="O26" s="644">
        <f t="shared" si="9"/>
        <v>1839.3375000000003</v>
      </c>
      <c r="P26" s="644">
        <f t="shared" si="9"/>
        <v>1839.3375000000003</v>
      </c>
      <c r="Q26" s="644">
        <f t="shared" si="9"/>
        <v>1839.3375000000003</v>
      </c>
      <c r="R26" s="644">
        <f t="shared" si="9"/>
        <v>1839.3375000000003</v>
      </c>
      <c r="S26" s="644">
        <f t="shared" si="9"/>
        <v>1839.3375000000003</v>
      </c>
      <c r="T26" s="645">
        <f t="shared" si="9"/>
        <v>1839.3375000000003</v>
      </c>
    </row>
    <row r="27" spans="8:20" ht="12.75">
      <c r="H27" s="641" t="s">
        <v>604</v>
      </c>
      <c r="I27" s="644">
        <f>-(FCPROYECTO!E3+FCPROYECTO!E4+FCPROYECTO!E5+FCPROYECTO!E6+FCPROYECTO!E19)/12</f>
        <v>11803.989758962953</v>
      </c>
      <c r="J27" s="644">
        <f>+I27</f>
        <v>11803.989758962953</v>
      </c>
      <c r="K27" s="644">
        <f aca="true" t="shared" si="10" ref="K27:T27">+J27</f>
        <v>11803.989758962953</v>
      </c>
      <c r="L27" s="644">
        <f t="shared" si="10"/>
        <v>11803.989758962953</v>
      </c>
      <c r="M27" s="644">
        <f t="shared" si="10"/>
        <v>11803.989758962953</v>
      </c>
      <c r="N27" s="644">
        <f t="shared" si="10"/>
        <v>11803.989758962953</v>
      </c>
      <c r="O27" s="644">
        <f t="shared" si="10"/>
        <v>11803.989758962953</v>
      </c>
      <c r="P27" s="644">
        <f t="shared" si="10"/>
        <v>11803.989758962953</v>
      </c>
      <c r="Q27" s="644">
        <f t="shared" si="10"/>
        <v>11803.989758962953</v>
      </c>
      <c r="R27" s="644">
        <f t="shared" si="10"/>
        <v>11803.989758962953</v>
      </c>
      <c r="S27" s="644">
        <f t="shared" si="10"/>
        <v>11803.989758962953</v>
      </c>
      <c r="T27" s="645">
        <f t="shared" si="10"/>
        <v>11803.989758962953</v>
      </c>
    </row>
    <row r="28" spans="8:20" ht="12.75">
      <c r="H28" s="641" t="s">
        <v>605</v>
      </c>
      <c r="I28" s="644">
        <f aca="true" t="shared" si="11" ref="I28:T28">I26-I27</f>
        <v>-9964.652258962953</v>
      </c>
      <c r="J28" s="644">
        <f t="shared" si="11"/>
        <v>-9964.652258962953</v>
      </c>
      <c r="K28" s="644">
        <f t="shared" si="11"/>
        <v>-9964.652258962953</v>
      </c>
      <c r="L28" s="644">
        <f t="shared" si="11"/>
        <v>-9964.652258962953</v>
      </c>
      <c r="M28" s="644">
        <f t="shared" si="11"/>
        <v>-9964.652258962953</v>
      </c>
      <c r="N28" s="644">
        <f t="shared" si="11"/>
        <v>-9964.652258962953</v>
      </c>
      <c r="O28" s="644">
        <f t="shared" si="11"/>
        <v>-9964.652258962953</v>
      </c>
      <c r="P28" s="644">
        <f t="shared" si="11"/>
        <v>-9964.652258962953</v>
      </c>
      <c r="Q28" s="644">
        <f t="shared" si="11"/>
        <v>-9964.652258962953</v>
      </c>
      <c r="R28" s="644">
        <f t="shared" si="11"/>
        <v>-9964.652258962953</v>
      </c>
      <c r="S28" s="644">
        <f t="shared" si="11"/>
        <v>-9964.652258962953</v>
      </c>
      <c r="T28" s="645">
        <f t="shared" si="11"/>
        <v>-9964.652258962953</v>
      </c>
    </row>
    <row r="29" spans="8:20" ht="13.5" thickBot="1">
      <c r="H29" s="649" t="s">
        <v>606</v>
      </c>
      <c r="I29" s="650">
        <f>+I28</f>
        <v>-9964.652258962953</v>
      </c>
      <c r="J29" s="650">
        <f aca="true" t="shared" si="12" ref="J29:T29">I29+J28</f>
        <v>-19929.304517925906</v>
      </c>
      <c r="K29" s="650">
        <f t="shared" si="12"/>
        <v>-29893.95677688886</v>
      </c>
      <c r="L29" s="650">
        <f t="shared" si="12"/>
        <v>-39858.60903585181</v>
      </c>
      <c r="M29" s="650">
        <f t="shared" si="12"/>
        <v>-49823.261294814765</v>
      </c>
      <c r="N29" s="650">
        <f t="shared" si="12"/>
        <v>-59787.91355377772</v>
      </c>
      <c r="O29" s="650">
        <f t="shared" si="12"/>
        <v>-69752.56581274068</v>
      </c>
      <c r="P29" s="650">
        <f t="shared" si="12"/>
        <v>-79717.21807170362</v>
      </c>
      <c r="Q29" s="650">
        <f t="shared" si="12"/>
        <v>-89681.87033066657</v>
      </c>
      <c r="R29" s="650">
        <f t="shared" si="12"/>
        <v>-99646.52258962952</v>
      </c>
      <c r="S29" s="650">
        <f t="shared" si="12"/>
        <v>-109611.17484859246</v>
      </c>
      <c r="T29" s="651">
        <f t="shared" si="12"/>
        <v>-119575.82710755541</v>
      </c>
    </row>
    <row r="30" spans="8:20" ht="12.75">
      <c r="H30" s="731" t="s">
        <v>610</v>
      </c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3"/>
    </row>
    <row r="31" spans="8:20" ht="12.75">
      <c r="H31" s="641"/>
      <c r="I31" s="642">
        <v>1</v>
      </c>
      <c r="J31" s="642">
        <v>2</v>
      </c>
      <c r="K31" s="642">
        <v>3</v>
      </c>
      <c r="L31" s="642">
        <v>4</v>
      </c>
      <c r="M31" s="642">
        <v>5</v>
      </c>
      <c r="N31" s="642">
        <v>6</v>
      </c>
      <c r="O31" s="642">
        <v>7</v>
      </c>
      <c r="P31" s="642">
        <v>8</v>
      </c>
      <c r="Q31" s="642">
        <v>9</v>
      </c>
      <c r="R31" s="642">
        <v>10</v>
      </c>
      <c r="S31" s="642">
        <v>11</v>
      </c>
      <c r="T31" s="643">
        <v>12</v>
      </c>
    </row>
    <row r="32" spans="8:20" ht="12.75">
      <c r="H32" s="641" t="s">
        <v>431</v>
      </c>
      <c r="I32" s="644">
        <f>'EP&amp;G'!C2/12</f>
        <v>11036.025</v>
      </c>
      <c r="J32" s="644">
        <f>+I32</f>
        <v>11036.025</v>
      </c>
      <c r="K32" s="644">
        <f aca="true" t="shared" si="13" ref="K32:T32">+J32</f>
        <v>11036.025</v>
      </c>
      <c r="L32" s="644">
        <f t="shared" si="13"/>
        <v>11036.025</v>
      </c>
      <c r="M32" s="644">
        <f t="shared" si="13"/>
        <v>11036.025</v>
      </c>
      <c r="N32" s="644">
        <f t="shared" si="13"/>
        <v>11036.025</v>
      </c>
      <c r="O32" s="644">
        <f t="shared" si="13"/>
        <v>11036.025</v>
      </c>
      <c r="P32" s="644">
        <f t="shared" si="13"/>
        <v>11036.025</v>
      </c>
      <c r="Q32" s="644">
        <f t="shared" si="13"/>
        <v>11036.025</v>
      </c>
      <c r="R32" s="644">
        <f t="shared" si="13"/>
        <v>11036.025</v>
      </c>
      <c r="S32" s="644">
        <f t="shared" si="13"/>
        <v>11036.025</v>
      </c>
      <c r="T32" s="645">
        <f t="shared" si="13"/>
        <v>11036.025</v>
      </c>
    </row>
    <row r="33" spans="8:20" ht="12.75">
      <c r="H33" s="641" t="s">
        <v>604</v>
      </c>
      <c r="I33" s="644">
        <f>-(FCPROYECTO!F3+FCPROYECTO!F4+FCPROYECTO!F5+FCPROYECTO!F6+FCPROYECTO!F19)/12</f>
        <v>13713.21275129335</v>
      </c>
      <c r="J33" s="644">
        <f>+I33</f>
        <v>13713.21275129335</v>
      </c>
      <c r="K33" s="644">
        <f aca="true" t="shared" si="14" ref="K33:T33">+J33</f>
        <v>13713.21275129335</v>
      </c>
      <c r="L33" s="644">
        <f t="shared" si="14"/>
        <v>13713.21275129335</v>
      </c>
      <c r="M33" s="644">
        <f t="shared" si="14"/>
        <v>13713.21275129335</v>
      </c>
      <c r="N33" s="644">
        <f t="shared" si="14"/>
        <v>13713.21275129335</v>
      </c>
      <c r="O33" s="644">
        <f t="shared" si="14"/>
        <v>13713.21275129335</v>
      </c>
      <c r="P33" s="644">
        <f t="shared" si="14"/>
        <v>13713.21275129335</v>
      </c>
      <c r="Q33" s="644">
        <f t="shared" si="14"/>
        <v>13713.21275129335</v>
      </c>
      <c r="R33" s="644">
        <f t="shared" si="14"/>
        <v>13713.21275129335</v>
      </c>
      <c r="S33" s="644">
        <f t="shared" si="14"/>
        <v>13713.21275129335</v>
      </c>
      <c r="T33" s="645">
        <f t="shared" si="14"/>
        <v>13713.21275129335</v>
      </c>
    </row>
    <row r="34" spans="8:20" ht="12.75">
      <c r="H34" s="641" t="s">
        <v>605</v>
      </c>
      <c r="I34" s="644">
        <f aca="true" t="shared" si="15" ref="I34:T34">I32-I33</f>
        <v>-2677.1877512933497</v>
      </c>
      <c r="J34" s="644">
        <f t="shared" si="15"/>
        <v>-2677.1877512933497</v>
      </c>
      <c r="K34" s="644">
        <f t="shared" si="15"/>
        <v>-2677.1877512933497</v>
      </c>
      <c r="L34" s="644">
        <f t="shared" si="15"/>
        <v>-2677.1877512933497</v>
      </c>
      <c r="M34" s="644">
        <f t="shared" si="15"/>
        <v>-2677.1877512933497</v>
      </c>
      <c r="N34" s="644">
        <f t="shared" si="15"/>
        <v>-2677.1877512933497</v>
      </c>
      <c r="O34" s="644">
        <f t="shared" si="15"/>
        <v>-2677.1877512933497</v>
      </c>
      <c r="P34" s="644">
        <f t="shared" si="15"/>
        <v>-2677.1877512933497</v>
      </c>
      <c r="Q34" s="644">
        <f t="shared" si="15"/>
        <v>-2677.1877512933497</v>
      </c>
      <c r="R34" s="644">
        <f t="shared" si="15"/>
        <v>-2677.1877512933497</v>
      </c>
      <c r="S34" s="644">
        <f t="shared" si="15"/>
        <v>-2677.1877512933497</v>
      </c>
      <c r="T34" s="645">
        <f t="shared" si="15"/>
        <v>-2677.1877512933497</v>
      </c>
    </row>
    <row r="35" spans="8:20" ht="13.5" thickBot="1">
      <c r="H35" s="649" t="s">
        <v>606</v>
      </c>
      <c r="I35" s="650">
        <f>+I34</f>
        <v>-2677.1877512933497</v>
      </c>
      <c r="J35" s="650">
        <f aca="true" t="shared" si="16" ref="J35:T35">I35+J34</f>
        <v>-5354.375502586699</v>
      </c>
      <c r="K35" s="650">
        <f t="shared" si="16"/>
        <v>-8031.563253880049</v>
      </c>
      <c r="L35" s="650">
        <f t="shared" si="16"/>
        <v>-10708.751005173399</v>
      </c>
      <c r="M35" s="650">
        <f t="shared" si="16"/>
        <v>-13385.938756466749</v>
      </c>
      <c r="N35" s="650">
        <f t="shared" si="16"/>
        <v>-16063.126507760098</v>
      </c>
      <c r="O35" s="650">
        <f t="shared" si="16"/>
        <v>-18740.314259053448</v>
      </c>
      <c r="P35" s="650">
        <f t="shared" si="16"/>
        <v>-21417.502010346798</v>
      </c>
      <c r="Q35" s="650">
        <f t="shared" si="16"/>
        <v>-24094.689761640147</v>
      </c>
      <c r="R35" s="650">
        <f t="shared" si="16"/>
        <v>-26771.877512933497</v>
      </c>
      <c r="S35" s="650">
        <f t="shared" si="16"/>
        <v>-29449.065264226847</v>
      </c>
      <c r="T35" s="651">
        <f t="shared" si="16"/>
        <v>-32126.253015520197</v>
      </c>
    </row>
  </sheetData>
  <sheetProtection/>
  <mergeCells count="5">
    <mergeCell ref="H30:T30"/>
    <mergeCell ref="H6:T6"/>
    <mergeCell ref="H12:T12"/>
    <mergeCell ref="H18:T18"/>
    <mergeCell ref="H24:T24"/>
  </mergeCells>
  <printOptions/>
  <pageMargins left="0.75" right="0.75" top="1" bottom="1" header="0" footer="0"/>
  <pageSetup horizontalDpi="300" verticalDpi="300" orientation="portrait" r:id="rId1"/>
  <ignoredErrors>
    <ignoredError sqref="E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23.8515625" style="0" bestFit="1" customWidth="1"/>
    <col min="3" max="3" width="26.57421875" style="0" bestFit="1" customWidth="1"/>
  </cols>
  <sheetData>
    <row r="1" spans="1:4" ht="15" customHeight="1">
      <c r="A1" s="740" t="s">
        <v>617</v>
      </c>
      <c r="B1" s="741"/>
      <c r="C1" s="740" t="s">
        <v>475</v>
      </c>
      <c r="D1" s="741"/>
    </row>
    <row r="2" spans="1:4" ht="15" customHeight="1">
      <c r="A2" s="250" t="s">
        <v>460</v>
      </c>
      <c r="B2" s="159"/>
      <c r="C2" s="250" t="s">
        <v>469</v>
      </c>
      <c r="D2" s="159"/>
    </row>
    <row r="3" spans="1:4" ht="15" customHeight="1">
      <c r="A3" s="69" t="s">
        <v>461</v>
      </c>
      <c r="B3" s="251">
        <f>+'K de trabajo'!B7</f>
        <v>32718.450093055417</v>
      </c>
      <c r="C3" s="69"/>
      <c r="D3" s="171"/>
    </row>
    <row r="4" spans="1:4" ht="15" customHeight="1">
      <c r="A4" s="69" t="s">
        <v>462</v>
      </c>
      <c r="B4" s="71">
        <v>0</v>
      </c>
      <c r="C4" s="69" t="s">
        <v>470</v>
      </c>
      <c r="D4" s="71">
        <v>0</v>
      </c>
    </row>
    <row r="5" spans="1:4" ht="15" customHeight="1">
      <c r="A5" s="69" t="s">
        <v>330</v>
      </c>
      <c r="B5" s="176">
        <f>B3+B4</f>
        <v>32718.450093055417</v>
      </c>
      <c r="C5" s="69"/>
      <c r="D5" s="71"/>
    </row>
    <row r="6" spans="1:4" ht="15" customHeight="1">
      <c r="A6" s="69"/>
      <c r="B6" s="71"/>
      <c r="C6" s="250" t="s">
        <v>602</v>
      </c>
      <c r="D6" s="71"/>
    </row>
    <row r="7" spans="1:4" ht="15" customHeight="1">
      <c r="A7" s="250" t="s">
        <v>463</v>
      </c>
      <c r="B7" s="71"/>
      <c r="C7" s="69"/>
      <c r="D7" s="71"/>
    </row>
    <row r="8" spans="1:4" ht="15" customHeight="1">
      <c r="A8" s="69" t="s">
        <v>464</v>
      </c>
      <c r="B8" s="251">
        <f>Inversiones!B6+Inversiones!B16+Inversiones!B17+Inversiones!B18+Inversiones!B21</f>
        <v>107765.84999999999</v>
      </c>
      <c r="C8" s="69" t="s">
        <v>471</v>
      </c>
      <c r="D8" s="176">
        <f>+Financiamiento!B7</f>
        <v>150000</v>
      </c>
    </row>
    <row r="9" spans="1:4" ht="15" customHeight="1">
      <c r="A9" s="69" t="s">
        <v>465</v>
      </c>
      <c r="B9" s="251">
        <f>Inversiones!B24+Inversiones!B25</f>
        <v>13021.8855</v>
      </c>
      <c r="C9" s="69"/>
      <c r="D9" s="71"/>
    </row>
    <row r="10" spans="1:4" ht="15" customHeight="1">
      <c r="A10" s="69" t="s">
        <v>466</v>
      </c>
      <c r="B10" s="251">
        <f>+Inversiones!B5+Inversiones!B7+Inversiones!B8+Inversiones!B9+Inversiones!B10+Inversiones!B11+Inversiones!B13+Inversiones!B15</f>
        <v>145532</v>
      </c>
      <c r="C10" s="69"/>
      <c r="D10" s="71"/>
    </row>
    <row r="11" spans="1:4" ht="15" customHeight="1">
      <c r="A11" s="69" t="s">
        <v>330</v>
      </c>
      <c r="B11" s="176">
        <f>SUM(B8:B10)</f>
        <v>266319.7355</v>
      </c>
      <c r="C11" s="174" t="s">
        <v>472</v>
      </c>
      <c r="D11" s="71"/>
    </row>
    <row r="12" spans="1:4" ht="15" customHeight="1">
      <c r="A12" s="69"/>
      <c r="B12" s="251"/>
      <c r="C12" s="69" t="s">
        <v>473</v>
      </c>
      <c r="D12" s="176">
        <f>+Financiamiento!B3</f>
        <v>162998.1855930554</v>
      </c>
    </row>
    <row r="13" spans="1:4" ht="15" customHeight="1">
      <c r="A13" s="250" t="s">
        <v>467</v>
      </c>
      <c r="B13" s="176">
        <f>+Inversiones!B33</f>
        <v>13960</v>
      </c>
      <c r="C13" s="69"/>
      <c r="D13" s="71"/>
    </row>
    <row r="14" spans="1:4" ht="15" customHeight="1">
      <c r="A14" s="69"/>
      <c r="B14" s="71"/>
      <c r="C14" s="69"/>
      <c r="D14" s="71"/>
    </row>
    <row r="15" spans="1:4" ht="15" customHeight="1">
      <c r="A15" s="74" t="s">
        <v>468</v>
      </c>
      <c r="B15" s="252">
        <f>B5+B11+B13</f>
        <v>312998.18559305544</v>
      </c>
      <c r="C15" s="74" t="s">
        <v>474</v>
      </c>
      <c r="D15" s="252">
        <f>D8+D12</f>
        <v>312998.1855930554</v>
      </c>
    </row>
  </sheetData>
  <sheetProtection/>
  <mergeCells count="2">
    <mergeCell ref="A1:B1"/>
    <mergeCell ref="C1:D1"/>
  </mergeCells>
  <printOptions/>
  <pageMargins left="0.75" right="0.75" top="1" bottom="1" header="0" footer="0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1.00390625" style="0" bestFit="1" customWidth="1"/>
  </cols>
  <sheetData>
    <row r="1" spans="1:5" ht="12.75">
      <c r="A1" s="749" t="s">
        <v>593</v>
      </c>
      <c r="B1" s="742" t="s">
        <v>268</v>
      </c>
      <c r="C1" s="743"/>
      <c r="D1" s="744"/>
      <c r="E1" s="745" t="s">
        <v>10</v>
      </c>
    </row>
    <row r="2" spans="1:5" ht="12.75">
      <c r="A2" s="750"/>
      <c r="B2" s="494">
        <v>1</v>
      </c>
      <c r="C2" s="495">
        <v>2</v>
      </c>
      <c r="D2" s="495">
        <v>3</v>
      </c>
      <c r="E2" s="746"/>
    </row>
    <row r="3" spans="1:5" ht="12.75">
      <c r="A3" s="689" t="s">
        <v>594</v>
      </c>
      <c r="B3" s="690">
        <f>Inversiones!I7-Financiamiento!B7</f>
        <v>162998.1855930554</v>
      </c>
      <c r="C3" s="690">
        <f>+Inversiones!J7</f>
        <v>75502.85138005542</v>
      </c>
      <c r="D3" s="690">
        <f>+Inversiones!K7</f>
        <v>141084.56549305542</v>
      </c>
      <c r="E3" s="690">
        <f>SUM(B3:D3)</f>
        <v>379585.60246616625</v>
      </c>
    </row>
    <row r="4" spans="1:5" ht="12.75">
      <c r="A4" s="691" t="s">
        <v>595</v>
      </c>
      <c r="B4" s="692"/>
      <c r="C4" s="692"/>
      <c r="D4" s="692"/>
      <c r="E4" s="692"/>
    </row>
    <row r="5" spans="1:5" ht="12.75">
      <c r="A5" s="693" t="s">
        <v>264</v>
      </c>
      <c r="B5" s="692">
        <v>0</v>
      </c>
      <c r="C5" s="692">
        <v>0</v>
      </c>
      <c r="D5" s="692">
        <v>0</v>
      </c>
      <c r="E5" s="692"/>
    </row>
    <row r="6" spans="1:5" ht="12.75">
      <c r="A6" s="693" t="s">
        <v>265</v>
      </c>
      <c r="B6" s="692">
        <v>0</v>
      </c>
      <c r="C6" s="692">
        <v>0</v>
      </c>
      <c r="D6" s="692">
        <v>0</v>
      </c>
      <c r="E6" s="692"/>
    </row>
    <row r="7" spans="1:5" ht="12.75">
      <c r="A7" s="693" t="s">
        <v>266</v>
      </c>
      <c r="B7" s="692">
        <v>150000</v>
      </c>
      <c r="C7" s="692">
        <v>0</v>
      </c>
      <c r="D7" s="692">
        <v>0</v>
      </c>
      <c r="E7" s="692"/>
    </row>
    <row r="8" spans="1:6" ht="15" customHeight="1">
      <c r="A8" s="694"/>
      <c r="B8" s="695">
        <f>B5+B6+B7</f>
        <v>150000</v>
      </c>
      <c r="C8" s="695">
        <f>C5+C6+C7</f>
        <v>0</v>
      </c>
      <c r="D8" s="695">
        <f>D5+D6+D7</f>
        <v>0</v>
      </c>
      <c r="E8" s="695">
        <f>+B8</f>
        <v>150000</v>
      </c>
      <c r="F8" s="628"/>
    </row>
    <row r="9" spans="1:6" ht="16.5" customHeight="1">
      <c r="A9" s="696" t="s">
        <v>267</v>
      </c>
      <c r="B9" s="697">
        <f>B3+B8</f>
        <v>312998.1855930554</v>
      </c>
      <c r="C9" s="697">
        <f>C3+C8</f>
        <v>75502.85138005542</v>
      </c>
      <c r="D9" s="697">
        <f>D3+D8</f>
        <v>141084.56549305542</v>
      </c>
      <c r="E9" s="698">
        <f>E3+E8</f>
        <v>529585.6024661663</v>
      </c>
      <c r="F9" s="629"/>
    </row>
    <row r="10" ht="13.5" thickBot="1"/>
    <row r="11" spans="1:4" ht="15" customHeight="1">
      <c r="A11" s="675" t="s">
        <v>269</v>
      </c>
      <c r="B11" s="676" t="s">
        <v>270</v>
      </c>
      <c r="C11" s="747" t="s">
        <v>271</v>
      </c>
      <c r="D11" s="748"/>
    </row>
    <row r="12" spans="1:4" ht="15" customHeight="1">
      <c r="A12" s="681" t="s">
        <v>276</v>
      </c>
      <c r="B12" s="671"/>
      <c r="C12" s="670"/>
      <c r="D12" s="682"/>
    </row>
    <row r="13" spans="1:4" ht="15" customHeight="1">
      <c r="A13" s="681" t="s">
        <v>272</v>
      </c>
      <c r="B13" s="672">
        <f>+B7</f>
        <v>150000</v>
      </c>
      <c r="C13" s="668">
        <v>1</v>
      </c>
      <c r="D13" s="683">
        <v>0</v>
      </c>
    </row>
    <row r="14" spans="1:4" ht="15" customHeight="1">
      <c r="A14" s="681" t="s">
        <v>273</v>
      </c>
      <c r="B14" s="673">
        <v>0.12</v>
      </c>
      <c r="C14" s="669">
        <v>1</v>
      </c>
      <c r="D14" s="684">
        <v>0</v>
      </c>
    </row>
    <row r="15" spans="1:4" ht="15" customHeight="1">
      <c r="A15" s="681" t="s">
        <v>274</v>
      </c>
      <c r="B15" s="674">
        <v>20</v>
      </c>
      <c r="C15" s="670"/>
      <c r="D15" s="682"/>
    </row>
    <row r="16" spans="1:4" ht="15" customHeight="1" thickBot="1">
      <c r="A16" s="685" t="s">
        <v>275</v>
      </c>
      <c r="B16" s="686">
        <v>0</v>
      </c>
      <c r="C16" s="687"/>
      <c r="D16" s="688"/>
    </row>
  </sheetData>
  <sheetProtection/>
  <mergeCells count="4">
    <mergeCell ref="B1:D1"/>
    <mergeCell ref="E1:E2"/>
    <mergeCell ref="C11:D11"/>
    <mergeCell ref="A1:A2"/>
  </mergeCells>
  <printOptions/>
  <pageMargins left="0.75" right="0.75" top="1" bottom="1" header="0" footer="0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5" width="13.7109375" style="0" customWidth="1"/>
    <col min="14" max="14" width="11.421875" style="628" customWidth="1"/>
  </cols>
  <sheetData>
    <row r="1" spans="1:5" ht="12.75">
      <c r="A1" s="751" t="s">
        <v>598</v>
      </c>
      <c r="B1" s="719"/>
      <c r="C1" s="719"/>
      <c r="D1" s="719"/>
      <c r="E1" s="720"/>
    </row>
    <row r="2" spans="1:5" ht="12.75">
      <c r="A2" s="552"/>
      <c r="B2" s="549"/>
      <c r="C2" s="549"/>
      <c r="D2" s="549"/>
      <c r="E2" s="553"/>
    </row>
    <row r="3" spans="1:5" ht="12.75">
      <c r="A3" s="552" t="s">
        <v>277</v>
      </c>
      <c r="B3" s="549"/>
      <c r="C3" s="550">
        <v>150000</v>
      </c>
      <c r="D3" s="549"/>
      <c r="E3" s="553"/>
    </row>
    <row r="4" spans="1:5" ht="12.75">
      <c r="A4" s="552" t="s">
        <v>278</v>
      </c>
      <c r="B4" s="549"/>
      <c r="C4" s="549">
        <v>20</v>
      </c>
      <c r="D4" s="549"/>
      <c r="E4" s="553"/>
    </row>
    <row r="5" spans="1:5" ht="12.75">
      <c r="A5" s="552" t="s">
        <v>279</v>
      </c>
      <c r="B5" s="549"/>
      <c r="C5" s="549">
        <v>0</v>
      </c>
      <c r="D5" s="549"/>
      <c r="E5" s="553"/>
    </row>
    <row r="6" spans="1:5" ht="12.75">
      <c r="A6" s="554" t="s">
        <v>597</v>
      </c>
      <c r="B6" s="549"/>
      <c r="C6" s="551">
        <v>0.06</v>
      </c>
      <c r="D6" s="549"/>
      <c r="E6" s="553"/>
    </row>
    <row r="7" spans="1:5" ht="12.75">
      <c r="A7" s="552"/>
      <c r="B7" s="549"/>
      <c r="C7" s="549"/>
      <c r="D7" s="549"/>
      <c r="E7" s="553"/>
    </row>
    <row r="8" spans="1:5" ht="12.75">
      <c r="A8" s="555" t="s">
        <v>280</v>
      </c>
      <c r="B8" s="504" t="s">
        <v>612</v>
      </c>
      <c r="C8" s="504" t="s">
        <v>613</v>
      </c>
      <c r="D8" s="504" t="s">
        <v>614</v>
      </c>
      <c r="E8" s="556" t="s">
        <v>615</v>
      </c>
    </row>
    <row r="9" spans="1:5" ht="12.75">
      <c r="A9" s="624">
        <v>0</v>
      </c>
      <c r="B9" s="625"/>
      <c r="C9" s="625"/>
      <c r="D9" s="625"/>
      <c r="E9" s="626">
        <f>+C3</f>
        <v>150000</v>
      </c>
    </row>
    <row r="10" spans="1:5" ht="12.75">
      <c r="A10" s="524">
        <v>1</v>
      </c>
      <c r="B10" s="652">
        <f>PMT(C6,20,-C3)</f>
        <v>13077.683546527709</v>
      </c>
      <c r="C10" s="652">
        <f>$C$6*E9</f>
        <v>9000</v>
      </c>
      <c r="D10" s="652">
        <f>B10-C10</f>
        <v>4077.683546527709</v>
      </c>
      <c r="E10" s="653">
        <f>E9-D10</f>
        <v>145922.3164534723</v>
      </c>
    </row>
    <row r="11" spans="1:5" ht="12.75">
      <c r="A11" s="524">
        <v>2</v>
      </c>
      <c r="B11" s="652">
        <f aca="true" t="shared" si="0" ref="B11:B29">+B10</f>
        <v>13077.683546527709</v>
      </c>
      <c r="C11" s="652">
        <f aca="true" t="shared" si="1" ref="C11:C29">$C$6*E10</f>
        <v>8755.338987208337</v>
      </c>
      <c r="D11" s="652">
        <f aca="true" t="shared" si="2" ref="D11:D29">B11-C11</f>
        <v>4322.344559319372</v>
      </c>
      <c r="E11" s="653">
        <f aca="true" t="shared" si="3" ref="E11:E29">E10-D11</f>
        <v>141599.97189415293</v>
      </c>
    </row>
    <row r="12" spans="1:5" ht="12.75">
      <c r="A12" s="524">
        <v>3</v>
      </c>
      <c r="B12" s="652">
        <f t="shared" si="0"/>
        <v>13077.683546527709</v>
      </c>
      <c r="C12" s="652">
        <f t="shared" si="1"/>
        <v>8495.998313649176</v>
      </c>
      <c r="D12" s="652">
        <f t="shared" si="2"/>
        <v>4581.6852328785335</v>
      </c>
      <c r="E12" s="653">
        <f t="shared" si="3"/>
        <v>137018.28666127438</v>
      </c>
    </row>
    <row r="13" spans="1:5" ht="12.75">
      <c r="A13" s="524">
        <v>4</v>
      </c>
      <c r="B13" s="652">
        <f t="shared" si="0"/>
        <v>13077.683546527709</v>
      </c>
      <c r="C13" s="652">
        <f t="shared" si="1"/>
        <v>8221.097199676462</v>
      </c>
      <c r="D13" s="652">
        <f t="shared" si="2"/>
        <v>4856.586346851247</v>
      </c>
      <c r="E13" s="653">
        <f t="shared" si="3"/>
        <v>132161.70031442313</v>
      </c>
    </row>
    <row r="14" spans="1:5" ht="12.75">
      <c r="A14" s="524">
        <v>5</v>
      </c>
      <c r="B14" s="652">
        <f t="shared" si="0"/>
        <v>13077.683546527709</v>
      </c>
      <c r="C14" s="652">
        <f t="shared" si="1"/>
        <v>7929.702018865388</v>
      </c>
      <c r="D14" s="652">
        <f t="shared" si="2"/>
        <v>5147.981527662321</v>
      </c>
      <c r="E14" s="653">
        <f t="shared" si="3"/>
        <v>127013.7187867608</v>
      </c>
    </row>
    <row r="15" spans="1:5" ht="12.75">
      <c r="A15" s="524">
        <v>6</v>
      </c>
      <c r="B15" s="652">
        <f t="shared" si="0"/>
        <v>13077.683546527709</v>
      </c>
      <c r="C15" s="652">
        <f t="shared" si="1"/>
        <v>7620.823127205647</v>
      </c>
      <c r="D15" s="652">
        <f t="shared" si="2"/>
        <v>5456.860419322062</v>
      </c>
      <c r="E15" s="653">
        <f t="shared" si="3"/>
        <v>121556.85836743873</v>
      </c>
    </row>
    <row r="16" spans="1:5" ht="12.75">
      <c r="A16" s="524">
        <v>7</v>
      </c>
      <c r="B16" s="652">
        <f t="shared" si="0"/>
        <v>13077.683546527709</v>
      </c>
      <c r="C16" s="652">
        <f t="shared" si="1"/>
        <v>7293.411502046324</v>
      </c>
      <c r="D16" s="652">
        <f t="shared" si="2"/>
        <v>5784.272044481385</v>
      </c>
      <c r="E16" s="653">
        <f t="shared" si="3"/>
        <v>115772.58632295734</v>
      </c>
    </row>
    <row r="17" spans="1:5" ht="12.75">
      <c r="A17" s="524">
        <v>8</v>
      </c>
      <c r="B17" s="652">
        <f t="shared" si="0"/>
        <v>13077.683546527709</v>
      </c>
      <c r="C17" s="652">
        <f t="shared" si="1"/>
        <v>6946.35517937744</v>
      </c>
      <c r="D17" s="652">
        <f t="shared" si="2"/>
        <v>6131.328367150269</v>
      </c>
      <c r="E17" s="653">
        <f t="shared" si="3"/>
        <v>109641.25795580707</v>
      </c>
    </row>
    <row r="18" spans="1:5" ht="12.75">
      <c r="A18" s="524">
        <v>9</v>
      </c>
      <c r="B18" s="652">
        <f t="shared" si="0"/>
        <v>13077.683546527709</v>
      </c>
      <c r="C18" s="652">
        <f t="shared" si="1"/>
        <v>6578.475477348424</v>
      </c>
      <c r="D18" s="652">
        <f t="shared" si="2"/>
        <v>6499.208069179285</v>
      </c>
      <c r="E18" s="653">
        <f t="shared" si="3"/>
        <v>103142.04988662779</v>
      </c>
    </row>
    <row r="19" spans="1:5" ht="12.75">
      <c r="A19" s="524">
        <v>10</v>
      </c>
      <c r="B19" s="652">
        <f t="shared" si="0"/>
        <v>13077.683546527709</v>
      </c>
      <c r="C19" s="652">
        <f t="shared" si="1"/>
        <v>6188.522993197667</v>
      </c>
      <c r="D19" s="652">
        <f t="shared" si="2"/>
        <v>6889.160553330042</v>
      </c>
      <c r="E19" s="653">
        <f t="shared" si="3"/>
        <v>96252.88933329775</v>
      </c>
    </row>
    <row r="20" spans="1:5" ht="12.75">
      <c r="A20" s="524">
        <v>11</v>
      </c>
      <c r="B20" s="652">
        <f t="shared" si="0"/>
        <v>13077.683546527709</v>
      </c>
      <c r="C20" s="652">
        <f t="shared" si="1"/>
        <v>5775.173359997864</v>
      </c>
      <c r="D20" s="652">
        <f t="shared" si="2"/>
        <v>7302.510186529845</v>
      </c>
      <c r="E20" s="653">
        <f t="shared" si="3"/>
        <v>88950.3791467679</v>
      </c>
    </row>
    <row r="21" spans="1:5" ht="12.75">
      <c r="A21" s="524">
        <v>12</v>
      </c>
      <c r="B21" s="652">
        <f t="shared" si="0"/>
        <v>13077.683546527709</v>
      </c>
      <c r="C21" s="652">
        <f t="shared" si="1"/>
        <v>5337.022748806074</v>
      </c>
      <c r="D21" s="652">
        <f t="shared" si="2"/>
        <v>7740.660797721635</v>
      </c>
      <c r="E21" s="653">
        <f t="shared" si="3"/>
        <v>81209.71834904626</v>
      </c>
    </row>
    <row r="22" spans="1:5" ht="12.75">
      <c r="A22" s="524">
        <v>13</v>
      </c>
      <c r="B22" s="652">
        <f t="shared" si="0"/>
        <v>13077.683546527709</v>
      </c>
      <c r="C22" s="652">
        <f t="shared" si="1"/>
        <v>4872.583100942776</v>
      </c>
      <c r="D22" s="652">
        <f t="shared" si="2"/>
        <v>8205.100445584932</v>
      </c>
      <c r="E22" s="653">
        <f t="shared" si="3"/>
        <v>73004.61790346133</v>
      </c>
    </row>
    <row r="23" spans="1:5" ht="12.75">
      <c r="A23" s="524">
        <v>14</v>
      </c>
      <c r="B23" s="652">
        <f t="shared" si="0"/>
        <v>13077.683546527709</v>
      </c>
      <c r="C23" s="652">
        <f t="shared" si="1"/>
        <v>4380.27707420768</v>
      </c>
      <c r="D23" s="652">
        <f t="shared" si="2"/>
        <v>8697.406472320028</v>
      </c>
      <c r="E23" s="653">
        <f t="shared" si="3"/>
        <v>64307.2114311413</v>
      </c>
    </row>
    <row r="24" spans="1:5" ht="12.75">
      <c r="A24" s="524">
        <v>15</v>
      </c>
      <c r="B24" s="652">
        <f t="shared" si="0"/>
        <v>13077.683546527709</v>
      </c>
      <c r="C24" s="652">
        <f t="shared" si="1"/>
        <v>3858.432685868478</v>
      </c>
      <c r="D24" s="652">
        <f t="shared" si="2"/>
        <v>9219.250860659231</v>
      </c>
      <c r="E24" s="653">
        <f t="shared" si="3"/>
        <v>55087.96057048207</v>
      </c>
    </row>
    <row r="25" spans="1:5" ht="12.75">
      <c r="A25" s="524">
        <v>16</v>
      </c>
      <c r="B25" s="652">
        <f t="shared" si="0"/>
        <v>13077.683546527709</v>
      </c>
      <c r="C25" s="652">
        <f t="shared" si="1"/>
        <v>3305.277634228924</v>
      </c>
      <c r="D25" s="652">
        <f t="shared" si="2"/>
        <v>9772.405912298786</v>
      </c>
      <c r="E25" s="653">
        <f t="shared" si="3"/>
        <v>45315.55465818329</v>
      </c>
    </row>
    <row r="26" spans="1:5" ht="12.75">
      <c r="A26" s="524">
        <v>17</v>
      </c>
      <c r="B26" s="652">
        <f t="shared" si="0"/>
        <v>13077.683546527709</v>
      </c>
      <c r="C26" s="652">
        <f t="shared" si="1"/>
        <v>2718.9332794909974</v>
      </c>
      <c r="D26" s="652">
        <f t="shared" si="2"/>
        <v>10358.750267036712</v>
      </c>
      <c r="E26" s="653">
        <f t="shared" si="3"/>
        <v>34956.80439114658</v>
      </c>
    </row>
    <row r="27" spans="1:5" ht="12.75">
      <c r="A27" s="524">
        <v>18</v>
      </c>
      <c r="B27" s="652">
        <f t="shared" si="0"/>
        <v>13077.683546527709</v>
      </c>
      <c r="C27" s="652">
        <f t="shared" si="1"/>
        <v>2097.4082634687948</v>
      </c>
      <c r="D27" s="652">
        <f t="shared" si="2"/>
        <v>10980.275283058914</v>
      </c>
      <c r="E27" s="653">
        <f t="shared" si="3"/>
        <v>23976.529108087663</v>
      </c>
    </row>
    <row r="28" spans="1:5" ht="12.75">
      <c r="A28" s="524">
        <v>19</v>
      </c>
      <c r="B28" s="652">
        <f t="shared" si="0"/>
        <v>13077.683546527709</v>
      </c>
      <c r="C28" s="652">
        <f t="shared" si="1"/>
        <v>1438.5917464852598</v>
      </c>
      <c r="D28" s="652">
        <f t="shared" si="2"/>
        <v>11639.09180004245</v>
      </c>
      <c r="E28" s="653">
        <f t="shared" si="3"/>
        <v>12337.437308045213</v>
      </c>
    </row>
    <row r="29" spans="1:5" ht="12.75">
      <c r="A29" s="654">
        <v>20</v>
      </c>
      <c r="B29" s="652">
        <f t="shared" si="0"/>
        <v>13077.683546527709</v>
      </c>
      <c r="C29" s="652">
        <f t="shared" si="1"/>
        <v>740.2462384827128</v>
      </c>
      <c r="D29" s="652">
        <f t="shared" si="2"/>
        <v>12337.437308044997</v>
      </c>
      <c r="E29" s="655">
        <f t="shared" si="3"/>
        <v>2.1645973902195692E-10</v>
      </c>
    </row>
    <row r="30" spans="1:5" ht="20.25" customHeight="1" thickBot="1">
      <c r="A30" s="752" t="s">
        <v>10</v>
      </c>
      <c r="B30" s="753"/>
      <c r="C30" s="557">
        <f>SUM(C10:C29)</f>
        <v>111553.6709305544</v>
      </c>
      <c r="D30" s="558">
        <f>SUM(D10:D29)</f>
        <v>149999.99999999974</v>
      </c>
      <c r="E30" s="559">
        <f>C30+D30</f>
        <v>261553.67093055416</v>
      </c>
    </row>
  </sheetData>
  <sheetProtection/>
  <mergeCells count="2">
    <mergeCell ref="A1:E1"/>
    <mergeCell ref="A30:B30"/>
  </mergeCells>
  <printOptions/>
  <pageMargins left="1.57" right="0.7480314960629921" top="1.73" bottom="0.984251968503937" header="0" footer="0"/>
  <pageSetup horizontalDpi="600" verticalDpi="600" orientation="portrait" paperSize="9" r:id="rId1"/>
  <headerFooter alignWithMargins="0">
    <oddHeader>&amp;C
&amp;"Arial,Negrita"&amp;12ANEXOS FINANCIEROS
ANEXO 5.3 TABLA DE AMORTIZACIÓN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29.00390625" style="317" bestFit="1" customWidth="1"/>
    <col min="2" max="2" width="7.421875" style="317" bestFit="1" customWidth="1"/>
    <col min="3" max="3" width="4.8515625" style="317" bestFit="1" customWidth="1"/>
    <col min="4" max="4" width="10.140625" style="317" bestFit="1" customWidth="1"/>
    <col min="5" max="5" width="7.8515625" style="317" bestFit="1" customWidth="1"/>
    <col min="6" max="6" width="10.7109375" style="317" bestFit="1" customWidth="1"/>
    <col min="7" max="7" width="10.140625" style="317" bestFit="1" customWidth="1"/>
    <col min="8" max="8" width="8.8515625" style="317" bestFit="1" customWidth="1"/>
    <col min="9" max="16384" width="11.421875" style="317" customWidth="1"/>
  </cols>
  <sheetData>
    <row r="1" spans="1:8" ht="12">
      <c r="A1" s="314"/>
      <c r="B1" s="315" t="s">
        <v>281</v>
      </c>
      <c r="C1" s="315" t="s">
        <v>288</v>
      </c>
      <c r="D1" s="315" t="s">
        <v>284</v>
      </c>
      <c r="E1" s="316" t="s">
        <v>285</v>
      </c>
      <c r="F1" s="337" t="s">
        <v>10</v>
      </c>
      <c r="G1" s="337" t="s">
        <v>10</v>
      </c>
      <c r="H1" s="338" t="s">
        <v>10</v>
      </c>
    </row>
    <row r="2" spans="1:8" ht="12">
      <c r="A2" s="318" t="s">
        <v>232</v>
      </c>
      <c r="B2" s="315" t="s">
        <v>282</v>
      </c>
      <c r="C2" s="315" t="s">
        <v>289</v>
      </c>
      <c r="D2" s="315" t="s">
        <v>283</v>
      </c>
      <c r="E2" s="316" t="s">
        <v>283</v>
      </c>
      <c r="F2" s="337" t="s">
        <v>553</v>
      </c>
      <c r="G2" s="337" t="s">
        <v>284</v>
      </c>
      <c r="H2" s="338" t="s">
        <v>285</v>
      </c>
    </row>
    <row r="3" spans="1:8" ht="12">
      <c r="A3" s="319" t="str">
        <f>+Inversiones!A5</f>
        <v>Terreno</v>
      </c>
      <c r="B3" s="320">
        <f>+Inversiones!E5</f>
        <v>100000</v>
      </c>
      <c r="C3" s="321"/>
      <c r="D3" s="321"/>
      <c r="E3" s="322"/>
      <c r="F3" s="329"/>
      <c r="G3" s="319"/>
      <c r="H3" s="330"/>
    </row>
    <row r="4" spans="1:8" ht="12">
      <c r="A4" s="319" t="str">
        <f>+Inversiones!A6</f>
        <v>Fomento Agrícola</v>
      </c>
      <c r="B4" s="320">
        <f>+Inversiones!E6</f>
        <v>146095.64289999998</v>
      </c>
      <c r="C4" s="320">
        <v>20</v>
      </c>
      <c r="D4" s="323">
        <v>0</v>
      </c>
      <c r="E4" s="324">
        <v>0</v>
      </c>
      <c r="F4" s="331">
        <f>B4/C4</f>
        <v>7304.782144999999</v>
      </c>
      <c r="G4" s="331">
        <f>B4*D4</f>
        <v>0</v>
      </c>
      <c r="H4" s="332">
        <f>B4*E4</f>
        <v>0</v>
      </c>
    </row>
    <row r="5" spans="1:8" ht="12">
      <c r="A5" s="319" t="str">
        <f>+Inversiones!A7</f>
        <v>Guardianía (40m2)</v>
      </c>
      <c r="B5" s="320">
        <f>+Inversiones!E7</f>
        <v>2000</v>
      </c>
      <c r="C5" s="320">
        <v>15</v>
      </c>
      <c r="D5" s="323">
        <v>0.015</v>
      </c>
      <c r="E5" s="324">
        <v>0.004</v>
      </c>
      <c r="F5" s="331">
        <f aca="true" t="shared" si="0" ref="F5:F22">B5/C5</f>
        <v>133.33333333333334</v>
      </c>
      <c r="G5" s="331">
        <f aca="true" t="shared" si="1" ref="G5:G22">B5*D5</f>
        <v>30</v>
      </c>
      <c r="H5" s="332">
        <f aca="true" t="shared" si="2" ref="H5:H22">B5*E5</f>
        <v>8</v>
      </c>
    </row>
    <row r="6" spans="1:8" ht="12">
      <c r="A6" s="319" t="str">
        <f>+Inversiones!A8</f>
        <v>Cercas y caminos</v>
      </c>
      <c r="B6" s="320">
        <f>+Inversiones!E8</f>
        <v>19000</v>
      </c>
      <c r="C6" s="320">
        <v>10</v>
      </c>
      <c r="D6" s="323">
        <v>0.015</v>
      </c>
      <c r="E6" s="324">
        <v>0.001</v>
      </c>
      <c r="F6" s="331">
        <f t="shared" si="0"/>
        <v>1900</v>
      </c>
      <c r="G6" s="331">
        <f t="shared" si="1"/>
        <v>285</v>
      </c>
      <c r="H6" s="332">
        <f t="shared" si="2"/>
        <v>19</v>
      </c>
    </row>
    <row r="7" spans="1:8" ht="12">
      <c r="A7" s="319" t="str">
        <f>+Inversiones!A9</f>
        <v>Batería de baños</v>
      </c>
      <c r="B7" s="320">
        <f>+Inversiones!E9</f>
        <v>2280</v>
      </c>
      <c r="C7" s="320">
        <v>15</v>
      </c>
      <c r="D7" s="323">
        <v>0.015</v>
      </c>
      <c r="E7" s="324">
        <v>0.004</v>
      </c>
      <c r="F7" s="331">
        <f t="shared" si="0"/>
        <v>152</v>
      </c>
      <c r="G7" s="331">
        <f t="shared" si="1"/>
        <v>34.199999999999996</v>
      </c>
      <c r="H7" s="332">
        <f t="shared" si="2"/>
        <v>9.120000000000001</v>
      </c>
    </row>
    <row r="8" spans="1:8" ht="12">
      <c r="A8" s="319" t="str">
        <f>+Inversiones!A10</f>
        <v>Bodega agrícola (120 m2)</v>
      </c>
      <c r="B8" s="320">
        <f>+Inversiones!E10</f>
        <v>3952</v>
      </c>
      <c r="C8" s="320">
        <v>15</v>
      </c>
      <c r="D8" s="323">
        <v>0.015</v>
      </c>
      <c r="E8" s="324">
        <v>0.004</v>
      </c>
      <c r="F8" s="331">
        <f t="shared" si="0"/>
        <v>263.46666666666664</v>
      </c>
      <c r="G8" s="331">
        <f t="shared" si="1"/>
        <v>59.28</v>
      </c>
      <c r="H8" s="332">
        <f t="shared" si="2"/>
        <v>15.808</v>
      </c>
    </row>
    <row r="9" spans="1:8" ht="12">
      <c r="A9" s="319" t="str">
        <f>+Inversiones!A11</f>
        <v>Galpón para maquinaria (50 m2)</v>
      </c>
      <c r="B9" s="320">
        <f>+Inversiones!E11</f>
        <v>900</v>
      </c>
      <c r="C9" s="320">
        <v>15</v>
      </c>
      <c r="D9" s="323">
        <v>0.015</v>
      </c>
      <c r="E9" s="324">
        <v>0.004</v>
      </c>
      <c r="F9" s="331">
        <f t="shared" si="0"/>
        <v>60</v>
      </c>
      <c r="G9" s="331">
        <f t="shared" si="1"/>
        <v>13.5</v>
      </c>
      <c r="H9" s="332">
        <f t="shared" si="2"/>
        <v>3.6</v>
      </c>
    </row>
    <row r="10" spans="1:8" ht="12">
      <c r="A10" s="319" t="str">
        <f>+Inversiones!A12</f>
        <v>Galpón de poscosecha (120 m2)</v>
      </c>
      <c r="B10" s="320">
        <f>+Inversiones!E12</f>
        <v>1520</v>
      </c>
      <c r="C10" s="320">
        <v>15</v>
      </c>
      <c r="D10" s="323">
        <v>0.015</v>
      </c>
      <c r="E10" s="324">
        <v>0.004</v>
      </c>
      <c r="F10" s="331">
        <f t="shared" si="0"/>
        <v>101.33333333333333</v>
      </c>
      <c r="G10" s="331">
        <f t="shared" si="1"/>
        <v>22.8</v>
      </c>
      <c r="H10" s="332">
        <f t="shared" si="2"/>
        <v>6.08</v>
      </c>
    </row>
    <row r="11" spans="1:8" ht="12">
      <c r="A11" s="319" t="str">
        <f>+Inversiones!A13</f>
        <v>Vivienda-oficina (80 m2)</v>
      </c>
      <c r="B11" s="320">
        <f>+Inversiones!E13</f>
        <v>6000</v>
      </c>
      <c r="C11" s="320">
        <v>10</v>
      </c>
      <c r="D11" s="323">
        <v>0.015</v>
      </c>
      <c r="E11" s="324">
        <v>0.004</v>
      </c>
      <c r="F11" s="331">
        <f t="shared" si="0"/>
        <v>600</v>
      </c>
      <c r="G11" s="331">
        <f t="shared" si="1"/>
        <v>90</v>
      </c>
      <c r="H11" s="332">
        <f t="shared" si="2"/>
        <v>24</v>
      </c>
    </row>
    <row r="12" spans="1:8" ht="12">
      <c r="A12" s="319" t="str">
        <f>+Inversiones!A14</f>
        <v>Silo con atmósfera controlada</v>
      </c>
      <c r="B12" s="320">
        <f>+Inversiones!E14</f>
        <v>9000</v>
      </c>
      <c r="C12" s="320">
        <v>10</v>
      </c>
      <c r="D12" s="323">
        <v>0.015</v>
      </c>
      <c r="E12" s="324">
        <v>0.004</v>
      </c>
      <c r="F12" s="331">
        <f t="shared" si="0"/>
        <v>900</v>
      </c>
      <c r="G12" s="331">
        <f t="shared" si="1"/>
        <v>135</v>
      </c>
      <c r="H12" s="332">
        <f t="shared" si="2"/>
        <v>36</v>
      </c>
    </row>
    <row r="13" spans="1:8" ht="12">
      <c r="A13" s="319" t="str">
        <f>+Inversiones!A15</f>
        <v>Instalación electrica y equipo de agua</v>
      </c>
      <c r="B13" s="320">
        <f>+Inversiones!E15</f>
        <v>11400</v>
      </c>
      <c r="C13" s="320">
        <v>10</v>
      </c>
      <c r="D13" s="323">
        <v>0.02</v>
      </c>
      <c r="E13" s="324">
        <v>0.004</v>
      </c>
      <c r="F13" s="331">
        <f t="shared" si="0"/>
        <v>1140</v>
      </c>
      <c r="G13" s="331">
        <f t="shared" si="1"/>
        <v>228</v>
      </c>
      <c r="H13" s="332">
        <f t="shared" si="2"/>
        <v>45.6</v>
      </c>
    </row>
    <row r="14" spans="1:8" ht="12">
      <c r="A14" s="319" t="str">
        <f>+Inversiones!A16</f>
        <v>Tractor</v>
      </c>
      <c r="B14" s="320">
        <f>+Inversiones!E16</f>
        <v>9500</v>
      </c>
      <c r="C14" s="320">
        <v>5</v>
      </c>
      <c r="D14" s="323">
        <v>0.05</v>
      </c>
      <c r="E14" s="324">
        <v>0.05</v>
      </c>
      <c r="F14" s="331">
        <f t="shared" si="0"/>
        <v>1900</v>
      </c>
      <c r="G14" s="331">
        <f t="shared" si="1"/>
        <v>475</v>
      </c>
      <c r="H14" s="332">
        <f t="shared" si="2"/>
        <v>475</v>
      </c>
    </row>
    <row r="15" spans="1:8" ht="12">
      <c r="A15" s="319" t="str">
        <f>+Inversiones!A17</f>
        <v>Implementos del tractor</v>
      </c>
      <c r="B15" s="351">
        <f>+Inversiones!E17</f>
        <v>4500</v>
      </c>
      <c r="C15" s="320">
        <v>3</v>
      </c>
      <c r="D15" s="323">
        <v>0.03</v>
      </c>
      <c r="E15" s="324">
        <v>0.004</v>
      </c>
      <c r="F15" s="331">
        <f t="shared" si="0"/>
        <v>1500</v>
      </c>
      <c r="G15" s="331">
        <f t="shared" si="1"/>
        <v>135</v>
      </c>
      <c r="H15" s="332">
        <f t="shared" si="2"/>
        <v>18</v>
      </c>
    </row>
    <row r="16" spans="1:8" ht="12">
      <c r="A16" s="319" t="str">
        <f>+Inversiones!A18</f>
        <v>Equipo de fumigación</v>
      </c>
      <c r="B16" s="320">
        <f>+Inversiones!E18</f>
        <v>2500</v>
      </c>
      <c r="C16" s="320">
        <v>5</v>
      </c>
      <c r="D16" s="323">
        <v>0.03</v>
      </c>
      <c r="E16" s="324">
        <v>0.002</v>
      </c>
      <c r="F16" s="331">
        <f t="shared" si="0"/>
        <v>500</v>
      </c>
      <c r="G16" s="331">
        <f t="shared" si="1"/>
        <v>75</v>
      </c>
      <c r="H16" s="332">
        <f t="shared" si="2"/>
        <v>5</v>
      </c>
    </row>
    <row r="17" spans="1:8" ht="12">
      <c r="A17" s="319" t="str">
        <f>+Inversiones!A19</f>
        <v>Carretón</v>
      </c>
      <c r="B17" s="320">
        <f>+Inversiones!E19</f>
        <v>2000</v>
      </c>
      <c r="C17" s="320">
        <v>5</v>
      </c>
      <c r="D17" s="323">
        <v>0.05</v>
      </c>
      <c r="E17" s="324">
        <v>0.05</v>
      </c>
      <c r="F17" s="331">
        <f t="shared" si="0"/>
        <v>400</v>
      </c>
      <c r="G17" s="331">
        <f t="shared" si="1"/>
        <v>100</v>
      </c>
      <c r="H17" s="332">
        <f t="shared" si="2"/>
        <v>100</v>
      </c>
    </row>
    <row r="18" spans="1:8" ht="12">
      <c r="A18" s="319" t="str">
        <f>+Inversiones!A20</f>
        <v>Vehículo (camión)</v>
      </c>
      <c r="B18" s="320">
        <f>+Inversiones!E20</f>
        <v>33000</v>
      </c>
      <c r="C18" s="320">
        <v>5</v>
      </c>
      <c r="D18" s="323">
        <v>0.05</v>
      </c>
      <c r="E18" s="324">
        <v>0.05</v>
      </c>
      <c r="F18" s="331">
        <f t="shared" si="0"/>
        <v>6600</v>
      </c>
      <c r="G18" s="331">
        <f t="shared" si="1"/>
        <v>1650</v>
      </c>
      <c r="H18" s="332">
        <f t="shared" si="2"/>
        <v>1650</v>
      </c>
    </row>
    <row r="19" spans="1:8" ht="12">
      <c r="A19" s="319" t="str">
        <f>+Inversiones!A21</f>
        <v>Equipo y herramientas agrícolas</v>
      </c>
      <c r="B19" s="351">
        <f>+Inversiones!E21</f>
        <v>3000</v>
      </c>
      <c r="C19" s="320">
        <v>3</v>
      </c>
      <c r="D19" s="323">
        <v>0.03</v>
      </c>
      <c r="E19" s="324">
        <v>0.002</v>
      </c>
      <c r="F19" s="331">
        <f t="shared" si="0"/>
        <v>1000</v>
      </c>
      <c r="G19" s="331">
        <f t="shared" si="1"/>
        <v>90</v>
      </c>
      <c r="H19" s="332">
        <f t="shared" si="2"/>
        <v>6</v>
      </c>
    </row>
    <row r="20" spans="1:8" ht="12">
      <c r="A20" s="319" t="str">
        <f>+Inversiones!A22</f>
        <v>Equipo y máquinas para planta industrial</v>
      </c>
      <c r="B20" s="320">
        <f>+Inversiones!E22</f>
        <v>16500</v>
      </c>
      <c r="C20" s="320">
        <v>10</v>
      </c>
      <c r="D20" s="323">
        <v>0.03</v>
      </c>
      <c r="E20" s="324">
        <v>0.002</v>
      </c>
      <c r="F20" s="331">
        <f t="shared" si="0"/>
        <v>1650</v>
      </c>
      <c r="G20" s="331">
        <f t="shared" si="1"/>
        <v>495</v>
      </c>
      <c r="H20" s="332">
        <f t="shared" si="2"/>
        <v>33</v>
      </c>
    </row>
    <row r="21" spans="1:8" ht="12">
      <c r="A21" s="319" t="str">
        <f>+Inversiones!A23</f>
        <v>Utensilios para empleados</v>
      </c>
      <c r="B21" s="351">
        <f>+Inversiones!E23</f>
        <v>141</v>
      </c>
      <c r="C21" s="320">
        <v>3</v>
      </c>
      <c r="D21" s="323">
        <v>0.03</v>
      </c>
      <c r="E21" s="324">
        <v>0.002</v>
      </c>
      <c r="F21" s="331">
        <f t="shared" si="0"/>
        <v>47</v>
      </c>
      <c r="G21" s="331">
        <f t="shared" si="1"/>
        <v>4.2299999999999995</v>
      </c>
      <c r="H21" s="332">
        <f t="shared" si="2"/>
        <v>0.28200000000000003</v>
      </c>
    </row>
    <row r="22" spans="1:8" ht="12">
      <c r="A22" s="325" t="str">
        <f>+Inversiones!A24</f>
        <v>Muebles y enseres de oficina</v>
      </c>
      <c r="B22" s="326">
        <f>+Inversiones!E24</f>
        <v>5265</v>
      </c>
      <c r="C22" s="326">
        <v>5</v>
      </c>
      <c r="D22" s="327">
        <v>0.015</v>
      </c>
      <c r="E22" s="328">
        <v>0</v>
      </c>
      <c r="F22" s="334">
        <f t="shared" si="0"/>
        <v>1053</v>
      </c>
      <c r="G22" s="333">
        <f t="shared" si="1"/>
        <v>78.975</v>
      </c>
      <c r="H22" s="334">
        <f t="shared" si="2"/>
        <v>0</v>
      </c>
    </row>
    <row r="23" spans="1:8" ht="12">
      <c r="A23" s="754" t="s">
        <v>10</v>
      </c>
      <c r="B23" s="755"/>
      <c r="C23" s="755"/>
      <c r="D23" s="755"/>
      <c r="E23" s="756"/>
      <c r="F23" s="336">
        <f>SUM(F4:F22)</f>
        <v>27204.915478333336</v>
      </c>
      <c r="G23" s="335">
        <f>SUM(G4:G22)</f>
        <v>4000.9849999999997</v>
      </c>
      <c r="H23" s="336">
        <f>SUM(H4:H22)</f>
        <v>2454.4900000000002</v>
      </c>
    </row>
    <row r="24" spans="7:8" ht="12">
      <c r="G24" s="339">
        <f>G23-G21-G20-G18-G17-G12-G10</f>
        <v>1593.9549999999997</v>
      </c>
      <c r="H24" s="339">
        <f>H23-H21-H20-H18-H17-H12-H10</f>
        <v>629.128</v>
      </c>
    </row>
  </sheetData>
  <sheetProtection/>
  <mergeCells count="1">
    <mergeCell ref="A23:E23"/>
  </mergeCells>
  <printOptions/>
  <pageMargins left="0.75" right="0.75" top="1" bottom="1" header="0" footer="0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5.57421875" style="0" customWidth="1"/>
    <col min="2" max="2" width="5.7109375" style="0" customWidth="1"/>
    <col min="3" max="12" width="8.28125" style="0" customWidth="1"/>
    <col min="13" max="13" width="12.7109375" style="0" bestFit="1" customWidth="1"/>
  </cols>
  <sheetData>
    <row r="1" spans="1:12" ht="12.75">
      <c r="A1" s="510" t="s">
        <v>349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5"/>
    </row>
    <row r="2" spans="1:12" ht="12.75">
      <c r="A2" s="507" t="s">
        <v>270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7"/>
    </row>
    <row r="3" spans="1:12" ht="12.75">
      <c r="A3" s="171" t="s">
        <v>350</v>
      </c>
      <c r="B3" s="170"/>
      <c r="C3" s="158"/>
      <c r="D3" s="571"/>
      <c r="E3" s="571"/>
      <c r="F3" s="571"/>
      <c r="G3" s="571"/>
      <c r="H3" s="571"/>
      <c r="I3" s="571"/>
      <c r="J3" s="571"/>
      <c r="K3" s="571"/>
      <c r="L3" s="572"/>
    </row>
    <row r="4" spans="1:12" ht="12.75">
      <c r="A4" s="75" t="s">
        <v>351</v>
      </c>
      <c r="B4" s="75">
        <v>100</v>
      </c>
      <c r="C4" s="69"/>
      <c r="D4" s="170"/>
      <c r="E4" s="170"/>
      <c r="F4" s="170"/>
      <c r="G4" s="170"/>
      <c r="H4" s="170"/>
      <c r="I4" s="170"/>
      <c r="J4" s="170"/>
      <c r="K4" s="170"/>
      <c r="L4" s="175"/>
    </row>
    <row r="5" spans="1:12" ht="12.75">
      <c r="A5" s="69" t="s">
        <v>354</v>
      </c>
      <c r="B5" s="573">
        <v>0.5</v>
      </c>
      <c r="C5" s="72"/>
      <c r="D5" s="109"/>
      <c r="E5" s="109"/>
      <c r="F5" s="109"/>
      <c r="G5" s="109"/>
      <c r="H5" s="109"/>
      <c r="I5" s="109"/>
      <c r="J5" s="109"/>
      <c r="K5" s="109"/>
      <c r="L5" s="110"/>
    </row>
    <row r="6" spans="1:12" ht="12.75">
      <c r="A6" s="75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12.75">
      <c r="A7" s="759" t="s">
        <v>355</v>
      </c>
      <c r="B7" s="759"/>
      <c r="C7" s="757">
        <v>4</v>
      </c>
      <c r="D7" s="757">
        <v>5</v>
      </c>
      <c r="E7" s="757">
        <v>6</v>
      </c>
      <c r="F7" s="757">
        <v>7</v>
      </c>
      <c r="G7" s="757">
        <v>8</v>
      </c>
      <c r="H7" s="757">
        <v>9</v>
      </c>
      <c r="I7" s="757">
        <v>10</v>
      </c>
      <c r="J7" s="757">
        <v>11</v>
      </c>
      <c r="K7" s="757">
        <v>12</v>
      </c>
      <c r="L7" s="757">
        <v>13</v>
      </c>
    </row>
    <row r="8" spans="1:12" ht="12.75">
      <c r="A8" s="759"/>
      <c r="B8" s="759"/>
      <c r="C8" s="758"/>
      <c r="D8" s="758"/>
      <c r="E8" s="758"/>
      <c r="F8" s="758"/>
      <c r="G8" s="758"/>
      <c r="H8" s="758"/>
      <c r="I8" s="758"/>
      <c r="J8" s="758"/>
      <c r="K8" s="758"/>
      <c r="L8" s="758"/>
    </row>
    <row r="9" spans="1:13" ht="12.75">
      <c r="A9" s="560" t="s">
        <v>356</v>
      </c>
      <c r="B9" s="561"/>
      <c r="C9" s="444"/>
      <c r="D9" s="444"/>
      <c r="E9" s="444"/>
      <c r="F9" s="444"/>
      <c r="G9" s="444"/>
      <c r="H9" s="444"/>
      <c r="I9" s="444"/>
      <c r="J9" s="444"/>
      <c r="K9" s="444"/>
      <c r="L9" s="562"/>
      <c r="M9" s="11"/>
    </row>
    <row r="10" spans="1:13" ht="12.75">
      <c r="A10" s="562"/>
      <c r="B10" s="561"/>
      <c r="C10" s="444"/>
      <c r="D10" s="444"/>
      <c r="E10" s="444"/>
      <c r="F10" s="444"/>
      <c r="G10" s="444"/>
      <c r="H10" s="444"/>
      <c r="I10" s="444"/>
      <c r="J10" s="444"/>
      <c r="K10" s="444"/>
      <c r="L10" s="562"/>
      <c r="M10" s="11"/>
    </row>
    <row r="11" spans="1:13" ht="12.75">
      <c r="A11" s="562" t="s">
        <v>411</v>
      </c>
      <c r="B11" s="563" t="s">
        <v>357</v>
      </c>
      <c r="C11" s="239">
        <f>+Producción!B5</f>
        <v>3822</v>
      </c>
      <c r="D11" s="239">
        <f>+Producción!C5</f>
        <v>22932</v>
      </c>
      <c r="E11" s="239">
        <f>+Producción!D5</f>
        <v>38220</v>
      </c>
      <c r="F11" s="239">
        <f>+Producción!E5</f>
        <v>61152</v>
      </c>
      <c r="G11" s="239">
        <f>+Producción!F5</f>
        <v>107016</v>
      </c>
      <c r="H11" s="239">
        <f>+Producción!G5</f>
        <v>137592</v>
      </c>
      <c r="I11" s="239">
        <f>+Producción!H5</f>
        <v>160524</v>
      </c>
      <c r="J11" s="239">
        <f>+Producción!I5</f>
        <v>191100</v>
      </c>
      <c r="K11" s="239">
        <f>+Producción!J5</f>
        <v>206388</v>
      </c>
      <c r="L11" s="238">
        <f>+Producción!K5</f>
        <v>214032</v>
      </c>
      <c r="M11" s="11"/>
    </row>
    <row r="12" spans="1:13" ht="12.75">
      <c r="A12" s="562"/>
      <c r="B12" s="561"/>
      <c r="C12" s="444"/>
      <c r="D12" s="444"/>
      <c r="E12" s="444"/>
      <c r="F12" s="444"/>
      <c r="G12" s="444"/>
      <c r="H12" s="444"/>
      <c r="I12" s="444"/>
      <c r="J12" s="444"/>
      <c r="K12" s="444"/>
      <c r="L12" s="562"/>
      <c r="M12" s="11"/>
    </row>
    <row r="13" spans="1:13" ht="12.75">
      <c r="A13" s="562" t="s">
        <v>412</v>
      </c>
      <c r="B13" s="561" t="s">
        <v>413</v>
      </c>
      <c r="C13" s="239">
        <f>+Producción!B12</f>
        <v>6306.300000000001</v>
      </c>
      <c r="D13" s="239">
        <f>+Producción!C12</f>
        <v>37837.8</v>
      </c>
      <c r="E13" s="239">
        <f>+Producción!D12</f>
        <v>63063</v>
      </c>
      <c r="F13" s="239">
        <f>+Producción!E12</f>
        <v>100900.80000000002</v>
      </c>
      <c r="G13" s="239">
        <f>+Producción!F12</f>
        <v>176576.40000000002</v>
      </c>
      <c r="H13" s="239">
        <f>+Producción!G12</f>
        <v>227026.80000000002</v>
      </c>
      <c r="I13" s="239">
        <f>+Producción!H12</f>
        <v>264864.60000000003</v>
      </c>
      <c r="J13" s="239">
        <f>+Producción!I12</f>
        <v>315315.00000000006</v>
      </c>
      <c r="K13" s="239">
        <f>+Producción!J12</f>
        <v>340540.2</v>
      </c>
      <c r="L13" s="238">
        <f>+Producción!K12-Producción!K17</f>
        <v>352989.3033333334</v>
      </c>
      <c r="M13" s="11"/>
    </row>
    <row r="14" spans="1:13" ht="12.75">
      <c r="A14" s="562" t="s">
        <v>359</v>
      </c>
      <c r="B14" s="561" t="s">
        <v>270</v>
      </c>
      <c r="C14" s="564">
        <f>+Precio!B4</f>
        <v>2.5</v>
      </c>
      <c r="D14" s="564">
        <f>+C14</f>
        <v>2.5</v>
      </c>
      <c r="E14" s="564">
        <f aca="true" t="shared" si="0" ref="E14:L14">+D14</f>
        <v>2.5</v>
      </c>
      <c r="F14" s="564">
        <f t="shared" si="0"/>
        <v>2.5</v>
      </c>
      <c r="G14" s="564">
        <f t="shared" si="0"/>
        <v>2.5</v>
      </c>
      <c r="H14" s="564">
        <f t="shared" si="0"/>
        <v>2.5</v>
      </c>
      <c r="I14" s="564">
        <f t="shared" si="0"/>
        <v>2.5</v>
      </c>
      <c r="J14" s="564">
        <f t="shared" si="0"/>
        <v>2.5</v>
      </c>
      <c r="K14" s="564">
        <f t="shared" si="0"/>
        <v>2.5</v>
      </c>
      <c r="L14" s="565">
        <f t="shared" si="0"/>
        <v>2.5</v>
      </c>
      <c r="M14" s="11"/>
    </row>
    <row r="15" spans="1:14" ht="12.75">
      <c r="A15" s="566" t="s">
        <v>360</v>
      </c>
      <c r="B15" s="567" t="s">
        <v>270</v>
      </c>
      <c r="C15" s="568">
        <f>C13*C14</f>
        <v>15765.750000000004</v>
      </c>
      <c r="D15" s="568">
        <f aca="true" t="shared" si="1" ref="D15:L15">D13*D14</f>
        <v>94594.5</v>
      </c>
      <c r="E15" s="568">
        <f t="shared" si="1"/>
        <v>157657.5</v>
      </c>
      <c r="F15" s="568">
        <f t="shared" si="1"/>
        <v>252252.00000000006</v>
      </c>
      <c r="G15" s="568">
        <f t="shared" si="1"/>
        <v>441441.00000000006</v>
      </c>
      <c r="H15" s="568">
        <f t="shared" si="1"/>
        <v>567567</v>
      </c>
      <c r="I15" s="568">
        <f t="shared" si="1"/>
        <v>662161.5000000001</v>
      </c>
      <c r="J15" s="568">
        <f t="shared" si="1"/>
        <v>788287.5000000001</v>
      </c>
      <c r="K15" s="568">
        <f t="shared" si="1"/>
        <v>851350.5</v>
      </c>
      <c r="L15" s="569">
        <f t="shared" si="1"/>
        <v>882473.2583333335</v>
      </c>
      <c r="M15" s="200">
        <f>SUM(C15:L15)</f>
        <v>4713550.508333334</v>
      </c>
      <c r="N15" s="4">
        <f>M15/M16</f>
        <v>1</v>
      </c>
    </row>
    <row r="16" spans="1:13" ht="18.75" customHeight="1">
      <c r="A16" s="543" t="s">
        <v>361</v>
      </c>
      <c r="B16" s="578" t="s">
        <v>270</v>
      </c>
      <c r="C16" s="579">
        <f>C15</f>
        <v>15765.750000000004</v>
      </c>
      <c r="D16" s="579">
        <f aca="true" t="shared" si="2" ref="D16:L16">D15</f>
        <v>94594.5</v>
      </c>
      <c r="E16" s="579">
        <f t="shared" si="2"/>
        <v>157657.5</v>
      </c>
      <c r="F16" s="579">
        <f t="shared" si="2"/>
        <v>252252.00000000006</v>
      </c>
      <c r="G16" s="579">
        <f t="shared" si="2"/>
        <v>441441.00000000006</v>
      </c>
      <c r="H16" s="579">
        <f t="shared" si="2"/>
        <v>567567</v>
      </c>
      <c r="I16" s="579">
        <f t="shared" si="2"/>
        <v>662161.5000000001</v>
      </c>
      <c r="J16" s="579">
        <f t="shared" si="2"/>
        <v>788287.5000000001</v>
      </c>
      <c r="K16" s="579">
        <f t="shared" si="2"/>
        <v>851350.5</v>
      </c>
      <c r="L16" s="580">
        <f t="shared" si="2"/>
        <v>882473.2583333335</v>
      </c>
      <c r="M16" s="200">
        <f>SUM(M15:M15)</f>
        <v>4713550.508333334</v>
      </c>
    </row>
  </sheetData>
  <sheetProtection/>
  <mergeCells count="11">
    <mergeCell ref="F7:F8"/>
    <mergeCell ref="G7:G8"/>
    <mergeCell ref="H7:H8"/>
    <mergeCell ref="A7:B8"/>
    <mergeCell ref="C7:C8"/>
    <mergeCell ref="D7:D8"/>
    <mergeCell ref="E7:E8"/>
    <mergeCell ref="I7:I8"/>
    <mergeCell ref="J7:J8"/>
    <mergeCell ref="K7:K8"/>
    <mergeCell ref="L7:L8"/>
  </mergeCells>
  <printOptions/>
  <pageMargins left="1.17" right="0.3937007874015748" top="2.08" bottom="0.984251968503937" header="0.21" footer="0"/>
  <pageSetup horizontalDpi="600" verticalDpi="600" orientation="landscape" paperSize="9" r:id="rId1"/>
  <headerFooter alignWithMargins="0">
    <oddHeader>&amp;C
&amp;"Arial,Negrita"&amp;12
ANEXOS FINANCIEROS
ANEXO 5.4 PRESUPUESTO DE VENTAS MACADAMIA NATURAL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.28125" style="0" bestFit="1" customWidth="1"/>
    <col min="2" max="2" width="13.421875" style="0" bestFit="1" customWidth="1"/>
    <col min="3" max="3" width="14.28125" style="0" bestFit="1" customWidth="1"/>
    <col min="4" max="4" width="13.7109375" style="0" bestFit="1" customWidth="1"/>
    <col min="5" max="5" width="12.421875" style="0" bestFit="1" customWidth="1"/>
  </cols>
  <sheetData>
    <row r="1" spans="1:5" ht="16.5" customHeight="1">
      <c r="A1" s="377" t="s">
        <v>43</v>
      </c>
      <c r="B1" s="378" t="s">
        <v>192</v>
      </c>
      <c r="C1" s="378" t="s">
        <v>194</v>
      </c>
      <c r="D1" s="378" t="s">
        <v>197</v>
      </c>
      <c r="E1" s="379" t="s">
        <v>196</v>
      </c>
    </row>
    <row r="2" spans="1:5" ht="16.5" customHeight="1" thickBot="1">
      <c r="A2" s="380"/>
      <c r="B2" s="381" t="s">
        <v>193</v>
      </c>
      <c r="C2" s="381" t="s">
        <v>195</v>
      </c>
      <c r="D2" s="381" t="s">
        <v>198</v>
      </c>
      <c r="E2" s="382" t="s">
        <v>456</v>
      </c>
    </row>
    <row r="3" spans="1:7" ht="16.5" customHeight="1">
      <c r="A3" s="383">
        <v>2006</v>
      </c>
      <c r="B3" s="384">
        <v>725</v>
      </c>
      <c r="C3" s="384">
        <v>2173500</v>
      </c>
      <c r="D3" s="384">
        <f>C3/1000</f>
        <v>2173.5</v>
      </c>
      <c r="E3" s="385">
        <f>D3*10%</f>
        <v>217.35000000000002</v>
      </c>
      <c r="G3">
        <v>0</v>
      </c>
    </row>
    <row r="4" spans="1:7" ht="16.5" customHeight="1">
      <c r="A4" s="386">
        <v>2007</v>
      </c>
      <c r="B4" s="387">
        <v>750</v>
      </c>
      <c r="C4" s="387">
        <v>2249573</v>
      </c>
      <c r="D4" s="387">
        <f aca="true" t="shared" si="0" ref="D4:D16">C4/1000</f>
        <v>2249.573</v>
      </c>
      <c r="E4" s="388">
        <f>D4*10%</f>
        <v>224.9573</v>
      </c>
      <c r="F4" s="228">
        <f>C4/C3</f>
        <v>1.0350002300437082</v>
      </c>
      <c r="G4">
        <v>1</v>
      </c>
    </row>
    <row r="5" spans="1:7" ht="16.5" customHeight="1">
      <c r="A5" s="386">
        <v>2008</v>
      </c>
      <c r="B5" s="387">
        <v>776</v>
      </c>
      <c r="C5" s="387">
        <v>2328308</v>
      </c>
      <c r="D5" s="387">
        <f t="shared" si="0"/>
        <v>2328.308</v>
      </c>
      <c r="E5" s="388">
        <f>D5*10%</f>
        <v>232.8308</v>
      </c>
      <c r="F5" s="228">
        <f aca="true" t="shared" si="1" ref="F5:F12">C5/C4</f>
        <v>1.0349999755509156</v>
      </c>
      <c r="G5">
        <v>2</v>
      </c>
    </row>
    <row r="6" spans="1:7" ht="16.5" customHeight="1">
      <c r="A6" s="386">
        <v>2009</v>
      </c>
      <c r="B6" s="387">
        <v>803</v>
      </c>
      <c r="C6" s="387">
        <v>2409798</v>
      </c>
      <c r="D6" s="387">
        <f t="shared" si="0"/>
        <v>2409.798</v>
      </c>
      <c r="E6" s="388">
        <f aca="true" t="shared" si="2" ref="E6:E16">D6*10%</f>
        <v>240.97979999999998</v>
      </c>
      <c r="F6" s="228">
        <f t="shared" si="1"/>
        <v>1.034999664992776</v>
      </c>
      <c r="G6">
        <v>3</v>
      </c>
    </row>
    <row r="7" spans="1:7" ht="16.5" customHeight="1">
      <c r="A7" s="386">
        <v>2010</v>
      </c>
      <c r="B7" s="387">
        <v>831</v>
      </c>
      <c r="C7" s="387">
        <v>2494141</v>
      </c>
      <c r="D7" s="387">
        <f t="shared" si="0"/>
        <v>2494.141</v>
      </c>
      <c r="E7" s="388">
        <f t="shared" si="2"/>
        <v>249.41410000000002</v>
      </c>
      <c r="F7" s="228">
        <f t="shared" si="1"/>
        <v>1.0350000290480779</v>
      </c>
      <c r="G7">
        <v>4</v>
      </c>
    </row>
    <row r="8" spans="1:7" ht="16.5" customHeight="1">
      <c r="A8" s="386">
        <v>2011</v>
      </c>
      <c r="B8" s="387">
        <v>860</v>
      </c>
      <c r="C8" s="387">
        <v>2581436</v>
      </c>
      <c r="D8" s="387">
        <f t="shared" si="0"/>
        <v>2581.436</v>
      </c>
      <c r="E8" s="388">
        <f t="shared" si="2"/>
        <v>258.14360000000005</v>
      </c>
      <c r="F8" s="228">
        <f t="shared" si="1"/>
        <v>1.0350000260610768</v>
      </c>
      <c r="G8">
        <v>5</v>
      </c>
    </row>
    <row r="9" spans="1:7" ht="16.5" customHeight="1">
      <c r="A9" s="386">
        <v>2012</v>
      </c>
      <c r="B9" s="387">
        <v>891</v>
      </c>
      <c r="C9" s="387">
        <v>2671786</v>
      </c>
      <c r="D9" s="387">
        <f t="shared" si="0"/>
        <v>2671.786</v>
      </c>
      <c r="E9" s="388">
        <f t="shared" si="2"/>
        <v>267.1786</v>
      </c>
      <c r="F9" s="228">
        <f t="shared" si="1"/>
        <v>1.0349998992808653</v>
      </c>
      <c r="G9">
        <v>6</v>
      </c>
    </row>
    <row r="10" spans="1:7" ht="16.5" customHeight="1">
      <c r="A10" s="386">
        <v>2013</v>
      </c>
      <c r="B10" s="387">
        <v>922</v>
      </c>
      <c r="C10" s="387">
        <v>2765299</v>
      </c>
      <c r="D10" s="387">
        <f t="shared" si="0"/>
        <v>2765.299</v>
      </c>
      <c r="E10" s="388">
        <f t="shared" si="2"/>
        <v>276.5299</v>
      </c>
      <c r="F10" s="228">
        <f t="shared" si="1"/>
        <v>1.0350001833979219</v>
      </c>
      <c r="G10">
        <v>7</v>
      </c>
    </row>
    <row r="11" spans="1:7" ht="16.5" customHeight="1">
      <c r="A11" s="386">
        <v>2014</v>
      </c>
      <c r="B11" s="387">
        <v>954</v>
      </c>
      <c r="C11" s="387">
        <v>2862084</v>
      </c>
      <c r="D11" s="387">
        <f t="shared" si="0"/>
        <v>2862.084</v>
      </c>
      <c r="E11" s="388">
        <f t="shared" si="2"/>
        <v>286.2084</v>
      </c>
      <c r="F11" s="228">
        <f t="shared" si="1"/>
        <v>1.0349998318445854</v>
      </c>
      <c r="G11">
        <v>8</v>
      </c>
    </row>
    <row r="12" spans="1:7" ht="16.5" customHeight="1">
      <c r="A12" s="389">
        <v>2015</v>
      </c>
      <c r="B12" s="390">
        <v>987</v>
      </c>
      <c r="C12" s="391">
        <v>2962257</v>
      </c>
      <c r="D12" s="391">
        <f t="shared" si="0"/>
        <v>2962.257</v>
      </c>
      <c r="E12" s="388">
        <f t="shared" si="2"/>
        <v>296.2257</v>
      </c>
      <c r="F12" s="228">
        <f t="shared" si="1"/>
        <v>1.0350000209637453</v>
      </c>
      <c r="G12">
        <v>9</v>
      </c>
    </row>
    <row r="13" spans="1:7" ht="16.5" customHeight="1">
      <c r="A13" s="389">
        <v>2016</v>
      </c>
      <c r="B13" s="390">
        <f>B12*1.034</f>
        <v>1020.558</v>
      </c>
      <c r="C13" s="391">
        <f>C12*1.035</f>
        <v>3065935.9949999996</v>
      </c>
      <c r="D13" s="391">
        <f t="shared" si="0"/>
        <v>3065.935995</v>
      </c>
      <c r="E13" s="388">
        <f t="shared" si="2"/>
        <v>306.5935995</v>
      </c>
      <c r="G13">
        <v>10</v>
      </c>
    </row>
    <row r="14" spans="1:7" ht="16.5" customHeight="1">
      <c r="A14" s="389">
        <v>2017</v>
      </c>
      <c r="B14" s="390">
        <f>B13*1.034</f>
        <v>1055.2569720000001</v>
      </c>
      <c r="C14" s="391">
        <f>C13*1.035</f>
        <v>3173243.7548249993</v>
      </c>
      <c r="D14" s="391">
        <f t="shared" si="0"/>
        <v>3173.243754824999</v>
      </c>
      <c r="E14" s="388">
        <f t="shared" si="2"/>
        <v>317.32437548249993</v>
      </c>
      <c r="G14">
        <v>11</v>
      </c>
    </row>
    <row r="15" spans="1:7" ht="16.5" customHeight="1">
      <c r="A15" s="389">
        <v>2018</v>
      </c>
      <c r="B15" s="390">
        <f>B14*1.034</f>
        <v>1091.135709048</v>
      </c>
      <c r="C15" s="391">
        <f>C14*1.035</f>
        <v>3284307.286243874</v>
      </c>
      <c r="D15" s="391">
        <f t="shared" si="0"/>
        <v>3284.307286243874</v>
      </c>
      <c r="E15" s="388">
        <f t="shared" si="2"/>
        <v>328.4307286243874</v>
      </c>
      <c r="G15">
        <v>12</v>
      </c>
    </row>
    <row r="16" spans="1:7" ht="16.5" customHeight="1" thickBot="1">
      <c r="A16" s="392">
        <v>2019</v>
      </c>
      <c r="B16" s="393">
        <f>B15*1.034</f>
        <v>1128.2343231556322</v>
      </c>
      <c r="C16" s="394">
        <f>C15*1.035</f>
        <v>3399258.0412624096</v>
      </c>
      <c r="D16" s="394">
        <f t="shared" si="0"/>
        <v>3399.2580412624097</v>
      </c>
      <c r="E16" s="395">
        <f t="shared" si="2"/>
        <v>339.925804126241</v>
      </c>
      <c r="G16">
        <v>13</v>
      </c>
    </row>
    <row r="18" spans="2:5" ht="12.75">
      <c r="B18" s="374" t="s">
        <v>580</v>
      </c>
      <c r="C18" s="375"/>
      <c r="E18" t="s">
        <v>583</v>
      </c>
    </row>
    <row r="19" spans="2:3" ht="12.75">
      <c r="B19" s="374" t="s">
        <v>581</v>
      </c>
      <c r="C19" s="376"/>
    </row>
    <row r="20" spans="2:3" ht="12.75">
      <c r="B20" s="374" t="s">
        <v>582</v>
      </c>
      <c r="C20" s="631" t="s">
        <v>619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0.140625" style="0" customWidth="1"/>
    <col min="2" max="2" width="4.8515625" style="0" bestFit="1" customWidth="1"/>
    <col min="3" max="3" width="11.7109375" style="0" bestFit="1" customWidth="1"/>
    <col min="4" max="9" width="10.140625" style="0" bestFit="1" customWidth="1"/>
    <col min="10" max="12" width="11.7109375" style="0" bestFit="1" customWidth="1"/>
  </cols>
  <sheetData>
    <row r="1" spans="1:12" ht="12.75">
      <c r="A1" s="510" t="s">
        <v>349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5"/>
    </row>
    <row r="2" spans="1:12" ht="12.75">
      <c r="A2" s="507" t="s">
        <v>270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7"/>
    </row>
    <row r="3" spans="1:12" ht="12.75">
      <c r="A3" s="171" t="s">
        <v>352</v>
      </c>
      <c r="B3" s="170"/>
      <c r="C3" s="158"/>
      <c r="D3" s="571"/>
      <c r="E3" s="571"/>
      <c r="F3" s="571"/>
      <c r="G3" s="571"/>
      <c r="H3" s="571"/>
      <c r="I3" s="571"/>
      <c r="J3" s="571"/>
      <c r="K3" s="571"/>
      <c r="L3" s="572"/>
    </row>
    <row r="4" spans="1:12" ht="12.75">
      <c r="A4" s="75" t="s">
        <v>351</v>
      </c>
      <c r="B4" s="75">
        <v>100</v>
      </c>
      <c r="C4" s="69"/>
      <c r="D4" s="170"/>
      <c r="E4" s="170"/>
      <c r="F4" s="170"/>
      <c r="G4" s="170"/>
      <c r="H4" s="170"/>
      <c r="I4" s="170"/>
      <c r="J4" s="170"/>
      <c r="K4" s="170"/>
      <c r="L4" s="175"/>
    </row>
    <row r="5" spans="1:12" ht="25.5">
      <c r="A5" s="591" t="s">
        <v>353</v>
      </c>
      <c r="B5" s="72">
        <v>50</v>
      </c>
      <c r="C5" s="72"/>
      <c r="D5" s="109"/>
      <c r="E5" s="109"/>
      <c r="F5" s="109"/>
      <c r="G5" s="109"/>
      <c r="H5" s="109"/>
      <c r="I5" s="109"/>
      <c r="J5" s="109"/>
      <c r="K5" s="109"/>
      <c r="L5" s="110"/>
    </row>
    <row r="6" spans="1:12" ht="12.75">
      <c r="A6" s="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5"/>
    </row>
    <row r="7" spans="1:12" ht="12.75">
      <c r="A7" s="760" t="s">
        <v>355</v>
      </c>
      <c r="B7" s="761"/>
      <c r="C7" s="757">
        <v>4</v>
      </c>
      <c r="D7" s="757">
        <v>5</v>
      </c>
      <c r="E7" s="757">
        <v>6</v>
      </c>
      <c r="F7" s="757">
        <v>7</v>
      </c>
      <c r="G7" s="757">
        <v>8</v>
      </c>
      <c r="H7" s="757">
        <v>9</v>
      </c>
      <c r="I7" s="757">
        <v>10</v>
      </c>
      <c r="J7" s="757">
        <v>11</v>
      </c>
      <c r="K7" s="757">
        <v>12</v>
      </c>
      <c r="L7" s="757">
        <v>13</v>
      </c>
    </row>
    <row r="8" spans="1:12" ht="12.75">
      <c r="A8" s="762"/>
      <c r="B8" s="763"/>
      <c r="C8" s="764"/>
      <c r="D8" s="758"/>
      <c r="E8" s="758"/>
      <c r="F8" s="758"/>
      <c r="G8" s="758"/>
      <c r="H8" s="758"/>
      <c r="I8" s="758"/>
      <c r="J8" s="758"/>
      <c r="K8" s="758"/>
      <c r="L8" s="758"/>
    </row>
    <row r="9" spans="1:12" ht="12.75">
      <c r="A9" s="581" t="s">
        <v>362</v>
      </c>
      <c r="B9" s="582"/>
      <c r="C9" s="583"/>
      <c r="D9" s="583"/>
      <c r="E9" s="583"/>
      <c r="F9" s="583"/>
      <c r="G9" s="583"/>
      <c r="H9" s="583"/>
      <c r="I9" s="583"/>
      <c r="J9" s="583"/>
      <c r="K9" s="583"/>
      <c r="L9" s="583"/>
    </row>
    <row r="10" spans="1:12" ht="12.75">
      <c r="A10" s="581"/>
      <c r="B10" s="582"/>
      <c r="C10" s="562"/>
      <c r="D10" s="562"/>
      <c r="E10" s="562"/>
      <c r="F10" s="562"/>
      <c r="G10" s="562"/>
      <c r="H10" s="562"/>
      <c r="I10" s="562"/>
      <c r="J10" s="562"/>
      <c r="K10" s="562"/>
      <c r="L10" s="562"/>
    </row>
    <row r="11" spans="1:12" ht="25.5">
      <c r="A11" s="592" t="s">
        <v>411</v>
      </c>
      <c r="B11" s="357" t="s">
        <v>357</v>
      </c>
      <c r="C11" s="238">
        <f>+Ventas1!C11</f>
        <v>3822</v>
      </c>
      <c r="D11" s="238">
        <f>+Ventas1!D11</f>
        <v>22932</v>
      </c>
      <c r="E11" s="238">
        <f>+Ventas1!E11</f>
        <v>38220</v>
      </c>
      <c r="F11" s="238">
        <f>+Ventas1!F11</f>
        <v>61152</v>
      </c>
      <c r="G11" s="238">
        <f>+Ventas1!G11</f>
        <v>107016</v>
      </c>
      <c r="H11" s="238">
        <f>+Ventas1!H11</f>
        <v>137592</v>
      </c>
      <c r="I11" s="238">
        <f>+Ventas1!I11</f>
        <v>160524</v>
      </c>
      <c r="J11" s="238">
        <f>+Ventas1!J11</f>
        <v>191100</v>
      </c>
      <c r="K11" s="238">
        <f>+Ventas1!K11</f>
        <v>206388</v>
      </c>
      <c r="L11" s="238">
        <f>+Ventas1!L11</f>
        <v>214032</v>
      </c>
    </row>
    <row r="12" spans="1:12" ht="12.75">
      <c r="A12" s="444"/>
      <c r="B12" s="357"/>
      <c r="C12" s="562"/>
      <c r="D12" s="562"/>
      <c r="E12" s="562"/>
      <c r="F12" s="562"/>
      <c r="G12" s="562"/>
      <c r="H12" s="562"/>
      <c r="I12" s="562"/>
      <c r="J12" s="562"/>
      <c r="K12" s="562"/>
      <c r="L12" s="562"/>
    </row>
    <row r="13" spans="1:12" ht="12.75">
      <c r="A13" s="444" t="s">
        <v>358</v>
      </c>
      <c r="B13" s="357" t="s">
        <v>415</v>
      </c>
      <c r="C13" s="238">
        <f>+Producción!B13</f>
        <v>2102.1000000000004</v>
      </c>
      <c r="D13" s="238">
        <f>+Producción!C13</f>
        <v>12612.6</v>
      </c>
      <c r="E13" s="238">
        <f>+Producción!D13</f>
        <v>21021</v>
      </c>
      <c r="F13" s="238">
        <f>+Producción!E13</f>
        <v>33633.600000000006</v>
      </c>
      <c r="G13" s="238">
        <f>+Producción!F13</f>
        <v>58858.8</v>
      </c>
      <c r="H13" s="238">
        <f>+Producción!G13</f>
        <v>75675.6</v>
      </c>
      <c r="I13" s="238">
        <f>+Producción!H13</f>
        <v>88288.20000000001</v>
      </c>
      <c r="J13" s="238">
        <f>+Producción!I13</f>
        <v>105105.00000000001</v>
      </c>
      <c r="K13" s="238">
        <f>+Producción!J13</f>
        <v>113513.40000000001</v>
      </c>
      <c r="L13" s="238">
        <f>+Producción!K13</f>
        <v>117717.6</v>
      </c>
    </row>
    <row r="14" spans="1:12" ht="12.75">
      <c r="A14" s="444" t="s">
        <v>359</v>
      </c>
      <c r="B14" s="357" t="s">
        <v>270</v>
      </c>
      <c r="C14" s="565">
        <f>+Precio!B5</f>
        <v>3</v>
      </c>
      <c r="D14" s="565">
        <f>+C14</f>
        <v>3</v>
      </c>
      <c r="E14" s="565">
        <f aca="true" t="shared" si="0" ref="E14:L14">+D14</f>
        <v>3</v>
      </c>
      <c r="F14" s="565">
        <f t="shared" si="0"/>
        <v>3</v>
      </c>
      <c r="G14" s="565">
        <f t="shared" si="0"/>
        <v>3</v>
      </c>
      <c r="H14" s="565">
        <f t="shared" si="0"/>
        <v>3</v>
      </c>
      <c r="I14" s="565">
        <f t="shared" si="0"/>
        <v>3</v>
      </c>
      <c r="J14" s="565">
        <f t="shared" si="0"/>
        <v>3</v>
      </c>
      <c r="K14" s="565">
        <f t="shared" si="0"/>
        <v>3</v>
      </c>
      <c r="L14" s="565">
        <f t="shared" si="0"/>
        <v>3</v>
      </c>
    </row>
    <row r="15" spans="1:12" ht="12.75">
      <c r="A15" s="444" t="s">
        <v>360</v>
      </c>
      <c r="B15" s="357" t="s">
        <v>270</v>
      </c>
      <c r="C15" s="584">
        <f>C13*C14</f>
        <v>6306.300000000001</v>
      </c>
      <c r="D15" s="584">
        <f aca="true" t="shared" si="1" ref="D15:L15">D13*D14</f>
        <v>37837.8</v>
      </c>
      <c r="E15" s="584">
        <f t="shared" si="1"/>
        <v>63063</v>
      </c>
      <c r="F15" s="584">
        <f t="shared" si="1"/>
        <v>100900.80000000002</v>
      </c>
      <c r="G15" s="584">
        <f t="shared" si="1"/>
        <v>176576.40000000002</v>
      </c>
      <c r="H15" s="584">
        <f t="shared" si="1"/>
        <v>227026.80000000002</v>
      </c>
      <c r="I15" s="584">
        <f t="shared" si="1"/>
        <v>264864.60000000003</v>
      </c>
      <c r="J15" s="584">
        <f t="shared" si="1"/>
        <v>315315.00000000006</v>
      </c>
      <c r="K15" s="584">
        <f t="shared" si="1"/>
        <v>340540.2</v>
      </c>
      <c r="L15" s="584">
        <f t="shared" si="1"/>
        <v>353152.80000000005</v>
      </c>
    </row>
    <row r="16" spans="1:12" ht="12.75">
      <c r="A16" s="444" t="s">
        <v>361</v>
      </c>
      <c r="B16" s="357" t="s">
        <v>270</v>
      </c>
      <c r="C16" s="584">
        <f>C15</f>
        <v>6306.300000000001</v>
      </c>
      <c r="D16" s="584">
        <f aca="true" t="shared" si="2" ref="D16:L16">D15</f>
        <v>37837.8</v>
      </c>
      <c r="E16" s="584">
        <f t="shared" si="2"/>
        <v>63063</v>
      </c>
      <c r="F16" s="584">
        <f t="shared" si="2"/>
        <v>100900.80000000002</v>
      </c>
      <c r="G16" s="584">
        <f t="shared" si="2"/>
        <v>176576.40000000002</v>
      </c>
      <c r="H16" s="584">
        <f t="shared" si="2"/>
        <v>227026.80000000002</v>
      </c>
      <c r="I16" s="584">
        <f t="shared" si="2"/>
        <v>264864.60000000003</v>
      </c>
      <c r="J16" s="584">
        <f t="shared" si="2"/>
        <v>315315.00000000006</v>
      </c>
      <c r="K16" s="584">
        <f t="shared" si="2"/>
        <v>340540.2</v>
      </c>
      <c r="L16" s="584">
        <f t="shared" si="2"/>
        <v>353152.80000000005</v>
      </c>
    </row>
    <row r="17" spans="1:12" ht="12" customHeight="1">
      <c r="A17" s="451"/>
      <c r="B17" s="585"/>
      <c r="C17" s="566"/>
      <c r="D17" s="566"/>
      <c r="E17" s="566"/>
      <c r="F17" s="566"/>
      <c r="G17" s="566"/>
      <c r="H17" s="566"/>
      <c r="I17" s="566"/>
      <c r="J17" s="566"/>
      <c r="K17" s="566"/>
      <c r="L17" s="566"/>
    </row>
    <row r="18" spans="1:12" ht="12.75">
      <c r="A18" s="590" t="s">
        <v>363</v>
      </c>
      <c r="B18" s="561"/>
      <c r="C18" s="586">
        <f>+Ventas1!C15+Ventas2!C15</f>
        <v>22072.050000000003</v>
      </c>
      <c r="D18" s="587">
        <f>+Ventas1!D15+Ventas2!D15</f>
        <v>132432.3</v>
      </c>
      <c r="E18" s="587">
        <f>+Ventas1!E15+Ventas2!E15</f>
        <v>220720.5</v>
      </c>
      <c r="F18" s="587">
        <f>+Ventas1!F15+Ventas2!F15</f>
        <v>353152.80000000005</v>
      </c>
      <c r="G18" s="587">
        <f>+Ventas1!G15+Ventas2!G15</f>
        <v>618017.4000000001</v>
      </c>
      <c r="H18" s="587">
        <f>+Ventas1!H15+Ventas2!H15</f>
        <v>794593.8</v>
      </c>
      <c r="I18" s="587">
        <f>+Ventas1!I15+Ventas2!I15</f>
        <v>927026.1000000001</v>
      </c>
      <c r="J18" s="587">
        <f>+Ventas1!J15+Ventas2!J15</f>
        <v>1103602.5000000002</v>
      </c>
      <c r="K18" s="587">
        <f>+Ventas1!K15+Ventas2!K15</f>
        <v>1191890.7</v>
      </c>
      <c r="L18" s="587">
        <f>+Ventas1!L15+Ventas2!L15</f>
        <v>1235626.0583333336</v>
      </c>
    </row>
    <row r="19" spans="1:12" ht="12.75">
      <c r="A19" s="542" t="s">
        <v>364</v>
      </c>
      <c r="B19" s="567"/>
      <c r="C19" s="586">
        <f>C18</f>
        <v>22072.050000000003</v>
      </c>
      <c r="D19" s="586">
        <f aca="true" t="shared" si="3" ref="D19:L19">D18</f>
        <v>132432.3</v>
      </c>
      <c r="E19" s="586">
        <f t="shared" si="3"/>
        <v>220720.5</v>
      </c>
      <c r="F19" s="586">
        <f t="shared" si="3"/>
        <v>353152.80000000005</v>
      </c>
      <c r="G19" s="586">
        <f t="shared" si="3"/>
        <v>618017.4000000001</v>
      </c>
      <c r="H19" s="586">
        <f t="shared" si="3"/>
        <v>794593.8</v>
      </c>
      <c r="I19" s="586">
        <f t="shared" si="3"/>
        <v>927026.1000000001</v>
      </c>
      <c r="J19" s="586">
        <f t="shared" si="3"/>
        <v>1103602.5000000002</v>
      </c>
      <c r="K19" s="586">
        <f t="shared" si="3"/>
        <v>1191890.7</v>
      </c>
      <c r="L19" s="586">
        <f t="shared" si="3"/>
        <v>1235626.0583333336</v>
      </c>
    </row>
    <row r="20" spans="1:12" ht="16.5" customHeight="1">
      <c r="A20" s="726" t="s">
        <v>365</v>
      </c>
      <c r="B20" s="728"/>
      <c r="C20" s="588">
        <f>SUM(C19:L19)</f>
        <v>6599134.208333335</v>
      </c>
      <c r="D20" s="513"/>
      <c r="E20" s="513"/>
      <c r="F20" s="513"/>
      <c r="G20" s="513"/>
      <c r="H20" s="513"/>
      <c r="I20" s="513"/>
      <c r="J20" s="513"/>
      <c r="K20" s="513"/>
      <c r="L20" s="589"/>
    </row>
    <row r="23" spans="4:5" ht="12.75">
      <c r="D23" s="12">
        <f>E13+Ventas1!E13</f>
        <v>84084</v>
      </c>
      <c r="E23" s="12">
        <f>D23*PE!B33%</f>
        <v>59880.401549875096</v>
      </c>
    </row>
  </sheetData>
  <sheetProtection/>
  <mergeCells count="12">
    <mergeCell ref="E7:E8"/>
    <mergeCell ref="F7:F8"/>
    <mergeCell ref="A20:B20"/>
    <mergeCell ref="A7:B8"/>
    <mergeCell ref="C7:C8"/>
    <mergeCell ref="D7:D8"/>
    <mergeCell ref="G7:G8"/>
    <mergeCell ref="L7:L8"/>
    <mergeCell ref="H7:H8"/>
    <mergeCell ref="I7:I8"/>
    <mergeCell ref="J7:J8"/>
    <mergeCell ref="K7:K8"/>
  </mergeCells>
  <printOptions/>
  <pageMargins left="0.9055118110236221" right="0.5905511811023623" top="1.96" bottom="0.984251968503937" header="0.46" footer="0"/>
  <pageSetup horizontalDpi="600" verticalDpi="600" orientation="landscape" paperSize="9" scale="85" r:id="rId1"/>
  <headerFooter alignWithMargins="0">
    <oddHeader>&amp;C
&amp;"Arial,Negrita"&amp;12ANEXOS FINANCIEROS
ANEXO 5.5 PRESUPUESTO DE VENTAS MACADAMIA TOSTADA Y TOTAL DE VENTAS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36.7109375" style="0" customWidth="1"/>
    <col min="2" max="2" width="3.8515625" style="201" hidden="1" customWidth="1"/>
    <col min="3" max="3" width="9.421875" style="0" customWidth="1"/>
    <col min="4" max="5" width="9.57421875" style="0" customWidth="1"/>
    <col min="6" max="6" width="10.140625" style="0" customWidth="1"/>
    <col min="7" max="7" width="10.421875" style="0" customWidth="1"/>
    <col min="8" max="8" width="9.7109375" style="0" customWidth="1"/>
    <col min="9" max="9" width="10.00390625" style="0" customWidth="1"/>
    <col min="10" max="10" width="10.28125" style="0" customWidth="1"/>
    <col min="11" max="11" width="9.8515625" style="0" customWidth="1"/>
    <col min="12" max="12" width="11.140625" style="0" customWidth="1"/>
    <col min="14" max="14" width="28.8515625" style="0" customWidth="1"/>
  </cols>
  <sheetData>
    <row r="1" spans="1:12" ht="12.75">
      <c r="A1" s="534" t="s">
        <v>280</v>
      </c>
      <c r="B1" s="605" t="s">
        <v>341</v>
      </c>
      <c r="C1" s="534">
        <v>4</v>
      </c>
      <c r="D1" s="534">
        <v>5</v>
      </c>
      <c r="E1" s="534">
        <v>6</v>
      </c>
      <c r="F1" s="534">
        <v>7</v>
      </c>
      <c r="G1" s="534">
        <v>8</v>
      </c>
      <c r="H1" s="534">
        <v>9</v>
      </c>
      <c r="I1" s="534">
        <v>10</v>
      </c>
      <c r="J1" s="534">
        <v>11</v>
      </c>
      <c r="K1" s="534">
        <v>12</v>
      </c>
      <c r="L1" s="534">
        <v>13</v>
      </c>
    </row>
    <row r="2" spans="1:12" ht="12.75">
      <c r="A2" s="606" t="s">
        <v>325</v>
      </c>
      <c r="B2" s="607"/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2" ht="12.75">
      <c r="A3" s="581" t="s">
        <v>326</v>
      </c>
      <c r="B3" s="593"/>
      <c r="C3" s="594">
        <f>MOD!U18*49</f>
        <v>4900</v>
      </c>
      <c r="D3" s="594">
        <f>MOD!V18*49</f>
        <v>6860</v>
      </c>
      <c r="E3" s="594">
        <f>MOD!W18*49</f>
        <v>8330</v>
      </c>
      <c r="F3" s="594">
        <f>MOD!X18*49</f>
        <v>10045</v>
      </c>
      <c r="G3" s="594">
        <f>MOD!Y18*49</f>
        <v>12740</v>
      </c>
      <c r="H3" s="594">
        <f>MOD!Z18*49</f>
        <v>14700</v>
      </c>
      <c r="I3" s="594">
        <f>MOD!AA18*49</f>
        <v>16170</v>
      </c>
      <c r="J3" s="594">
        <f>MOD!AB18*49</f>
        <v>18130</v>
      </c>
      <c r="K3" s="594">
        <f>MOD!AC18*49</f>
        <v>19110</v>
      </c>
      <c r="L3" s="595">
        <f>MOD!AD18*49</f>
        <v>19600</v>
      </c>
    </row>
    <row r="4" spans="1:14" ht="12.75">
      <c r="A4" s="444" t="s">
        <v>327</v>
      </c>
      <c r="B4" s="596"/>
      <c r="C4" s="239">
        <f>MODF!E2+MODF!E3</f>
        <v>19920</v>
      </c>
      <c r="D4" s="239">
        <f>C4*(1+Producción!$L$20)</f>
        <v>26391.497170354134</v>
      </c>
      <c r="E4" s="239">
        <f>D4*(1+Producción!$L$20)</f>
        <v>34965.41781590413</v>
      </c>
      <c r="F4" s="239">
        <f>E4*(1+Producción!$L$20)</f>
        <v>46324.78540907048</v>
      </c>
      <c r="G4" s="239">
        <f>F4*(1+Producción!$L$20)</f>
        <v>61374.52023296918</v>
      </c>
      <c r="H4" s="239">
        <f>G4*(1+Producción!$L$20)</f>
        <v>81313.52796487193</v>
      </c>
      <c r="I4" s="239">
        <f>H4*(1+Producción!$L$20)</f>
        <v>107730.20799178861</v>
      </c>
      <c r="J4" s="239">
        <f>I4*(1+Producción!$L$20)</f>
        <v>142728.98992856182</v>
      </c>
      <c r="K4" s="239">
        <f>J4*(1+Producción!$L$20)</f>
        <v>189097.97860578026</v>
      </c>
      <c r="L4" s="238">
        <f>K4*(1+Producción!$L$20)</f>
        <v>250531.0626151675</v>
      </c>
      <c r="M4" s="233"/>
      <c r="N4" s="635" t="s">
        <v>626</v>
      </c>
    </row>
    <row r="5" spans="1:12" ht="12.75">
      <c r="A5" s="444" t="s">
        <v>417</v>
      </c>
      <c r="B5" s="596"/>
      <c r="C5" s="239">
        <f>MD!F39*49</f>
        <v>10437</v>
      </c>
      <c r="D5" s="239">
        <f>MD!G39*49</f>
        <v>11368</v>
      </c>
      <c r="E5" s="239">
        <f>MD!H39*49</f>
        <v>12250</v>
      </c>
      <c r="F5" s="239">
        <f>MD!I39*49</f>
        <v>13426</v>
      </c>
      <c r="G5" s="239">
        <f>MD!J39*49</f>
        <v>14357</v>
      </c>
      <c r="H5" s="239">
        <f>MD!K39*49</f>
        <v>15239</v>
      </c>
      <c r="I5" s="239">
        <f>MD!L39*49</f>
        <v>16170</v>
      </c>
      <c r="J5" s="239">
        <f>MD!M39*49</f>
        <v>17101</v>
      </c>
      <c r="K5" s="239">
        <f>MD!N39*49</f>
        <v>18032</v>
      </c>
      <c r="L5" s="238">
        <f>MD!O39*49</f>
        <v>18032</v>
      </c>
    </row>
    <row r="6" spans="1:14" ht="12.75">
      <c r="A6" s="444" t="s">
        <v>418</v>
      </c>
      <c r="B6" s="596" t="s">
        <v>329</v>
      </c>
      <c r="C6" s="239">
        <f>((3+0.51)*0.05)*Producción!B13</f>
        <v>368.91855000000004</v>
      </c>
      <c r="D6" s="239">
        <f>((3+0.51)*0.05)*Producción!C13</f>
        <v>2213.5113</v>
      </c>
      <c r="E6" s="239">
        <f>((3+0.51)*0.05)*Producción!D13</f>
        <v>3689.1854999999996</v>
      </c>
      <c r="F6" s="239">
        <f>((3+0.51)*0.05)*Producción!E13</f>
        <v>5902.696800000001</v>
      </c>
      <c r="G6" s="239">
        <f>((3+0.51)*0.05)*Producción!F13</f>
        <v>10329.7194</v>
      </c>
      <c r="H6" s="239">
        <f>((3+0.51)*0.05)*Producción!G13</f>
        <v>13281.0678</v>
      </c>
      <c r="I6" s="239">
        <f>((3+0.51)*0.05)*Producción!H13</f>
        <v>15494.5791</v>
      </c>
      <c r="J6" s="239">
        <f>((3+0.51)*0.05)*Producción!I13</f>
        <v>18445.9275</v>
      </c>
      <c r="K6" s="239">
        <f>((3+0.51)*0.05)*Producción!J13</f>
        <v>19921.6017</v>
      </c>
      <c r="L6" s="238">
        <f>((3+0.51)*0.05)*Producción!K13</f>
        <v>20659.4388</v>
      </c>
      <c r="N6" s="635" t="s">
        <v>627</v>
      </c>
    </row>
    <row r="7" spans="1:14" ht="12.75">
      <c r="A7" s="451" t="s">
        <v>328</v>
      </c>
      <c r="B7" s="597" t="s">
        <v>342</v>
      </c>
      <c r="C7" s="568">
        <f>3%*(C3+C4+C5)</f>
        <v>1057.71</v>
      </c>
      <c r="D7" s="568">
        <f aca="true" t="shared" si="0" ref="D7:L7">3%*(D3+D4+D5)</f>
        <v>1338.584915110624</v>
      </c>
      <c r="E7" s="568">
        <f t="shared" si="0"/>
        <v>1666.362534477124</v>
      </c>
      <c r="F7" s="568">
        <f t="shared" si="0"/>
        <v>2093.873562272114</v>
      </c>
      <c r="G7" s="568">
        <f t="shared" si="0"/>
        <v>2654.1456069890755</v>
      </c>
      <c r="H7" s="568">
        <f t="shared" si="0"/>
        <v>3337.5758389461575</v>
      </c>
      <c r="I7" s="568">
        <f t="shared" si="0"/>
        <v>4202.106239753659</v>
      </c>
      <c r="J7" s="568">
        <f t="shared" si="0"/>
        <v>5338.799697856854</v>
      </c>
      <c r="K7" s="568">
        <f t="shared" si="0"/>
        <v>6787.199358173408</v>
      </c>
      <c r="L7" s="569">
        <f t="shared" si="0"/>
        <v>8644.891878455024</v>
      </c>
      <c r="N7" s="637">
        <v>0.03</v>
      </c>
    </row>
    <row r="8" spans="1:14" ht="12.75">
      <c r="A8" s="598" t="s">
        <v>330</v>
      </c>
      <c r="B8" s="597"/>
      <c r="C8" s="568">
        <f>SUM(C3:C7)</f>
        <v>36683.62855</v>
      </c>
      <c r="D8" s="568">
        <f aca="true" t="shared" si="1" ref="D8:L8">SUM(D3:D7)</f>
        <v>48171.59338546476</v>
      </c>
      <c r="E8" s="568">
        <f t="shared" si="1"/>
        <v>60900.96585038125</v>
      </c>
      <c r="F8" s="568">
        <f t="shared" si="1"/>
        <v>77792.3557713426</v>
      </c>
      <c r="G8" s="568">
        <f t="shared" si="1"/>
        <v>101455.38523995825</v>
      </c>
      <c r="H8" s="568">
        <f t="shared" si="1"/>
        <v>127871.17160381809</v>
      </c>
      <c r="I8" s="568">
        <f t="shared" si="1"/>
        <v>159766.8933315423</v>
      </c>
      <c r="J8" s="568">
        <f t="shared" si="1"/>
        <v>201744.71712641866</v>
      </c>
      <c r="K8" s="568">
        <f t="shared" si="1"/>
        <v>252948.77966395367</v>
      </c>
      <c r="L8" s="599">
        <f t="shared" si="1"/>
        <v>317467.3932936225</v>
      </c>
      <c r="N8" s="635" t="s">
        <v>634</v>
      </c>
    </row>
    <row r="9" spans="1:12" ht="12.75">
      <c r="A9" s="606" t="s">
        <v>331</v>
      </c>
      <c r="B9" s="607"/>
      <c r="C9" s="606"/>
      <c r="D9" s="606"/>
      <c r="E9" s="606"/>
      <c r="F9" s="606"/>
      <c r="G9" s="606"/>
      <c r="H9" s="606"/>
      <c r="I9" s="606"/>
      <c r="J9" s="606"/>
      <c r="K9" s="606"/>
      <c r="L9" s="606"/>
    </row>
    <row r="10" spans="1:12" ht="12.75">
      <c r="A10" s="581" t="s">
        <v>248</v>
      </c>
      <c r="B10" s="600"/>
      <c r="C10" s="601">
        <f>+MOI!D7</f>
        <v>17040</v>
      </c>
      <c r="D10" s="594">
        <f>+C10</f>
        <v>17040</v>
      </c>
      <c r="E10" s="594">
        <f aca="true" t="shared" si="2" ref="E10:L10">+D10</f>
        <v>17040</v>
      </c>
      <c r="F10" s="594">
        <f t="shared" si="2"/>
        <v>17040</v>
      </c>
      <c r="G10" s="594">
        <f t="shared" si="2"/>
        <v>17040</v>
      </c>
      <c r="H10" s="594">
        <f t="shared" si="2"/>
        <v>17040</v>
      </c>
      <c r="I10" s="594">
        <f t="shared" si="2"/>
        <v>17040</v>
      </c>
      <c r="J10" s="594">
        <f t="shared" si="2"/>
        <v>17040</v>
      </c>
      <c r="K10" s="594">
        <f t="shared" si="2"/>
        <v>17040</v>
      </c>
      <c r="L10" s="595">
        <f t="shared" si="2"/>
        <v>17040</v>
      </c>
    </row>
    <row r="11" spans="1:14" ht="12.75">
      <c r="A11" s="444" t="s">
        <v>254</v>
      </c>
      <c r="B11" s="602"/>
      <c r="C11" s="239">
        <f>(MI!$C$2+MI!$B$3)*Producción!B11</f>
        <v>672.9586500000001</v>
      </c>
      <c r="D11" s="239">
        <f>(MI!$C$2+MI!$B$3)*Producción!C11</f>
        <v>4037.7519000000007</v>
      </c>
      <c r="E11" s="239">
        <f>(MI!$C$2+MI!$B$3)*Producción!D11</f>
        <v>6729.5865</v>
      </c>
      <c r="F11" s="239">
        <f>(MI!$C$2+MI!$B$3)*Producción!E11</f>
        <v>10767.338400000002</v>
      </c>
      <c r="G11" s="239">
        <f>(MI!$C$2+MI!$B$3)*Producción!F11</f>
        <v>18842.842200000003</v>
      </c>
      <c r="H11" s="239">
        <f>(MI!$C$2+MI!$B$3)*Producción!G11</f>
        <v>24226.511400000003</v>
      </c>
      <c r="I11" s="239">
        <f>(MI!$C$2+MI!$B$3)*Producción!H11</f>
        <v>28264.263300000006</v>
      </c>
      <c r="J11" s="239">
        <f>(MI!$C$2+MI!$B$3)*Producción!I11</f>
        <v>33647.93250000001</v>
      </c>
      <c r="K11" s="239">
        <f>(MI!$C$2+MI!$B$3)*Producción!J11</f>
        <v>36339.767100000005</v>
      </c>
      <c r="L11" s="238">
        <f>(MI!$C$2+MI!$B$3)*Producción!K11</f>
        <v>37685.684400000006</v>
      </c>
      <c r="N11" s="635" t="s">
        <v>630</v>
      </c>
    </row>
    <row r="12" spans="1:12" ht="12.75">
      <c r="A12" s="444" t="s">
        <v>255</v>
      </c>
      <c r="B12" s="602"/>
      <c r="C12" s="603">
        <f>420*12</f>
        <v>5040</v>
      </c>
      <c r="D12" s="239">
        <f aca="true" t="shared" si="3" ref="D12:D17">+C12</f>
        <v>5040</v>
      </c>
      <c r="E12" s="239">
        <f aca="true" t="shared" si="4" ref="E12:L12">+D12</f>
        <v>5040</v>
      </c>
      <c r="F12" s="239">
        <f t="shared" si="4"/>
        <v>5040</v>
      </c>
      <c r="G12" s="239">
        <f t="shared" si="4"/>
        <v>5040</v>
      </c>
      <c r="H12" s="239">
        <f t="shared" si="4"/>
        <v>5040</v>
      </c>
      <c r="I12" s="239">
        <f t="shared" si="4"/>
        <v>5040</v>
      </c>
      <c r="J12" s="239">
        <f t="shared" si="4"/>
        <v>5040</v>
      </c>
      <c r="K12" s="239">
        <f t="shared" si="4"/>
        <v>5040</v>
      </c>
      <c r="L12" s="238">
        <f t="shared" si="4"/>
        <v>5040</v>
      </c>
    </row>
    <row r="13" spans="1:12" ht="12.75">
      <c r="A13" s="444" t="s">
        <v>332</v>
      </c>
      <c r="B13" s="602"/>
      <c r="C13" s="603">
        <f>'Dep, mant, seg.'!G23+'Dep, mant, seg.'!H23</f>
        <v>6455.475</v>
      </c>
      <c r="D13" s="239">
        <f t="shared" si="3"/>
        <v>6455.475</v>
      </c>
      <c r="E13" s="239">
        <f aca="true" t="shared" si="5" ref="E13:L13">+D13</f>
        <v>6455.475</v>
      </c>
      <c r="F13" s="239">
        <f t="shared" si="5"/>
        <v>6455.475</v>
      </c>
      <c r="G13" s="239">
        <f t="shared" si="5"/>
        <v>6455.475</v>
      </c>
      <c r="H13" s="239">
        <f t="shared" si="5"/>
        <v>6455.475</v>
      </c>
      <c r="I13" s="239">
        <f t="shared" si="5"/>
        <v>6455.475</v>
      </c>
      <c r="J13" s="239">
        <f t="shared" si="5"/>
        <v>6455.475</v>
      </c>
      <c r="K13" s="239">
        <f t="shared" si="5"/>
        <v>6455.475</v>
      </c>
      <c r="L13" s="238">
        <f t="shared" si="5"/>
        <v>6455.475</v>
      </c>
    </row>
    <row r="14" spans="1:14" ht="12.75">
      <c r="A14" s="444" t="s">
        <v>333</v>
      </c>
      <c r="B14" s="602" t="s">
        <v>345</v>
      </c>
      <c r="C14" s="603">
        <v>1000</v>
      </c>
      <c r="D14" s="239">
        <f t="shared" si="3"/>
        <v>1000</v>
      </c>
      <c r="E14" s="239">
        <f aca="true" t="shared" si="6" ref="E14:L16">+D14</f>
        <v>1000</v>
      </c>
      <c r="F14" s="239">
        <f t="shared" si="6"/>
        <v>1000</v>
      </c>
      <c r="G14" s="239">
        <f t="shared" si="6"/>
        <v>1000</v>
      </c>
      <c r="H14" s="239">
        <f t="shared" si="6"/>
        <v>1000</v>
      </c>
      <c r="I14" s="239">
        <f t="shared" si="6"/>
        <v>1000</v>
      </c>
      <c r="J14" s="239">
        <f t="shared" si="6"/>
        <v>1000</v>
      </c>
      <c r="K14" s="239">
        <f t="shared" si="6"/>
        <v>1000</v>
      </c>
      <c r="L14" s="238">
        <f t="shared" si="6"/>
        <v>1000</v>
      </c>
      <c r="N14" s="765" t="s">
        <v>631</v>
      </c>
    </row>
    <row r="15" spans="1:14" ht="12.75">
      <c r="A15" s="444" t="s">
        <v>334</v>
      </c>
      <c r="B15" s="602"/>
      <c r="C15" s="603">
        <v>800</v>
      </c>
      <c r="D15" s="239">
        <f t="shared" si="3"/>
        <v>800</v>
      </c>
      <c r="E15" s="239">
        <f t="shared" si="6"/>
        <v>800</v>
      </c>
      <c r="F15" s="239">
        <f t="shared" si="6"/>
        <v>800</v>
      </c>
      <c r="G15" s="239">
        <f t="shared" si="6"/>
        <v>800</v>
      </c>
      <c r="H15" s="239">
        <f t="shared" si="6"/>
        <v>800</v>
      </c>
      <c r="I15" s="239">
        <f t="shared" si="6"/>
        <v>800</v>
      </c>
      <c r="J15" s="239">
        <f t="shared" si="6"/>
        <v>800</v>
      </c>
      <c r="K15" s="239">
        <f t="shared" si="6"/>
        <v>800</v>
      </c>
      <c r="L15" s="238">
        <f t="shared" si="6"/>
        <v>800</v>
      </c>
      <c r="N15" s="766"/>
    </row>
    <row r="16" spans="1:12" ht="12.75">
      <c r="A16" s="444" t="s">
        <v>335</v>
      </c>
      <c r="B16" s="602"/>
      <c r="C16" s="603">
        <f>+'Dep, mant, seg.'!F23</f>
        <v>27204.915478333336</v>
      </c>
      <c r="D16" s="239">
        <f t="shared" si="3"/>
        <v>27204.915478333336</v>
      </c>
      <c r="E16" s="239">
        <f t="shared" si="6"/>
        <v>27204.915478333336</v>
      </c>
      <c r="F16" s="239">
        <f t="shared" si="6"/>
        <v>27204.915478333336</v>
      </c>
      <c r="G16" s="239">
        <f t="shared" si="6"/>
        <v>27204.915478333336</v>
      </c>
      <c r="H16" s="239">
        <f t="shared" si="6"/>
        <v>27204.915478333336</v>
      </c>
      <c r="I16" s="239">
        <f t="shared" si="6"/>
        <v>27204.915478333336</v>
      </c>
      <c r="J16" s="239">
        <f t="shared" si="6"/>
        <v>27204.915478333336</v>
      </c>
      <c r="K16" s="239">
        <f t="shared" si="6"/>
        <v>27204.915478333336</v>
      </c>
      <c r="L16" s="238">
        <f t="shared" si="6"/>
        <v>27204.915478333336</v>
      </c>
    </row>
    <row r="17" spans="1:14" ht="12.75">
      <c r="A17" s="444" t="s">
        <v>336</v>
      </c>
      <c r="B17" s="602"/>
      <c r="C17" s="603">
        <f>+Inversiones!E33*20%</f>
        <v>8304</v>
      </c>
      <c r="D17" s="239">
        <f t="shared" si="3"/>
        <v>8304</v>
      </c>
      <c r="E17" s="239">
        <v>0</v>
      </c>
      <c r="F17" s="239">
        <v>0</v>
      </c>
      <c r="G17" s="239">
        <v>0</v>
      </c>
      <c r="H17" s="239">
        <v>0</v>
      </c>
      <c r="I17" s="239">
        <v>0</v>
      </c>
      <c r="J17" s="239">
        <v>0</v>
      </c>
      <c r="K17" s="239">
        <v>0</v>
      </c>
      <c r="L17" s="238">
        <v>0</v>
      </c>
      <c r="N17" s="635" t="s">
        <v>632</v>
      </c>
    </row>
    <row r="18" spans="1:12" ht="12.75">
      <c r="A18" s="451" t="s">
        <v>328</v>
      </c>
      <c r="B18" s="604" t="s">
        <v>342</v>
      </c>
      <c r="C18" s="568">
        <f>3%*(C10+C11+C12+C13+C14+C15)</f>
        <v>930.2530095</v>
      </c>
      <c r="D18" s="568">
        <f aca="true" t="shared" si="7" ref="D18:L18">3%*(D10+D11+D12+D13+D14+D15)</f>
        <v>1031.196807</v>
      </c>
      <c r="E18" s="568">
        <f t="shared" si="7"/>
        <v>1111.951845</v>
      </c>
      <c r="F18" s="568">
        <f t="shared" si="7"/>
        <v>1233.084402</v>
      </c>
      <c r="G18" s="568">
        <f t="shared" si="7"/>
        <v>1475.3495159999998</v>
      </c>
      <c r="H18" s="568">
        <f t="shared" si="7"/>
        <v>1636.859592</v>
      </c>
      <c r="I18" s="568">
        <f t="shared" si="7"/>
        <v>1757.9921490000002</v>
      </c>
      <c r="J18" s="568">
        <f t="shared" si="7"/>
        <v>1919.5022250000002</v>
      </c>
      <c r="K18" s="568">
        <f t="shared" si="7"/>
        <v>2000.257263</v>
      </c>
      <c r="L18" s="569">
        <f t="shared" si="7"/>
        <v>2040.634782</v>
      </c>
    </row>
    <row r="19" spans="1:12" ht="12.75">
      <c r="A19" s="598" t="s">
        <v>330</v>
      </c>
      <c r="B19" s="604"/>
      <c r="C19" s="568">
        <f>SUM(C10:C18)</f>
        <v>67447.60213783332</v>
      </c>
      <c r="D19" s="568">
        <f aca="true" t="shared" si="8" ref="D19:L19">SUM(D10:D18)</f>
        <v>70913.33918533335</v>
      </c>
      <c r="E19" s="568">
        <f t="shared" si="8"/>
        <v>65381.92882333334</v>
      </c>
      <c r="F19" s="568">
        <f t="shared" si="8"/>
        <v>69540.81328033333</v>
      </c>
      <c r="G19" s="568">
        <f t="shared" si="8"/>
        <v>77858.58219433333</v>
      </c>
      <c r="H19" s="568">
        <f t="shared" si="8"/>
        <v>83403.76147033332</v>
      </c>
      <c r="I19" s="568">
        <f t="shared" si="8"/>
        <v>87562.64592733333</v>
      </c>
      <c r="J19" s="568">
        <f t="shared" si="8"/>
        <v>93107.82520333334</v>
      </c>
      <c r="K19" s="568">
        <f t="shared" si="8"/>
        <v>95880.41484133335</v>
      </c>
      <c r="L19" s="569">
        <f t="shared" si="8"/>
        <v>97266.70966033333</v>
      </c>
    </row>
    <row r="20" spans="1:12" ht="12.75">
      <c r="A20" s="606" t="s">
        <v>337</v>
      </c>
      <c r="B20" s="607"/>
      <c r="C20" s="606"/>
      <c r="D20" s="606"/>
      <c r="E20" s="606"/>
      <c r="F20" s="606"/>
      <c r="G20" s="606"/>
      <c r="H20" s="606"/>
      <c r="I20" s="606"/>
      <c r="J20" s="606"/>
      <c r="K20" s="606"/>
      <c r="L20" s="606"/>
    </row>
    <row r="21" spans="1:14" ht="12.75">
      <c r="A21" s="581" t="s">
        <v>338</v>
      </c>
      <c r="B21" s="600"/>
      <c r="C21" s="601">
        <f>MOI!D12+MOI!D17</f>
        <v>31560</v>
      </c>
      <c r="D21" s="594">
        <f>+C21</f>
        <v>31560</v>
      </c>
      <c r="E21" s="594">
        <f aca="true" t="shared" si="9" ref="E21:L21">+D21</f>
        <v>31560</v>
      </c>
      <c r="F21" s="594">
        <f t="shared" si="9"/>
        <v>31560</v>
      </c>
      <c r="G21" s="594">
        <f t="shared" si="9"/>
        <v>31560</v>
      </c>
      <c r="H21" s="594">
        <f t="shared" si="9"/>
        <v>31560</v>
      </c>
      <c r="I21" s="594">
        <f t="shared" si="9"/>
        <v>31560</v>
      </c>
      <c r="J21" s="594">
        <f t="shared" si="9"/>
        <v>31560</v>
      </c>
      <c r="K21" s="594">
        <f t="shared" si="9"/>
        <v>31560</v>
      </c>
      <c r="L21" s="595">
        <f t="shared" si="9"/>
        <v>31560</v>
      </c>
      <c r="N21" s="635" t="s">
        <v>633</v>
      </c>
    </row>
    <row r="22" spans="1:12" ht="12.75">
      <c r="A22" s="444" t="s">
        <v>416</v>
      </c>
      <c r="B22" s="602"/>
      <c r="C22" s="603">
        <v>10000</v>
      </c>
      <c r="D22" s="239">
        <f>+C22</f>
        <v>10000</v>
      </c>
      <c r="E22" s="239">
        <f aca="true" t="shared" si="10" ref="E22:L22">+D22</f>
        <v>10000</v>
      </c>
      <c r="F22" s="239">
        <f t="shared" si="10"/>
        <v>10000</v>
      </c>
      <c r="G22" s="239">
        <f t="shared" si="10"/>
        <v>10000</v>
      </c>
      <c r="H22" s="239">
        <f t="shared" si="10"/>
        <v>10000</v>
      </c>
      <c r="I22" s="239">
        <f t="shared" si="10"/>
        <v>10000</v>
      </c>
      <c r="J22" s="239">
        <f t="shared" si="10"/>
        <v>10000</v>
      </c>
      <c r="K22" s="239">
        <f t="shared" si="10"/>
        <v>10000</v>
      </c>
      <c r="L22" s="238">
        <f t="shared" si="10"/>
        <v>10000</v>
      </c>
    </row>
    <row r="23" spans="1:12" ht="12.75">
      <c r="A23" s="444" t="s">
        <v>453</v>
      </c>
      <c r="B23" s="602"/>
      <c r="C23" s="603">
        <f>200*12</f>
        <v>2400</v>
      </c>
      <c r="D23" s="239">
        <f>+C23</f>
        <v>2400</v>
      </c>
      <c r="E23" s="239">
        <f aca="true" t="shared" si="11" ref="E23:L23">+D23</f>
        <v>2400</v>
      </c>
      <c r="F23" s="239">
        <f t="shared" si="11"/>
        <v>2400</v>
      </c>
      <c r="G23" s="239">
        <f t="shared" si="11"/>
        <v>2400</v>
      </c>
      <c r="H23" s="239">
        <f t="shared" si="11"/>
        <v>2400</v>
      </c>
      <c r="I23" s="239">
        <f t="shared" si="11"/>
        <v>2400</v>
      </c>
      <c r="J23" s="239">
        <f t="shared" si="11"/>
        <v>2400</v>
      </c>
      <c r="K23" s="239">
        <f t="shared" si="11"/>
        <v>2400</v>
      </c>
      <c r="L23" s="238">
        <f t="shared" si="11"/>
        <v>2400</v>
      </c>
    </row>
    <row r="24" spans="1:14" ht="12.75">
      <c r="A24" s="444" t="s">
        <v>340</v>
      </c>
      <c r="B24" s="602" t="s">
        <v>347</v>
      </c>
      <c r="C24" s="239">
        <f>0.06*Ventas2!C18</f>
        <v>1324.323</v>
      </c>
      <c r="D24" s="239">
        <f>0.06*Ventas2!D18</f>
        <v>7945.937999999999</v>
      </c>
      <c r="E24" s="239">
        <f>0.06*Ventas2!E18</f>
        <v>13243.23</v>
      </c>
      <c r="F24" s="239">
        <f>0.06*Ventas2!F18</f>
        <v>21189.168</v>
      </c>
      <c r="G24" s="239">
        <f>0.06*Ventas2!G18</f>
        <v>37081.04400000001</v>
      </c>
      <c r="H24" s="239">
        <f>0.06*Ventas2!H18</f>
        <v>47675.628000000004</v>
      </c>
      <c r="I24" s="239">
        <f>0.06*Ventas2!I18</f>
        <v>55621.566000000006</v>
      </c>
      <c r="J24" s="239">
        <f>0.06*Ventas2!J18</f>
        <v>66216.15000000001</v>
      </c>
      <c r="K24" s="239">
        <f>0.06*Ventas2!K18</f>
        <v>71513.442</v>
      </c>
      <c r="L24" s="238">
        <f>0.06*Ventas2!L18</f>
        <v>74137.56350000002</v>
      </c>
      <c r="N24" s="635" t="s">
        <v>629</v>
      </c>
    </row>
    <row r="25" spans="1:14" ht="12.75">
      <c r="A25" s="444" t="s">
        <v>339</v>
      </c>
      <c r="B25" s="602" t="s">
        <v>348</v>
      </c>
      <c r="C25" s="239">
        <f>0.01*Ventas2!C18</f>
        <v>220.72050000000004</v>
      </c>
      <c r="D25" s="239">
        <f>0.01*Ventas2!D18</f>
        <v>1324.3229999999999</v>
      </c>
      <c r="E25" s="239">
        <f>0.01*Ventas2!E18</f>
        <v>2207.205</v>
      </c>
      <c r="F25" s="239">
        <f>0.01*Ventas2!F18</f>
        <v>3531.5280000000007</v>
      </c>
      <c r="G25" s="239">
        <f>0.01*Ventas2!G18</f>
        <v>6180.174000000002</v>
      </c>
      <c r="H25" s="239">
        <f>0.01*Ventas2!H18</f>
        <v>7945.938000000001</v>
      </c>
      <c r="I25" s="239">
        <f>0.01*Ventas2!I18</f>
        <v>9270.261</v>
      </c>
      <c r="J25" s="239">
        <f>0.01*Ventas2!J18</f>
        <v>11036.025000000003</v>
      </c>
      <c r="K25" s="239">
        <f>0.01*Ventas2!K18</f>
        <v>11918.907</v>
      </c>
      <c r="L25" s="238">
        <f>0.01*Ventas2!L18</f>
        <v>12356.260583333336</v>
      </c>
      <c r="N25" s="635" t="s">
        <v>628</v>
      </c>
    </row>
    <row r="26" spans="1:12" ht="12.75">
      <c r="A26" s="451" t="s">
        <v>328</v>
      </c>
      <c r="B26" s="604" t="s">
        <v>342</v>
      </c>
      <c r="C26" s="568">
        <f>0.03*(C21+C22+C23+C24+C25)</f>
        <v>1365.1513049999999</v>
      </c>
      <c r="D26" s="568">
        <f aca="true" t="shared" si="12" ref="D26:L26">0.03*(D21+D22+D23+D24+D25)</f>
        <v>1596.9078299999999</v>
      </c>
      <c r="E26" s="568">
        <f t="shared" si="12"/>
        <v>1782.31305</v>
      </c>
      <c r="F26" s="568">
        <f t="shared" si="12"/>
        <v>2060.42088</v>
      </c>
      <c r="G26" s="568">
        <f t="shared" si="12"/>
        <v>2616.63654</v>
      </c>
      <c r="H26" s="568">
        <f t="shared" si="12"/>
        <v>2987.4469799999997</v>
      </c>
      <c r="I26" s="568">
        <f t="shared" si="12"/>
        <v>3265.55481</v>
      </c>
      <c r="J26" s="568">
        <f t="shared" si="12"/>
        <v>3636.3652500000003</v>
      </c>
      <c r="K26" s="568">
        <f t="shared" si="12"/>
        <v>3821.7704699999995</v>
      </c>
      <c r="L26" s="569">
        <f t="shared" si="12"/>
        <v>3913.6147225000004</v>
      </c>
    </row>
    <row r="27" spans="1:12" ht="12.75">
      <c r="A27" s="598" t="s">
        <v>330</v>
      </c>
      <c r="B27" s="604"/>
      <c r="C27" s="568">
        <f>SUM(C21:C26)</f>
        <v>46870.194805</v>
      </c>
      <c r="D27" s="568">
        <f aca="true" t="shared" si="13" ref="D27:L27">SUM(D21:D26)</f>
        <v>54827.168829999995</v>
      </c>
      <c r="E27" s="568">
        <f t="shared" si="13"/>
        <v>61192.748049999995</v>
      </c>
      <c r="F27" s="568">
        <f t="shared" si="13"/>
        <v>70741.11688000002</v>
      </c>
      <c r="G27" s="568">
        <f t="shared" si="13"/>
        <v>89837.85454000001</v>
      </c>
      <c r="H27" s="568">
        <f t="shared" si="13"/>
        <v>102569.01297999998</v>
      </c>
      <c r="I27" s="568">
        <f t="shared" si="13"/>
        <v>112117.38181</v>
      </c>
      <c r="J27" s="568">
        <f t="shared" si="13"/>
        <v>124848.54025000002</v>
      </c>
      <c r="K27" s="568">
        <f t="shared" si="13"/>
        <v>131214.11946999998</v>
      </c>
      <c r="L27" s="599">
        <f t="shared" si="13"/>
        <v>134367.43880583334</v>
      </c>
    </row>
    <row r="28" spans="1:12" ht="12.75">
      <c r="A28" s="504" t="s">
        <v>10</v>
      </c>
      <c r="B28" s="608"/>
      <c r="C28" s="609">
        <f aca="true" t="shared" si="14" ref="C28:L28">C8+C19+C27</f>
        <v>151001.42549283334</v>
      </c>
      <c r="D28" s="609">
        <f t="shared" si="14"/>
        <v>173912.1014007981</v>
      </c>
      <c r="E28" s="609">
        <f t="shared" si="14"/>
        <v>187475.64272371458</v>
      </c>
      <c r="F28" s="609">
        <f t="shared" si="14"/>
        <v>218074.28593167596</v>
      </c>
      <c r="G28" s="609">
        <f t="shared" si="14"/>
        <v>269151.8219742916</v>
      </c>
      <c r="H28" s="609">
        <f t="shared" si="14"/>
        <v>313843.9460541514</v>
      </c>
      <c r="I28" s="609">
        <f t="shared" si="14"/>
        <v>359446.92106887564</v>
      </c>
      <c r="J28" s="609">
        <f t="shared" si="14"/>
        <v>419701.082579752</v>
      </c>
      <c r="K28" s="609">
        <f t="shared" si="14"/>
        <v>480043.31397528696</v>
      </c>
      <c r="L28" s="610">
        <f t="shared" si="14"/>
        <v>549101.5417597892</v>
      </c>
    </row>
    <row r="30" ht="12.75">
      <c r="A30" s="202" t="s">
        <v>343</v>
      </c>
    </row>
    <row r="31" ht="12.75">
      <c r="A31" s="201" t="s">
        <v>420</v>
      </c>
    </row>
    <row r="32" ht="12.75">
      <c r="A32" s="201" t="s">
        <v>344</v>
      </c>
    </row>
    <row r="33" ht="12.75">
      <c r="A33" s="201" t="s">
        <v>346</v>
      </c>
    </row>
    <row r="34" ht="12.75">
      <c r="A34" s="201" t="s">
        <v>451</v>
      </c>
    </row>
    <row r="35" ht="12.75">
      <c r="A35" s="201" t="s">
        <v>452</v>
      </c>
    </row>
    <row r="36" spans="2:3" ht="12.75">
      <c r="B36" s="272"/>
      <c r="C36" t="s">
        <v>523</v>
      </c>
    </row>
  </sheetData>
  <sheetProtection/>
  <mergeCells count="1">
    <mergeCell ref="N14:N15"/>
  </mergeCells>
  <printOptions/>
  <pageMargins left="0.89" right="0.4724409448818898" top="1.6535433070866143" bottom="2.09" header="0.35433070866141736" footer="0"/>
  <pageSetup horizontalDpi="600" verticalDpi="600" orientation="landscape" paperSize="9" scale="90" r:id="rId1"/>
  <headerFooter alignWithMargins="0">
    <oddHeader>&amp;C
&amp;"Arial,Negrita"&amp;12ANEXOS FINANCIEROS
ANEXO 5.6 PRESUPUESTO DE COSTOS Y GASTOS</oddHeader>
  </headerFooter>
  <ignoredErrors>
    <ignoredError sqref="D11:F11 G11:K11 L1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7.28125" style="0" customWidth="1"/>
    <col min="2" max="2" width="10.140625" style="0" customWidth="1"/>
    <col min="3" max="3" width="9.421875" style="0" customWidth="1"/>
    <col min="4" max="4" width="9.28125" style="0" customWidth="1"/>
    <col min="5" max="9" width="10.140625" style="0" customWidth="1"/>
    <col min="10" max="10" width="9.57421875" style="0" customWidth="1"/>
    <col min="11" max="11" width="10.140625" style="0" customWidth="1"/>
  </cols>
  <sheetData>
    <row r="1" spans="1:11" ht="27" customHeight="1">
      <c r="A1" s="612" t="s">
        <v>592</v>
      </c>
      <c r="B1" s="504">
        <v>4</v>
      </c>
      <c r="C1" s="504">
        <v>5</v>
      </c>
      <c r="D1" s="504">
        <v>6</v>
      </c>
      <c r="E1" s="504">
        <v>7</v>
      </c>
      <c r="F1" s="504">
        <v>8</v>
      </c>
      <c r="G1" s="504">
        <v>9</v>
      </c>
      <c r="H1" s="504">
        <v>10</v>
      </c>
      <c r="I1" s="504">
        <v>11</v>
      </c>
      <c r="J1" s="504">
        <v>12</v>
      </c>
      <c r="K1" s="534">
        <v>13</v>
      </c>
    </row>
    <row r="2" spans="1:11" ht="15" customHeight="1">
      <c r="A2" s="583" t="s">
        <v>421</v>
      </c>
      <c r="B2" s="239">
        <f>+Ventas2!C19</f>
        <v>22072.050000000003</v>
      </c>
      <c r="C2" s="239">
        <f>+Ventas2!D19</f>
        <v>132432.3</v>
      </c>
      <c r="D2" s="239">
        <f>+Ventas2!E19</f>
        <v>220720.5</v>
      </c>
      <c r="E2" s="239">
        <f>+Ventas2!F19</f>
        <v>353152.80000000005</v>
      </c>
      <c r="F2" s="239">
        <f>+Ventas2!G19</f>
        <v>618017.4000000001</v>
      </c>
      <c r="G2" s="239">
        <f>+Ventas2!H19</f>
        <v>794593.8</v>
      </c>
      <c r="H2" s="239">
        <f>+Ventas2!I19</f>
        <v>927026.1000000001</v>
      </c>
      <c r="I2" s="239">
        <f>+Ventas2!J19</f>
        <v>1103602.5000000002</v>
      </c>
      <c r="J2" s="239">
        <f>+Ventas2!K19</f>
        <v>1191890.7</v>
      </c>
      <c r="K2" s="595">
        <f>+Ventas2!L19</f>
        <v>1235626.0583333336</v>
      </c>
    </row>
    <row r="3" spans="1:11" ht="15" customHeight="1">
      <c r="A3" s="562" t="s">
        <v>422</v>
      </c>
      <c r="B3" s="239">
        <f>+'Costos&amp;Gastos'!C8</f>
        <v>36683.62855</v>
      </c>
      <c r="C3" s="239">
        <f>+'Costos&amp;Gastos'!D8</f>
        <v>48171.59338546476</v>
      </c>
      <c r="D3" s="239">
        <f>+'Costos&amp;Gastos'!E8</f>
        <v>60900.96585038125</v>
      </c>
      <c r="E3" s="239">
        <f>+'Costos&amp;Gastos'!F8</f>
        <v>77792.3557713426</v>
      </c>
      <c r="F3" s="239">
        <f>+'Costos&amp;Gastos'!G8</f>
        <v>101455.38523995825</v>
      </c>
      <c r="G3" s="239">
        <f>+'Costos&amp;Gastos'!H8</f>
        <v>127871.17160381809</v>
      </c>
      <c r="H3" s="239">
        <f>+'Costos&amp;Gastos'!I8</f>
        <v>159766.8933315423</v>
      </c>
      <c r="I3" s="239">
        <f>+'Costos&amp;Gastos'!J8</f>
        <v>201744.71712641866</v>
      </c>
      <c r="J3" s="239">
        <f>+'Costos&amp;Gastos'!K8</f>
        <v>252948.77966395367</v>
      </c>
      <c r="K3" s="238">
        <f>+'Costos&amp;Gastos'!L8</f>
        <v>317467.3932936225</v>
      </c>
    </row>
    <row r="4" spans="1:11" ht="15" customHeight="1">
      <c r="A4" s="562"/>
      <c r="B4" s="239"/>
      <c r="C4" s="239"/>
      <c r="D4" s="239"/>
      <c r="E4" s="239"/>
      <c r="F4" s="239"/>
      <c r="G4" s="239"/>
      <c r="H4" s="239"/>
      <c r="I4" s="239"/>
      <c r="J4" s="239"/>
      <c r="K4" s="238"/>
    </row>
    <row r="5" spans="1:11" ht="15" customHeight="1">
      <c r="A5" s="611" t="s">
        <v>423</v>
      </c>
      <c r="B5" s="570">
        <f>B2-B3</f>
        <v>-14611.578549999998</v>
      </c>
      <c r="C5" s="570">
        <f aca="true" t="shared" si="0" ref="C5:K5">C2-C3</f>
        <v>84260.70661453523</v>
      </c>
      <c r="D5" s="570">
        <f t="shared" si="0"/>
        <v>159819.53414961876</v>
      </c>
      <c r="E5" s="570">
        <f t="shared" si="0"/>
        <v>275360.44422865746</v>
      </c>
      <c r="F5" s="570">
        <f t="shared" si="0"/>
        <v>516562.0147600419</v>
      </c>
      <c r="G5" s="570">
        <f t="shared" si="0"/>
        <v>666722.628396182</v>
      </c>
      <c r="H5" s="570">
        <f t="shared" si="0"/>
        <v>767259.2066684578</v>
      </c>
      <c r="I5" s="570">
        <f t="shared" si="0"/>
        <v>901857.7828735816</v>
      </c>
      <c r="J5" s="570">
        <f t="shared" si="0"/>
        <v>938941.9203360463</v>
      </c>
      <c r="K5" s="455">
        <f t="shared" si="0"/>
        <v>918158.6650397112</v>
      </c>
    </row>
    <row r="6" spans="1:11" ht="15" customHeight="1">
      <c r="A6" s="562" t="s">
        <v>424</v>
      </c>
      <c r="B6" s="239">
        <f>+'Costos&amp;Gastos'!C19</f>
        <v>67447.60213783332</v>
      </c>
      <c r="C6" s="239">
        <f>+'Costos&amp;Gastos'!D19</f>
        <v>70913.33918533335</v>
      </c>
      <c r="D6" s="239">
        <f>+'Costos&amp;Gastos'!E19</f>
        <v>65381.92882333334</v>
      </c>
      <c r="E6" s="239">
        <f>+'Costos&amp;Gastos'!F19</f>
        <v>69540.81328033333</v>
      </c>
      <c r="F6" s="239">
        <f>+'Costos&amp;Gastos'!G19</f>
        <v>77858.58219433333</v>
      </c>
      <c r="G6" s="239">
        <f>+'Costos&amp;Gastos'!H19</f>
        <v>83403.76147033332</v>
      </c>
      <c r="H6" s="239">
        <f>+'Costos&amp;Gastos'!I19</f>
        <v>87562.64592733333</v>
      </c>
      <c r="I6" s="239">
        <f>+'Costos&amp;Gastos'!J19</f>
        <v>93107.82520333334</v>
      </c>
      <c r="J6" s="239">
        <f>+'Costos&amp;Gastos'!K19</f>
        <v>95880.41484133335</v>
      </c>
      <c r="K6" s="238">
        <f>+'Costos&amp;Gastos'!L19</f>
        <v>97266.70966033333</v>
      </c>
    </row>
    <row r="7" spans="1:11" ht="15" customHeight="1">
      <c r="A7" s="562" t="s">
        <v>425</v>
      </c>
      <c r="B7" s="239">
        <f>+'Costos&amp;Gastos'!C27</f>
        <v>46870.194805</v>
      </c>
      <c r="C7" s="239">
        <f>+'Costos&amp;Gastos'!D27</f>
        <v>54827.168829999995</v>
      </c>
      <c r="D7" s="239">
        <f>+'Costos&amp;Gastos'!E27</f>
        <v>61192.748049999995</v>
      </c>
      <c r="E7" s="239">
        <f>+'Costos&amp;Gastos'!F27</f>
        <v>70741.11688000002</v>
      </c>
      <c r="F7" s="239">
        <f>+'Costos&amp;Gastos'!G27</f>
        <v>89837.85454000001</v>
      </c>
      <c r="G7" s="239">
        <f>+'Costos&amp;Gastos'!H27</f>
        <v>102569.01297999998</v>
      </c>
      <c r="H7" s="239">
        <f>+'Costos&amp;Gastos'!I27</f>
        <v>112117.38181</v>
      </c>
      <c r="I7" s="239">
        <f>+'Costos&amp;Gastos'!J27</f>
        <v>124848.54025000002</v>
      </c>
      <c r="J7" s="239">
        <f>+'Costos&amp;Gastos'!K27</f>
        <v>131214.11946999998</v>
      </c>
      <c r="K7" s="238">
        <f>+'Costos&amp;Gastos'!L27</f>
        <v>134367.43880583334</v>
      </c>
    </row>
    <row r="8" spans="1:11" ht="15" customHeight="1">
      <c r="A8" s="562"/>
      <c r="B8" s="239"/>
      <c r="C8" s="239"/>
      <c r="D8" s="239"/>
      <c r="E8" s="239"/>
      <c r="F8" s="239"/>
      <c r="G8" s="239"/>
      <c r="H8" s="239"/>
      <c r="I8" s="239"/>
      <c r="J8" s="239"/>
      <c r="K8" s="238"/>
    </row>
    <row r="9" spans="1:11" ht="15" customHeight="1">
      <c r="A9" s="611" t="s">
        <v>426</v>
      </c>
      <c r="B9" s="570">
        <f>B5-B6-B7</f>
        <v>-128929.37549283332</v>
      </c>
      <c r="C9" s="570">
        <f aca="true" t="shared" si="1" ref="C9:K9">C5-C6-C7</f>
        <v>-41479.80140079811</v>
      </c>
      <c r="D9" s="570">
        <f t="shared" si="1"/>
        <v>33244.85727628542</v>
      </c>
      <c r="E9" s="570">
        <f t="shared" si="1"/>
        <v>135078.51406832412</v>
      </c>
      <c r="F9" s="570">
        <f t="shared" si="1"/>
        <v>348865.57802570856</v>
      </c>
      <c r="G9" s="570">
        <f t="shared" si="1"/>
        <v>480749.85394584865</v>
      </c>
      <c r="H9" s="570">
        <f t="shared" si="1"/>
        <v>567579.1789311244</v>
      </c>
      <c r="I9" s="570">
        <f t="shared" si="1"/>
        <v>683901.4174202483</v>
      </c>
      <c r="J9" s="570">
        <f t="shared" si="1"/>
        <v>711847.3860247128</v>
      </c>
      <c r="K9" s="455">
        <f t="shared" si="1"/>
        <v>686524.5165735445</v>
      </c>
    </row>
    <row r="10" spans="1:11" ht="15" customHeight="1">
      <c r="A10" s="562" t="s">
        <v>427</v>
      </c>
      <c r="B10" s="239">
        <f>+Amortización!C16+Amortización!C17</f>
        <v>14239.766681423764</v>
      </c>
      <c r="C10" s="239">
        <f>+Amortización!C18+Amortización!C19</f>
        <v>12766.998470546092</v>
      </c>
      <c r="D10" s="239">
        <f>Amortización!C20+Amortización!C21</f>
        <v>11112.196108803939</v>
      </c>
      <c r="E10" s="239">
        <f>Amortización!C22+Amortización!C23</f>
        <v>9252.860175150456</v>
      </c>
      <c r="F10" s="239">
        <f>Amortización!C24+Amortización!C25</f>
        <v>7163.710320097402</v>
      </c>
      <c r="G10" s="239">
        <f>Amortización!C26+Amortización!C27</f>
        <v>4816.341542959792</v>
      </c>
      <c r="H10" s="239">
        <f>Amortización!C28+Amortización!C29</f>
        <v>2178.8379849679727</v>
      </c>
      <c r="I10" s="239"/>
      <c r="J10" s="239"/>
      <c r="K10" s="238"/>
    </row>
    <row r="11" spans="1:11" ht="15" customHeight="1">
      <c r="A11" s="562" t="s">
        <v>428</v>
      </c>
      <c r="B11" s="239">
        <v>0</v>
      </c>
      <c r="C11" s="239">
        <v>0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8">
        <v>0</v>
      </c>
    </row>
    <row r="12" spans="1:11" ht="15" customHeight="1">
      <c r="A12" s="562" t="s">
        <v>429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8">
        <v>0</v>
      </c>
    </row>
    <row r="13" spans="1:11" ht="15" customHeight="1">
      <c r="A13" s="562"/>
      <c r="B13" s="239"/>
      <c r="C13" s="239"/>
      <c r="D13" s="239"/>
      <c r="E13" s="239"/>
      <c r="F13" s="239"/>
      <c r="G13" s="239"/>
      <c r="H13" s="239"/>
      <c r="I13" s="239"/>
      <c r="J13" s="239"/>
      <c r="K13" s="238"/>
    </row>
    <row r="14" spans="1:11" ht="15" customHeight="1">
      <c r="A14" s="611" t="s">
        <v>601</v>
      </c>
      <c r="B14" s="570">
        <f>B9-B10</f>
        <v>-143169.14217425708</v>
      </c>
      <c r="C14" s="570">
        <f aca="true" t="shared" si="2" ref="C14:K14">C9-C10</f>
        <v>-54246.79987134421</v>
      </c>
      <c r="D14" s="570">
        <f t="shared" si="2"/>
        <v>22132.661167481478</v>
      </c>
      <c r="E14" s="570">
        <f t="shared" si="2"/>
        <v>125825.65389317366</v>
      </c>
      <c r="F14" s="570">
        <f t="shared" si="2"/>
        <v>341701.86770561116</v>
      </c>
      <c r="G14" s="570">
        <f t="shared" si="2"/>
        <v>475933.51240288885</v>
      </c>
      <c r="H14" s="570">
        <f t="shared" si="2"/>
        <v>565400.3409461564</v>
      </c>
      <c r="I14" s="570">
        <f t="shared" si="2"/>
        <v>683901.4174202483</v>
      </c>
      <c r="J14" s="570">
        <f t="shared" si="2"/>
        <v>711847.3860247128</v>
      </c>
      <c r="K14" s="455">
        <f t="shared" si="2"/>
        <v>686524.5165735445</v>
      </c>
    </row>
    <row r="15" spans="1:11" ht="15" customHeight="1">
      <c r="A15" s="562" t="s">
        <v>448</v>
      </c>
      <c r="B15" s="239">
        <v>0</v>
      </c>
      <c r="C15" s="239">
        <v>0</v>
      </c>
      <c r="D15" s="239">
        <f aca="true" t="shared" si="3" ref="D15:K15">0.15*D14</f>
        <v>3319.8991751222215</v>
      </c>
      <c r="E15" s="239">
        <f t="shared" si="3"/>
        <v>18873.84808397605</v>
      </c>
      <c r="F15" s="239">
        <f t="shared" si="3"/>
        <v>51255.280155841676</v>
      </c>
      <c r="G15" s="239">
        <f t="shared" si="3"/>
        <v>71390.02686043333</v>
      </c>
      <c r="H15" s="239">
        <f t="shared" si="3"/>
        <v>84810.05114192345</v>
      </c>
      <c r="I15" s="239">
        <f t="shared" si="3"/>
        <v>102585.21261303723</v>
      </c>
      <c r="J15" s="239">
        <f t="shared" si="3"/>
        <v>106777.10790370691</v>
      </c>
      <c r="K15" s="238">
        <f t="shared" si="3"/>
        <v>102978.67748603167</v>
      </c>
    </row>
    <row r="16" spans="1:11" ht="15" customHeight="1">
      <c r="A16" s="562"/>
      <c r="B16" s="239"/>
      <c r="C16" s="239"/>
      <c r="D16" s="239"/>
      <c r="E16" s="239"/>
      <c r="F16" s="239"/>
      <c r="G16" s="239"/>
      <c r="H16" s="239"/>
      <c r="I16" s="239"/>
      <c r="J16" s="239"/>
      <c r="K16" s="238"/>
    </row>
    <row r="17" spans="1:11" ht="15" customHeight="1">
      <c r="A17" s="611" t="s">
        <v>600</v>
      </c>
      <c r="B17" s="570">
        <f>B14-B15</f>
        <v>-143169.14217425708</v>
      </c>
      <c r="C17" s="570">
        <f aca="true" t="shared" si="4" ref="C17:K17">C14-C15</f>
        <v>-54246.79987134421</v>
      </c>
      <c r="D17" s="570">
        <f t="shared" si="4"/>
        <v>18812.761992359257</v>
      </c>
      <c r="E17" s="570">
        <f t="shared" si="4"/>
        <v>106951.80580919761</v>
      </c>
      <c r="F17" s="570">
        <f t="shared" si="4"/>
        <v>290446.5875497695</v>
      </c>
      <c r="G17" s="570">
        <f t="shared" si="4"/>
        <v>404543.4855424555</v>
      </c>
      <c r="H17" s="570">
        <f t="shared" si="4"/>
        <v>480590.28980423295</v>
      </c>
      <c r="I17" s="570">
        <f t="shared" si="4"/>
        <v>581316.2048072111</v>
      </c>
      <c r="J17" s="570">
        <f t="shared" si="4"/>
        <v>605070.2781210059</v>
      </c>
      <c r="K17" s="455">
        <f t="shared" si="4"/>
        <v>583545.8390875128</v>
      </c>
    </row>
    <row r="18" spans="1:11" ht="15" customHeight="1">
      <c r="A18" s="562"/>
      <c r="B18" s="239"/>
      <c r="C18" s="239"/>
      <c r="D18" s="239"/>
      <c r="E18" s="239"/>
      <c r="F18" s="239"/>
      <c r="G18" s="239"/>
      <c r="H18" s="239"/>
      <c r="I18" s="239"/>
      <c r="J18" s="239"/>
      <c r="K18" s="238"/>
    </row>
    <row r="19" spans="1:11" ht="15" customHeight="1">
      <c r="A19" s="566" t="s">
        <v>430</v>
      </c>
      <c r="B19" s="568">
        <v>0</v>
      </c>
      <c r="C19" s="568">
        <v>0</v>
      </c>
      <c r="D19" s="568">
        <f aca="true" t="shared" si="5" ref="D19:K19">0.25*D17</f>
        <v>4703.190498089814</v>
      </c>
      <c r="E19" s="568">
        <f t="shared" si="5"/>
        <v>26737.951452299403</v>
      </c>
      <c r="F19" s="568">
        <f t="shared" si="5"/>
        <v>72611.64688744237</v>
      </c>
      <c r="G19" s="568">
        <f t="shared" si="5"/>
        <v>101135.87138561388</v>
      </c>
      <c r="H19" s="568">
        <f t="shared" si="5"/>
        <v>120147.57245105824</v>
      </c>
      <c r="I19" s="568">
        <f t="shared" si="5"/>
        <v>145329.05120180277</v>
      </c>
      <c r="J19" s="568">
        <f t="shared" si="5"/>
        <v>151267.56953025147</v>
      </c>
      <c r="K19" s="569">
        <f t="shared" si="5"/>
        <v>145886.4597718782</v>
      </c>
    </row>
    <row r="20" spans="1:11" ht="21.75" customHeight="1">
      <c r="A20" s="613" t="s">
        <v>599</v>
      </c>
      <c r="B20" s="579">
        <f>B17-B19</f>
        <v>-143169.14217425708</v>
      </c>
      <c r="C20" s="579">
        <f aca="true" t="shared" si="6" ref="C20:K20">C17-C19</f>
        <v>-54246.79987134421</v>
      </c>
      <c r="D20" s="579">
        <f t="shared" si="6"/>
        <v>14109.571494269443</v>
      </c>
      <c r="E20" s="579">
        <f t="shared" si="6"/>
        <v>80213.85435689821</v>
      </c>
      <c r="F20" s="579">
        <f t="shared" si="6"/>
        <v>217834.9406623271</v>
      </c>
      <c r="G20" s="579">
        <f t="shared" si="6"/>
        <v>303407.61415684165</v>
      </c>
      <c r="H20" s="579">
        <f t="shared" si="6"/>
        <v>360442.7173531747</v>
      </c>
      <c r="I20" s="579">
        <f t="shared" si="6"/>
        <v>435987.15360540827</v>
      </c>
      <c r="J20" s="579">
        <f t="shared" si="6"/>
        <v>453802.7085907544</v>
      </c>
      <c r="K20" s="580">
        <f t="shared" si="6"/>
        <v>437659.3793156346</v>
      </c>
    </row>
    <row r="23" spans="3:11" ht="12.75">
      <c r="C23" s="12">
        <f>C3-B3</f>
        <v>11487.964835464758</v>
      </c>
      <c r="D23" s="12">
        <f aca="true" t="shared" si="7" ref="D23:K23">D3-C3</f>
        <v>12729.372464916494</v>
      </c>
      <c r="E23" s="12">
        <f t="shared" si="7"/>
        <v>16891.389920961345</v>
      </c>
      <c r="F23" s="12">
        <f t="shared" si="7"/>
        <v>23663.029468615656</v>
      </c>
      <c r="G23" s="12">
        <f t="shared" si="7"/>
        <v>26415.786363859836</v>
      </c>
      <c r="H23" s="12">
        <f t="shared" si="7"/>
        <v>31895.7217277242</v>
      </c>
      <c r="I23" s="12">
        <f t="shared" si="7"/>
        <v>41977.82379487637</v>
      </c>
      <c r="J23" s="12">
        <f t="shared" si="7"/>
        <v>51204.06253753501</v>
      </c>
      <c r="K23" s="12">
        <f t="shared" si="7"/>
        <v>64518.613629668806</v>
      </c>
    </row>
    <row r="24" spans="3:11" ht="12.75">
      <c r="C24" s="12">
        <f>C7-B7</f>
        <v>7956.974024999996</v>
      </c>
      <c r="D24" s="12">
        <f aca="true" t="shared" si="8" ref="D24:K24">D7-C7</f>
        <v>6365.57922</v>
      </c>
      <c r="E24" s="12">
        <f t="shared" si="8"/>
        <v>9548.368830000021</v>
      </c>
      <c r="F24" s="12">
        <f t="shared" si="8"/>
        <v>19096.73766</v>
      </c>
      <c r="G24" s="12">
        <f t="shared" si="8"/>
        <v>12731.15843999997</v>
      </c>
      <c r="H24" s="12">
        <f t="shared" si="8"/>
        <v>9548.368830000021</v>
      </c>
      <c r="I24" s="12">
        <f t="shared" si="8"/>
        <v>12731.158440000014</v>
      </c>
      <c r="J24" s="12">
        <f t="shared" si="8"/>
        <v>6365.579219999956</v>
      </c>
      <c r="K24" s="12">
        <f t="shared" si="8"/>
        <v>3153.3193358333665</v>
      </c>
    </row>
  </sheetData>
  <sheetProtection/>
  <printOptions/>
  <pageMargins left="0.8661417322834646" right="0.5905511811023623" top="1.968503937007874" bottom="0.984251968503937" header="0.35433070866141736" footer="0"/>
  <pageSetup horizontalDpi="600" verticalDpi="600" orientation="landscape" paperSize="9" scale="95" r:id="rId1"/>
  <headerFooter alignWithMargins="0">
    <oddHeader>&amp;C
&amp;"Arial,Negrita"&amp;12ANEXOS FINANCIEROS
ANEXO 5.7 ESTADO DE PÉRDIDAS Y GANANCIAS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F29" sqref="F29"/>
    </sheetView>
  </sheetViews>
  <sheetFormatPr defaultColWidth="11.421875" defaultRowHeight="12.75"/>
  <cols>
    <col min="1" max="1" width="31.7109375" style="0" customWidth="1"/>
    <col min="2" max="2" width="18.140625" style="0" bestFit="1" customWidth="1"/>
    <col min="3" max="3" width="19.140625" style="0" bestFit="1" customWidth="1"/>
    <col min="4" max="4" width="18.57421875" style="0" customWidth="1"/>
    <col min="9" max="9" width="8.8515625" style="0" bestFit="1" customWidth="1"/>
    <col min="10" max="10" width="13.421875" style="0" bestFit="1" customWidth="1"/>
    <col min="11" max="11" width="15.140625" style="0" bestFit="1" customWidth="1"/>
    <col min="12" max="12" width="9.00390625" style="0" bestFit="1" customWidth="1"/>
  </cols>
  <sheetData>
    <row r="1" spans="1:13" ht="16.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6.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6.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6.5">
      <c r="A4" s="767" t="s">
        <v>554</v>
      </c>
      <c r="B4" s="767"/>
      <c r="C4" s="767"/>
      <c r="D4" s="767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6.5">
      <c r="A5" s="767" t="s">
        <v>550</v>
      </c>
      <c r="B5" s="767"/>
      <c r="C5" s="767"/>
      <c r="D5" s="767"/>
      <c r="E5" s="273"/>
      <c r="F5" s="273"/>
      <c r="G5" s="273"/>
      <c r="H5" s="273"/>
      <c r="I5" s="273"/>
      <c r="J5" s="273"/>
      <c r="K5" s="273"/>
      <c r="L5" s="273"/>
      <c r="M5" s="273"/>
    </row>
    <row r="6" spans="1:13" ht="16.5">
      <c r="A6" s="767" t="s">
        <v>535</v>
      </c>
      <c r="B6" s="767"/>
      <c r="C6" s="767"/>
      <c r="D6" s="767"/>
      <c r="E6" s="273"/>
      <c r="F6" s="273"/>
      <c r="G6" s="273"/>
      <c r="H6" s="273"/>
      <c r="I6" s="273"/>
      <c r="J6" s="273"/>
      <c r="K6" s="273"/>
      <c r="L6" s="273"/>
      <c r="M6" s="273"/>
    </row>
    <row r="7" spans="1:13" ht="16.5">
      <c r="A7" s="274"/>
      <c r="B7" s="274"/>
      <c r="C7" s="274"/>
      <c r="D7" s="274"/>
      <c r="E7" s="273"/>
      <c r="F7" s="273"/>
      <c r="G7" s="273" t="s">
        <v>541</v>
      </c>
      <c r="H7" s="275" t="s">
        <v>43</v>
      </c>
      <c r="I7" s="275" t="s">
        <v>539</v>
      </c>
      <c r="J7" s="275" t="s">
        <v>529</v>
      </c>
      <c r="K7" s="275" t="s">
        <v>528</v>
      </c>
      <c r="L7" s="275" t="s">
        <v>542</v>
      </c>
      <c r="M7" s="273" t="s">
        <v>540</v>
      </c>
    </row>
    <row r="8" spans="1:13" ht="16.5">
      <c r="A8" s="276" t="s">
        <v>524</v>
      </c>
      <c r="B8" s="277" t="s">
        <v>529</v>
      </c>
      <c r="C8" s="276" t="s">
        <v>530</v>
      </c>
      <c r="D8" s="278" t="s">
        <v>528</v>
      </c>
      <c r="E8" s="273"/>
      <c r="F8" s="273"/>
      <c r="G8" s="310">
        <v>0</v>
      </c>
      <c r="H8" s="311">
        <v>0</v>
      </c>
      <c r="I8" s="301">
        <f>$I$18*G8</f>
        <v>0</v>
      </c>
      <c r="J8" s="312">
        <f>+B22</f>
        <v>103372.58658713728</v>
      </c>
      <c r="K8" s="312">
        <f aca="true" t="shared" si="0" ref="K8:K18">$B$22+$C$22</f>
        <v>178937.40383251855</v>
      </c>
      <c r="L8" s="312">
        <f aca="true" t="shared" si="1" ref="L8:L18">$J$8+$C$22*G8</f>
        <v>103372.58658713728</v>
      </c>
      <c r="M8" s="273"/>
    </row>
    <row r="9" spans="1:13" ht="16.5">
      <c r="A9" s="280"/>
      <c r="B9" s="281"/>
      <c r="C9" s="280"/>
      <c r="D9" s="282"/>
      <c r="E9" s="273"/>
      <c r="F9" s="273"/>
      <c r="G9" s="310">
        <v>0.1</v>
      </c>
      <c r="H9" s="311">
        <v>10</v>
      </c>
      <c r="I9" s="312">
        <f aca="true" t="shared" si="2" ref="I9:I17">$I$18*G9</f>
        <v>22072.050000000003</v>
      </c>
      <c r="J9" s="312">
        <f aca="true" t="shared" si="3" ref="J9:J18">$B$22</f>
        <v>103372.58658713728</v>
      </c>
      <c r="K9" s="312">
        <f t="shared" si="0"/>
        <v>178937.40383251855</v>
      </c>
      <c r="L9" s="312">
        <f t="shared" si="1"/>
        <v>110929.06831167541</v>
      </c>
      <c r="M9" s="273"/>
    </row>
    <row r="10" spans="1:13" ht="16.5">
      <c r="A10" s="283" t="s">
        <v>531</v>
      </c>
      <c r="B10" s="285"/>
      <c r="C10" s="286">
        <f>'Costos&amp;Gastos'!E5+'Costos&amp;Gastos'!E6</f>
        <v>15939.1855</v>
      </c>
      <c r="D10" s="287">
        <f>B10+C10</f>
        <v>15939.1855</v>
      </c>
      <c r="E10" s="273"/>
      <c r="F10" s="273"/>
      <c r="G10" s="310">
        <v>0.2</v>
      </c>
      <c r="H10" s="311">
        <v>20</v>
      </c>
      <c r="I10" s="312">
        <f t="shared" si="2"/>
        <v>44144.100000000006</v>
      </c>
      <c r="J10" s="312">
        <f t="shared" si="3"/>
        <v>103372.58658713728</v>
      </c>
      <c r="K10" s="312">
        <f t="shared" si="0"/>
        <v>178937.40383251855</v>
      </c>
      <c r="L10" s="312">
        <f t="shared" si="1"/>
        <v>118485.55003621354</v>
      </c>
      <c r="M10" s="273"/>
    </row>
    <row r="11" spans="1:13" ht="16.5">
      <c r="A11" s="283" t="s">
        <v>532</v>
      </c>
      <c r="B11" s="273"/>
      <c r="C11" s="288">
        <f>'Costos&amp;Gastos'!E3+'Costos&amp;Gastos'!E4</f>
        <v>43295.41781590413</v>
      </c>
      <c r="D11" s="286">
        <f>B11+C11</f>
        <v>43295.41781590413</v>
      </c>
      <c r="E11" s="273"/>
      <c r="F11" s="273"/>
      <c r="G11" s="310">
        <v>0.3</v>
      </c>
      <c r="H11" s="311">
        <v>30</v>
      </c>
      <c r="I11" s="313">
        <f t="shared" si="2"/>
        <v>66216.15</v>
      </c>
      <c r="J11" s="313">
        <f t="shared" si="3"/>
        <v>103372.58658713728</v>
      </c>
      <c r="K11" s="313">
        <f t="shared" si="0"/>
        <v>178937.40383251855</v>
      </c>
      <c r="L11" s="312">
        <f t="shared" si="1"/>
        <v>126042.03176075166</v>
      </c>
      <c r="M11" s="279"/>
    </row>
    <row r="12" spans="1:13" ht="16.5">
      <c r="A12" s="283" t="s">
        <v>534</v>
      </c>
      <c r="B12" s="285"/>
      <c r="C12" s="289"/>
      <c r="D12" s="290"/>
      <c r="E12" s="273"/>
      <c r="F12" s="273"/>
      <c r="G12" s="310">
        <v>0.4</v>
      </c>
      <c r="H12" s="311">
        <v>40</v>
      </c>
      <c r="I12" s="312">
        <f t="shared" si="2"/>
        <v>88288.20000000001</v>
      </c>
      <c r="J12" s="312">
        <f t="shared" si="3"/>
        <v>103372.58658713728</v>
      </c>
      <c r="K12" s="312">
        <f t="shared" si="0"/>
        <v>178937.40383251855</v>
      </c>
      <c r="L12" s="312">
        <f t="shared" si="1"/>
        <v>133598.5134852898</v>
      </c>
      <c r="M12" s="279"/>
    </row>
    <row r="13" spans="1:13" ht="16.5">
      <c r="A13" s="291" t="s">
        <v>543</v>
      </c>
      <c r="B13" s="309">
        <f>'Costos&amp;Gastos'!E10+'Costos&amp;Gastos'!E21</f>
        <v>48600</v>
      </c>
      <c r="C13" s="286"/>
      <c r="D13" s="290">
        <f>+B13</f>
        <v>48600</v>
      </c>
      <c r="E13" s="273"/>
      <c r="F13" s="273"/>
      <c r="G13" s="310">
        <v>0.5</v>
      </c>
      <c r="H13" s="311">
        <v>50</v>
      </c>
      <c r="I13" s="312">
        <f t="shared" si="2"/>
        <v>110360.25</v>
      </c>
      <c r="J13" s="312">
        <f t="shared" si="3"/>
        <v>103372.58658713728</v>
      </c>
      <c r="K13" s="312">
        <f t="shared" si="0"/>
        <v>178937.40383251855</v>
      </c>
      <c r="L13" s="312">
        <f t="shared" si="1"/>
        <v>141154.9952098279</v>
      </c>
      <c r="M13" s="279"/>
    </row>
    <row r="14" spans="1:13" ht="16.5">
      <c r="A14" s="291" t="s">
        <v>544</v>
      </c>
      <c r="B14" s="285"/>
      <c r="C14" s="286">
        <f>'Costos&amp;Gastos'!E11</f>
        <v>6729.5865</v>
      </c>
      <c r="D14" s="290">
        <f>B14+C14</f>
        <v>6729.5865</v>
      </c>
      <c r="E14" s="273"/>
      <c r="F14" s="273"/>
      <c r="G14" s="310">
        <v>0.6</v>
      </c>
      <c r="H14" s="311">
        <v>60</v>
      </c>
      <c r="I14" s="312">
        <f t="shared" si="2"/>
        <v>132432.3</v>
      </c>
      <c r="J14" s="312">
        <f t="shared" si="3"/>
        <v>103372.58658713728</v>
      </c>
      <c r="K14" s="312">
        <f t="shared" si="0"/>
        <v>178937.40383251855</v>
      </c>
      <c r="L14" s="312">
        <f t="shared" si="1"/>
        <v>148711.47693436604</v>
      </c>
      <c r="M14" s="279"/>
    </row>
    <row r="15" spans="1:13" ht="16.5">
      <c r="A15" s="291" t="s">
        <v>545</v>
      </c>
      <c r="B15" s="292">
        <f>'Costos&amp;Gastos'!E16</f>
        <v>27204.915478333336</v>
      </c>
      <c r="C15" s="289"/>
      <c r="D15" s="290">
        <f>B15+C15</f>
        <v>27204.915478333336</v>
      </c>
      <c r="E15" s="273"/>
      <c r="F15" s="273"/>
      <c r="G15" s="310">
        <v>0.7</v>
      </c>
      <c r="H15" s="311">
        <v>70</v>
      </c>
      <c r="I15" s="312">
        <f t="shared" si="2"/>
        <v>154504.34999999998</v>
      </c>
      <c r="J15" s="312">
        <f t="shared" si="3"/>
        <v>103372.58658713728</v>
      </c>
      <c r="K15" s="312">
        <f t="shared" si="0"/>
        <v>178937.40383251855</v>
      </c>
      <c r="L15" s="312">
        <f t="shared" si="1"/>
        <v>156267.95865890416</v>
      </c>
      <c r="M15" s="279"/>
    </row>
    <row r="16" spans="1:13" ht="16.5">
      <c r="A16" s="291" t="s">
        <v>548</v>
      </c>
      <c r="B16" s="273"/>
      <c r="C16" s="288">
        <f>'Costos&amp;Gastos'!E12</f>
        <v>5040</v>
      </c>
      <c r="D16" s="286">
        <f>B16+C16</f>
        <v>5040</v>
      </c>
      <c r="E16" s="273"/>
      <c r="F16" s="273"/>
      <c r="G16" s="310">
        <v>0.8</v>
      </c>
      <c r="H16" s="311">
        <v>80</v>
      </c>
      <c r="I16" s="312">
        <f t="shared" si="2"/>
        <v>176576.40000000002</v>
      </c>
      <c r="J16" s="312">
        <f t="shared" si="3"/>
        <v>103372.58658713728</v>
      </c>
      <c r="K16" s="312">
        <f t="shared" si="0"/>
        <v>178937.40383251855</v>
      </c>
      <c r="L16" s="312">
        <f t="shared" si="1"/>
        <v>163824.4403834423</v>
      </c>
      <c r="M16" s="279"/>
    </row>
    <row r="17" spans="1:13" ht="16.5">
      <c r="A17" s="291" t="s">
        <v>547</v>
      </c>
      <c r="B17" s="292">
        <f>'Costos&amp;Gastos'!E13</f>
        <v>6455.475</v>
      </c>
      <c r="C17" s="286"/>
      <c r="D17" s="290">
        <f>B17+C17</f>
        <v>6455.475</v>
      </c>
      <c r="E17" s="273"/>
      <c r="F17" s="273"/>
      <c r="G17" s="310">
        <v>0.9</v>
      </c>
      <c r="H17" s="311">
        <v>90</v>
      </c>
      <c r="I17" s="312">
        <f t="shared" si="2"/>
        <v>198648.45</v>
      </c>
      <c r="J17" s="312">
        <f t="shared" si="3"/>
        <v>103372.58658713728</v>
      </c>
      <c r="K17" s="312">
        <f t="shared" si="0"/>
        <v>178937.40383251855</v>
      </c>
      <c r="L17" s="312">
        <f t="shared" si="1"/>
        <v>171380.9221079804</v>
      </c>
      <c r="M17" s="279"/>
    </row>
    <row r="18" spans="1:13" ht="16.5">
      <c r="A18" s="291" t="s">
        <v>549</v>
      </c>
      <c r="B18" s="292">
        <f>+'Costos&amp;Gastos'!E22</f>
        <v>10000</v>
      </c>
      <c r="C18" s="286"/>
      <c r="D18" s="290">
        <f>B18+C18</f>
        <v>10000</v>
      </c>
      <c r="E18" s="273"/>
      <c r="F18" s="273"/>
      <c r="G18" s="310">
        <v>1</v>
      </c>
      <c r="H18" s="311">
        <v>100</v>
      </c>
      <c r="I18" s="312">
        <f>+'EP&amp;G'!D2</f>
        <v>220720.5</v>
      </c>
      <c r="J18" s="312">
        <f t="shared" si="3"/>
        <v>103372.58658713728</v>
      </c>
      <c r="K18" s="312">
        <f t="shared" si="0"/>
        <v>178937.40383251855</v>
      </c>
      <c r="L18" s="312">
        <f t="shared" si="1"/>
        <v>178937.40383251855</v>
      </c>
      <c r="M18" s="279"/>
    </row>
    <row r="19" spans="1:13" ht="16.5">
      <c r="A19" s="291" t="s">
        <v>546</v>
      </c>
      <c r="B19" s="292" t="s">
        <v>527</v>
      </c>
      <c r="C19" s="286">
        <f>'Costos&amp;Gastos'!E7+'Costos&amp;Gastos'!E18+'Costos&amp;Gastos'!E26</f>
        <v>4560.627429477124</v>
      </c>
      <c r="D19" s="290">
        <f>SUM(B19:C19)</f>
        <v>4560.627429477124</v>
      </c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6.5">
      <c r="A20" s="283" t="s">
        <v>526</v>
      </c>
      <c r="B20" s="292">
        <f>Amortización!C20+Amortización!C21</f>
        <v>11112.196108803939</v>
      </c>
      <c r="C20" s="286"/>
      <c r="D20" s="290">
        <f>B20</f>
        <v>11112.196108803939</v>
      </c>
      <c r="E20" s="273"/>
      <c r="F20" s="273"/>
      <c r="G20" s="273"/>
      <c r="H20" s="273"/>
      <c r="I20" s="273"/>
      <c r="J20" s="273"/>
      <c r="K20" s="273"/>
      <c r="L20" s="273"/>
      <c r="M20" s="273"/>
    </row>
    <row r="21" spans="1:13" ht="16.5">
      <c r="A21" s="293"/>
      <c r="B21" s="294"/>
      <c r="C21" s="295"/>
      <c r="D21" s="296"/>
      <c r="E21" s="273"/>
      <c r="F21" s="273"/>
      <c r="G21" s="273"/>
      <c r="H21" s="273"/>
      <c r="I21" s="273"/>
      <c r="J21" s="273"/>
      <c r="K21" s="273"/>
      <c r="L21" s="273"/>
      <c r="M21" s="273"/>
    </row>
    <row r="22" spans="1:13" ht="16.5">
      <c r="A22" s="297" t="s">
        <v>525</v>
      </c>
      <c r="B22" s="298">
        <f>SUM(B10:B21)</f>
        <v>103372.58658713728</v>
      </c>
      <c r="C22" s="299">
        <f>SUM(C10:C21)</f>
        <v>75564.81724538126</v>
      </c>
      <c r="D22" s="300">
        <f>SUM(D10:D21)</f>
        <v>178937.40383251852</v>
      </c>
      <c r="E22" s="273"/>
      <c r="F22" s="273"/>
      <c r="G22" s="273"/>
      <c r="H22" s="273"/>
      <c r="I22" s="273"/>
      <c r="J22" s="273"/>
      <c r="K22" s="273"/>
      <c r="L22" s="273"/>
      <c r="M22" s="273"/>
    </row>
    <row r="23" spans="1:13" ht="16.5">
      <c r="A23" s="281"/>
      <c r="B23" s="281"/>
      <c r="C23" s="281"/>
      <c r="D23" s="301"/>
      <c r="E23" s="273"/>
      <c r="F23" s="273"/>
      <c r="G23" s="273"/>
      <c r="H23" s="273"/>
      <c r="I23" s="273"/>
      <c r="J23" s="273"/>
      <c r="K23" s="273"/>
      <c r="L23" s="273"/>
      <c r="M23" s="273"/>
    </row>
    <row r="24" spans="1:13" ht="16.5">
      <c r="A24" s="273"/>
      <c r="B24" s="302" t="s">
        <v>529</v>
      </c>
      <c r="C24" s="301"/>
      <c r="D24" s="301"/>
      <c r="E24" s="273"/>
      <c r="F24" s="273"/>
      <c r="G24" s="273"/>
      <c r="H24" s="273"/>
      <c r="I24" s="273"/>
      <c r="J24" s="273"/>
      <c r="K24" s="273"/>
      <c r="L24" s="273"/>
      <c r="M24" s="273"/>
    </row>
    <row r="25" spans="1:13" ht="22.5">
      <c r="A25" s="303" t="s">
        <v>537</v>
      </c>
      <c r="B25" s="301"/>
      <c r="C25" s="301"/>
      <c r="D25" s="301"/>
      <c r="E25" s="273"/>
      <c r="F25" s="273"/>
      <c r="G25" s="273"/>
      <c r="H25" s="273"/>
      <c r="K25" s="768" t="s">
        <v>571</v>
      </c>
      <c r="L25" s="768"/>
      <c r="M25" s="273"/>
    </row>
    <row r="26" spans="1:13" ht="16.5">
      <c r="A26" s="303" t="s">
        <v>538</v>
      </c>
      <c r="B26" s="301"/>
      <c r="C26" s="301"/>
      <c r="D26" s="301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6.5">
      <c r="A27" s="301"/>
      <c r="B27" s="301"/>
      <c r="C27" s="301"/>
      <c r="D27" s="301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1:13" ht="16.5">
      <c r="A28" s="273"/>
      <c r="B28" s="304">
        <f>B22</f>
        <v>103372.58658713728</v>
      </c>
      <c r="C28" s="301"/>
      <c r="D28" s="301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6.5">
      <c r="A29" s="303" t="s">
        <v>536</v>
      </c>
      <c r="B29" s="301"/>
      <c r="C29" s="301"/>
      <c r="D29" s="301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6.5">
      <c r="A30" s="273"/>
      <c r="B30" s="305" t="s">
        <v>572</v>
      </c>
      <c r="C30" s="301"/>
      <c r="D30" s="301"/>
      <c r="E30" s="273"/>
      <c r="F30" s="273"/>
      <c r="G30" s="273"/>
      <c r="H30" s="273"/>
      <c r="K30" s="273"/>
      <c r="L30" s="273"/>
      <c r="M30" s="273"/>
    </row>
    <row r="31" spans="1:13" ht="16.5">
      <c r="A31" s="306"/>
      <c r="B31" s="301"/>
      <c r="C31" s="301"/>
      <c r="D31" s="301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3" ht="16.5">
      <c r="A32" s="303"/>
      <c r="B32" s="301"/>
      <c r="C32" s="301"/>
      <c r="D32" s="301"/>
      <c r="E32" s="273"/>
      <c r="F32" s="273"/>
      <c r="G32" s="273"/>
      <c r="H32" s="273"/>
      <c r="I32" s="273"/>
      <c r="J32" s="273"/>
      <c r="K32" s="273"/>
      <c r="L32" s="273"/>
      <c r="M32" s="273"/>
    </row>
    <row r="33" spans="1:13" ht="16.5">
      <c r="A33" s="307" t="s">
        <v>533</v>
      </c>
      <c r="B33" s="308">
        <f>B28/('EP&amp;G'!D2-PE!C22)*100</f>
        <v>71.21497734393594</v>
      </c>
      <c r="C33" s="302" t="s">
        <v>283</v>
      </c>
      <c r="D33" s="639" t="s">
        <v>635</v>
      </c>
      <c r="E33" s="273"/>
      <c r="F33" s="273"/>
      <c r="G33" s="273"/>
      <c r="H33" s="273"/>
      <c r="I33" s="273"/>
      <c r="J33" s="273"/>
      <c r="K33" s="273"/>
      <c r="L33" s="273"/>
      <c r="M33" s="273"/>
    </row>
    <row r="35" ht="12.75">
      <c r="B35">
        <f>B33%*'EP&amp;G'!C2</f>
        <v>94311.63244105327</v>
      </c>
    </row>
  </sheetData>
  <sheetProtection/>
  <mergeCells count="4">
    <mergeCell ref="A4:D4"/>
    <mergeCell ref="A5:D5"/>
    <mergeCell ref="A6:D6"/>
    <mergeCell ref="K25:L2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zoomScalePageLayoutView="0" workbookViewId="0" topLeftCell="A1">
      <selection activeCell="M21" sqref="M21"/>
    </sheetView>
  </sheetViews>
  <sheetFormatPr defaultColWidth="11.421875" defaultRowHeight="12.75"/>
  <cols>
    <col min="1" max="1" width="20.7109375" style="0" bestFit="1" customWidth="1"/>
    <col min="2" max="2" width="9.00390625" style="0" bestFit="1" customWidth="1"/>
    <col min="3" max="3" width="8.8515625" style="0" customWidth="1"/>
    <col min="4" max="5" width="8.7109375" style="0" customWidth="1"/>
    <col min="6" max="6" width="9.28125" style="0" customWidth="1"/>
    <col min="7" max="7" width="9.140625" style="0" customWidth="1"/>
    <col min="8" max="8" width="8.7109375" style="0" customWidth="1"/>
    <col min="9" max="9" width="9.00390625" style="0" customWidth="1"/>
    <col min="10" max="10" width="9.140625" style="0" customWidth="1"/>
    <col min="11" max="11" width="9.00390625" style="0" customWidth="1"/>
    <col min="12" max="12" width="9.28125" style="0" customWidth="1"/>
    <col min="13" max="13" width="9.28125" style="0" bestFit="1" customWidth="1"/>
    <col min="14" max="14" width="10.140625" style="0" bestFit="1" customWidth="1"/>
    <col min="15" max="15" width="7.00390625" style="0" customWidth="1"/>
    <col min="16" max="16" width="25.28125" style="0" customWidth="1"/>
  </cols>
  <sheetData>
    <row r="1" spans="1:14" ht="27.75" customHeight="1">
      <c r="A1" s="614" t="s">
        <v>144</v>
      </c>
      <c r="B1" s="504">
        <v>1</v>
      </c>
      <c r="C1" s="504">
        <v>2</v>
      </c>
      <c r="D1" s="504">
        <v>3</v>
      </c>
      <c r="E1" s="504">
        <v>4</v>
      </c>
      <c r="F1" s="504">
        <v>5</v>
      </c>
      <c r="G1" s="504">
        <v>6</v>
      </c>
      <c r="H1" s="504">
        <v>7</v>
      </c>
      <c r="I1" s="504">
        <v>8</v>
      </c>
      <c r="J1" s="504">
        <v>9</v>
      </c>
      <c r="K1" s="504">
        <v>10</v>
      </c>
      <c r="L1" s="504">
        <v>11</v>
      </c>
      <c r="M1" s="504">
        <v>12</v>
      </c>
      <c r="N1" s="534">
        <v>13</v>
      </c>
    </row>
    <row r="2" spans="1:14" ht="15" customHeight="1">
      <c r="A2" s="444" t="s">
        <v>431</v>
      </c>
      <c r="B2" s="444"/>
      <c r="C2" s="444"/>
      <c r="D2" s="444"/>
      <c r="E2" s="239">
        <f>+'EP&amp;G'!B2</f>
        <v>22072.050000000003</v>
      </c>
      <c r="F2" s="239">
        <f>+'EP&amp;G'!C2</f>
        <v>132432.3</v>
      </c>
      <c r="G2" s="239">
        <f>+'EP&amp;G'!D2</f>
        <v>220720.5</v>
      </c>
      <c r="H2" s="239">
        <f>+'EP&amp;G'!E2</f>
        <v>353152.80000000005</v>
      </c>
      <c r="I2" s="239">
        <f>+'EP&amp;G'!F2</f>
        <v>618017.4000000001</v>
      </c>
      <c r="J2" s="239">
        <f>+'EP&amp;G'!G2</f>
        <v>794593.8</v>
      </c>
      <c r="K2" s="239">
        <f>+'EP&amp;G'!H2</f>
        <v>927026.1000000001</v>
      </c>
      <c r="L2" s="239">
        <f>+'EP&amp;G'!I2</f>
        <v>1103602.5000000002</v>
      </c>
      <c r="M2" s="239">
        <f>+'EP&amp;G'!J2</f>
        <v>1191890.7</v>
      </c>
      <c r="N2" s="238">
        <f>+'EP&amp;G'!K2</f>
        <v>1235626.0583333336</v>
      </c>
    </row>
    <row r="3" spans="1:14" ht="15" customHeight="1">
      <c r="A3" s="444" t="s">
        <v>432</v>
      </c>
      <c r="B3" s="444"/>
      <c r="C3" s="444"/>
      <c r="D3" s="444"/>
      <c r="E3" s="239">
        <f>-'EP&amp;G'!B3</f>
        <v>-36683.62855</v>
      </c>
      <c r="F3" s="239">
        <f>-'EP&amp;G'!C3</f>
        <v>-48171.59338546476</v>
      </c>
      <c r="G3" s="239">
        <f>-'EP&amp;G'!D3</f>
        <v>-60900.96585038125</v>
      </c>
      <c r="H3" s="239">
        <f>-'EP&amp;G'!E3</f>
        <v>-77792.3557713426</v>
      </c>
      <c r="I3" s="239">
        <f>-'EP&amp;G'!F3</f>
        <v>-101455.38523995825</v>
      </c>
      <c r="J3" s="239">
        <f>-'EP&amp;G'!G3</f>
        <v>-127871.17160381809</v>
      </c>
      <c r="K3" s="239">
        <f>-'EP&amp;G'!H3</f>
        <v>-159766.8933315423</v>
      </c>
      <c r="L3" s="239">
        <f>-'EP&amp;G'!I3</f>
        <v>-201744.71712641866</v>
      </c>
      <c r="M3" s="239">
        <f>-'EP&amp;G'!J3</f>
        <v>-252948.77966395367</v>
      </c>
      <c r="N3" s="238">
        <f>-'EP&amp;G'!K3</f>
        <v>-317467.3932936225</v>
      </c>
    </row>
    <row r="4" spans="1:16" ht="15" customHeight="1">
      <c r="A4" s="444" t="s">
        <v>424</v>
      </c>
      <c r="B4" s="444"/>
      <c r="C4" s="444"/>
      <c r="D4" s="444"/>
      <c r="E4" s="239">
        <f>-'Costos&amp;Gastos'!C19+'Costos&amp;Gastos'!C16+'Costos&amp;Gastos'!C17</f>
        <v>-31938.68665949999</v>
      </c>
      <c r="F4" s="239">
        <f>-'Costos&amp;Gastos'!D19+'Costos&amp;Gastos'!D16+'Costos&amp;Gastos'!D17</f>
        <v>-35404.42370700001</v>
      </c>
      <c r="G4" s="239">
        <f>-'Costos&amp;Gastos'!E19+'Costos&amp;Gastos'!E16+'Costos&amp;Gastos'!E17</f>
        <v>-38177.01334500001</v>
      </c>
      <c r="H4" s="239">
        <f>-'Costos&amp;Gastos'!F19+'Costos&amp;Gastos'!F16+'Costos&amp;Gastos'!F17</f>
        <v>-42335.89780199999</v>
      </c>
      <c r="I4" s="239">
        <f>-'Costos&amp;Gastos'!G19+'Costos&amp;Gastos'!G16+'Costos&amp;Gastos'!G17</f>
        <v>-50653.66671599999</v>
      </c>
      <c r="J4" s="239">
        <f>-'Costos&amp;Gastos'!H19+'Costos&amp;Gastos'!H16+'Costos&amp;Gastos'!H17</f>
        <v>-56198.84599199999</v>
      </c>
      <c r="K4" s="239">
        <f>-'Costos&amp;Gastos'!I19+'Costos&amp;Gastos'!I16+'Costos&amp;Gastos'!I17</f>
        <v>-60357.730448999995</v>
      </c>
      <c r="L4" s="239">
        <f>-'Costos&amp;Gastos'!J19+'Costos&amp;Gastos'!J16+'Costos&amp;Gastos'!J17</f>
        <v>-65902.909725</v>
      </c>
      <c r="M4" s="239">
        <f>-'Costos&amp;Gastos'!K19+'Costos&amp;Gastos'!K16+'Costos&amp;Gastos'!K17</f>
        <v>-68675.49936300001</v>
      </c>
      <c r="N4" s="238">
        <f>-'Costos&amp;Gastos'!L19+'Costos&amp;Gastos'!L16+'Costos&amp;Gastos'!L17</f>
        <v>-70061.794182</v>
      </c>
      <c r="P4" s="635" t="s">
        <v>636</v>
      </c>
    </row>
    <row r="5" spans="1:14" ht="15" customHeight="1">
      <c r="A5" s="444" t="s">
        <v>433</v>
      </c>
      <c r="B5" s="444"/>
      <c r="C5" s="444"/>
      <c r="D5" s="444"/>
      <c r="E5" s="239">
        <f>-'EP&amp;G'!B7</f>
        <v>-46870.194805</v>
      </c>
      <c r="F5" s="239">
        <f>-'EP&amp;G'!C7</f>
        <v>-54827.168829999995</v>
      </c>
      <c r="G5" s="239">
        <f>-'EP&amp;G'!D7</f>
        <v>-61192.748049999995</v>
      </c>
      <c r="H5" s="239">
        <f>-'EP&amp;G'!E7</f>
        <v>-70741.11688000002</v>
      </c>
      <c r="I5" s="239">
        <f>-'EP&amp;G'!F7</f>
        <v>-89837.85454000001</v>
      </c>
      <c r="J5" s="239">
        <f>-'EP&amp;G'!G7</f>
        <v>-102569.01297999998</v>
      </c>
      <c r="K5" s="239">
        <f>-'EP&amp;G'!H7</f>
        <v>-112117.38181</v>
      </c>
      <c r="L5" s="239">
        <f>-'EP&amp;G'!I7</f>
        <v>-124848.54025000002</v>
      </c>
      <c r="M5" s="239">
        <f>-'EP&amp;G'!J7</f>
        <v>-131214.11946999998</v>
      </c>
      <c r="N5" s="238">
        <f>-'EP&amp;G'!K7</f>
        <v>-134367.43880583334</v>
      </c>
    </row>
    <row r="6" spans="1:14" ht="15" customHeight="1">
      <c r="A6" s="444" t="s">
        <v>445</v>
      </c>
      <c r="B6" s="239">
        <f>-Amortización!C10-Amortización!C11</f>
        <v>-17755.338987208335</v>
      </c>
      <c r="C6" s="239">
        <f>-Amortización!C12-Amortización!C13</f>
        <v>-16717.095513325636</v>
      </c>
      <c r="D6" s="239">
        <f>-Amortización!C14-Amortización!C15</f>
        <v>-15550.525146071035</v>
      </c>
      <c r="E6" s="239">
        <f>-Amortización!C16-Amortización!C17</f>
        <v>-14239.766681423764</v>
      </c>
      <c r="F6" s="239">
        <f>-Amortización!C18-Amortización!C19</f>
        <v>-12766.998470546092</v>
      </c>
      <c r="G6" s="239">
        <f>-Amortización!C20-Amortización!C21</f>
        <v>-11112.196108803939</v>
      </c>
      <c r="H6" s="239">
        <f>-Amortización!C22-Amortización!C23</f>
        <v>-9252.860175150456</v>
      </c>
      <c r="I6" s="239">
        <f>-Amortización!C24-Amortización!C25</f>
        <v>-7163.710320097402</v>
      </c>
      <c r="J6" s="239">
        <f>-Amortización!C26-Amortización!C27</f>
        <v>-4816.341542959792</v>
      </c>
      <c r="K6" s="239">
        <f>-Amortización!C28-Amortización!C29</f>
        <v>-2178.8379849679727</v>
      </c>
      <c r="L6" s="239">
        <f>-'EP&amp;G'!I10</f>
        <v>0</v>
      </c>
      <c r="M6" s="239">
        <f>-'EP&amp;G'!J10</f>
        <v>0</v>
      </c>
      <c r="N6" s="238">
        <f>-'EP&amp;G'!K10</f>
        <v>0</v>
      </c>
    </row>
    <row r="7" spans="1:16" ht="15" customHeight="1">
      <c r="A7" s="444" t="s">
        <v>434</v>
      </c>
      <c r="B7" s="239">
        <f>-'Costos&amp;Gastos'!C16</f>
        <v>-27204.915478333336</v>
      </c>
      <c r="C7" s="239">
        <f>+B7</f>
        <v>-27204.915478333336</v>
      </c>
      <c r="D7" s="239">
        <f aca="true" t="shared" si="0" ref="D7:N7">+C7</f>
        <v>-27204.915478333336</v>
      </c>
      <c r="E7" s="239">
        <f t="shared" si="0"/>
        <v>-27204.915478333336</v>
      </c>
      <c r="F7" s="239">
        <f t="shared" si="0"/>
        <v>-27204.915478333336</v>
      </c>
      <c r="G7" s="239">
        <f t="shared" si="0"/>
        <v>-27204.915478333336</v>
      </c>
      <c r="H7" s="239">
        <f t="shared" si="0"/>
        <v>-27204.915478333336</v>
      </c>
      <c r="I7" s="239">
        <f t="shared" si="0"/>
        <v>-27204.915478333336</v>
      </c>
      <c r="J7" s="239">
        <f t="shared" si="0"/>
        <v>-27204.915478333336</v>
      </c>
      <c r="K7" s="239">
        <f t="shared" si="0"/>
        <v>-27204.915478333336</v>
      </c>
      <c r="L7" s="239">
        <f t="shared" si="0"/>
        <v>-27204.915478333336</v>
      </c>
      <c r="M7" s="239">
        <f t="shared" si="0"/>
        <v>-27204.915478333336</v>
      </c>
      <c r="N7" s="238">
        <f t="shared" si="0"/>
        <v>-27204.915478333336</v>
      </c>
      <c r="P7" s="638" t="s">
        <v>640</v>
      </c>
    </row>
    <row r="8" spans="1:14" ht="15" customHeight="1">
      <c r="A8" s="444" t="s">
        <v>435</v>
      </c>
      <c r="B8" s="239">
        <f>-'Costos&amp;Gastos'!C17</f>
        <v>-8304</v>
      </c>
      <c r="C8" s="239">
        <f>+B8</f>
        <v>-8304</v>
      </c>
      <c r="D8" s="239">
        <f>+C8</f>
        <v>-8304</v>
      </c>
      <c r="E8" s="239">
        <f>+D8</f>
        <v>-8304</v>
      </c>
      <c r="F8" s="239">
        <f>+E8</f>
        <v>-8304</v>
      </c>
      <c r="G8" s="444">
        <v>0</v>
      </c>
      <c r="H8" s="444">
        <v>0</v>
      </c>
      <c r="I8" s="444">
        <v>0</v>
      </c>
      <c r="J8" s="444">
        <v>0</v>
      </c>
      <c r="K8" s="444">
        <v>0</v>
      </c>
      <c r="L8" s="444">
        <v>0</v>
      </c>
      <c r="M8" s="444">
        <v>0</v>
      </c>
      <c r="N8" s="562">
        <v>0</v>
      </c>
    </row>
    <row r="9" spans="1:14" ht="15" customHeight="1">
      <c r="A9" s="451" t="s">
        <v>436</v>
      </c>
      <c r="B9" s="568">
        <f>SUM(B6:B8)</f>
        <v>-53264.25446554167</v>
      </c>
      <c r="C9" s="568">
        <f>SUM(C6:C8)</f>
        <v>-52226.01099165897</v>
      </c>
      <c r="D9" s="568">
        <f>SUM(D6:D8)</f>
        <v>-51059.44062440437</v>
      </c>
      <c r="E9" s="568">
        <f aca="true" t="shared" si="1" ref="E9:N9">SUM(E2:E8)</f>
        <v>-143169.14217425708</v>
      </c>
      <c r="F9" s="568">
        <f t="shared" si="1"/>
        <v>-54246.79987134421</v>
      </c>
      <c r="G9" s="568">
        <f t="shared" si="1"/>
        <v>22132.661167481478</v>
      </c>
      <c r="H9" s="568">
        <f t="shared" si="1"/>
        <v>125825.65389317367</v>
      </c>
      <c r="I9" s="568">
        <f t="shared" si="1"/>
        <v>341701.86770561116</v>
      </c>
      <c r="J9" s="568">
        <f t="shared" si="1"/>
        <v>475933.51240288885</v>
      </c>
      <c r="K9" s="568">
        <f t="shared" si="1"/>
        <v>565400.3409461564</v>
      </c>
      <c r="L9" s="568">
        <f t="shared" si="1"/>
        <v>683901.4174202483</v>
      </c>
      <c r="M9" s="568">
        <f t="shared" si="1"/>
        <v>711847.3860247128</v>
      </c>
      <c r="N9" s="569">
        <f t="shared" si="1"/>
        <v>686524.5165735445</v>
      </c>
    </row>
    <row r="10" spans="1:14" ht="15" customHeight="1">
      <c r="A10" s="444" t="s">
        <v>437</v>
      </c>
      <c r="B10" s="444">
        <v>0</v>
      </c>
      <c r="C10" s="444">
        <v>0</v>
      </c>
      <c r="D10" s="444">
        <v>0</v>
      </c>
      <c r="E10" s="239">
        <f>-'EP&amp;G'!B15</f>
        <v>0</v>
      </c>
      <c r="F10" s="239">
        <f>-'EP&amp;G'!C15</f>
        <v>0</v>
      </c>
      <c r="G10" s="239">
        <f>-'EP&amp;G'!D15</f>
        <v>-3319.8991751222215</v>
      </c>
      <c r="H10" s="239">
        <f>-'EP&amp;G'!E15</f>
        <v>-18873.84808397605</v>
      </c>
      <c r="I10" s="239">
        <f>-'EP&amp;G'!F15</f>
        <v>-51255.280155841676</v>
      </c>
      <c r="J10" s="239">
        <f>-'EP&amp;G'!G15</f>
        <v>-71390.02686043333</v>
      </c>
      <c r="K10" s="239">
        <f>-'EP&amp;G'!H15</f>
        <v>-84810.05114192345</v>
      </c>
      <c r="L10" s="239">
        <f>-'EP&amp;G'!I15</f>
        <v>-102585.21261303723</v>
      </c>
      <c r="M10" s="239">
        <f>-'EP&amp;G'!J15</f>
        <v>-106777.10790370691</v>
      </c>
      <c r="N10" s="238">
        <f>-'EP&amp;G'!K15</f>
        <v>-102978.67748603167</v>
      </c>
    </row>
    <row r="11" spans="1:14" ht="15" customHeight="1">
      <c r="A11" s="444" t="s">
        <v>438</v>
      </c>
      <c r="B11" s="444">
        <v>0</v>
      </c>
      <c r="C11" s="444">
        <v>0</v>
      </c>
      <c r="D11" s="444">
        <v>0</v>
      </c>
      <c r="E11" s="239">
        <f>-'EP&amp;G'!B19</f>
        <v>0</v>
      </c>
      <c r="F11" s="239">
        <f>-'EP&amp;G'!C19</f>
        <v>0</v>
      </c>
      <c r="G11" s="239">
        <f>-'EP&amp;G'!D19</f>
        <v>-4703.190498089814</v>
      </c>
      <c r="H11" s="239">
        <f>-'EP&amp;G'!E19</f>
        <v>-26737.951452299403</v>
      </c>
      <c r="I11" s="239">
        <f>-'EP&amp;G'!F19</f>
        <v>-72611.64688744237</v>
      </c>
      <c r="J11" s="239">
        <f>-'EP&amp;G'!G19</f>
        <v>-101135.87138561388</v>
      </c>
      <c r="K11" s="239">
        <f>-'EP&amp;G'!H19</f>
        <v>-120147.57245105824</v>
      </c>
      <c r="L11" s="239">
        <f>-'EP&amp;G'!I19</f>
        <v>-145329.05120180277</v>
      </c>
      <c r="M11" s="239">
        <f>-'EP&amp;G'!J19</f>
        <v>-151267.56953025147</v>
      </c>
      <c r="N11" s="238">
        <f>-'EP&amp;G'!K19</f>
        <v>-145886.4597718782</v>
      </c>
    </row>
    <row r="12" spans="1:14" ht="15" customHeight="1">
      <c r="A12" s="451" t="s">
        <v>439</v>
      </c>
      <c r="B12" s="568">
        <f>B9+B10+B11</f>
        <v>-53264.25446554167</v>
      </c>
      <c r="C12" s="568">
        <f aca="true" t="shared" si="2" ref="C12:N12">C9+C10+C11</f>
        <v>-52226.01099165897</v>
      </c>
      <c r="D12" s="568">
        <f t="shared" si="2"/>
        <v>-51059.44062440437</v>
      </c>
      <c r="E12" s="568">
        <f t="shared" si="2"/>
        <v>-143169.14217425708</v>
      </c>
      <c r="F12" s="568">
        <f t="shared" si="2"/>
        <v>-54246.79987134421</v>
      </c>
      <c r="G12" s="568">
        <f t="shared" si="2"/>
        <v>14109.571494269443</v>
      </c>
      <c r="H12" s="568">
        <f t="shared" si="2"/>
        <v>80213.85435689823</v>
      </c>
      <c r="I12" s="568">
        <f t="shared" si="2"/>
        <v>217834.9406623271</v>
      </c>
      <c r="J12" s="568">
        <f t="shared" si="2"/>
        <v>303407.61415684165</v>
      </c>
      <c r="K12" s="568">
        <f t="shared" si="2"/>
        <v>360442.7173531747</v>
      </c>
      <c r="L12" s="568">
        <f t="shared" si="2"/>
        <v>435987.15360540827</v>
      </c>
      <c r="M12" s="568">
        <f t="shared" si="2"/>
        <v>453802.7085907544</v>
      </c>
      <c r="N12" s="569">
        <f t="shared" si="2"/>
        <v>437659.3793156346</v>
      </c>
    </row>
    <row r="13" spans="1:14" ht="15" customHeight="1">
      <c r="A13" s="444" t="s">
        <v>434</v>
      </c>
      <c r="B13" s="239">
        <f>-B7</f>
        <v>27204.915478333336</v>
      </c>
      <c r="C13" s="239">
        <f aca="true" t="shared" si="3" ref="C13:N13">-C7</f>
        <v>27204.915478333336</v>
      </c>
      <c r="D13" s="239">
        <f t="shared" si="3"/>
        <v>27204.915478333336</v>
      </c>
      <c r="E13" s="239">
        <f t="shared" si="3"/>
        <v>27204.915478333336</v>
      </c>
      <c r="F13" s="239">
        <f t="shared" si="3"/>
        <v>27204.915478333336</v>
      </c>
      <c r="G13" s="239">
        <f t="shared" si="3"/>
        <v>27204.915478333336</v>
      </c>
      <c r="H13" s="239">
        <f t="shared" si="3"/>
        <v>27204.915478333336</v>
      </c>
      <c r="I13" s="239">
        <f t="shared" si="3"/>
        <v>27204.915478333336</v>
      </c>
      <c r="J13" s="239">
        <f t="shared" si="3"/>
        <v>27204.915478333336</v>
      </c>
      <c r="K13" s="239">
        <f t="shared" si="3"/>
        <v>27204.915478333336</v>
      </c>
      <c r="L13" s="239">
        <f t="shared" si="3"/>
        <v>27204.915478333336</v>
      </c>
      <c r="M13" s="239">
        <f t="shared" si="3"/>
        <v>27204.915478333336</v>
      </c>
      <c r="N13" s="238">
        <f t="shared" si="3"/>
        <v>27204.915478333336</v>
      </c>
    </row>
    <row r="14" spans="1:14" ht="15" customHeight="1">
      <c r="A14" s="451" t="s">
        <v>435</v>
      </c>
      <c r="B14" s="568">
        <f>-B8</f>
        <v>8304</v>
      </c>
      <c r="C14" s="568">
        <f aca="true" t="shared" si="4" ref="C14:N14">-C8</f>
        <v>8304</v>
      </c>
      <c r="D14" s="568">
        <f t="shared" si="4"/>
        <v>8304</v>
      </c>
      <c r="E14" s="568">
        <f t="shared" si="4"/>
        <v>8304</v>
      </c>
      <c r="F14" s="568">
        <f t="shared" si="4"/>
        <v>8304</v>
      </c>
      <c r="G14" s="568">
        <f t="shared" si="4"/>
        <v>0</v>
      </c>
      <c r="H14" s="568">
        <f t="shared" si="4"/>
        <v>0</v>
      </c>
      <c r="I14" s="568">
        <f t="shared" si="4"/>
        <v>0</v>
      </c>
      <c r="J14" s="568">
        <f t="shared" si="4"/>
        <v>0</v>
      </c>
      <c r="K14" s="568">
        <f t="shared" si="4"/>
        <v>0</v>
      </c>
      <c r="L14" s="568">
        <f t="shared" si="4"/>
        <v>0</v>
      </c>
      <c r="M14" s="568">
        <f t="shared" si="4"/>
        <v>0</v>
      </c>
      <c r="N14" s="569">
        <f t="shared" si="4"/>
        <v>0</v>
      </c>
    </row>
    <row r="15" spans="1:14" ht="15" customHeight="1">
      <c r="A15" s="444" t="s">
        <v>440</v>
      </c>
      <c r="B15" s="239">
        <f>-Inversiones!B35</f>
        <v>-280279.73549999995</v>
      </c>
      <c r="C15" s="239">
        <f>-Inversiones!C35</f>
        <v>-42784.401287</v>
      </c>
      <c r="D15" s="239">
        <f>-Inversiones!D35</f>
        <v>-108366.1154</v>
      </c>
      <c r="E15" s="239"/>
      <c r="F15" s="239"/>
      <c r="G15" s="444"/>
      <c r="H15" s="444"/>
      <c r="I15" s="444"/>
      <c r="J15" s="444"/>
      <c r="K15" s="444"/>
      <c r="L15" s="444"/>
      <c r="M15" s="444"/>
      <c r="N15" s="562"/>
    </row>
    <row r="16" spans="1:14" ht="15" customHeight="1">
      <c r="A16" s="444" t="s">
        <v>441</v>
      </c>
      <c r="B16" s="239"/>
      <c r="C16" s="239"/>
      <c r="D16" s="239"/>
      <c r="E16" s="239"/>
      <c r="F16" s="239"/>
      <c r="G16" s="444"/>
      <c r="H16" s="444"/>
      <c r="I16" s="444"/>
      <c r="J16" s="444"/>
      <c r="K16" s="239"/>
      <c r="L16" s="444"/>
      <c r="M16" s="444"/>
      <c r="N16" s="562"/>
    </row>
    <row r="17" spans="1:16" ht="15" customHeight="1">
      <c r="A17" s="444" t="s">
        <v>442</v>
      </c>
      <c r="B17" s="239">
        <f>-'K de trabajo'!B7</f>
        <v>-32718.450093055417</v>
      </c>
      <c r="C17" s="239">
        <f>+B17</f>
        <v>-32718.450093055417</v>
      </c>
      <c r="D17" s="239">
        <f>+C17</f>
        <v>-32718.450093055417</v>
      </c>
      <c r="E17" s="239">
        <f>+'K de trabajo'!T29</f>
        <v>-119575.82710755541</v>
      </c>
      <c r="F17" s="239">
        <f>+'K de trabajo'!T35</f>
        <v>-32126.253015520197</v>
      </c>
      <c r="G17" s="444"/>
      <c r="H17" s="444"/>
      <c r="I17" s="444"/>
      <c r="J17" s="444"/>
      <c r="K17" s="444"/>
      <c r="L17" s="444"/>
      <c r="M17" s="444"/>
      <c r="N17" s="562"/>
      <c r="P17" s="635" t="s">
        <v>638</v>
      </c>
    </row>
    <row r="18" spans="1:14" ht="15" customHeight="1">
      <c r="A18" s="444" t="s">
        <v>446</v>
      </c>
      <c r="B18" s="239">
        <f>+Financiamiento!B8</f>
        <v>150000</v>
      </c>
      <c r="C18" s="239"/>
      <c r="D18" s="239"/>
      <c r="E18" s="239"/>
      <c r="F18" s="239"/>
      <c r="G18" s="444"/>
      <c r="H18" s="444"/>
      <c r="I18" s="444"/>
      <c r="J18" s="444"/>
      <c r="K18" s="444"/>
      <c r="L18" s="444"/>
      <c r="M18" s="444"/>
      <c r="N18" s="562"/>
    </row>
    <row r="19" spans="1:14" ht="15" customHeight="1">
      <c r="A19" s="444" t="s">
        <v>447</v>
      </c>
      <c r="B19" s="239">
        <f>-Amortización!D10-Amortización!D11</f>
        <v>-8400.028105847081</v>
      </c>
      <c r="C19" s="239">
        <f>-Amortización!D12-Amortización!D13</f>
        <v>-9438.27157972978</v>
      </c>
      <c r="D19" s="239">
        <f>-Amortización!D14-Amortización!D15</f>
        <v>-10604.841946984383</v>
      </c>
      <c r="E19" s="239">
        <f>-Amortización!D16-Amortización!D17</f>
        <v>-11915.600411631654</v>
      </c>
      <c r="F19" s="239">
        <f>-Amortización!D18-Amortización!D19</f>
        <v>-13388.368622509326</v>
      </c>
      <c r="G19" s="239">
        <f>-Amortización!D20-Amortización!D21</f>
        <v>-15043.17098425148</v>
      </c>
      <c r="H19" s="239">
        <f>-Amortización!D22-Amortización!D23</f>
        <v>-16902.50691790496</v>
      </c>
      <c r="I19" s="239">
        <f>-Amortización!D24-Amortización!D25</f>
        <v>-18991.656772958017</v>
      </c>
      <c r="J19" s="239">
        <f>-Amortización!D26-Amortización!D27</f>
        <v>-21339.025550095626</v>
      </c>
      <c r="K19" s="239">
        <f>-Amortización!D28-Amortización!D29</f>
        <v>-23976.529108087445</v>
      </c>
      <c r="L19" s="444"/>
      <c r="M19" s="444"/>
      <c r="N19" s="562"/>
    </row>
    <row r="20" spans="1:16" ht="15" customHeight="1">
      <c r="A20" s="451" t="s">
        <v>443</v>
      </c>
      <c r="B20" s="568"/>
      <c r="C20" s="568"/>
      <c r="D20" s="568"/>
      <c r="E20" s="568"/>
      <c r="F20" s="568"/>
      <c r="G20" s="451"/>
      <c r="H20" s="451"/>
      <c r="I20" s="451"/>
      <c r="J20" s="451"/>
      <c r="K20" s="451"/>
      <c r="L20" s="451"/>
      <c r="M20" s="451"/>
      <c r="N20" s="569">
        <f>(M21-M13)/0.1676</f>
        <v>2707653.3925462672</v>
      </c>
      <c r="P20" s="635" t="s">
        <v>637</v>
      </c>
    </row>
    <row r="21" spans="1:14" ht="20.25" customHeight="1">
      <c r="A21" s="543" t="s">
        <v>444</v>
      </c>
      <c r="B21" s="579">
        <f>B12+B13+B14+B15+B17+B18+B19</f>
        <v>-189153.55268611078</v>
      </c>
      <c r="C21" s="579">
        <f aca="true" t="shared" si="5" ref="C21:M21">C12+C13+C14+C15+C17+C18+C19</f>
        <v>-101658.21847311084</v>
      </c>
      <c r="D21" s="579">
        <f t="shared" si="5"/>
        <v>-167239.9325861108</v>
      </c>
      <c r="E21" s="579">
        <f t="shared" si="5"/>
        <v>-239151.65421511082</v>
      </c>
      <c r="F21" s="579">
        <f t="shared" si="5"/>
        <v>-64252.50603104039</v>
      </c>
      <c r="G21" s="579">
        <f t="shared" si="5"/>
        <v>26271.315988351304</v>
      </c>
      <c r="H21" s="579">
        <f t="shared" si="5"/>
        <v>90516.2629173266</v>
      </c>
      <c r="I21" s="579">
        <f t="shared" si="5"/>
        <v>226048.19936770241</v>
      </c>
      <c r="J21" s="579">
        <f t="shared" si="5"/>
        <v>309273.5040850794</v>
      </c>
      <c r="K21" s="579">
        <f t="shared" si="5"/>
        <v>363671.10372342065</v>
      </c>
      <c r="L21" s="579">
        <f t="shared" si="5"/>
        <v>463192.06908374163</v>
      </c>
      <c r="M21" s="579">
        <f t="shared" si="5"/>
        <v>481007.6240690878</v>
      </c>
      <c r="N21" s="610">
        <f>N12+N13+N14+N15+N17+N18+N19+N20</f>
        <v>3172517.6873402353</v>
      </c>
    </row>
    <row r="23" spans="1:2" ht="12.75">
      <c r="A23" t="s">
        <v>449</v>
      </c>
      <c r="B23" s="167">
        <f>NPV(16.76%,C21:N21)+B21</f>
        <v>400247.6357540235</v>
      </c>
    </row>
    <row r="24" spans="1:2" ht="12.75">
      <c r="A24" t="s">
        <v>450</v>
      </c>
      <c r="B24" s="4">
        <f>IRR(B21:N21)</f>
        <v>0.23956914090038806</v>
      </c>
    </row>
    <row r="27" spans="7:11" ht="15">
      <c r="G27" s="640" t="s">
        <v>639</v>
      </c>
      <c r="H27" s="640"/>
      <c r="I27" s="640"/>
      <c r="J27" s="640"/>
      <c r="K27" s="635"/>
    </row>
  </sheetData>
  <sheetProtection/>
  <printOptions/>
  <pageMargins left="0.9" right="0.5905511811023623" top="1.76" bottom="0.984251968503937" header="0.36" footer="0"/>
  <pageSetup horizontalDpi="600" verticalDpi="600" orientation="landscape" paperSize="9" scale="90" r:id="rId1"/>
  <headerFooter alignWithMargins="0">
    <oddHeader>&amp;C
&amp;"Arial,Negrita"&amp;12ANEXOS FINANCIEROS
ANEXO 5.8 FLUJO DE CAJA DEL PROYECTO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21.57421875" style="0" bestFit="1" customWidth="1"/>
    <col min="2" max="2" width="17.28125" style="0" bestFit="1" customWidth="1"/>
  </cols>
  <sheetData>
    <row r="1" spans="1:14" ht="12.75">
      <c r="A1" t="s">
        <v>555</v>
      </c>
      <c r="E1" s="12">
        <v>6306.3</v>
      </c>
      <c r="F1" s="12">
        <f>E1*(1+Producción!C20)</f>
        <v>37837.799999999996</v>
      </c>
      <c r="G1" s="12">
        <f>F1*(1+Producción!D20)</f>
        <v>63062.999999999985</v>
      </c>
      <c r="H1" s="12">
        <f>G1*(1+Producción!E20)</f>
        <v>100900.8</v>
      </c>
      <c r="I1" s="12">
        <f>H1*(1+Producción!F20)</f>
        <v>176576.4</v>
      </c>
      <c r="J1" s="12">
        <f>I1*(1+Producción!G20)</f>
        <v>227026.80000000002</v>
      </c>
      <c r="K1" s="12">
        <f>J1*(1+Producción!H20)</f>
        <v>264864.60000000003</v>
      </c>
      <c r="L1" s="12">
        <f>K1*(1+Producción!I20)</f>
        <v>315315.00000000006</v>
      </c>
      <c r="M1" s="12">
        <f>L1*(1+Producción!J20)</f>
        <v>340540.2</v>
      </c>
      <c r="N1" s="12">
        <f>M1*(1+Producción!K20)</f>
        <v>353152.8</v>
      </c>
    </row>
    <row r="2" spans="1:14" ht="12.75">
      <c r="A2" t="s">
        <v>556</v>
      </c>
      <c r="E2" s="340">
        <v>2.5</v>
      </c>
      <c r="F2" s="340">
        <f>+E2</f>
        <v>2.5</v>
      </c>
      <c r="G2" s="340">
        <f aca="true" t="shared" si="0" ref="G2:N2">+F2</f>
        <v>2.5</v>
      </c>
      <c r="H2" s="340">
        <f t="shared" si="0"/>
        <v>2.5</v>
      </c>
      <c r="I2" s="340">
        <f t="shared" si="0"/>
        <v>2.5</v>
      </c>
      <c r="J2" s="340">
        <f t="shared" si="0"/>
        <v>2.5</v>
      </c>
      <c r="K2" s="340">
        <f t="shared" si="0"/>
        <v>2.5</v>
      </c>
      <c r="L2" s="340">
        <f t="shared" si="0"/>
        <v>2.5</v>
      </c>
      <c r="M2" s="340">
        <f t="shared" si="0"/>
        <v>2.5</v>
      </c>
      <c r="N2" s="340">
        <f t="shared" si="0"/>
        <v>2.5</v>
      </c>
    </row>
    <row r="3" spans="1:14" ht="12.75">
      <c r="A3" t="s">
        <v>557</v>
      </c>
      <c r="E3" s="12">
        <v>2102.1</v>
      </c>
      <c r="F3" s="12">
        <f>E3*(1+Producción!C22)</f>
        <v>12612.599999999997</v>
      </c>
      <c r="G3" s="12">
        <f>F3*(1+Producción!D22)</f>
        <v>21020.999999999993</v>
      </c>
      <c r="H3" s="12">
        <f>G3*(1+Producción!E22)</f>
        <v>33633.59999999999</v>
      </c>
      <c r="I3" s="12">
        <f>H3*(1+Producción!F22)</f>
        <v>58858.799999999974</v>
      </c>
      <c r="J3" s="12">
        <f>I3*(1+Producción!G22)</f>
        <v>75675.59999999998</v>
      </c>
      <c r="K3" s="12">
        <f>J3*(1+Producción!H22)</f>
        <v>88288.19999999998</v>
      </c>
      <c r="L3" s="12">
        <f>K3*(1+Producción!I22)</f>
        <v>105104.99999999999</v>
      </c>
      <c r="M3" s="12">
        <f>L3*(1+Producción!J22)</f>
        <v>113513.39999999997</v>
      </c>
      <c r="N3" s="12">
        <f>M3*(1+Producción!K22)</f>
        <v>117717.59999999996</v>
      </c>
    </row>
    <row r="4" spans="1:14" ht="12.75">
      <c r="A4" t="s">
        <v>558</v>
      </c>
      <c r="E4" s="340">
        <v>3</v>
      </c>
      <c r="F4" s="340">
        <f>+E4</f>
        <v>3</v>
      </c>
      <c r="G4" s="340">
        <f aca="true" t="shared" si="1" ref="G4:N4">+F4</f>
        <v>3</v>
      </c>
      <c r="H4" s="340">
        <f t="shared" si="1"/>
        <v>3</v>
      </c>
      <c r="I4" s="340">
        <f t="shared" si="1"/>
        <v>3</v>
      </c>
      <c r="J4" s="340">
        <f t="shared" si="1"/>
        <v>3</v>
      </c>
      <c r="K4" s="340">
        <f t="shared" si="1"/>
        <v>3</v>
      </c>
      <c r="L4" s="340">
        <f t="shared" si="1"/>
        <v>3</v>
      </c>
      <c r="M4" s="340">
        <f t="shared" si="1"/>
        <v>3</v>
      </c>
      <c r="N4" s="340">
        <f t="shared" si="1"/>
        <v>3</v>
      </c>
    </row>
    <row r="5" spans="1:14" ht="12.75">
      <c r="A5" t="s">
        <v>559</v>
      </c>
      <c r="E5" s="12">
        <v>36683.62855</v>
      </c>
      <c r="F5" s="12">
        <f>E5+'EP&amp;G'!C23</f>
        <v>48171.59338546476</v>
      </c>
      <c r="G5" s="12">
        <f>F5+'EP&amp;G'!D23</f>
        <v>60900.96585038125</v>
      </c>
      <c r="H5" s="12">
        <f>G5+'EP&amp;G'!E23</f>
        <v>77792.3557713426</v>
      </c>
      <c r="I5" s="12">
        <f>H5+'EP&amp;G'!F23</f>
        <v>101455.38523995825</v>
      </c>
      <c r="J5" s="12">
        <f>I5+'EP&amp;G'!G23</f>
        <v>127871.17160381809</v>
      </c>
      <c r="K5" s="12">
        <f>J5+'EP&amp;G'!H23</f>
        <v>159766.8933315423</v>
      </c>
      <c r="L5" s="12">
        <f>K5+'EP&amp;G'!I23</f>
        <v>201744.71712641866</v>
      </c>
      <c r="M5" s="12">
        <f>L5+'EP&amp;G'!J23</f>
        <v>252948.77966395367</v>
      </c>
      <c r="N5" s="12">
        <f>M5+'EP&amp;G'!K23</f>
        <v>317467.3932936225</v>
      </c>
    </row>
    <row r="6" spans="1:14" ht="12.75">
      <c r="A6" t="s">
        <v>560</v>
      </c>
      <c r="E6" s="12">
        <v>46870.194805</v>
      </c>
      <c r="F6" s="12">
        <f>E6+'EP&amp;G'!C24</f>
        <v>54827.168829999995</v>
      </c>
      <c r="G6" s="12">
        <f>F6+'EP&amp;G'!D24</f>
        <v>61192.748049999995</v>
      </c>
      <c r="H6" s="12">
        <f>G6+'EP&amp;G'!E24</f>
        <v>70741.11688000002</v>
      </c>
      <c r="I6" s="12">
        <f>H6+'EP&amp;G'!F24</f>
        <v>89837.85454000001</v>
      </c>
      <c r="J6" s="12">
        <f>I6+'EP&amp;G'!G24</f>
        <v>102569.01297999998</v>
      </c>
      <c r="K6" s="12">
        <f>J6+'EP&amp;G'!H24</f>
        <v>112117.38181</v>
      </c>
      <c r="L6" s="12">
        <f>K6+'EP&amp;G'!I24</f>
        <v>124848.54025000002</v>
      </c>
      <c r="M6" s="12">
        <f>L6+'EP&amp;G'!J24</f>
        <v>131214.11946999998</v>
      </c>
      <c r="N6" s="12">
        <f>M6+'EP&amp;G'!K24</f>
        <v>134367.43880583334</v>
      </c>
    </row>
    <row r="8" spans="1:14" ht="12.75">
      <c r="A8" s="341"/>
      <c r="B8" s="284">
        <v>1</v>
      </c>
      <c r="C8" s="284">
        <v>2</v>
      </c>
      <c r="D8" s="284">
        <v>3</v>
      </c>
      <c r="E8" s="284">
        <v>4</v>
      </c>
      <c r="F8" s="284">
        <v>5</v>
      </c>
      <c r="G8" s="284">
        <v>6</v>
      </c>
      <c r="H8" s="284">
        <v>7</v>
      </c>
      <c r="I8" s="284">
        <v>8</v>
      </c>
      <c r="J8" s="284">
        <v>9</v>
      </c>
      <c r="K8" s="284">
        <v>10</v>
      </c>
      <c r="L8" s="284">
        <v>11</v>
      </c>
      <c r="M8" s="284">
        <v>12</v>
      </c>
      <c r="N8" s="284">
        <v>13</v>
      </c>
    </row>
    <row r="9" spans="1:14" ht="12.75">
      <c r="A9" t="s">
        <v>561</v>
      </c>
      <c r="E9" s="12">
        <f>(E1*E2)+(E3*E4)</f>
        <v>22072.05</v>
      </c>
      <c r="F9" s="12">
        <f aca="true" t="shared" si="2" ref="F9:M9">(F1*F2)+(F3*F4)</f>
        <v>132432.3</v>
      </c>
      <c r="G9" s="12">
        <f t="shared" si="2"/>
        <v>220720.49999999994</v>
      </c>
      <c r="H9" s="12">
        <f t="shared" si="2"/>
        <v>353152.8</v>
      </c>
      <c r="I9" s="12">
        <f t="shared" si="2"/>
        <v>618017.3999999999</v>
      </c>
      <c r="J9" s="12">
        <f t="shared" si="2"/>
        <v>794593.7999999999</v>
      </c>
      <c r="K9" s="12">
        <f t="shared" si="2"/>
        <v>927026.1000000001</v>
      </c>
      <c r="L9" s="12">
        <f t="shared" si="2"/>
        <v>1103602.5</v>
      </c>
      <c r="M9" s="12">
        <f t="shared" si="2"/>
        <v>1191890.7</v>
      </c>
      <c r="N9" s="12">
        <f>(N1*N2)+(N3*N4)</f>
        <v>1236034.7999999998</v>
      </c>
    </row>
    <row r="10" spans="1:14" ht="12.75">
      <c r="A10" t="s">
        <v>432</v>
      </c>
      <c r="E10" s="12">
        <f>-E5</f>
        <v>-36683.62855</v>
      </c>
      <c r="F10" s="12">
        <f aca="true" t="shared" si="3" ref="F10:N10">-F5</f>
        <v>-48171.59338546476</v>
      </c>
      <c r="G10" s="12">
        <f t="shared" si="3"/>
        <v>-60900.96585038125</v>
      </c>
      <c r="H10" s="12">
        <f t="shared" si="3"/>
        <v>-77792.3557713426</v>
      </c>
      <c r="I10" s="12">
        <f t="shared" si="3"/>
        <v>-101455.38523995825</v>
      </c>
      <c r="J10" s="12">
        <f t="shared" si="3"/>
        <v>-127871.17160381809</v>
      </c>
      <c r="K10" s="12">
        <f t="shared" si="3"/>
        <v>-159766.8933315423</v>
      </c>
      <c r="L10" s="12">
        <f t="shared" si="3"/>
        <v>-201744.71712641866</v>
      </c>
      <c r="M10" s="12">
        <f t="shared" si="3"/>
        <v>-252948.77966395367</v>
      </c>
      <c r="N10" s="12">
        <f t="shared" si="3"/>
        <v>-317467.3932936225</v>
      </c>
    </row>
    <row r="11" spans="1:16" ht="12.75">
      <c r="A11" t="s">
        <v>424</v>
      </c>
      <c r="E11" s="12">
        <f>+FCINVERSIONISTA!E4</f>
        <v>-31938.68665949999</v>
      </c>
      <c r="F11" s="12">
        <f>+FCINVERSIONISTA!F4</f>
        <v>-35404.42370700001</v>
      </c>
      <c r="G11" s="12">
        <f>+FCINVERSIONISTA!G4</f>
        <v>-38177.01334500001</v>
      </c>
      <c r="H11" s="12">
        <f>+FCINVERSIONISTA!H4</f>
        <v>-42335.89780199999</v>
      </c>
      <c r="I11" s="12">
        <f>+FCINVERSIONISTA!I4</f>
        <v>-50653.66671599999</v>
      </c>
      <c r="J11" s="12">
        <f>+FCINVERSIONISTA!J4</f>
        <v>-56198.84599199999</v>
      </c>
      <c r="K11" s="12">
        <f>+FCINVERSIONISTA!K4</f>
        <v>-60357.730448999995</v>
      </c>
      <c r="L11" s="12">
        <f>+FCINVERSIONISTA!L4</f>
        <v>-65902.909725</v>
      </c>
      <c r="M11" s="12">
        <f>+FCINVERSIONISTA!M4</f>
        <v>-68675.49936300001</v>
      </c>
      <c r="N11" s="12">
        <f>+FCINVERSIONISTA!N4</f>
        <v>-70061.794182</v>
      </c>
      <c r="O11" s="12"/>
      <c r="P11" s="12"/>
    </row>
    <row r="12" spans="1:14" ht="12.75">
      <c r="A12" t="s">
        <v>433</v>
      </c>
      <c r="E12" s="12">
        <f>-E6</f>
        <v>-46870.194805</v>
      </c>
      <c r="F12" s="12">
        <f aca="true" t="shared" si="4" ref="F12:N12">-F6</f>
        <v>-54827.168829999995</v>
      </c>
      <c r="G12" s="12">
        <f t="shared" si="4"/>
        <v>-61192.748049999995</v>
      </c>
      <c r="H12" s="12">
        <f t="shared" si="4"/>
        <v>-70741.11688000002</v>
      </c>
      <c r="I12" s="12">
        <f t="shared" si="4"/>
        <v>-89837.85454000001</v>
      </c>
      <c r="J12" s="12">
        <f t="shared" si="4"/>
        <v>-102569.01297999998</v>
      </c>
      <c r="K12" s="12">
        <f t="shared" si="4"/>
        <v>-112117.38181</v>
      </c>
      <c r="L12" s="12">
        <f t="shared" si="4"/>
        <v>-124848.54025000002</v>
      </c>
      <c r="M12" s="12">
        <f t="shared" si="4"/>
        <v>-131214.11946999998</v>
      </c>
      <c r="N12" s="12">
        <f t="shared" si="4"/>
        <v>-134367.43880583334</v>
      </c>
    </row>
    <row r="13" spans="1:14" ht="12.75">
      <c r="A13" t="s">
        <v>427</v>
      </c>
      <c r="B13" s="12">
        <f>+FCPROYECTO!B6</f>
        <v>-17755.338987208335</v>
      </c>
      <c r="C13" s="12">
        <f>+FCPROYECTO!C6</f>
        <v>-16717.095513325636</v>
      </c>
      <c r="D13" s="12">
        <f>+FCPROYECTO!D6</f>
        <v>-15550.525146071035</v>
      </c>
      <c r="E13" s="12">
        <f>+FCPROYECTO!E6</f>
        <v>-14239.766681423764</v>
      </c>
      <c r="F13" s="12">
        <f>+FCPROYECTO!F6</f>
        <v>-12766.998470546092</v>
      </c>
      <c r="G13" s="12">
        <f>+FCPROYECTO!G6</f>
        <v>-11112.196108803939</v>
      </c>
      <c r="H13" s="12">
        <f>+FCPROYECTO!H6</f>
        <v>-9252.860175150456</v>
      </c>
      <c r="I13" s="12">
        <f>+FCPROYECTO!I6</f>
        <v>-7163.710320097402</v>
      </c>
      <c r="J13" s="12">
        <f>+FCPROYECTO!J6</f>
        <v>-4816.341542959792</v>
      </c>
      <c r="K13" s="12">
        <f>+FCPROYECTO!K6</f>
        <v>-2178.8379849679727</v>
      </c>
      <c r="L13" s="12">
        <f>+FCPROYECTO!L6</f>
        <v>0</v>
      </c>
      <c r="M13" s="12">
        <f>+FCPROYECTO!M6</f>
        <v>0</v>
      </c>
      <c r="N13" s="12">
        <f>+FCPROYECTO!N6</f>
        <v>0</v>
      </c>
    </row>
    <row r="14" spans="1:14" ht="12.75">
      <c r="A14" t="s">
        <v>434</v>
      </c>
      <c r="B14" s="12">
        <f>+FCPROYECTO!B7</f>
        <v>-27204.915478333336</v>
      </c>
      <c r="C14" s="12">
        <f>+FCPROYECTO!C7</f>
        <v>-27204.915478333336</v>
      </c>
      <c r="D14" s="12">
        <f>+FCPROYECTO!D7</f>
        <v>-27204.915478333336</v>
      </c>
      <c r="E14" s="12">
        <f>+FCPROYECTO!E7</f>
        <v>-27204.915478333336</v>
      </c>
      <c r="F14" s="12">
        <f>+FCPROYECTO!F7</f>
        <v>-27204.915478333336</v>
      </c>
      <c r="G14" s="12">
        <f>+FCPROYECTO!G7</f>
        <v>-27204.915478333336</v>
      </c>
      <c r="H14" s="12">
        <f>+FCPROYECTO!H7</f>
        <v>-27204.915478333336</v>
      </c>
      <c r="I14" s="12">
        <f>+FCPROYECTO!I7</f>
        <v>-27204.915478333336</v>
      </c>
      <c r="J14" s="12">
        <f>+FCPROYECTO!J7</f>
        <v>-27204.915478333336</v>
      </c>
      <c r="K14" s="12">
        <f>+FCPROYECTO!K7</f>
        <v>-27204.915478333336</v>
      </c>
      <c r="L14" s="12">
        <f>+FCPROYECTO!L7</f>
        <v>-27204.915478333336</v>
      </c>
      <c r="M14" s="12">
        <f>+FCPROYECTO!M7</f>
        <v>-27204.915478333336</v>
      </c>
      <c r="N14" s="12">
        <f>+FCPROYECTO!N7</f>
        <v>-27204.915478333336</v>
      </c>
    </row>
    <row r="15" spans="1:14" ht="12.75">
      <c r="A15" t="s">
        <v>562</v>
      </c>
      <c r="B15" s="12">
        <f>+FCPROYECTO!B8</f>
        <v>-8304</v>
      </c>
      <c r="C15" s="12">
        <f>+FCPROYECTO!C8</f>
        <v>-8304</v>
      </c>
      <c r="D15" s="12">
        <f>+FCPROYECTO!D8</f>
        <v>-8304</v>
      </c>
      <c r="E15" s="12">
        <f>+FCPROYECTO!E8</f>
        <v>-8304</v>
      </c>
      <c r="F15" s="12">
        <f>+FCPROYECTO!F8</f>
        <v>-8304</v>
      </c>
      <c r="G15" s="12">
        <f>+FCPROYECTO!G8</f>
        <v>0</v>
      </c>
      <c r="H15" s="12">
        <f>+FCPROYECTO!H8</f>
        <v>0</v>
      </c>
      <c r="I15" s="12">
        <f>+FCPROYECTO!I8</f>
        <v>0</v>
      </c>
      <c r="J15" s="12">
        <f>+FCPROYECTO!J8</f>
        <v>0</v>
      </c>
      <c r="K15" s="12">
        <f>+FCPROYECTO!K8</f>
        <v>0</v>
      </c>
      <c r="L15" s="12">
        <f>+FCPROYECTO!L8</f>
        <v>0</v>
      </c>
      <c r="M15" s="12">
        <f>+FCPROYECTO!M8</f>
        <v>0</v>
      </c>
      <c r="N15" s="12">
        <f>+FCPROYECTO!N8</f>
        <v>0</v>
      </c>
    </row>
    <row r="16" spans="1:14" ht="12.75">
      <c r="A16" s="342" t="s">
        <v>454</v>
      </c>
      <c r="B16" s="343">
        <f>B9+B10+B11+B12+B13+B14+B15</f>
        <v>-53264.25446554167</v>
      </c>
      <c r="C16" s="343">
        <f aca="true" t="shared" si="5" ref="C16:N16">C9+C10+C11+C12+C13+C14+C15</f>
        <v>-52226.01099165897</v>
      </c>
      <c r="D16" s="343">
        <f t="shared" si="5"/>
        <v>-51059.44062440437</v>
      </c>
      <c r="E16" s="343">
        <f t="shared" si="5"/>
        <v>-143169.14217425708</v>
      </c>
      <c r="F16" s="343">
        <f t="shared" si="5"/>
        <v>-54246.79987134421</v>
      </c>
      <c r="G16" s="343">
        <f t="shared" si="5"/>
        <v>22132.66116748142</v>
      </c>
      <c r="H16" s="343">
        <f t="shared" si="5"/>
        <v>125825.65389317361</v>
      </c>
      <c r="I16" s="343">
        <f t="shared" si="5"/>
        <v>341701.86770561093</v>
      </c>
      <c r="J16" s="343">
        <f t="shared" si="5"/>
        <v>475933.51240288874</v>
      </c>
      <c r="K16" s="343">
        <f t="shared" si="5"/>
        <v>565400.3409461564</v>
      </c>
      <c r="L16" s="343">
        <f t="shared" si="5"/>
        <v>683901.417420248</v>
      </c>
      <c r="M16" s="343">
        <f t="shared" si="5"/>
        <v>711847.3860247128</v>
      </c>
      <c r="N16" s="343">
        <f t="shared" si="5"/>
        <v>686933.2582402107</v>
      </c>
    </row>
    <row r="17" spans="1:14" ht="12.75">
      <c r="A17" s="233" t="s">
        <v>563</v>
      </c>
      <c r="B17" s="233">
        <f>+FCINVERSIONISTA!B9</f>
        <v>0</v>
      </c>
      <c r="C17" s="233">
        <f>+FCINVERSIONISTA!C9</f>
        <v>0</v>
      </c>
      <c r="D17" s="233">
        <f>+FCINVERSIONISTA!D9</f>
        <v>0</v>
      </c>
      <c r="E17" s="233">
        <f>+FCINVERSIONISTA!E9</f>
        <v>0</v>
      </c>
      <c r="F17" s="344">
        <f>+FCINVERSIONISTA!F9</f>
        <v>0</v>
      </c>
      <c r="G17" s="344">
        <f>+FCINVERSIONISTA!G9</f>
        <v>-3319.8991751222215</v>
      </c>
      <c r="H17" s="344">
        <f>+FCINVERSIONISTA!H9</f>
        <v>-18873.84808397605</v>
      </c>
      <c r="I17" s="344">
        <f>+FCINVERSIONISTA!I9</f>
        <v>-51255.280155841676</v>
      </c>
      <c r="J17" s="344">
        <f>+FCINVERSIONISTA!J9</f>
        <v>-71390.02686043333</v>
      </c>
      <c r="K17" s="344">
        <f>+FCINVERSIONISTA!K9</f>
        <v>-84810.05114192345</v>
      </c>
      <c r="L17" s="344">
        <f>+FCINVERSIONISTA!L9</f>
        <v>-102585.21261303723</v>
      </c>
      <c r="M17" s="344">
        <f>+FCINVERSIONISTA!M9</f>
        <v>-106777.10790370691</v>
      </c>
      <c r="N17" s="344">
        <f>+FCINVERSIONISTA!N9</f>
        <v>-102978.67748603167</v>
      </c>
    </row>
    <row r="18" spans="1:14" ht="12.75">
      <c r="A18" s="147" t="s">
        <v>564</v>
      </c>
      <c r="B18" s="147">
        <f>+FCINVERSIONISTA!B10</f>
        <v>0</v>
      </c>
      <c r="C18" s="147">
        <f>+FCINVERSIONISTA!C10</f>
        <v>0</v>
      </c>
      <c r="D18" s="147">
        <f>+FCINVERSIONISTA!D10</f>
        <v>0</v>
      </c>
      <c r="E18" s="147">
        <f>+FCINVERSIONISTA!E10</f>
        <v>0</v>
      </c>
      <c r="F18" s="345">
        <f>+FCINVERSIONISTA!F10</f>
        <v>0</v>
      </c>
      <c r="G18" s="345">
        <f>+FCINVERSIONISTA!G10</f>
        <v>-4703.190498089814</v>
      </c>
      <c r="H18" s="345">
        <f>+FCINVERSIONISTA!H10</f>
        <v>-26737.951452299403</v>
      </c>
      <c r="I18" s="345">
        <f>+FCINVERSIONISTA!I10</f>
        <v>-72611.64688744237</v>
      </c>
      <c r="J18" s="345">
        <f>+FCINVERSIONISTA!J10</f>
        <v>-101135.87138561388</v>
      </c>
      <c r="K18" s="345">
        <f>+FCINVERSIONISTA!K10</f>
        <v>-120147.57245105824</v>
      </c>
      <c r="L18" s="345">
        <f>+FCINVERSIONISTA!L10</f>
        <v>-145329.05120180277</v>
      </c>
      <c r="M18" s="345">
        <f>+FCINVERSIONISTA!M10</f>
        <v>-151267.56953025147</v>
      </c>
      <c r="N18" s="345">
        <f>+FCINVERSIONISTA!N10</f>
        <v>-145886.4597718782</v>
      </c>
    </row>
    <row r="19" spans="1:14" ht="12.75">
      <c r="A19" t="s">
        <v>455</v>
      </c>
      <c r="B19" s="12">
        <f>B16+B17+B18</f>
        <v>-53264.25446554167</v>
      </c>
      <c r="C19" s="12">
        <f aca="true" t="shared" si="6" ref="C19:N19">C16+C17+C18</f>
        <v>-52226.01099165897</v>
      </c>
      <c r="D19" s="12">
        <f t="shared" si="6"/>
        <v>-51059.44062440437</v>
      </c>
      <c r="E19" s="12">
        <f t="shared" si="6"/>
        <v>-143169.14217425708</v>
      </c>
      <c r="F19" s="12">
        <f t="shared" si="6"/>
        <v>-54246.79987134421</v>
      </c>
      <c r="G19" s="12">
        <f t="shared" si="6"/>
        <v>14109.571494269385</v>
      </c>
      <c r="H19" s="12">
        <f t="shared" si="6"/>
        <v>80213.85435689817</v>
      </c>
      <c r="I19" s="12">
        <f t="shared" si="6"/>
        <v>217834.94066232687</v>
      </c>
      <c r="J19" s="12">
        <f t="shared" si="6"/>
        <v>303407.61415684153</v>
      </c>
      <c r="K19" s="12">
        <f t="shared" si="6"/>
        <v>360442.7173531747</v>
      </c>
      <c r="L19" s="12">
        <f t="shared" si="6"/>
        <v>435987.15360540804</v>
      </c>
      <c r="M19" s="12">
        <f t="shared" si="6"/>
        <v>453802.7085907544</v>
      </c>
      <c r="N19" s="12">
        <f t="shared" si="6"/>
        <v>438068.12098230084</v>
      </c>
    </row>
    <row r="20" spans="1:14" ht="12.75">
      <c r="A20" t="s">
        <v>434</v>
      </c>
      <c r="B20" s="12">
        <f>-B14</f>
        <v>27204.915478333336</v>
      </c>
      <c r="C20" s="12">
        <f aca="true" t="shared" si="7" ref="C20:N20">-C14</f>
        <v>27204.915478333336</v>
      </c>
      <c r="D20" s="12">
        <f t="shared" si="7"/>
        <v>27204.915478333336</v>
      </c>
      <c r="E20" s="12">
        <f t="shared" si="7"/>
        <v>27204.915478333336</v>
      </c>
      <c r="F20" s="12">
        <f t="shared" si="7"/>
        <v>27204.915478333336</v>
      </c>
      <c r="G20" s="12">
        <f t="shared" si="7"/>
        <v>27204.915478333336</v>
      </c>
      <c r="H20" s="12">
        <f t="shared" si="7"/>
        <v>27204.915478333336</v>
      </c>
      <c r="I20" s="12">
        <f t="shared" si="7"/>
        <v>27204.915478333336</v>
      </c>
      <c r="J20" s="12">
        <f t="shared" si="7"/>
        <v>27204.915478333336</v>
      </c>
      <c r="K20" s="12">
        <f t="shared" si="7"/>
        <v>27204.915478333336</v>
      </c>
      <c r="L20" s="12">
        <f t="shared" si="7"/>
        <v>27204.915478333336</v>
      </c>
      <c r="M20" s="12">
        <f t="shared" si="7"/>
        <v>27204.915478333336</v>
      </c>
      <c r="N20" s="12">
        <f t="shared" si="7"/>
        <v>27204.915478333336</v>
      </c>
    </row>
    <row r="21" spans="1:14" ht="12.75">
      <c r="A21" t="s">
        <v>562</v>
      </c>
      <c r="B21" s="12">
        <f>-B15</f>
        <v>8304</v>
      </c>
      <c r="C21" s="12">
        <f aca="true" t="shared" si="8" ref="C21:N21">-C15</f>
        <v>8304</v>
      </c>
      <c r="D21" s="12">
        <f t="shared" si="8"/>
        <v>8304</v>
      </c>
      <c r="E21" s="12">
        <f t="shared" si="8"/>
        <v>8304</v>
      </c>
      <c r="F21" s="12">
        <f t="shared" si="8"/>
        <v>8304</v>
      </c>
      <c r="G21" s="12">
        <f t="shared" si="8"/>
        <v>0</v>
      </c>
      <c r="H21" s="12">
        <f t="shared" si="8"/>
        <v>0</v>
      </c>
      <c r="I21" s="12">
        <f t="shared" si="8"/>
        <v>0</v>
      </c>
      <c r="J21" s="12">
        <f t="shared" si="8"/>
        <v>0</v>
      </c>
      <c r="K21" s="12">
        <f t="shared" si="8"/>
        <v>0</v>
      </c>
      <c r="L21" s="12">
        <f t="shared" si="8"/>
        <v>0</v>
      </c>
      <c r="M21" s="12">
        <f t="shared" si="8"/>
        <v>0</v>
      </c>
      <c r="N21" s="12">
        <f t="shared" si="8"/>
        <v>0</v>
      </c>
    </row>
    <row r="22" spans="1:14" ht="12.75">
      <c r="A22" t="s">
        <v>440</v>
      </c>
      <c r="B22" s="12">
        <f>+FCPROYECTO!B15</f>
        <v>-280279.73549999995</v>
      </c>
      <c r="C22" s="12">
        <f>+FCPROYECTO!C15</f>
        <v>-42784.401287</v>
      </c>
      <c r="D22" s="12">
        <f>+FCPROYECTO!D15</f>
        <v>-108366.1154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t="s">
        <v>441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t="s">
        <v>565</v>
      </c>
      <c r="B24" s="12">
        <f>+FCPROYECTO!B17</f>
        <v>-32718.450093055417</v>
      </c>
      <c r="C24" s="12">
        <f>+FCPROYECTO!C17</f>
        <v>-32718.450093055417</v>
      </c>
      <c r="D24" s="12">
        <f>+FCPROYECTO!D17</f>
        <v>-32718.450093055417</v>
      </c>
      <c r="E24" s="12">
        <f>+FCPROYECTO!E17</f>
        <v>-119575.82710755541</v>
      </c>
      <c r="F24" s="12">
        <f>+FCPROYECTO!F17</f>
        <v>-32126.253015520197</v>
      </c>
      <c r="G24" s="12"/>
      <c r="H24" s="12"/>
      <c r="I24" s="12"/>
      <c r="J24" s="12"/>
      <c r="K24" s="12"/>
      <c r="L24" s="12"/>
      <c r="M24" s="12"/>
      <c r="N24" s="12"/>
    </row>
    <row r="25" spans="1:14" ht="12.75">
      <c r="A25" t="s">
        <v>446</v>
      </c>
      <c r="B25" s="12">
        <f>+FCPROYECTO!B18</f>
        <v>150000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t="s">
        <v>611</v>
      </c>
      <c r="B26" s="12">
        <f>+FCPROYECTO!B19</f>
        <v>-8400.028105847081</v>
      </c>
      <c r="C26" s="12">
        <f>+FCPROYECTO!C19</f>
        <v>-9438.27157972978</v>
      </c>
      <c r="D26" s="12">
        <f>+FCPROYECTO!D19</f>
        <v>-10604.841946984383</v>
      </c>
      <c r="E26" s="12">
        <f>+FCPROYECTO!E19</f>
        <v>-11915.600411631654</v>
      </c>
      <c r="F26" s="12">
        <f>+FCPROYECTO!F19</f>
        <v>-13388.368622509326</v>
      </c>
      <c r="G26" s="12">
        <f>+FCPROYECTO!G19</f>
        <v>-15043.17098425148</v>
      </c>
      <c r="H26" s="12">
        <f>+FCPROYECTO!H19</f>
        <v>-16902.50691790496</v>
      </c>
      <c r="I26" s="12">
        <f>+FCPROYECTO!I19</f>
        <v>-18991.656772958017</v>
      </c>
      <c r="J26" s="12">
        <f>+FCPROYECTO!J19</f>
        <v>-21339.025550095626</v>
      </c>
      <c r="K26" s="12">
        <f>+FCPROYECTO!K19</f>
        <v>-23976.529108087445</v>
      </c>
      <c r="L26" s="12">
        <f>+FCPROYECTO!L19</f>
        <v>0</v>
      </c>
      <c r="M26" s="12">
        <f>+FCPROYECTO!M19</f>
        <v>0</v>
      </c>
      <c r="N26" s="12">
        <f>+FCPROYECTO!N19</f>
        <v>0</v>
      </c>
    </row>
    <row r="27" spans="1:14" ht="12.75">
      <c r="A27" t="s">
        <v>443</v>
      </c>
      <c r="E27" s="12"/>
      <c r="F27" s="12"/>
      <c r="G27" s="12"/>
      <c r="H27" s="12"/>
      <c r="I27" s="12"/>
      <c r="J27" s="12"/>
      <c r="K27" s="12"/>
      <c r="L27" s="12"/>
      <c r="M27" s="12"/>
      <c r="N27" s="12">
        <f>(M28-N20)/0.1676</f>
        <v>2707653.3925462672</v>
      </c>
    </row>
    <row r="28" spans="1:14" ht="12.75">
      <c r="A28" s="346" t="s">
        <v>444</v>
      </c>
      <c r="B28" s="347">
        <f>B19+B20+B21+B22+B23+B24+B25+B26+B27</f>
        <v>-189153.55268611078</v>
      </c>
      <c r="C28" s="347">
        <f aca="true" t="shared" si="9" ref="C28:N28">C19+C20+C21+C22+C23+C24+C25+C26+C27</f>
        <v>-101658.21847311084</v>
      </c>
      <c r="D28" s="347">
        <f t="shared" si="9"/>
        <v>-167239.9325861108</v>
      </c>
      <c r="E28" s="347">
        <f t="shared" si="9"/>
        <v>-239151.65421511082</v>
      </c>
      <c r="F28" s="347">
        <f t="shared" si="9"/>
        <v>-64252.50603104039</v>
      </c>
      <c r="G28" s="347">
        <f t="shared" si="9"/>
        <v>26271.315988351245</v>
      </c>
      <c r="H28" s="347">
        <f t="shared" si="9"/>
        <v>90516.26291732654</v>
      </c>
      <c r="I28" s="347">
        <f t="shared" si="9"/>
        <v>226048.19936770218</v>
      </c>
      <c r="J28" s="347">
        <f t="shared" si="9"/>
        <v>309273.5040850793</v>
      </c>
      <c r="K28" s="347">
        <f t="shared" si="9"/>
        <v>363671.10372342065</v>
      </c>
      <c r="L28" s="347">
        <f t="shared" si="9"/>
        <v>463192.0690837414</v>
      </c>
      <c r="M28" s="347">
        <f t="shared" si="9"/>
        <v>481007.6240690878</v>
      </c>
      <c r="N28" s="347">
        <f t="shared" si="9"/>
        <v>3172926.4290069016</v>
      </c>
    </row>
    <row r="29" spans="1:14" ht="12.75">
      <c r="A29" t="s">
        <v>450</v>
      </c>
      <c r="B29" s="4">
        <f>IRR(B28:N28)</f>
        <v>0.23957749045237592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" ht="12.75">
      <c r="A30" t="s">
        <v>449</v>
      </c>
      <c r="B30" s="167">
        <f>NPV(16.76%,C28:N28)+B28</f>
        <v>400311.3035587604</v>
      </c>
    </row>
  </sheetData>
  <sheetProtection/>
  <printOptions/>
  <pageMargins left="0.75" right="0.75" top="1" bottom="1" header="0" footer="0"/>
  <pageSetup horizontalDpi="300" verticalDpi="300" orientation="portrait" r:id="rId1"/>
  <ignoredErrors>
    <ignoredError sqref="F3:N3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K59" sqref="K59"/>
    </sheetView>
  </sheetViews>
  <sheetFormatPr defaultColWidth="11.421875" defaultRowHeight="12.75"/>
  <cols>
    <col min="1" max="1" width="15.140625" style="0" bestFit="1" customWidth="1"/>
  </cols>
  <sheetData>
    <row r="1" spans="2:7" ht="12.75">
      <c r="B1" s="50">
        <v>-0.3</v>
      </c>
      <c r="C1" s="50">
        <v>-0.2</v>
      </c>
      <c r="D1" s="50">
        <v>-0.1</v>
      </c>
      <c r="E1" s="50">
        <v>0</v>
      </c>
      <c r="F1" s="50">
        <v>0.05</v>
      </c>
      <c r="G1" s="50">
        <v>0.1</v>
      </c>
    </row>
    <row r="2" spans="1:7" ht="12.75">
      <c r="A2" t="s">
        <v>569</v>
      </c>
      <c r="B2" s="4">
        <v>0.1543</v>
      </c>
      <c r="C2" s="4">
        <v>0.1778</v>
      </c>
      <c r="D2" s="4">
        <v>0.2024</v>
      </c>
      <c r="E2" s="4">
        <v>0.2434</v>
      </c>
      <c r="F2" s="4">
        <v>0.2512</v>
      </c>
      <c r="G2" s="4">
        <v>0.2634</v>
      </c>
    </row>
    <row r="3" spans="1:7" ht="12.75">
      <c r="A3" t="s">
        <v>551</v>
      </c>
      <c r="B3" s="4">
        <v>0.1649</v>
      </c>
      <c r="C3" s="4">
        <v>0.1846</v>
      </c>
      <c r="D3" s="4">
        <v>0.2056</v>
      </c>
      <c r="E3" s="4">
        <v>0.2434</v>
      </c>
      <c r="F3" s="4">
        <v>0.2597</v>
      </c>
      <c r="G3" s="4">
        <v>0.2705</v>
      </c>
    </row>
    <row r="28" spans="2:7" ht="12.75">
      <c r="B28" s="50">
        <v>-0.3</v>
      </c>
      <c r="C28" s="50">
        <v>-0.2</v>
      </c>
      <c r="D28" s="50">
        <v>-0.1</v>
      </c>
      <c r="E28" s="50">
        <v>0</v>
      </c>
      <c r="F28" s="50">
        <v>0.05</v>
      </c>
      <c r="G28" s="50">
        <v>0.1</v>
      </c>
    </row>
    <row r="29" spans="1:7" ht="12.75">
      <c r="A29" t="s">
        <v>569</v>
      </c>
      <c r="B29" s="12">
        <v>17386</v>
      </c>
      <c r="C29" s="12">
        <v>155679</v>
      </c>
      <c r="D29" s="12">
        <v>319116</v>
      </c>
      <c r="E29" s="12">
        <v>527637</v>
      </c>
      <c r="F29" s="12">
        <v>623108</v>
      </c>
      <c r="G29" s="12">
        <v>730976</v>
      </c>
    </row>
    <row r="30" spans="1:7" ht="12.75">
      <c r="A30" t="s">
        <v>551</v>
      </c>
      <c r="B30" s="12">
        <v>77238</v>
      </c>
      <c r="C30" s="12">
        <v>198905</v>
      </c>
      <c r="D30" s="12">
        <v>342694</v>
      </c>
      <c r="E30" s="12">
        <v>527637</v>
      </c>
      <c r="F30" s="12">
        <v>610140</v>
      </c>
      <c r="G30" s="12">
        <v>705041</v>
      </c>
    </row>
    <row r="52" spans="2:8" ht="12.75">
      <c r="B52" s="50"/>
      <c r="C52" s="50">
        <v>-0.1</v>
      </c>
      <c r="D52" s="50">
        <v>-0.05</v>
      </c>
      <c r="E52" s="50">
        <v>0</v>
      </c>
      <c r="F52" s="50">
        <v>0.1</v>
      </c>
      <c r="G52" s="50">
        <v>0.2</v>
      </c>
      <c r="H52" s="50">
        <v>0.3</v>
      </c>
    </row>
    <row r="53" spans="2:8" ht="12.75">
      <c r="B53" t="s">
        <v>552</v>
      </c>
      <c r="C53" s="12">
        <v>560307</v>
      </c>
      <c r="D53" s="12">
        <v>538847</v>
      </c>
      <c r="E53" s="12">
        <f>+E29</f>
        <v>527637</v>
      </c>
      <c r="F53" s="12">
        <v>485665</v>
      </c>
      <c r="G53" s="12">
        <v>466516</v>
      </c>
      <c r="H53" s="12">
        <v>416526</v>
      </c>
    </row>
    <row r="54" spans="3:8" ht="12.75">
      <c r="C54" s="4">
        <v>0.2541</v>
      </c>
      <c r="D54" s="4">
        <v>0.2513</v>
      </c>
      <c r="E54" s="4">
        <f>+E3</f>
        <v>0.2434</v>
      </c>
      <c r="F54" s="4">
        <v>0.2317</v>
      </c>
      <c r="G54" s="4">
        <v>0.225</v>
      </c>
      <c r="H54" s="4">
        <v>0.2182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1.57421875" style="0" bestFit="1" customWidth="1"/>
    <col min="2" max="13" width="10.140625" style="0" customWidth="1"/>
    <col min="14" max="14" width="10.140625" style="0" bestFit="1" customWidth="1"/>
  </cols>
  <sheetData>
    <row r="1" spans="1:14" ht="15" customHeight="1">
      <c r="A1" s="75"/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8">
        <v>13</v>
      </c>
    </row>
    <row r="2" spans="1:16" ht="15" customHeight="1">
      <c r="A2" s="69" t="s">
        <v>431</v>
      </c>
      <c r="B2" s="69"/>
      <c r="C2" s="69"/>
      <c r="D2" s="69"/>
      <c r="E2" s="207">
        <f>+'EP&amp;G'!B2</f>
        <v>22072.050000000003</v>
      </c>
      <c r="F2" s="207">
        <f>+'EP&amp;G'!C2</f>
        <v>132432.3</v>
      </c>
      <c r="G2" s="207">
        <f>+'EP&amp;G'!D2</f>
        <v>220720.5</v>
      </c>
      <c r="H2" s="207">
        <f>+'EP&amp;G'!E2</f>
        <v>353152.80000000005</v>
      </c>
      <c r="I2" s="207">
        <f>+'EP&amp;G'!F2</f>
        <v>618017.4000000001</v>
      </c>
      <c r="J2" s="207">
        <f>+'EP&amp;G'!G2</f>
        <v>794593.8</v>
      </c>
      <c r="K2" s="207">
        <f>+'EP&amp;G'!H2</f>
        <v>927026.1000000001</v>
      </c>
      <c r="L2" s="207">
        <f>+'EP&amp;G'!I2</f>
        <v>1103602.5000000002</v>
      </c>
      <c r="M2" s="207">
        <f>+'EP&amp;G'!J2</f>
        <v>1191890.7</v>
      </c>
      <c r="N2" s="210">
        <f>+'EP&amp;G'!K2</f>
        <v>1235626.0583333336</v>
      </c>
      <c r="P2" s="12">
        <f>N2-'FCrystal Ball'!N9</f>
        <v>-408.74166666623205</v>
      </c>
    </row>
    <row r="3" spans="1:14" ht="15" customHeight="1">
      <c r="A3" s="69" t="s">
        <v>432</v>
      </c>
      <c r="B3" s="69"/>
      <c r="C3" s="69"/>
      <c r="D3" s="69"/>
      <c r="E3" s="207">
        <f>-'EP&amp;G'!B3</f>
        <v>-36683.62855</v>
      </c>
      <c r="F3" s="207">
        <f>-'EP&amp;G'!C3</f>
        <v>-48171.59338546476</v>
      </c>
      <c r="G3" s="207">
        <f>-'EP&amp;G'!D3</f>
        <v>-60900.96585038125</v>
      </c>
      <c r="H3" s="207">
        <f>-'EP&amp;G'!E3</f>
        <v>-77792.3557713426</v>
      </c>
      <c r="I3" s="207">
        <f>-'EP&amp;G'!F3</f>
        <v>-101455.38523995825</v>
      </c>
      <c r="J3" s="207">
        <f>-'EP&amp;G'!G3</f>
        <v>-127871.17160381809</v>
      </c>
      <c r="K3" s="207">
        <f>-'EP&amp;G'!H3</f>
        <v>-159766.8933315423</v>
      </c>
      <c r="L3" s="207">
        <f>-'EP&amp;G'!I3</f>
        <v>-201744.71712641866</v>
      </c>
      <c r="M3" s="207">
        <f>-'EP&amp;G'!J3</f>
        <v>-252948.77966395367</v>
      </c>
      <c r="N3" s="210">
        <f>-'EP&amp;G'!K3</f>
        <v>-317467.3932936225</v>
      </c>
    </row>
    <row r="4" spans="1:14" ht="15" customHeight="1">
      <c r="A4" s="69" t="s">
        <v>424</v>
      </c>
      <c r="B4" s="69"/>
      <c r="C4" s="69"/>
      <c r="D4" s="69"/>
      <c r="E4" s="207">
        <f>-'Costos&amp;Gastos'!C19+'Costos&amp;Gastos'!C16+'Costos&amp;Gastos'!C17</f>
        <v>-31938.68665949999</v>
      </c>
      <c r="F4" s="207">
        <f>-'Costos&amp;Gastos'!D19+'Costos&amp;Gastos'!D16+'Costos&amp;Gastos'!D17</f>
        <v>-35404.42370700001</v>
      </c>
      <c r="G4" s="207">
        <f>-'Costos&amp;Gastos'!E19+'Costos&amp;Gastos'!E16+'Costos&amp;Gastos'!E17</f>
        <v>-38177.01334500001</v>
      </c>
      <c r="H4" s="207">
        <f>-'Costos&amp;Gastos'!F19+'Costos&amp;Gastos'!F16+'Costos&amp;Gastos'!F17</f>
        <v>-42335.89780199999</v>
      </c>
      <c r="I4" s="207">
        <f>-'Costos&amp;Gastos'!G19+'Costos&amp;Gastos'!G16+'Costos&amp;Gastos'!G17</f>
        <v>-50653.66671599999</v>
      </c>
      <c r="J4" s="207">
        <f>-'Costos&amp;Gastos'!H19+'Costos&amp;Gastos'!H16+'Costos&amp;Gastos'!H17</f>
        <v>-56198.84599199999</v>
      </c>
      <c r="K4" s="207">
        <f>-'Costos&amp;Gastos'!I19+'Costos&amp;Gastos'!I16+'Costos&amp;Gastos'!I17</f>
        <v>-60357.730448999995</v>
      </c>
      <c r="L4" s="207">
        <f>-'Costos&amp;Gastos'!J19+'Costos&amp;Gastos'!J16+'Costos&amp;Gastos'!J17</f>
        <v>-65902.909725</v>
      </c>
      <c r="M4" s="207">
        <f>-'Costos&amp;Gastos'!K19+'Costos&amp;Gastos'!K16+'Costos&amp;Gastos'!K17</f>
        <v>-68675.49936300001</v>
      </c>
      <c r="N4" s="210">
        <f>-'Costos&amp;Gastos'!L19+'Costos&amp;Gastos'!L16+'Costos&amp;Gastos'!L17</f>
        <v>-70061.794182</v>
      </c>
    </row>
    <row r="5" spans="1:14" ht="15" customHeight="1">
      <c r="A5" s="69" t="s">
        <v>433</v>
      </c>
      <c r="B5" s="69"/>
      <c r="C5" s="69"/>
      <c r="D5" s="69"/>
      <c r="E5" s="207">
        <f>-'EP&amp;G'!B7</f>
        <v>-46870.194805</v>
      </c>
      <c r="F5" s="207">
        <f>-'EP&amp;G'!C7</f>
        <v>-54827.168829999995</v>
      </c>
      <c r="G5" s="207">
        <f>-'EP&amp;G'!D7</f>
        <v>-61192.748049999995</v>
      </c>
      <c r="H5" s="207">
        <f>-'EP&amp;G'!E7</f>
        <v>-70741.11688000002</v>
      </c>
      <c r="I5" s="207">
        <f>-'EP&amp;G'!F7</f>
        <v>-89837.85454000001</v>
      </c>
      <c r="J5" s="207">
        <f>-'EP&amp;G'!G7</f>
        <v>-102569.01297999998</v>
      </c>
      <c r="K5" s="207">
        <f>-'EP&amp;G'!H7</f>
        <v>-112117.38181</v>
      </c>
      <c r="L5" s="207">
        <f>-'EP&amp;G'!I7</f>
        <v>-124848.54025000002</v>
      </c>
      <c r="M5" s="207">
        <f>-'EP&amp;G'!J7</f>
        <v>-131214.11946999998</v>
      </c>
      <c r="N5" s="210">
        <f>-'EP&amp;G'!K7</f>
        <v>-134367.43880583334</v>
      </c>
    </row>
    <row r="6" spans="1:14" ht="15" customHeight="1">
      <c r="A6" s="69" t="s">
        <v>434</v>
      </c>
      <c r="B6" s="207">
        <f>-'Costos&amp;Gastos'!C16</f>
        <v>-27204.915478333336</v>
      </c>
      <c r="C6" s="207">
        <f>+B6</f>
        <v>-27204.915478333336</v>
      </c>
      <c r="D6" s="207">
        <f aca="true" t="shared" si="0" ref="D6:N7">+C6</f>
        <v>-27204.915478333336</v>
      </c>
      <c r="E6" s="207">
        <f t="shared" si="0"/>
        <v>-27204.915478333336</v>
      </c>
      <c r="F6" s="207">
        <f t="shared" si="0"/>
        <v>-27204.915478333336</v>
      </c>
      <c r="G6" s="207">
        <f t="shared" si="0"/>
        <v>-27204.915478333336</v>
      </c>
      <c r="H6" s="207">
        <f t="shared" si="0"/>
        <v>-27204.915478333336</v>
      </c>
      <c r="I6" s="207">
        <f t="shared" si="0"/>
        <v>-27204.915478333336</v>
      </c>
      <c r="J6" s="207">
        <f t="shared" si="0"/>
        <v>-27204.915478333336</v>
      </c>
      <c r="K6" s="207">
        <f t="shared" si="0"/>
        <v>-27204.915478333336</v>
      </c>
      <c r="L6" s="207">
        <f t="shared" si="0"/>
        <v>-27204.915478333336</v>
      </c>
      <c r="M6" s="207">
        <f t="shared" si="0"/>
        <v>-27204.915478333336</v>
      </c>
      <c r="N6" s="210">
        <f t="shared" si="0"/>
        <v>-27204.915478333336</v>
      </c>
    </row>
    <row r="7" spans="1:14" ht="15" customHeight="1">
      <c r="A7" s="69" t="s">
        <v>435</v>
      </c>
      <c r="B7" s="207">
        <f>-'Costos&amp;Gastos'!C17</f>
        <v>-8304</v>
      </c>
      <c r="C7" s="207">
        <f>+B7</f>
        <v>-8304</v>
      </c>
      <c r="D7" s="207">
        <f t="shared" si="0"/>
        <v>-8304</v>
      </c>
      <c r="E7" s="207">
        <f t="shared" si="0"/>
        <v>-8304</v>
      </c>
      <c r="F7" s="207">
        <f t="shared" si="0"/>
        <v>-8304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171">
        <v>0</v>
      </c>
    </row>
    <row r="8" spans="1:14" ht="15" customHeight="1">
      <c r="A8" s="69" t="s">
        <v>454</v>
      </c>
      <c r="B8" s="207">
        <f>SUM(B6:B7)</f>
        <v>-35508.915478333336</v>
      </c>
      <c r="C8" s="207">
        <f>SUM(C6:C7)</f>
        <v>-35508.915478333336</v>
      </c>
      <c r="D8" s="207">
        <f>SUM(D6:D7)</f>
        <v>-35508.915478333336</v>
      </c>
      <c r="E8" s="207">
        <f>SUM(E2:E7)</f>
        <v>-128929.37549283332</v>
      </c>
      <c r="F8" s="207">
        <f aca="true" t="shared" si="1" ref="F8:N8">SUM(F2:F7)</f>
        <v>-41479.80140079811</v>
      </c>
      <c r="G8" s="207">
        <f t="shared" si="1"/>
        <v>33244.85727628542</v>
      </c>
      <c r="H8" s="207">
        <f t="shared" si="1"/>
        <v>135078.51406832412</v>
      </c>
      <c r="I8" s="207">
        <f t="shared" si="1"/>
        <v>348865.57802570856</v>
      </c>
      <c r="J8" s="207">
        <f t="shared" si="1"/>
        <v>480749.85394584865</v>
      </c>
      <c r="K8" s="207">
        <f t="shared" si="1"/>
        <v>567579.1789311244</v>
      </c>
      <c r="L8" s="207">
        <f t="shared" si="1"/>
        <v>683901.4174202483</v>
      </c>
      <c r="M8" s="207">
        <f t="shared" si="1"/>
        <v>711847.3860247128</v>
      </c>
      <c r="N8" s="210">
        <f t="shared" si="1"/>
        <v>686524.5165735445</v>
      </c>
    </row>
    <row r="9" spans="1:14" ht="15" customHeight="1">
      <c r="A9" s="69" t="s">
        <v>437</v>
      </c>
      <c r="B9" s="69">
        <v>0</v>
      </c>
      <c r="C9" s="69">
        <v>0</v>
      </c>
      <c r="D9" s="69">
        <v>0</v>
      </c>
      <c r="E9" s="207">
        <f>-'EP&amp;G'!B15</f>
        <v>0</v>
      </c>
      <c r="F9" s="207">
        <f>-'EP&amp;G'!C15</f>
        <v>0</v>
      </c>
      <c r="G9" s="207">
        <f>-'EP&amp;G'!D15</f>
        <v>-3319.8991751222215</v>
      </c>
      <c r="H9" s="207">
        <f>-'EP&amp;G'!E15</f>
        <v>-18873.84808397605</v>
      </c>
      <c r="I9" s="207">
        <f>-'EP&amp;G'!F15</f>
        <v>-51255.280155841676</v>
      </c>
      <c r="J9" s="207">
        <f>-'EP&amp;G'!G15</f>
        <v>-71390.02686043333</v>
      </c>
      <c r="K9" s="207">
        <f>-'EP&amp;G'!H15</f>
        <v>-84810.05114192345</v>
      </c>
      <c r="L9" s="207">
        <f>-'EP&amp;G'!I15</f>
        <v>-102585.21261303723</v>
      </c>
      <c r="M9" s="207">
        <f>-'EP&amp;G'!J15</f>
        <v>-106777.10790370691</v>
      </c>
      <c r="N9" s="210">
        <f>-'EP&amp;G'!K15</f>
        <v>-102978.67748603167</v>
      </c>
    </row>
    <row r="10" spans="1:14" ht="15" customHeight="1">
      <c r="A10" s="69" t="s">
        <v>438</v>
      </c>
      <c r="B10" s="69">
        <v>0</v>
      </c>
      <c r="C10" s="69">
        <v>0</v>
      </c>
      <c r="D10" s="69">
        <v>0</v>
      </c>
      <c r="E10" s="207">
        <f>-'EP&amp;G'!B19</f>
        <v>0</v>
      </c>
      <c r="F10" s="207">
        <f>-'EP&amp;G'!C19</f>
        <v>0</v>
      </c>
      <c r="G10" s="207">
        <f>-'EP&amp;G'!D19</f>
        <v>-4703.190498089814</v>
      </c>
      <c r="H10" s="207">
        <f>-'EP&amp;G'!E19</f>
        <v>-26737.951452299403</v>
      </c>
      <c r="I10" s="207">
        <f>-'EP&amp;G'!F19</f>
        <v>-72611.64688744237</v>
      </c>
      <c r="J10" s="207">
        <f>-'EP&amp;G'!G19</f>
        <v>-101135.87138561388</v>
      </c>
      <c r="K10" s="207">
        <f>-'EP&amp;G'!H19</f>
        <v>-120147.57245105824</v>
      </c>
      <c r="L10" s="207">
        <f>-'EP&amp;G'!I19</f>
        <v>-145329.05120180277</v>
      </c>
      <c r="M10" s="207">
        <f>-'EP&amp;G'!J19</f>
        <v>-151267.56953025147</v>
      </c>
      <c r="N10" s="210">
        <f>-'EP&amp;G'!K19</f>
        <v>-145886.4597718782</v>
      </c>
    </row>
    <row r="11" spans="1:14" ht="15" customHeight="1">
      <c r="A11" s="69" t="s">
        <v>455</v>
      </c>
      <c r="B11" s="207">
        <f>B8-B9-B10</f>
        <v>-35508.915478333336</v>
      </c>
      <c r="C11" s="207">
        <f>C8-C9-C10</f>
        <v>-35508.915478333336</v>
      </c>
      <c r="D11" s="207">
        <f>D8-D9-D10</f>
        <v>-35508.915478333336</v>
      </c>
      <c r="E11" s="207">
        <f>SUM(E8:E10)</f>
        <v>-128929.37549283332</v>
      </c>
      <c r="F11" s="207">
        <f aca="true" t="shared" si="2" ref="F11:N11">SUM(F8:F10)</f>
        <v>-41479.80140079811</v>
      </c>
      <c r="G11" s="207">
        <f t="shared" si="2"/>
        <v>25221.767603073382</v>
      </c>
      <c r="H11" s="207">
        <f t="shared" si="2"/>
        <v>89466.71453204867</v>
      </c>
      <c r="I11" s="207">
        <f t="shared" si="2"/>
        <v>224998.6509824245</v>
      </c>
      <c r="J11" s="207">
        <f t="shared" si="2"/>
        <v>308223.95569980145</v>
      </c>
      <c r="K11" s="207">
        <f t="shared" si="2"/>
        <v>362621.5553381427</v>
      </c>
      <c r="L11" s="207">
        <f t="shared" si="2"/>
        <v>435987.15360540827</v>
      </c>
      <c r="M11" s="207">
        <f t="shared" si="2"/>
        <v>453802.7085907544</v>
      </c>
      <c r="N11" s="210">
        <f t="shared" si="2"/>
        <v>437659.3793156346</v>
      </c>
    </row>
    <row r="12" spans="1:14" ht="15" customHeight="1">
      <c r="A12" s="69" t="s">
        <v>434</v>
      </c>
      <c r="B12" s="207">
        <f>-B6</f>
        <v>27204.915478333336</v>
      </c>
      <c r="C12" s="207">
        <f aca="true" t="shared" si="3" ref="C12:N13">-C6</f>
        <v>27204.915478333336</v>
      </c>
      <c r="D12" s="207">
        <f t="shared" si="3"/>
        <v>27204.915478333336</v>
      </c>
      <c r="E12" s="207">
        <f t="shared" si="3"/>
        <v>27204.915478333336</v>
      </c>
      <c r="F12" s="207">
        <f t="shared" si="3"/>
        <v>27204.915478333336</v>
      </c>
      <c r="G12" s="207">
        <f t="shared" si="3"/>
        <v>27204.915478333336</v>
      </c>
      <c r="H12" s="207">
        <f t="shared" si="3"/>
        <v>27204.915478333336</v>
      </c>
      <c r="I12" s="207">
        <f t="shared" si="3"/>
        <v>27204.915478333336</v>
      </c>
      <c r="J12" s="207">
        <f t="shared" si="3"/>
        <v>27204.915478333336</v>
      </c>
      <c r="K12" s="207">
        <f t="shared" si="3"/>
        <v>27204.915478333336</v>
      </c>
      <c r="L12" s="207">
        <f t="shared" si="3"/>
        <v>27204.915478333336</v>
      </c>
      <c r="M12" s="207">
        <f t="shared" si="3"/>
        <v>27204.915478333336</v>
      </c>
      <c r="N12" s="210">
        <f t="shared" si="3"/>
        <v>27204.915478333336</v>
      </c>
    </row>
    <row r="13" spans="1:14" ht="15" customHeight="1">
      <c r="A13" s="69" t="s">
        <v>435</v>
      </c>
      <c r="B13" s="207">
        <f>-B7</f>
        <v>8304</v>
      </c>
      <c r="C13" s="207">
        <f t="shared" si="3"/>
        <v>8304</v>
      </c>
      <c r="D13" s="207">
        <f t="shared" si="3"/>
        <v>8304</v>
      </c>
      <c r="E13" s="207">
        <f t="shared" si="3"/>
        <v>8304</v>
      </c>
      <c r="F13" s="207">
        <f t="shared" si="3"/>
        <v>8304</v>
      </c>
      <c r="G13" s="207">
        <f t="shared" si="3"/>
        <v>0</v>
      </c>
      <c r="H13" s="207">
        <f t="shared" si="3"/>
        <v>0</v>
      </c>
      <c r="I13" s="207">
        <f t="shared" si="3"/>
        <v>0</v>
      </c>
      <c r="J13" s="207">
        <f t="shared" si="3"/>
        <v>0</v>
      </c>
      <c r="K13" s="207">
        <f t="shared" si="3"/>
        <v>0</v>
      </c>
      <c r="L13" s="207">
        <f t="shared" si="3"/>
        <v>0</v>
      </c>
      <c r="M13" s="207">
        <f t="shared" si="3"/>
        <v>0</v>
      </c>
      <c r="N13" s="210">
        <f t="shared" si="3"/>
        <v>0</v>
      </c>
    </row>
    <row r="14" spans="1:14" ht="15" customHeight="1">
      <c r="A14" s="69" t="s">
        <v>440</v>
      </c>
      <c r="B14" s="207">
        <f>-Inversiones!B35</f>
        <v>-280279.73549999995</v>
      </c>
      <c r="C14" s="207">
        <f>-Inversiones!C35</f>
        <v>-42784.401287</v>
      </c>
      <c r="D14" s="207">
        <f>-Inversiones!D35</f>
        <v>-108366.1154</v>
      </c>
      <c r="E14" s="207"/>
      <c r="F14" s="207"/>
      <c r="G14" s="69"/>
      <c r="H14" s="69"/>
      <c r="I14" s="69"/>
      <c r="J14" s="69"/>
      <c r="K14" s="69"/>
      <c r="L14" s="69"/>
      <c r="M14" s="69"/>
      <c r="N14" s="171"/>
    </row>
    <row r="15" spans="1:14" ht="15" customHeight="1">
      <c r="A15" s="69" t="s">
        <v>441</v>
      </c>
      <c r="B15" s="207"/>
      <c r="C15" s="207"/>
      <c r="D15" s="207">
        <f>-'Dep, mant, seg.'!B15-'Dep, mant, seg.'!B19-'Dep, mant, seg.'!B21</f>
        <v>-7641</v>
      </c>
      <c r="E15" s="207"/>
      <c r="F15" s="207">
        <f>-'Dep, mant, seg.'!B14-'Dep, mant, seg.'!B16-'Dep, mant, seg.'!B17-'Dep, mant, seg.'!B18-'Dep, mant, seg.'!B22</f>
        <v>-52265</v>
      </c>
      <c r="G15" s="69"/>
      <c r="H15" s="69"/>
      <c r="I15" s="69"/>
      <c r="J15" s="69"/>
      <c r="K15" s="207">
        <f>-'Dep, mant, seg.'!B6-'Dep, mant, seg.'!B11-'Dep, mant, seg.'!B12-'Dep, mant, seg.'!B13-'Dep, mant, seg.'!B20</f>
        <v>-61900</v>
      </c>
      <c r="L15" s="69"/>
      <c r="M15" s="69"/>
      <c r="N15" s="171"/>
    </row>
    <row r="16" spans="1:14" ht="15" customHeight="1">
      <c r="A16" s="69" t="s">
        <v>442</v>
      </c>
      <c r="B16" s="207">
        <f>-'K de trabajo'!B7</f>
        <v>-32718.450093055417</v>
      </c>
      <c r="C16" s="207">
        <f>+B16</f>
        <v>-32718.450093055417</v>
      </c>
      <c r="D16" s="207">
        <f>+C16</f>
        <v>-32718.450093055417</v>
      </c>
      <c r="E16" s="207">
        <f>+E11</f>
        <v>-128929.37549283332</v>
      </c>
      <c r="F16" s="207"/>
      <c r="G16" s="69"/>
      <c r="H16" s="69"/>
      <c r="I16" s="69"/>
      <c r="J16" s="69"/>
      <c r="K16" s="69"/>
      <c r="L16" s="69"/>
      <c r="M16" s="69"/>
      <c r="N16" s="171"/>
    </row>
    <row r="17" spans="1:14" ht="15" customHeight="1">
      <c r="A17" s="72" t="s">
        <v>443</v>
      </c>
      <c r="B17" s="208"/>
      <c r="C17" s="208"/>
      <c r="D17" s="208"/>
      <c r="E17" s="208"/>
      <c r="F17" s="208"/>
      <c r="G17" s="72"/>
      <c r="H17" s="72"/>
      <c r="I17" s="72"/>
      <c r="J17" s="72"/>
      <c r="K17" s="72"/>
      <c r="L17" s="72"/>
      <c r="M17" s="72"/>
      <c r="N17" s="211">
        <f>(M18-M12)/0.1511</f>
        <v>3003326.9926588642</v>
      </c>
    </row>
    <row r="18" spans="1:14" ht="15" customHeight="1">
      <c r="A18" s="74" t="s">
        <v>444</v>
      </c>
      <c r="B18" s="241">
        <f>B11+B12+B13+B14+B16</f>
        <v>-312998.1855930554</v>
      </c>
      <c r="C18" s="241">
        <f>C11+C12+C13+C14+C16</f>
        <v>-75502.85138005542</v>
      </c>
      <c r="D18" s="241">
        <f>D11+D12+D13+D14+D16</f>
        <v>-141084.56549305542</v>
      </c>
      <c r="E18" s="241">
        <f>E11+E12+E13+E15+E16+E17</f>
        <v>-222349.8355073333</v>
      </c>
      <c r="F18" s="241">
        <f aca="true" t="shared" si="4" ref="F18:N18">F11+F12+F13+F15+F16+F17</f>
        <v>-58235.885922464775</v>
      </c>
      <c r="G18" s="241">
        <f t="shared" si="4"/>
        <v>52426.68308140672</v>
      </c>
      <c r="H18" s="241">
        <f t="shared" si="4"/>
        <v>116671.63001038201</v>
      </c>
      <c r="I18" s="241">
        <f t="shared" si="4"/>
        <v>252203.56646075784</v>
      </c>
      <c r="J18" s="241">
        <f t="shared" si="4"/>
        <v>335428.8711781348</v>
      </c>
      <c r="K18" s="241">
        <f t="shared" si="4"/>
        <v>327926.47081647604</v>
      </c>
      <c r="L18" s="241">
        <f t="shared" si="4"/>
        <v>463192.06908374163</v>
      </c>
      <c r="M18" s="241">
        <f t="shared" si="4"/>
        <v>481007.6240690878</v>
      </c>
      <c r="N18" s="242">
        <f t="shared" si="4"/>
        <v>3468191.2874528323</v>
      </c>
    </row>
    <row r="20" spans="1:2" ht="12.75">
      <c r="A20" t="s">
        <v>449</v>
      </c>
      <c r="B20" s="167">
        <f>NPV(20.09%,C18:N18)+B18</f>
        <v>164443.30264504778</v>
      </c>
    </row>
    <row r="21" spans="1:2" ht="12.75">
      <c r="A21" t="s">
        <v>450</v>
      </c>
      <c r="B21" s="4">
        <f>IRR(B18:N18)</f>
        <v>0.2324337232984401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1.7109375" style="253" customWidth="1"/>
    <col min="2" max="2" width="9.421875" style="253" bestFit="1" customWidth="1"/>
    <col min="3" max="3" width="13.7109375" style="253" customWidth="1"/>
    <col min="4" max="4" width="10.57421875" style="253" customWidth="1"/>
    <col min="5" max="16384" width="11.421875" style="253" customWidth="1"/>
  </cols>
  <sheetData>
    <row r="1" spans="1:4" ht="22.5" customHeight="1">
      <c r="A1" s="496" t="s">
        <v>476</v>
      </c>
      <c r="B1" s="497"/>
      <c r="C1" s="496" t="s">
        <v>492</v>
      </c>
      <c r="D1" s="498" t="s">
        <v>493</v>
      </c>
    </row>
    <row r="2" spans="1:4" ht="15" customHeight="1">
      <c r="A2" s="499" t="s">
        <v>477</v>
      </c>
      <c r="B2" s="500">
        <f>+'BC'!B2</f>
        <v>-189153.55268611078</v>
      </c>
      <c r="C2" s="500">
        <f>+B2</f>
        <v>-189153.55268611078</v>
      </c>
      <c r="D2" s="501">
        <v>1</v>
      </c>
    </row>
    <row r="3" spans="1:4" ht="15" customHeight="1">
      <c r="A3" s="499" t="s">
        <v>478</v>
      </c>
      <c r="B3" s="500">
        <f>+'BC'!B3</f>
        <v>-101658.21847311084</v>
      </c>
      <c r="C3" s="500">
        <f aca="true" t="shared" si="0" ref="C3:C11">C2+B3</f>
        <v>-290811.77115922165</v>
      </c>
      <c r="D3" s="501">
        <v>2</v>
      </c>
    </row>
    <row r="4" spans="1:4" ht="15" customHeight="1">
      <c r="A4" s="499" t="s">
        <v>479</v>
      </c>
      <c r="B4" s="500">
        <f>+'BC'!B4</f>
        <v>-167239.9325861108</v>
      </c>
      <c r="C4" s="500">
        <f t="shared" si="0"/>
        <v>-458051.70374533243</v>
      </c>
      <c r="D4" s="501">
        <v>3</v>
      </c>
    </row>
    <row r="5" spans="1:4" ht="15" customHeight="1">
      <c r="A5" s="499" t="s">
        <v>480</v>
      </c>
      <c r="B5" s="500">
        <f>+'BC'!B5</f>
        <v>-239151.65421511082</v>
      </c>
      <c r="C5" s="500">
        <f t="shared" si="0"/>
        <v>-697203.3579604432</v>
      </c>
      <c r="D5" s="501">
        <v>4</v>
      </c>
    </row>
    <row r="6" spans="1:4" ht="15" customHeight="1">
      <c r="A6" s="499" t="s">
        <v>481</v>
      </c>
      <c r="B6" s="500">
        <f>+'BC'!B6</f>
        <v>-64252.50603104039</v>
      </c>
      <c r="C6" s="500">
        <f t="shared" si="0"/>
        <v>-761455.8639914836</v>
      </c>
      <c r="D6" s="501">
        <v>5</v>
      </c>
    </row>
    <row r="7" spans="1:4" ht="15" customHeight="1">
      <c r="A7" s="499" t="s">
        <v>482</v>
      </c>
      <c r="B7" s="500">
        <f>+'BC'!B7</f>
        <v>26271.315988351304</v>
      </c>
      <c r="C7" s="500">
        <f t="shared" si="0"/>
        <v>-735184.5480031322</v>
      </c>
      <c r="D7" s="501">
        <v>6</v>
      </c>
    </row>
    <row r="8" spans="1:4" ht="15" customHeight="1">
      <c r="A8" s="499" t="s">
        <v>483</v>
      </c>
      <c r="B8" s="500">
        <f>+'BC'!B8</f>
        <v>90516.2629173266</v>
      </c>
      <c r="C8" s="500">
        <f t="shared" si="0"/>
        <v>-644668.2850858056</v>
      </c>
      <c r="D8" s="501">
        <v>7</v>
      </c>
    </row>
    <row r="9" spans="1:4" ht="15" customHeight="1">
      <c r="A9" s="499" t="s">
        <v>484</v>
      </c>
      <c r="B9" s="500">
        <f>+'BC'!B9</f>
        <v>226048.19936770241</v>
      </c>
      <c r="C9" s="500">
        <f t="shared" si="0"/>
        <v>-418620.08571810316</v>
      </c>
      <c r="D9" s="501">
        <v>8</v>
      </c>
    </row>
    <row r="10" spans="1:4" ht="15" customHeight="1">
      <c r="A10" s="499" t="s">
        <v>485</v>
      </c>
      <c r="B10" s="500">
        <f>+'BC'!B10</f>
        <v>309273.5040850794</v>
      </c>
      <c r="C10" s="500">
        <f t="shared" si="0"/>
        <v>-109346.58163302374</v>
      </c>
      <c r="D10" s="501">
        <v>9</v>
      </c>
    </row>
    <row r="11" spans="1:4" ht="15" customHeight="1">
      <c r="A11" s="499" t="s">
        <v>486</v>
      </c>
      <c r="B11" s="500">
        <f>+'BC'!B11</f>
        <v>363671.10372342065</v>
      </c>
      <c r="C11" s="500">
        <f t="shared" si="0"/>
        <v>254324.5220903969</v>
      </c>
      <c r="D11" s="501">
        <v>10</v>
      </c>
    </row>
    <row r="12" spans="1:4" ht="15" customHeight="1">
      <c r="A12" s="502" t="s">
        <v>487</v>
      </c>
      <c r="B12" s="503">
        <f>+'BC'!B12</f>
        <v>463192.06908374163</v>
      </c>
      <c r="C12" s="503"/>
      <c r="D12" s="479"/>
    </row>
    <row r="13" ht="12.75">
      <c r="C13" s="256"/>
    </row>
    <row r="14" ht="12.75">
      <c r="D14" s="348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9.57421875" style="253" customWidth="1"/>
    <col min="2" max="2" width="13.421875" style="253" customWidth="1"/>
    <col min="3" max="3" width="18.421875" style="253" customWidth="1"/>
    <col min="4" max="16384" width="11.421875" style="253" customWidth="1"/>
  </cols>
  <sheetData>
    <row r="1" spans="1:3" ht="21" customHeight="1">
      <c r="A1" s="726" t="s">
        <v>596</v>
      </c>
      <c r="B1" s="728"/>
      <c r="C1" s="534" t="s">
        <v>491</v>
      </c>
    </row>
    <row r="2" spans="1:3" ht="12.75">
      <c r="A2" s="615" t="s">
        <v>477</v>
      </c>
      <c r="B2" s="616">
        <v>-189153.55268611078</v>
      </c>
      <c r="C2" s="617">
        <f>B2/(1.1565)^1</f>
        <v>-163556.89812893278</v>
      </c>
    </row>
    <row r="3" spans="1:3" ht="12.75">
      <c r="A3" s="615" t="s">
        <v>478</v>
      </c>
      <c r="B3" s="616">
        <v>-101658.21847311084</v>
      </c>
      <c r="C3" s="617">
        <f>B3/(1.1565)^2</f>
        <v>-76006.58506478136</v>
      </c>
    </row>
    <row r="4" spans="1:3" ht="12.75">
      <c r="A4" s="615" t="s">
        <v>479</v>
      </c>
      <c r="B4" s="616">
        <v>-167239.9325861108</v>
      </c>
      <c r="C4" s="617">
        <f>B4/(1.1565)^3</f>
        <v>-108119.26196623933</v>
      </c>
    </row>
    <row r="5" spans="1:3" ht="12.75">
      <c r="A5" s="615" t="s">
        <v>480</v>
      </c>
      <c r="B5" s="616">
        <v>-239151.65421511082</v>
      </c>
      <c r="C5" s="617">
        <f>B5/(1.1565)^4</f>
        <v>-133687.5119734831</v>
      </c>
    </row>
    <row r="6" spans="1:3" ht="12.75">
      <c r="A6" s="615" t="s">
        <v>481</v>
      </c>
      <c r="B6" s="616">
        <v>-64252.50603104039</v>
      </c>
      <c r="C6" s="617">
        <f>B6/(1.1565)^5</f>
        <v>-31057.170445533997</v>
      </c>
    </row>
    <row r="7" spans="1:3" ht="12.75">
      <c r="A7" s="615" t="s">
        <v>482</v>
      </c>
      <c r="B7" s="616">
        <v>26271.315988351304</v>
      </c>
      <c r="C7" s="617">
        <f>B7/(1.1565)^6</f>
        <v>10980.143234456582</v>
      </c>
    </row>
    <row r="8" spans="1:3" ht="12.75">
      <c r="A8" s="615" t="s">
        <v>483</v>
      </c>
      <c r="B8" s="616">
        <v>90516.2629173266</v>
      </c>
      <c r="C8" s="617">
        <f>B8/(1.1565)^7</f>
        <v>32712.004364361295</v>
      </c>
    </row>
    <row r="9" spans="1:3" ht="12.75">
      <c r="A9" s="615" t="s">
        <v>484</v>
      </c>
      <c r="B9" s="616">
        <v>226048.19936770241</v>
      </c>
      <c r="C9" s="617">
        <f>B9/(1.1565)^8</f>
        <v>70637.60324390435</v>
      </c>
    </row>
    <row r="10" spans="1:3" ht="12.75">
      <c r="A10" s="615" t="s">
        <v>485</v>
      </c>
      <c r="B10" s="616">
        <v>309273.5040850794</v>
      </c>
      <c r="C10" s="617">
        <f>B10/(1.1565)^9</f>
        <v>83566.45534295154</v>
      </c>
    </row>
    <row r="11" spans="1:3" ht="12.75">
      <c r="A11" s="615" t="s">
        <v>486</v>
      </c>
      <c r="B11" s="616">
        <v>363671.10372342065</v>
      </c>
      <c r="C11" s="617">
        <f>B11/(1.1565)^10</f>
        <v>84967.41848669555</v>
      </c>
    </row>
    <row r="12" spans="1:3" ht="12.75">
      <c r="A12" s="615" t="s">
        <v>487</v>
      </c>
      <c r="B12" s="616">
        <v>463192.06908374163</v>
      </c>
      <c r="C12" s="617">
        <f>B12/(1.1565)^11</f>
        <v>93574.84286208011</v>
      </c>
    </row>
    <row r="13" spans="1:3" ht="12.75">
      <c r="A13" s="615" t="s">
        <v>488</v>
      </c>
      <c r="B13" s="616">
        <v>481007.6240690878</v>
      </c>
      <c r="C13" s="617">
        <f>B13/(1.1565)^12</f>
        <v>84024.18618418768</v>
      </c>
    </row>
    <row r="14" spans="1:3" ht="12.75">
      <c r="A14" s="615" t="s">
        <v>489</v>
      </c>
      <c r="B14" s="616">
        <v>3172517.6873402353</v>
      </c>
      <c r="C14" s="617">
        <f>B14/(1.1565)^13</f>
        <v>479193.3358195443</v>
      </c>
    </row>
    <row r="15" spans="1:3" ht="12.75">
      <c r="A15" s="618" t="s">
        <v>330</v>
      </c>
      <c r="B15" s="618"/>
      <c r="C15" s="619">
        <f>SUM(C2:C14)</f>
        <v>427228.56195921084</v>
      </c>
    </row>
    <row r="16" spans="1:3" ht="16.5" customHeight="1">
      <c r="A16" s="614" t="s">
        <v>490</v>
      </c>
      <c r="B16" s="620"/>
      <c r="C16" s="621" t="s">
        <v>618</v>
      </c>
    </row>
    <row r="17" spans="1:3" ht="15.75" customHeight="1">
      <c r="A17" s="543" t="s">
        <v>490</v>
      </c>
      <c r="B17" s="622"/>
      <c r="C17" s="623">
        <f>-C15/B2</f>
        <v>2.2586335593081435</v>
      </c>
    </row>
  </sheetData>
  <sheetProtection/>
  <mergeCells count="1">
    <mergeCell ref="A1:B1"/>
  </mergeCells>
  <printOptions/>
  <pageMargins left="2.598425196850394" right="0.7480314960629921" top="2.06" bottom="0.984251968503937" header="0.37" footer="0"/>
  <pageSetup horizontalDpi="600" verticalDpi="600" orientation="portrait" paperSize="9" r:id="rId1"/>
  <headerFooter alignWithMargins="0">
    <oddHeader>&amp;C&amp;"Arial,Negrita"&amp;12
ANEXOS FINANCIEROS
ANEXO 5.9 COEFICIENTE BENEFICIO/COSTO DEL PROYECTO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7" sqref="D17"/>
    </sheetView>
  </sheetViews>
  <sheetFormatPr defaultColWidth="11.421875" defaultRowHeight="12.75"/>
  <cols>
    <col min="2" max="2" width="13.57421875" style="0" bestFit="1" customWidth="1"/>
    <col min="3" max="3" width="11.28125" style="0" bestFit="1" customWidth="1"/>
  </cols>
  <sheetData>
    <row r="1" spans="1:4" ht="16.5" customHeight="1">
      <c r="A1" s="707" t="s">
        <v>54</v>
      </c>
      <c r="B1" s="708"/>
      <c r="C1" s="708"/>
      <c r="D1" s="709"/>
    </row>
    <row r="2" spans="1:4" ht="16.5" customHeight="1" thickBot="1">
      <c r="A2" s="710" t="s">
        <v>55</v>
      </c>
      <c r="B2" s="677"/>
      <c r="C2" s="677"/>
      <c r="D2" s="678"/>
    </row>
    <row r="3" spans="1:7" ht="16.5" customHeight="1">
      <c r="A3" s="396" t="s">
        <v>50</v>
      </c>
      <c r="B3" s="397" t="s">
        <v>51</v>
      </c>
      <c r="C3" s="397" t="s">
        <v>52</v>
      </c>
      <c r="D3" s="398" t="s">
        <v>53</v>
      </c>
      <c r="F3">
        <v>725</v>
      </c>
      <c r="G3">
        <v>2174</v>
      </c>
    </row>
    <row r="4" spans="1:7" ht="16.5" customHeight="1">
      <c r="A4" s="399">
        <v>2006</v>
      </c>
      <c r="B4" s="400">
        <f>+demanda!J37</f>
        <v>331.5759639006973</v>
      </c>
      <c r="C4" s="400">
        <f>+Oferta!E3</f>
        <v>217.35000000000002</v>
      </c>
      <c r="D4" s="401">
        <f aca="true" t="shared" si="0" ref="D4:D17">B4-C4</f>
        <v>114.22596390069725</v>
      </c>
      <c r="F4" t="s">
        <v>20</v>
      </c>
      <c r="G4" s="12">
        <v>564</v>
      </c>
    </row>
    <row r="5" spans="1:4" ht="16.5" customHeight="1">
      <c r="A5" s="399">
        <v>2007</v>
      </c>
      <c r="B5" s="400">
        <f>B4*(1+(2.5%*importaciones!D2))</f>
        <v>339.25133343543564</v>
      </c>
      <c r="C5" s="400">
        <f>+Oferta!E4</f>
        <v>224.9573</v>
      </c>
      <c r="D5" s="401">
        <f t="shared" si="0"/>
        <v>114.29403343543564</v>
      </c>
    </row>
    <row r="6" spans="1:7" ht="16.5" customHeight="1">
      <c r="A6" s="399">
        <v>2008</v>
      </c>
      <c r="B6" s="400">
        <f>B5*(1+(2.5%*importaciones!D3))</f>
        <v>347.1043735612559</v>
      </c>
      <c r="C6" s="400">
        <f>+Oferta!E5</f>
        <v>232.8308</v>
      </c>
      <c r="D6" s="401">
        <f t="shared" si="0"/>
        <v>114.27357356125589</v>
      </c>
      <c r="F6" t="s">
        <v>56</v>
      </c>
      <c r="G6" s="8">
        <f>(F3*G4)/G3</f>
        <v>188.08647654093835</v>
      </c>
    </row>
    <row r="7" spans="1:4" ht="16.5" customHeight="1">
      <c r="A7" s="399">
        <v>2009</v>
      </c>
      <c r="B7" s="400">
        <f>B6*(1+(2.5%*importaciones!D4))</f>
        <v>355.139197023322</v>
      </c>
      <c r="C7" s="400">
        <f>+Oferta!E6</f>
        <v>240.97979999999998</v>
      </c>
      <c r="D7" s="401">
        <f t="shared" si="0"/>
        <v>114.15939702332204</v>
      </c>
    </row>
    <row r="8" spans="1:4" ht="16.5" customHeight="1">
      <c r="A8" s="399">
        <v>2010</v>
      </c>
      <c r="B8" s="400">
        <f>B7*(1+(2.5%*importaciones!D5))</f>
        <v>363.36001176923224</v>
      </c>
      <c r="C8" s="400">
        <f>+Oferta!E7</f>
        <v>249.41410000000002</v>
      </c>
      <c r="D8" s="401">
        <f t="shared" si="0"/>
        <v>113.94591176923223</v>
      </c>
    </row>
    <row r="9" spans="1:4" ht="16.5" customHeight="1">
      <c r="A9" s="399">
        <v>2011</v>
      </c>
      <c r="B9" s="400">
        <f>B8*(1+(2.5%*importaciones!D6))</f>
        <v>371.7711231527793</v>
      </c>
      <c r="C9" s="400">
        <f>+Oferta!E8</f>
        <v>258.14360000000005</v>
      </c>
      <c r="D9" s="401">
        <f t="shared" si="0"/>
        <v>113.62752315277925</v>
      </c>
    </row>
    <row r="10" spans="1:4" ht="16.5" customHeight="1">
      <c r="A10" s="399">
        <v>2012</v>
      </c>
      <c r="B10" s="400">
        <f>B9*(1+(2.5%*importaciones!D7))</f>
        <v>380.3769361887233</v>
      </c>
      <c r="C10" s="400">
        <f>+Oferta!E9</f>
        <v>267.1786</v>
      </c>
      <c r="D10" s="401">
        <f t="shared" si="0"/>
        <v>113.19833618872326</v>
      </c>
    </row>
    <row r="11" spans="1:4" ht="16.5" customHeight="1">
      <c r="A11" s="399">
        <v>2013</v>
      </c>
      <c r="B11" s="400">
        <f>B10*(1+(2.5%*importaciones!D8))</f>
        <v>389.18195785975854</v>
      </c>
      <c r="C11" s="400">
        <f>+Oferta!E10</f>
        <v>276.5299</v>
      </c>
      <c r="D11" s="401">
        <f t="shared" si="0"/>
        <v>112.65205785975854</v>
      </c>
    </row>
    <row r="12" spans="1:4" ht="16.5" customHeight="1">
      <c r="A12" s="399">
        <v>2014</v>
      </c>
      <c r="B12" s="400">
        <f>B11*(1+(2.5%*importaciones!D9))</f>
        <v>398.1907994768826</v>
      </c>
      <c r="C12" s="400">
        <f>+Oferta!E11</f>
        <v>286.2084</v>
      </c>
      <c r="D12" s="401">
        <f t="shared" si="0"/>
        <v>111.98239947688262</v>
      </c>
    </row>
    <row r="13" spans="1:4" ht="16.5" customHeight="1">
      <c r="A13" s="399">
        <v>2015</v>
      </c>
      <c r="B13" s="400">
        <f>B12*(1+(2.5%*importaciones!D10))</f>
        <v>407.408179094403</v>
      </c>
      <c r="C13" s="400">
        <f>+Oferta!E12</f>
        <v>296.2257</v>
      </c>
      <c r="D13" s="401">
        <f t="shared" si="0"/>
        <v>111.18247909440299</v>
      </c>
    </row>
    <row r="14" spans="1:4" ht="16.5" customHeight="1">
      <c r="A14" s="399">
        <v>2016</v>
      </c>
      <c r="B14" s="400">
        <f>B13*(1+(2.5%*importaciones!D11))</f>
        <v>416.83892398084754</v>
      </c>
      <c r="C14" s="400">
        <f>+Oferta!E13</f>
        <v>306.5935995</v>
      </c>
      <c r="D14" s="401">
        <f t="shared" si="0"/>
        <v>110.24532448084756</v>
      </c>
    </row>
    <row r="15" spans="1:4" ht="16.5" customHeight="1">
      <c r="A15" s="399">
        <v>2017</v>
      </c>
      <c r="B15" s="400">
        <f>B14*(1+(2.5%*importaciones!D12))</f>
        <v>426.4879731470709</v>
      </c>
      <c r="C15" s="400">
        <f>+Oferta!E14</f>
        <v>317.32437548249993</v>
      </c>
      <c r="D15" s="401">
        <f t="shared" si="0"/>
        <v>109.16359766457094</v>
      </c>
    </row>
    <row r="16" spans="1:4" ht="16.5" customHeight="1">
      <c r="A16" s="399">
        <v>2018</v>
      </c>
      <c r="B16" s="400">
        <f>B15*(1+(2.5%*importaciones!D13))</f>
        <v>436.3603799328827</v>
      </c>
      <c r="C16" s="400">
        <f>+Oferta!E15</f>
        <v>328.4307286243874</v>
      </c>
      <c r="D16" s="401">
        <f t="shared" si="0"/>
        <v>107.9296513084953</v>
      </c>
    </row>
    <row r="17" spans="1:4" ht="16.5" customHeight="1" thickBot="1">
      <c r="A17" s="402">
        <v>2019</v>
      </c>
      <c r="B17" s="403">
        <f>B16*(1+(2.5%*importaciones!D14))</f>
        <v>446.4613146535513</v>
      </c>
      <c r="C17" s="403">
        <f>+Oferta!E16</f>
        <v>339.925804126241</v>
      </c>
      <c r="D17" s="404">
        <f t="shared" si="0"/>
        <v>106.5355105273103</v>
      </c>
    </row>
  </sheetData>
  <sheetProtection/>
  <mergeCells count="2">
    <mergeCell ref="A1:D1"/>
    <mergeCell ref="A2:D2"/>
  </mergeCells>
  <printOptions/>
  <pageMargins left="0.75" right="0.75" top="1" bottom="1" header="0" footer="0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4.28125" style="253" bestFit="1" customWidth="1"/>
    <col min="2" max="2" width="15.28125" style="253" bestFit="1" customWidth="1"/>
    <col min="3" max="3" width="10.57421875" style="253" bestFit="1" customWidth="1"/>
    <col min="4" max="4" width="12.421875" style="253" bestFit="1" customWidth="1"/>
    <col min="5" max="5" width="10.140625" style="253" bestFit="1" customWidth="1"/>
    <col min="6" max="6" width="12.140625" style="253" bestFit="1" customWidth="1"/>
    <col min="7" max="16384" width="11.421875" style="253" customWidth="1"/>
  </cols>
  <sheetData>
    <row r="1" spans="1:6" ht="15" customHeight="1">
      <c r="A1" s="769" t="s">
        <v>494</v>
      </c>
      <c r="B1" s="257" t="s">
        <v>495</v>
      </c>
      <c r="C1" s="257" t="s">
        <v>496</v>
      </c>
      <c r="D1" s="257" t="s">
        <v>497</v>
      </c>
      <c r="E1" s="257" t="s">
        <v>499</v>
      </c>
      <c r="F1" s="258" t="s">
        <v>500</v>
      </c>
    </row>
    <row r="2" spans="1:6" ht="15" customHeight="1">
      <c r="A2" s="770"/>
      <c r="B2" s="222" t="s">
        <v>502</v>
      </c>
      <c r="C2" s="222" t="s">
        <v>503</v>
      </c>
      <c r="D2" s="222" t="s">
        <v>498</v>
      </c>
      <c r="E2" s="222" t="s">
        <v>503</v>
      </c>
      <c r="F2" s="223" t="s">
        <v>501</v>
      </c>
    </row>
    <row r="3" spans="1:6" ht="15" customHeight="1">
      <c r="A3" s="216">
        <v>4</v>
      </c>
      <c r="B3" s="254">
        <v>6306.3</v>
      </c>
      <c r="C3" s="259">
        <v>2.5</v>
      </c>
      <c r="D3" s="254">
        <v>2102.1</v>
      </c>
      <c r="E3" s="259">
        <v>3</v>
      </c>
      <c r="F3" s="260">
        <f>(B3*C3)+(D3*E3)</f>
        <v>22072.05</v>
      </c>
    </row>
    <row r="4" spans="1:6" ht="15" customHeight="1">
      <c r="A4" s="216">
        <v>5</v>
      </c>
      <c r="B4" s="254">
        <v>37837.8</v>
      </c>
      <c r="C4" s="259">
        <f>+C3</f>
        <v>2.5</v>
      </c>
      <c r="D4" s="254">
        <v>12612.6</v>
      </c>
      <c r="E4" s="259">
        <v>3</v>
      </c>
      <c r="F4" s="260">
        <f aca="true" t="shared" si="0" ref="F4:F12">(B4*C4)+(D4*E4)</f>
        <v>132432.3</v>
      </c>
    </row>
    <row r="5" spans="1:6" ht="15" customHeight="1">
      <c r="A5" s="216">
        <v>6</v>
      </c>
      <c r="B5" s="254">
        <v>63063</v>
      </c>
      <c r="C5" s="259">
        <f aca="true" t="shared" si="1" ref="C5:C12">+C4</f>
        <v>2.5</v>
      </c>
      <c r="D5" s="254">
        <v>21021</v>
      </c>
      <c r="E5" s="259">
        <v>3</v>
      </c>
      <c r="F5" s="260">
        <f t="shared" si="0"/>
        <v>220720.5</v>
      </c>
    </row>
    <row r="6" spans="1:6" ht="15" customHeight="1">
      <c r="A6" s="216">
        <v>7</v>
      </c>
      <c r="B6" s="254">
        <v>100900.8</v>
      </c>
      <c r="C6" s="259">
        <f t="shared" si="1"/>
        <v>2.5</v>
      </c>
      <c r="D6" s="254">
        <v>33633.6</v>
      </c>
      <c r="E6" s="259">
        <v>3</v>
      </c>
      <c r="F6" s="260">
        <f t="shared" si="0"/>
        <v>353152.8</v>
      </c>
    </row>
    <row r="7" spans="1:6" ht="15" customHeight="1">
      <c r="A7" s="216">
        <v>8</v>
      </c>
      <c r="B7" s="254">
        <v>176576.4</v>
      </c>
      <c r="C7" s="259">
        <f t="shared" si="1"/>
        <v>2.5</v>
      </c>
      <c r="D7" s="254">
        <v>58858.8</v>
      </c>
      <c r="E7" s="259">
        <v>3</v>
      </c>
      <c r="F7" s="260">
        <f t="shared" si="0"/>
        <v>618017.4</v>
      </c>
    </row>
    <row r="8" spans="1:6" ht="15" customHeight="1">
      <c r="A8" s="216">
        <v>9</v>
      </c>
      <c r="B8" s="254">
        <v>227026.8</v>
      </c>
      <c r="C8" s="259">
        <f t="shared" si="1"/>
        <v>2.5</v>
      </c>
      <c r="D8" s="254">
        <v>75675.6</v>
      </c>
      <c r="E8" s="259">
        <v>3</v>
      </c>
      <c r="F8" s="260">
        <f t="shared" si="0"/>
        <v>794593.8</v>
      </c>
    </row>
    <row r="9" spans="1:6" ht="15" customHeight="1">
      <c r="A9" s="216">
        <v>10</v>
      </c>
      <c r="B9" s="254">
        <v>264864.6</v>
      </c>
      <c r="C9" s="259">
        <f t="shared" si="1"/>
        <v>2.5</v>
      </c>
      <c r="D9" s="254">
        <v>88288.2</v>
      </c>
      <c r="E9" s="259">
        <v>3</v>
      </c>
      <c r="F9" s="260">
        <f t="shared" si="0"/>
        <v>927026.1</v>
      </c>
    </row>
    <row r="10" spans="1:6" ht="15" customHeight="1">
      <c r="A10" s="216">
        <v>11</v>
      </c>
      <c r="B10" s="254">
        <v>315315</v>
      </c>
      <c r="C10" s="259">
        <f t="shared" si="1"/>
        <v>2.5</v>
      </c>
      <c r="D10" s="254">
        <v>105105</v>
      </c>
      <c r="E10" s="259">
        <v>3</v>
      </c>
      <c r="F10" s="260">
        <f t="shared" si="0"/>
        <v>1103602.5</v>
      </c>
    </row>
    <row r="11" spans="1:6" ht="15" customHeight="1">
      <c r="A11" s="216">
        <v>12</v>
      </c>
      <c r="B11" s="254">
        <v>340540.2</v>
      </c>
      <c r="C11" s="259">
        <f t="shared" si="1"/>
        <v>2.5</v>
      </c>
      <c r="D11" s="254">
        <v>113513.4</v>
      </c>
      <c r="E11" s="259">
        <v>3</v>
      </c>
      <c r="F11" s="260">
        <f t="shared" si="0"/>
        <v>1191890.7</v>
      </c>
    </row>
    <row r="12" spans="1:6" ht="15" customHeight="1">
      <c r="A12" s="219">
        <v>13</v>
      </c>
      <c r="B12" s="255">
        <v>353152.8</v>
      </c>
      <c r="C12" s="261">
        <f t="shared" si="1"/>
        <v>2.5</v>
      </c>
      <c r="D12" s="255">
        <v>117717.6</v>
      </c>
      <c r="E12" s="261">
        <v>3</v>
      </c>
      <c r="F12" s="262">
        <f t="shared" si="0"/>
        <v>1236034.8</v>
      </c>
    </row>
    <row r="13" spans="1:6" ht="12.75">
      <c r="A13" s="214" t="s">
        <v>10</v>
      </c>
      <c r="B13" s="263">
        <f>SUM(B3:B12)</f>
        <v>1885583.7000000002</v>
      </c>
      <c r="C13" s="214"/>
      <c r="D13" s="263">
        <f>SUM(D3:D12)</f>
        <v>628527.9</v>
      </c>
      <c r="E13" s="214"/>
      <c r="F13" s="264">
        <f>SUM(F3:F12)</f>
        <v>6599542.949999999</v>
      </c>
    </row>
  </sheetData>
  <sheetProtection/>
  <mergeCells count="1">
    <mergeCell ref="A1:A2"/>
  </mergeCells>
  <printOptions/>
  <pageMargins left="0.75" right="0.75" top="1" bottom="1" header="0" footer="0"/>
  <pageSetup horizontalDpi="300" verticalDpi="3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22" sqref="G22"/>
    </sheetView>
  </sheetViews>
  <sheetFormatPr defaultColWidth="11.421875" defaultRowHeight="12.75"/>
  <cols>
    <col min="3" max="3" width="12.140625" style="0" bestFit="1" customWidth="1"/>
  </cols>
  <sheetData>
    <row r="1" spans="1:5" ht="15" customHeight="1">
      <c r="A1" s="771" t="s">
        <v>366</v>
      </c>
      <c r="B1" s="661" t="s">
        <v>504</v>
      </c>
      <c r="C1" s="662"/>
      <c r="D1" s="661" t="s">
        <v>270</v>
      </c>
      <c r="E1" s="663"/>
    </row>
    <row r="2" spans="1:5" ht="15" customHeight="1">
      <c r="A2" s="772"/>
      <c r="B2" s="152" t="s">
        <v>505</v>
      </c>
      <c r="C2" s="249" t="s">
        <v>506</v>
      </c>
      <c r="D2" s="249" t="s">
        <v>505</v>
      </c>
      <c r="E2" s="179" t="s">
        <v>507</v>
      </c>
    </row>
    <row r="3" spans="1:5" ht="15" customHeight="1">
      <c r="A3" s="151">
        <v>1</v>
      </c>
      <c r="B3" s="151">
        <v>36</v>
      </c>
      <c r="C3" s="151">
        <v>8</v>
      </c>
      <c r="D3" s="66">
        <f>B3*5*49</f>
        <v>8820</v>
      </c>
      <c r="E3" s="251">
        <f>C3*300*12</f>
        <v>28800</v>
      </c>
    </row>
    <row r="4" spans="1:5" ht="15" customHeight="1">
      <c r="A4" s="151">
        <v>2</v>
      </c>
      <c r="B4" s="151">
        <v>11</v>
      </c>
      <c r="C4" s="151">
        <v>8</v>
      </c>
      <c r="D4" s="66">
        <f aca="true" t="shared" si="0" ref="D4:D15">B4*5*49</f>
        <v>2695</v>
      </c>
      <c r="E4" s="251">
        <f aca="true" t="shared" si="1" ref="E4:E15">C4*300*12</f>
        <v>28800</v>
      </c>
    </row>
    <row r="5" spans="1:5" ht="15" customHeight="1">
      <c r="A5" s="151">
        <v>3</v>
      </c>
      <c r="B5" s="151">
        <v>16</v>
      </c>
      <c r="C5" s="151">
        <v>8</v>
      </c>
      <c r="D5" s="66">
        <f t="shared" si="0"/>
        <v>3920</v>
      </c>
      <c r="E5" s="251">
        <f t="shared" si="1"/>
        <v>28800</v>
      </c>
    </row>
    <row r="6" spans="1:5" ht="15" customHeight="1">
      <c r="A6" s="151">
        <v>4</v>
      </c>
      <c r="B6" s="151">
        <v>20</v>
      </c>
      <c r="C6" s="151">
        <f>5+C5+9</f>
        <v>22</v>
      </c>
      <c r="D6" s="66">
        <f t="shared" si="0"/>
        <v>4900</v>
      </c>
      <c r="E6" s="251">
        <f t="shared" si="1"/>
        <v>79200</v>
      </c>
    </row>
    <row r="7" spans="1:5" ht="15" customHeight="1">
      <c r="A7" s="151">
        <v>5</v>
      </c>
      <c r="B7" s="151">
        <v>28</v>
      </c>
      <c r="C7" s="151">
        <f>+C6</f>
        <v>22</v>
      </c>
      <c r="D7" s="66">
        <f t="shared" si="0"/>
        <v>6860</v>
      </c>
      <c r="E7" s="251">
        <f t="shared" si="1"/>
        <v>79200</v>
      </c>
    </row>
    <row r="8" spans="1:5" ht="15" customHeight="1">
      <c r="A8" s="151">
        <v>6</v>
      </c>
      <c r="B8" s="151">
        <v>34</v>
      </c>
      <c r="C8" s="151">
        <f aca="true" t="shared" si="2" ref="C8:C15">+C7</f>
        <v>22</v>
      </c>
      <c r="D8" s="66">
        <f t="shared" si="0"/>
        <v>8330</v>
      </c>
      <c r="E8" s="251">
        <f t="shared" si="1"/>
        <v>79200</v>
      </c>
    </row>
    <row r="9" spans="1:5" ht="15" customHeight="1">
      <c r="A9" s="151">
        <v>7</v>
      </c>
      <c r="B9" s="151">
        <v>41</v>
      </c>
      <c r="C9" s="151">
        <f t="shared" si="2"/>
        <v>22</v>
      </c>
      <c r="D9" s="66">
        <f t="shared" si="0"/>
        <v>10045</v>
      </c>
      <c r="E9" s="251">
        <f t="shared" si="1"/>
        <v>79200</v>
      </c>
    </row>
    <row r="10" spans="1:5" ht="15" customHeight="1">
      <c r="A10" s="151">
        <v>8</v>
      </c>
      <c r="B10" s="151">
        <v>52</v>
      </c>
      <c r="C10" s="151">
        <f t="shared" si="2"/>
        <v>22</v>
      </c>
      <c r="D10" s="66">
        <f t="shared" si="0"/>
        <v>12740</v>
      </c>
      <c r="E10" s="251">
        <f t="shared" si="1"/>
        <v>79200</v>
      </c>
    </row>
    <row r="11" spans="1:5" ht="15" customHeight="1">
      <c r="A11" s="151">
        <v>9</v>
      </c>
      <c r="B11" s="151">
        <v>60</v>
      </c>
      <c r="C11" s="151">
        <f t="shared" si="2"/>
        <v>22</v>
      </c>
      <c r="D11" s="66">
        <f t="shared" si="0"/>
        <v>14700</v>
      </c>
      <c r="E11" s="251">
        <f t="shared" si="1"/>
        <v>79200</v>
      </c>
    </row>
    <row r="12" spans="1:5" ht="15" customHeight="1">
      <c r="A12" s="151">
        <v>10</v>
      </c>
      <c r="B12" s="151">
        <v>66</v>
      </c>
      <c r="C12" s="151">
        <f t="shared" si="2"/>
        <v>22</v>
      </c>
      <c r="D12" s="66">
        <f t="shared" si="0"/>
        <v>16170</v>
      </c>
      <c r="E12" s="251">
        <f t="shared" si="1"/>
        <v>79200</v>
      </c>
    </row>
    <row r="13" spans="1:5" ht="15" customHeight="1">
      <c r="A13" s="151">
        <v>11</v>
      </c>
      <c r="B13" s="151">
        <v>74</v>
      </c>
      <c r="C13" s="151">
        <f t="shared" si="2"/>
        <v>22</v>
      </c>
      <c r="D13" s="66">
        <f t="shared" si="0"/>
        <v>18130</v>
      </c>
      <c r="E13" s="251">
        <f t="shared" si="1"/>
        <v>79200</v>
      </c>
    </row>
    <row r="14" spans="1:5" ht="15" customHeight="1">
      <c r="A14" s="151">
        <v>12</v>
      </c>
      <c r="B14" s="151">
        <v>78</v>
      </c>
      <c r="C14" s="151">
        <f t="shared" si="2"/>
        <v>22</v>
      </c>
      <c r="D14" s="66">
        <f t="shared" si="0"/>
        <v>19110</v>
      </c>
      <c r="E14" s="251">
        <f t="shared" si="1"/>
        <v>79200</v>
      </c>
    </row>
    <row r="15" spans="1:5" ht="15" customHeight="1">
      <c r="A15" s="152">
        <v>13</v>
      </c>
      <c r="B15" s="152">
        <v>80</v>
      </c>
      <c r="C15" s="152">
        <f t="shared" si="2"/>
        <v>22</v>
      </c>
      <c r="D15" s="265">
        <f t="shared" si="0"/>
        <v>19600</v>
      </c>
      <c r="E15" s="265">
        <f t="shared" si="1"/>
        <v>79200</v>
      </c>
    </row>
    <row r="16" spans="1:5" ht="15" customHeight="1">
      <c r="A16" s="113" t="s">
        <v>10</v>
      </c>
      <c r="B16" s="266">
        <f>SUM(B3:B15)</f>
        <v>596</v>
      </c>
      <c r="C16" s="113">
        <f>SUM(C3:C15)</f>
        <v>244</v>
      </c>
      <c r="D16" s="266">
        <f>SUM(D3:D15)</f>
        <v>146020</v>
      </c>
      <c r="E16" s="267">
        <f>SUM(E3:E15)</f>
        <v>878400</v>
      </c>
    </row>
  </sheetData>
  <sheetProtection/>
  <mergeCells count="3">
    <mergeCell ref="B1:C1"/>
    <mergeCell ref="D1:E1"/>
    <mergeCell ref="A1:A2"/>
  </mergeCells>
  <printOptions/>
  <pageMargins left="0.75" right="0.75" top="1" bottom="1" header="0" footer="0"/>
  <pageSetup horizontalDpi="300" verticalDpi="3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28.140625" style="0" bestFit="1" customWidth="1"/>
    <col min="2" max="2" width="14.00390625" style="0" bestFit="1" customWidth="1"/>
  </cols>
  <sheetData>
    <row r="1" spans="1:5" ht="15" customHeight="1">
      <c r="A1" s="777" t="s">
        <v>57</v>
      </c>
      <c r="B1" s="205" t="s">
        <v>516</v>
      </c>
      <c r="C1" s="773" t="s">
        <v>518</v>
      </c>
      <c r="D1" s="774"/>
      <c r="E1" s="206" t="s">
        <v>520</v>
      </c>
    </row>
    <row r="2" spans="1:5" ht="15" customHeight="1">
      <c r="A2" s="778"/>
      <c r="B2" s="113" t="s">
        <v>517</v>
      </c>
      <c r="C2" s="775" t="s">
        <v>519</v>
      </c>
      <c r="D2" s="776"/>
      <c r="E2" s="173" t="s">
        <v>521</v>
      </c>
    </row>
    <row r="3" spans="1:5" ht="15" customHeight="1">
      <c r="A3" s="69" t="s">
        <v>508</v>
      </c>
      <c r="B3" s="207">
        <f>'Costos&amp;Gastos'!I3+'Costos&amp;Gastos'!I4+'Costos&amp;Gastos'!I10+'Costos&amp;Gastos'!I21</f>
        <v>172500.20799178863</v>
      </c>
      <c r="C3" s="207">
        <f>+B3</f>
        <v>172500.20799178863</v>
      </c>
      <c r="D3" s="268">
        <f>C3/C10</f>
        <v>0.30853288290253883</v>
      </c>
      <c r="E3" s="171"/>
    </row>
    <row r="4" spans="1:5" ht="15" customHeight="1">
      <c r="A4" s="69" t="s">
        <v>509</v>
      </c>
      <c r="B4" s="207">
        <f>'Costos&amp;Gastos'!I5+'Costos&amp;Gastos'!I6+'Costos&amp;Gastos'!I11</f>
        <v>59928.84240000001</v>
      </c>
      <c r="C4" s="69"/>
      <c r="D4" s="269"/>
      <c r="E4" s="210">
        <f>+B4</f>
        <v>59928.84240000001</v>
      </c>
    </row>
    <row r="5" spans="1:5" ht="15" customHeight="1">
      <c r="A5" s="69" t="s">
        <v>510</v>
      </c>
      <c r="B5" s="207">
        <f>'Costos&amp;Gastos'!I16+'Costos&amp;Gastos'!I17+'Costos&amp;Gastos'!I13</f>
        <v>33660.390478333335</v>
      </c>
      <c r="C5" s="69"/>
      <c r="D5" s="269"/>
      <c r="E5" s="210">
        <f>+B5</f>
        <v>33660.390478333335</v>
      </c>
    </row>
    <row r="6" spans="1:5" ht="15" customHeight="1">
      <c r="A6" s="69" t="s">
        <v>511</v>
      </c>
      <c r="B6" s="69"/>
      <c r="C6" s="69"/>
      <c r="D6" s="269"/>
      <c r="E6" s="171"/>
    </row>
    <row r="7" spans="1:5" ht="15" customHeight="1">
      <c r="A7" s="69" t="s">
        <v>512</v>
      </c>
      <c r="B7" s="207">
        <f>'Costos&amp;Gastos'!I12+'Costos&amp;Gastos'!I14+'Costos&amp;Gastos'!I15+'Costos&amp;Gastos'!I22+'Costos&amp;Gastos'!I23+'Costos&amp;Gastos'!I24+'Costos&amp;Gastos'!I25</f>
        <v>84131.827</v>
      </c>
      <c r="C7" s="69"/>
      <c r="D7" s="269"/>
      <c r="E7" s="210">
        <f>+B7</f>
        <v>84131.827</v>
      </c>
    </row>
    <row r="8" spans="1:5" ht="15" customHeight="1">
      <c r="A8" s="69" t="s">
        <v>513</v>
      </c>
      <c r="B8" s="207">
        <f>Amortización!C28+Amortización!C29+Amortización!D28+Amortización!D29</f>
        <v>26155.36709305542</v>
      </c>
      <c r="C8" s="207">
        <f>+B8</f>
        <v>26155.36709305542</v>
      </c>
      <c r="D8" s="269">
        <f>C8/C10</f>
        <v>0.04678133960846426</v>
      </c>
      <c r="E8" s="171"/>
    </row>
    <row r="9" spans="1:5" ht="15" customHeight="1">
      <c r="A9" s="72" t="s">
        <v>514</v>
      </c>
      <c r="B9" s="208">
        <f>+'EP&amp;G'!H20</f>
        <v>360442.7173531747</v>
      </c>
      <c r="C9" s="208">
        <f>+B9</f>
        <v>360442.7173531747</v>
      </c>
      <c r="D9" s="248">
        <f>C9/C10</f>
        <v>0.644685777488997</v>
      </c>
      <c r="E9" s="172"/>
    </row>
    <row r="10" spans="1:5" ht="15" customHeight="1">
      <c r="A10" s="75" t="s">
        <v>522</v>
      </c>
      <c r="B10" s="270">
        <f>SUM(B3:B9)</f>
        <v>736819.3523163521</v>
      </c>
      <c r="C10" s="270">
        <f>SUM(C3:C9)</f>
        <v>559098.2924380187</v>
      </c>
      <c r="D10" s="247"/>
      <c r="E10" s="271">
        <f>SUM(E3:E9)</f>
        <v>177721.05987833336</v>
      </c>
    </row>
    <row r="11" spans="1:5" ht="15" customHeight="1">
      <c r="A11" s="72" t="s">
        <v>515</v>
      </c>
      <c r="B11" s="72"/>
      <c r="C11" s="208">
        <f>+C10</f>
        <v>559098.2924380187</v>
      </c>
      <c r="D11" s="248">
        <f>C11/B10</f>
        <v>0.758799684997919</v>
      </c>
      <c r="E11" s="172"/>
    </row>
  </sheetData>
  <sheetProtection/>
  <mergeCells count="3">
    <mergeCell ref="C1:D1"/>
    <mergeCell ref="C2:D2"/>
    <mergeCell ref="A1:A2"/>
  </mergeCells>
  <printOptions/>
  <pageMargins left="0.75" right="0.75" top="1" bottom="1" header="0" footer="0"/>
  <pageSetup horizontalDpi="300" verticalDpi="3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2" width="5.7109375" style="0" customWidth="1"/>
    <col min="3" max="3" width="12.421875" style="0" bestFit="1" customWidth="1"/>
    <col min="4" max="4" width="12.57421875" style="0" bestFit="1" customWidth="1"/>
    <col min="5" max="5" width="22.7109375" style="0" customWidth="1"/>
  </cols>
  <sheetData>
    <row r="1" spans="1:5" ht="13.5" thickBot="1">
      <c r="A1" s="783" t="s">
        <v>191</v>
      </c>
      <c r="B1" s="783" t="s">
        <v>190</v>
      </c>
      <c r="C1" s="784" t="s">
        <v>189</v>
      </c>
      <c r="D1" s="784"/>
      <c r="E1" s="784"/>
    </row>
    <row r="2" spans="1:5" ht="12.75">
      <c r="A2" s="783"/>
      <c r="B2" s="783"/>
      <c r="C2" s="6"/>
      <c r="D2" s="142" t="s">
        <v>177</v>
      </c>
      <c r="E2" s="139"/>
    </row>
    <row r="3" spans="1:5" ht="12.75">
      <c r="A3" s="783"/>
      <c r="B3" s="783"/>
      <c r="C3" s="9"/>
      <c r="D3" s="121" t="s">
        <v>178</v>
      </c>
      <c r="E3" s="140" t="s">
        <v>180</v>
      </c>
    </row>
    <row r="4" spans="1:5" ht="12.75">
      <c r="A4" s="783"/>
      <c r="B4" s="783"/>
      <c r="C4" s="137"/>
      <c r="D4" s="143" t="s">
        <v>179</v>
      </c>
      <c r="E4" s="141"/>
    </row>
    <row r="5" spans="1:5" ht="12.75">
      <c r="A5" s="783"/>
      <c r="B5" s="783"/>
      <c r="C5" s="9"/>
      <c r="D5" s="121"/>
      <c r="E5" s="10"/>
    </row>
    <row r="6" spans="1:5" ht="12.75">
      <c r="A6" s="783"/>
      <c r="B6" s="783"/>
      <c r="C6" s="9" t="s">
        <v>183</v>
      </c>
      <c r="D6" s="121"/>
      <c r="E6" s="10"/>
    </row>
    <row r="7" spans="1:5" ht="12.75">
      <c r="A7" s="783"/>
      <c r="B7" s="783"/>
      <c r="C7" s="9" t="s">
        <v>184</v>
      </c>
      <c r="D7" s="121" t="s">
        <v>181</v>
      </c>
      <c r="E7" s="140" t="s">
        <v>182</v>
      </c>
    </row>
    <row r="8" spans="1:5" ht="12.75">
      <c r="A8" s="783"/>
      <c r="B8" s="783"/>
      <c r="C8" s="137"/>
      <c r="D8" s="143"/>
      <c r="E8" s="141"/>
    </row>
    <row r="9" spans="1:5" ht="12.75">
      <c r="A9" s="783"/>
      <c r="B9" s="783"/>
      <c r="C9" s="9"/>
      <c r="D9" s="11"/>
      <c r="E9" s="135"/>
    </row>
    <row r="10" spans="1:5" ht="12.75">
      <c r="A10" s="783"/>
      <c r="B10" s="783"/>
      <c r="C10" s="9" t="s">
        <v>185</v>
      </c>
      <c r="D10" s="779" t="s">
        <v>187</v>
      </c>
      <c r="E10" s="780"/>
    </row>
    <row r="11" spans="1:5" ht="14.25">
      <c r="A11" s="783"/>
      <c r="B11" s="783"/>
      <c r="C11" s="9" t="s">
        <v>186</v>
      </c>
      <c r="D11" s="781" t="s">
        <v>188</v>
      </c>
      <c r="E11" s="782"/>
    </row>
    <row r="12" spans="1:5" ht="13.5" thickBot="1">
      <c r="A12" s="783"/>
      <c r="B12" s="783"/>
      <c r="C12" s="7"/>
      <c r="D12" s="138"/>
      <c r="E12" s="136"/>
    </row>
  </sheetData>
  <sheetProtection/>
  <mergeCells count="5">
    <mergeCell ref="D10:E10"/>
    <mergeCell ref="D11:E11"/>
    <mergeCell ref="B1:B12"/>
    <mergeCell ref="A1:A12"/>
    <mergeCell ref="C1:E1"/>
  </mergeCells>
  <printOptions/>
  <pageMargins left="0.75" right="0.75" top="1" bottom="1" header="0" footer="0"/>
  <pageSetup horizontalDpi="300" verticalDpi="3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6.140625" style="0" customWidth="1"/>
    <col min="2" max="2" width="8.00390625" style="0" bestFit="1" customWidth="1"/>
    <col min="3" max="5" width="14.7109375" style="0" customWidth="1"/>
  </cols>
  <sheetData>
    <row r="1" spans="1:5" ht="12.75">
      <c r="A1" s="786" t="s">
        <v>176</v>
      </c>
      <c r="C1" s="785" t="s">
        <v>175</v>
      </c>
      <c r="D1" s="785"/>
      <c r="E1" s="785"/>
    </row>
    <row r="2" spans="1:5" ht="13.5" thickBot="1">
      <c r="A2" s="786"/>
      <c r="C2" s="1" t="s">
        <v>170</v>
      </c>
      <c r="D2" s="1" t="s">
        <v>171</v>
      </c>
      <c r="E2" s="1" t="s">
        <v>172</v>
      </c>
    </row>
    <row r="3" spans="1:5" ht="12.75">
      <c r="A3" s="786"/>
      <c r="C3" s="123" t="s">
        <v>152</v>
      </c>
      <c r="D3" s="124" t="s">
        <v>154</v>
      </c>
      <c r="E3" s="125" t="s">
        <v>156</v>
      </c>
    </row>
    <row r="4" spans="1:5" ht="12.75">
      <c r="A4" s="786"/>
      <c r="B4" s="16" t="s">
        <v>170</v>
      </c>
      <c r="C4" s="126" t="s">
        <v>153</v>
      </c>
      <c r="D4" s="122" t="s">
        <v>155</v>
      </c>
      <c r="E4" s="127" t="s">
        <v>157</v>
      </c>
    </row>
    <row r="5" spans="1:5" ht="12.75">
      <c r="A5" s="786"/>
      <c r="B5" s="16"/>
      <c r="C5" s="128"/>
      <c r="D5" s="77"/>
      <c r="E5" s="129"/>
    </row>
    <row r="6" spans="1:5" ht="12.75">
      <c r="A6" s="786"/>
      <c r="B6" s="16"/>
      <c r="C6" s="130" t="s">
        <v>158</v>
      </c>
      <c r="D6" s="120" t="s">
        <v>160</v>
      </c>
      <c r="E6" s="131" t="s">
        <v>162</v>
      </c>
    </row>
    <row r="7" spans="1:5" ht="12.75">
      <c r="A7" s="786"/>
      <c r="B7" s="16" t="s">
        <v>174</v>
      </c>
      <c r="C7" s="126" t="s">
        <v>159</v>
      </c>
      <c r="D7" s="121" t="s">
        <v>161</v>
      </c>
      <c r="E7" s="127" t="s">
        <v>163</v>
      </c>
    </row>
    <row r="8" spans="1:5" ht="12.75">
      <c r="A8" s="786"/>
      <c r="B8" s="16"/>
      <c r="C8" s="128"/>
      <c r="D8" s="77"/>
      <c r="E8" s="129"/>
    </row>
    <row r="9" spans="1:5" ht="12.75">
      <c r="A9" s="786"/>
      <c r="B9" s="16" t="s">
        <v>173</v>
      </c>
      <c r="C9" s="130" t="s">
        <v>165</v>
      </c>
      <c r="D9" s="120" t="s">
        <v>166</v>
      </c>
      <c r="E9" s="131" t="s">
        <v>168</v>
      </c>
    </row>
    <row r="10" spans="1:5" ht="13.5" thickBot="1">
      <c r="A10" s="786"/>
      <c r="B10" s="16"/>
      <c r="C10" s="132" t="s">
        <v>164</v>
      </c>
      <c r="D10" s="133" t="s">
        <v>167</v>
      </c>
      <c r="E10" s="134" t="s">
        <v>169</v>
      </c>
    </row>
  </sheetData>
  <sheetProtection/>
  <mergeCells count="2">
    <mergeCell ref="C1:E1"/>
    <mergeCell ref="A1:A10"/>
  </mergeCells>
  <printOptions/>
  <pageMargins left="0.75" right="0.75" top="1" bottom="1" header="0" footer="0"/>
  <pageSetup horizontalDpi="300" verticalDpi="3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8.421875" style="0" customWidth="1"/>
    <col min="3" max="3" width="2.7109375" style="0" customWidth="1"/>
    <col min="5" max="5" width="2.7109375" style="0" customWidth="1"/>
    <col min="7" max="8" width="9.7109375" style="0" customWidth="1"/>
    <col min="9" max="9" width="15.8515625" style="0" bestFit="1" customWidth="1"/>
    <col min="10" max="10" width="2.7109375" style="0" customWidth="1"/>
  </cols>
  <sheetData>
    <row r="1" spans="7:8" ht="20.25" customHeight="1" thickBot="1">
      <c r="G1" s="787" t="s">
        <v>214</v>
      </c>
      <c r="H1" s="789"/>
    </row>
    <row r="2" ht="20.25" customHeight="1" thickBot="1">
      <c r="H2" s="146"/>
    </row>
    <row r="3" spans="8:9" ht="20.25" customHeight="1" thickBot="1">
      <c r="H3" s="11"/>
      <c r="I3" s="149" t="s">
        <v>215</v>
      </c>
    </row>
    <row r="4" spans="6:8" ht="20.25" customHeight="1" thickBot="1">
      <c r="F4" s="149" t="s">
        <v>216</v>
      </c>
      <c r="H4" s="11"/>
    </row>
    <row r="5" spans="8:9" ht="20.25" customHeight="1" thickBot="1">
      <c r="H5" s="11"/>
      <c r="I5" s="150" t="s">
        <v>217</v>
      </c>
    </row>
    <row r="6" spans="2:8" ht="20.25" customHeight="1">
      <c r="B6" s="147"/>
      <c r="C6" s="147"/>
      <c r="D6" s="147"/>
      <c r="E6" s="147"/>
      <c r="F6" s="147"/>
      <c r="G6" s="148"/>
      <c r="H6" s="11"/>
    </row>
    <row r="7" ht="20.25" customHeight="1" thickBot="1"/>
    <row r="8" spans="3:11" ht="20.25" customHeight="1" thickBot="1">
      <c r="C8" s="787" t="s">
        <v>221</v>
      </c>
      <c r="D8" s="788"/>
      <c r="E8" s="789"/>
      <c r="F8" s="145"/>
      <c r="I8" s="787" t="s">
        <v>218</v>
      </c>
      <c r="J8" s="789"/>
      <c r="K8" s="144"/>
    </row>
    <row r="9" ht="20.25" customHeight="1" thickBot="1"/>
    <row r="10" spans="2:11" ht="20.25" customHeight="1" thickBot="1">
      <c r="B10" s="149" t="s">
        <v>222</v>
      </c>
      <c r="C10" s="5"/>
      <c r="D10" s="149" t="s">
        <v>223</v>
      </c>
      <c r="E10" s="5"/>
      <c r="F10" s="149" t="s">
        <v>224</v>
      </c>
      <c r="I10" s="149" t="s">
        <v>219</v>
      </c>
      <c r="J10" s="1"/>
      <c r="K10" s="149" t="s">
        <v>220</v>
      </c>
    </row>
    <row r="12" ht="13.5" thickBot="1">
      <c r="B12" s="138"/>
    </row>
    <row r="13" spans="1:3" ht="20.25" customHeight="1" thickBot="1">
      <c r="A13" s="787" t="s">
        <v>225</v>
      </c>
      <c r="B13" s="788"/>
      <c r="C13" s="789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4">
    <mergeCell ref="A13:C13"/>
    <mergeCell ref="C8:E8"/>
    <mergeCell ref="G1:H1"/>
    <mergeCell ref="I8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27" sqref="F27"/>
    </sheetView>
  </sheetViews>
  <sheetFormatPr defaultColWidth="11.421875" defaultRowHeight="12.75"/>
  <sheetData>
    <row r="1" spans="1:2" ht="12.75">
      <c r="A1" t="s">
        <v>199</v>
      </c>
      <c r="B1" s="4">
        <v>0.3939</v>
      </c>
    </row>
    <row r="2" spans="1:2" ht="12.75">
      <c r="A2" t="s">
        <v>200</v>
      </c>
      <c r="B2" s="4">
        <v>0.3118</v>
      </c>
    </row>
    <row r="3" spans="1:2" ht="12.75">
      <c r="A3" t="s">
        <v>201</v>
      </c>
      <c r="B3" s="4">
        <v>0.1103</v>
      </c>
    </row>
    <row r="4" spans="1:2" ht="12.75">
      <c r="A4" t="s">
        <v>202</v>
      </c>
      <c r="B4" s="4">
        <v>0.0667</v>
      </c>
    </row>
    <row r="5" spans="1:2" ht="12.75">
      <c r="A5" t="s">
        <v>203</v>
      </c>
      <c r="B5" s="4">
        <v>0.0649</v>
      </c>
    </row>
    <row r="6" spans="1:2" ht="12.75">
      <c r="A6" t="s">
        <v>204</v>
      </c>
      <c r="B6" s="4">
        <v>0.0273</v>
      </c>
    </row>
    <row r="7" spans="1:2" ht="12.75">
      <c r="A7" t="s">
        <v>205</v>
      </c>
      <c r="B7" s="4">
        <v>0.0251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L23" sqref="L23"/>
    </sheetView>
  </sheetViews>
  <sheetFormatPr defaultColWidth="11.421875" defaultRowHeight="12.75"/>
  <sheetData>
    <row r="1" spans="1:2" ht="12.75">
      <c r="A1" t="s">
        <v>200</v>
      </c>
      <c r="B1" s="4">
        <v>0.5282</v>
      </c>
    </row>
    <row r="2" spans="1:2" ht="12.75">
      <c r="A2" t="s">
        <v>199</v>
      </c>
      <c r="B2" s="4">
        <v>0.1752</v>
      </c>
    </row>
    <row r="3" spans="1:2" ht="12.75">
      <c r="A3" t="s">
        <v>206</v>
      </c>
      <c r="B3" s="4">
        <v>0.1534</v>
      </c>
    </row>
    <row r="4" spans="1:2" ht="12.75">
      <c r="A4" t="s">
        <v>207</v>
      </c>
      <c r="B4" s="4">
        <v>0.08</v>
      </c>
    </row>
    <row r="5" spans="1:2" ht="12.75">
      <c r="A5" t="s">
        <v>208</v>
      </c>
      <c r="B5" s="4">
        <v>0.0631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4" sqref="I4"/>
    </sheetView>
  </sheetViews>
  <sheetFormatPr defaultColWidth="11.421875" defaultRowHeight="12.75"/>
  <cols>
    <col min="2" max="11" width="8.28125" style="0" customWidth="1"/>
  </cols>
  <sheetData>
    <row r="1" spans="1:11" ht="21.75" customHeight="1">
      <c r="A1" s="679" t="s">
        <v>585</v>
      </c>
      <c r="B1" s="680"/>
      <c r="C1" s="680"/>
      <c r="D1" s="680"/>
      <c r="E1" s="680"/>
      <c r="F1" s="680"/>
      <c r="G1" s="680"/>
      <c r="H1" s="680"/>
      <c r="I1" s="680"/>
      <c r="J1" s="680"/>
      <c r="K1" s="660"/>
    </row>
    <row r="2" spans="1:11" ht="21" customHeight="1">
      <c r="A2" s="204" t="s">
        <v>366</v>
      </c>
      <c r="B2" s="204">
        <v>4</v>
      </c>
      <c r="C2" s="204">
        <v>5</v>
      </c>
      <c r="D2" s="204">
        <v>6</v>
      </c>
      <c r="E2" s="204">
        <v>7</v>
      </c>
      <c r="F2" s="204">
        <v>8</v>
      </c>
      <c r="G2" s="204">
        <v>9</v>
      </c>
      <c r="H2" s="204">
        <v>10</v>
      </c>
      <c r="I2" s="204">
        <v>11</v>
      </c>
      <c r="J2" s="204">
        <v>12</v>
      </c>
      <c r="K2" s="204">
        <v>13</v>
      </c>
    </row>
    <row r="3" spans="1:13" ht="21" customHeight="1">
      <c r="A3" s="405" t="s">
        <v>368</v>
      </c>
      <c r="B3" s="406">
        <f>0.5</f>
        <v>0.5</v>
      </c>
      <c r="C3" s="406">
        <f>3</f>
        <v>3</v>
      </c>
      <c r="D3" s="406">
        <f>5</f>
        <v>5</v>
      </c>
      <c r="E3" s="406">
        <f>8</f>
        <v>8</v>
      </c>
      <c r="F3" s="406">
        <f>14</f>
        <v>14</v>
      </c>
      <c r="G3" s="406">
        <f>18</f>
        <v>18</v>
      </c>
      <c r="H3" s="406">
        <f>21</f>
        <v>21</v>
      </c>
      <c r="I3" s="406">
        <f>25</f>
        <v>25</v>
      </c>
      <c r="J3" s="406">
        <f>27</f>
        <v>27</v>
      </c>
      <c r="K3" s="406">
        <f>28</f>
        <v>28</v>
      </c>
      <c r="M3" s="632" t="s">
        <v>621</v>
      </c>
    </row>
    <row r="4" spans="1:13" ht="21" customHeight="1">
      <c r="A4" s="405" t="s">
        <v>367</v>
      </c>
      <c r="B4" s="407">
        <f>B3*156</f>
        <v>78</v>
      </c>
      <c r="C4" s="407">
        <f aca="true" t="shared" si="0" ref="C4:K4">C3*156</f>
        <v>468</v>
      </c>
      <c r="D4" s="407">
        <f t="shared" si="0"/>
        <v>780</v>
      </c>
      <c r="E4" s="407">
        <f t="shared" si="0"/>
        <v>1248</v>
      </c>
      <c r="F4" s="407">
        <f t="shared" si="0"/>
        <v>2184</v>
      </c>
      <c r="G4" s="407">
        <f t="shared" si="0"/>
        <v>2808</v>
      </c>
      <c r="H4" s="407">
        <f t="shared" si="0"/>
        <v>3276</v>
      </c>
      <c r="I4" s="407">
        <f t="shared" si="0"/>
        <v>3900</v>
      </c>
      <c r="J4" s="407">
        <f t="shared" si="0"/>
        <v>4212</v>
      </c>
      <c r="K4" s="407">
        <f t="shared" si="0"/>
        <v>4368</v>
      </c>
      <c r="M4" s="632" t="s">
        <v>620</v>
      </c>
    </row>
    <row r="7" ht="12.75">
      <c r="B7" t="s">
        <v>584</v>
      </c>
    </row>
  </sheetData>
  <sheetProtection/>
  <mergeCells count="1">
    <mergeCell ref="A1:K1"/>
  </mergeCell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1">
      <selection activeCell="L20" sqref="L20"/>
    </sheetView>
  </sheetViews>
  <sheetFormatPr defaultColWidth="11.421875" defaultRowHeight="12.75"/>
  <cols>
    <col min="1" max="1" width="21.421875" style="0" customWidth="1"/>
    <col min="2" max="11" width="10.00390625" style="0" customWidth="1"/>
    <col min="13" max="13" width="16.57421875" style="0" customWidth="1"/>
  </cols>
  <sheetData>
    <row r="1" spans="1:11" ht="29.25" customHeight="1">
      <c r="A1" s="477" t="s">
        <v>366</v>
      </c>
      <c r="B1" s="477">
        <v>2010</v>
      </c>
      <c r="C1" s="477">
        <v>2011</v>
      </c>
      <c r="D1" s="477">
        <v>2012</v>
      </c>
      <c r="E1" s="477">
        <v>2013</v>
      </c>
      <c r="F1" s="477">
        <v>2014</v>
      </c>
      <c r="G1" s="477">
        <v>2015</v>
      </c>
      <c r="H1" s="477">
        <v>2016</v>
      </c>
      <c r="I1" s="477">
        <v>2017</v>
      </c>
      <c r="J1" s="477">
        <v>2018</v>
      </c>
      <c r="K1" s="477">
        <v>2019</v>
      </c>
    </row>
    <row r="2" spans="1:11" ht="15" customHeight="1">
      <c r="A2" s="478" t="s">
        <v>368</v>
      </c>
      <c r="B2" s="480">
        <f>+Rendimiento!B3</f>
        <v>0.5</v>
      </c>
      <c r="C2" s="480">
        <f>+Rendimiento!C3</f>
        <v>3</v>
      </c>
      <c r="D2" s="480">
        <f>+Rendimiento!D3</f>
        <v>5</v>
      </c>
      <c r="E2" s="480">
        <f>+Rendimiento!E3</f>
        <v>8</v>
      </c>
      <c r="F2" s="480">
        <f>+Rendimiento!F3</f>
        <v>14</v>
      </c>
      <c r="G2" s="480">
        <f>+Rendimiento!G3</f>
        <v>18</v>
      </c>
      <c r="H2" s="480">
        <f>+Rendimiento!H3</f>
        <v>21</v>
      </c>
      <c r="I2" s="480">
        <f>+Rendimiento!I3</f>
        <v>25</v>
      </c>
      <c r="J2" s="480">
        <f>+Rendimiento!J3</f>
        <v>27</v>
      </c>
      <c r="K2" s="480">
        <f>+Rendimiento!K3</f>
        <v>28</v>
      </c>
    </row>
    <row r="3" spans="1:11" ht="15" customHeight="1">
      <c r="A3" s="478" t="s">
        <v>367</v>
      </c>
      <c r="B3" s="481">
        <f>+Rendimiento!B4</f>
        <v>78</v>
      </c>
      <c r="C3" s="481">
        <f>+Rendimiento!C4</f>
        <v>468</v>
      </c>
      <c r="D3" s="481">
        <f>+Rendimiento!D4</f>
        <v>780</v>
      </c>
      <c r="E3" s="481">
        <f>+Rendimiento!E4</f>
        <v>1248</v>
      </c>
      <c r="F3" s="481">
        <f>+Rendimiento!F4</f>
        <v>2184</v>
      </c>
      <c r="G3" s="481">
        <f>+Rendimiento!G4</f>
        <v>2808</v>
      </c>
      <c r="H3" s="481">
        <f>+Rendimiento!H4</f>
        <v>3276</v>
      </c>
      <c r="I3" s="481">
        <f>+Rendimiento!I4</f>
        <v>3900</v>
      </c>
      <c r="J3" s="481">
        <f>+Rendimiento!J4</f>
        <v>4212</v>
      </c>
      <c r="K3" s="481">
        <f>+Rendimiento!K4</f>
        <v>4368</v>
      </c>
    </row>
    <row r="4" spans="1:11" ht="15" customHeight="1">
      <c r="A4" s="478" t="s">
        <v>401</v>
      </c>
      <c r="B4" s="480">
        <v>49</v>
      </c>
      <c r="C4" s="480">
        <f>+B4</f>
        <v>49</v>
      </c>
      <c r="D4" s="480">
        <f aca="true" t="shared" si="0" ref="D4:K4">+C4</f>
        <v>49</v>
      </c>
      <c r="E4" s="480">
        <f t="shared" si="0"/>
        <v>49</v>
      </c>
      <c r="F4" s="480">
        <f t="shared" si="0"/>
        <v>49</v>
      </c>
      <c r="G4" s="480">
        <f t="shared" si="0"/>
        <v>49</v>
      </c>
      <c r="H4" s="480">
        <f t="shared" si="0"/>
        <v>49</v>
      </c>
      <c r="I4" s="480">
        <f t="shared" si="0"/>
        <v>49</v>
      </c>
      <c r="J4" s="480">
        <f t="shared" si="0"/>
        <v>49</v>
      </c>
      <c r="K4" s="480">
        <f t="shared" si="0"/>
        <v>49</v>
      </c>
    </row>
    <row r="5" spans="1:11" ht="15" customHeight="1">
      <c r="A5" s="478" t="s">
        <v>403</v>
      </c>
      <c r="B5" s="481">
        <f>(B3*B4)</f>
        <v>3822</v>
      </c>
      <c r="C5" s="481">
        <f aca="true" t="shared" si="1" ref="C5:K5">(C3*C4)</f>
        <v>22932</v>
      </c>
      <c r="D5" s="481">
        <f t="shared" si="1"/>
        <v>38220</v>
      </c>
      <c r="E5" s="481">
        <f t="shared" si="1"/>
        <v>61152</v>
      </c>
      <c r="F5" s="481">
        <f t="shared" si="1"/>
        <v>107016</v>
      </c>
      <c r="G5" s="481">
        <f t="shared" si="1"/>
        <v>137592</v>
      </c>
      <c r="H5" s="481">
        <f t="shared" si="1"/>
        <v>160524</v>
      </c>
      <c r="I5" s="481">
        <f t="shared" si="1"/>
        <v>191100</v>
      </c>
      <c r="J5" s="481">
        <f t="shared" si="1"/>
        <v>206388</v>
      </c>
      <c r="K5" s="481">
        <f t="shared" si="1"/>
        <v>214032</v>
      </c>
    </row>
    <row r="6" spans="1:11" ht="15" customHeight="1">
      <c r="A6" s="478" t="s">
        <v>407</v>
      </c>
      <c r="B6" s="481">
        <f>50%*B5</f>
        <v>1911</v>
      </c>
      <c r="C6" s="481">
        <f aca="true" t="shared" si="2" ref="C6:K6">50%*C5</f>
        <v>11466</v>
      </c>
      <c r="D6" s="481">
        <f t="shared" si="2"/>
        <v>19110</v>
      </c>
      <c r="E6" s="481">
        <f t="shared" si="2"/>
        <v>30576</v>
      </c>
      <c r="F6" s="481">
        <f t="shared" si="2"/>
        <v>53508</v>
      </c>
      <c r="G6" s="481">
        <f t="shared" si="2"/>
        <v>68796</v>
      </c>
      <c r="H6" s="481">
        <f t="shared" si="2"/>
        <v>80262</v>
      </c>
      <c r="I6" s="481">
        <f t="shared" si="2"/>
        <v>95550</v>
      </c>
      <c r="J6" s="481">
        <f t="shared" si="2"/>
        <v>103194</v>
      </c>
      <c r="K6" s="481">
        <f t="shared" si="2"/>
        <v>107016</v>
      </c>
    </row>
    <row r="7" spans="1:11" ht="15" customHeight="1">
      <c r="A7" s="478" t="s">
        <v>404</v>
      </c>
      <c r="B7" s="481">
        <f>B5-B6</f>
        <v>1911</v>
      </c>
      <c r="C7" s="481">
        <f aca="true" t="shared" si="3" ref="C7:K7">C5-C6</f>
        <v>11466</v>
      </c>
      <c r="D7" s="481">
        <f t="shared" si="3"/>
        <v>19110</v>
      </c>
      <c r="E7" s="481">
        <f t="shared" si="3"/>
        <v>30576</v>
      </c>
      <c r="F7" s="481">
        <f t="shared" si="3"/>
        <v>53508</v>
      </c>
      <c r="G7" s="481">
        <f t="shared" si="3"/>
        <v>68796</v>
      </c>
      <c r="H7" s="481">
        <f t="shared" si="3"/>
        <v>80262</v>
      </c>
      <c r="I7" s="481">
        <f t="shared" si="3"/>
        <v>95550</v>
      </c>
      <c r="J7" s="481">
        <f t="shared" si="3"/>
        <v>103194</v>
      </c>
      <c r="K7" s="481">
        <f t="shared" si="3"/>
        <v>107016</v>
      </c>
    </row>
    <row r="8" spans="1:11" ht="15" customHeight="1">
      <c r="A8" s="478" t="s">
        <v>408</v>
      </c>
      <c r="B8" s="482">
        <f>B7/1000</f>
        <v>1.911</v>
      </c>
      <c r="C8" s="482">
        <f aca="true" t="shared" si="4" ref="C8:K8">C7/1000</f>
        <v>11.466</v>
      </c>
      <c r="D8" s="482">
        <f t="shared" si="4"/>
        <v>19.11</v>
      </c>
      <c r="E8" s="482">
        <f t="shared" si="4"/>
        <v>30.576</v>
      </c>
      <c r="F8" s="482">
        <f t="shared" si="4"/>
        <v>53.508</v>
      </c>
      <c r="G8" s="482">
        <f t="shared" si="4"/>
        <v>68.796</v>
      </c>
      <c r="H8" s="482">
        <f t="shared" si="4"/>
        <v>80.262</v>
      </c>
      <c r="I8" s="482">
        <f t="shared" si="4"/>
        <v>95.55</v>
      </c>
      <c r="J8" s="482">
        <f t="shared" si="4"/>
        <v>103.194</v>
      </c>
      <c r="K8" s="482">
        <f t="shared" si="4"/>
        <v>107.016</v>
      </c>
    </row>
    <row r="9" spans="1:11" ht="15" customHeight="1">
      <c r="A9" s="478" t="s">
        <v>409</v>
      </c>
      <c r="B9" s="481">
        <f>B7*2.2</f>
        <v>4204.200000000001</v>
      </c>
      <c r="C9" s="481">
        <f aca="true" t="shared" si="5" ref="C9:K9">C7*2.2</f>
        <v>25225.2</v>
      </c>
      <c r="D9" s="481">
        <f t="shared" si="5"/>
        <v>42042</v>
      </c>
      <c r="E9" s="481">
        <f t="shared" si="5"/>
        <v>67267.20000000001</v>
      </c>
      <c r="F9" s="481">
        <f t="shared" si="5"/>
        <v>117717.6</v>
      </c>
      <c r="G9" s="481">
        <f t="shared" si="5"/>
        <v>151351.2</v>
      </c>
      <c r="H9" s="481">
        <f t="shared" si="5"/>
        <v>176576.40000000002</v>
      </c>
      <c r="I9" s="481">
        <f t="shared" si="5"/>
        <v>210210.00000000003</v>
      </c>
      <c r="J9" s="481">
        <f t="shared" si="5"/>
        <v>227026.80000000002</v>
      </c>
      <c r="K9" s="481">
        <f t="shared" si="5"/>
        <v>235435.2</v>
      </c>
    </row>
    <row r="10" spans="1:11" ht="15" customHeight="1">
      <c r="A10" s="479" t="s">
        <v>410</v>
      </c>
      <c r="B10" s="481">
        <f>B9*16</f>
        <v>67267.20000000001</v>
      </c>
      <c r="C10" s="481">
        <f aca="true" t="shared" si="6" ref="C10:K10">C9*16</f>
        <v>403603.2</v>
      </c>
      <c r="D10" s="481">
        <f t="shared" si="6"/>
        <v>672672</v>
      </c>
      <c r="E10" s="481">
        <f t="shared" si="6"/>
        <v>1076275.2000000002</v>
      </c>
      <c r="F10" s="481">
        <f t="shared" si="6"/>
        <v>1883481.6</v>
      </c>
      <c r="G10" s="481">
        <f t="shared" si="6"/>
        <v>2421619.2</v>
      </c>
      <c r="H10" s="481">
        <f t="shared" si="6"/>
        <v>2825222.4000000004</v>
      </c>
      <c r="I10" s="481">
        <f t="shared" si="6"/>
        <v>3363360.0000000005</v>
      </c>
      <c r="J10" s="481">
        <f t="shared" si="6"/>
        <v>3632428.8000000003</v>
      </c>
      <c r="K10" s="481">
        <f t="shared" si="6"/>
        <v>3766963.2</v>
      </c>
    </row>
    <row r="11" spans="1:11" ht="15" customHeight="1">
      <c r="A11" s="479" t="s">
        <v>402</v>
      </c>
      <c r="B11" s="481">
        <f>(B10/8)</f>
        <v>8408.400000000001</v>
      </c>
      <c r="C11" s="481">
        <f aca="true" t="shared" si="7" ref="C11:K11">(C10/8)</f>
        <v>50450.4</v>
      </c>
      <c r="D11" s="481">
        <f t="shared" si="7"/>
        <v>84084</v>
      </c>
      <c r="E11" s="481">
        <f t="shared" si="7"/>
        <v>134534.40000000002</v>
      </c>
      <c r="F11" s="481">
        <f t="shared" si="7"/>
        <v>235435.2</v>
      </c>
      <c r="G11" s="481">
        <f t="shared" si="7"/>
        <v>302702.4</v>
      </c>
      <c r="H11" s="481">
        <f t="shared" si="7"/>
        <v>353152.80000000005</v>
      </c>
      <c r="I11" s="481">
        <f t="shared" si="7"/>
        <v>420420.00000000006</v>
      </c>
      <c r="J11" s="481">
        <f t="shared" si="7"/>
        <v>454053.60000000003</v>
      </c>
      <c r="K11" s="481">
        <f t="shared" si="7"/>
        <v>470870.4</v>
      </c>
    </row>
    <row r="12" spans="1:11" ht="15" customHeight="1">
      <c r="A12" s="478" t="s">
        <v>405</v>
      </c>
      <c r="B12" s="481">
        <f>(B11*75%)</f>
        <v>6306.300000000001</v>
      </c>
      <c r="C12" s="481">
        <f aca="true" t="shared" si="8" ref="C12:K12">(C11*75%)</f>
        <v>37837.8</v>
      </c>
      <c r="D12" s="481">
        <f t="shared" si="8"/>
        <v>63063</v>
      </c>
      <c r="E12" s="481">
        <f t="shared" si="8"/>
        <v>100900.80000000002</v>
      </c>
      <c r="F12" s="481">
        <f t="shared" si="8"/>
        <v>176576.40000000002</v>
      </c>
      <c r="G12" s="481">
        <f t="shared" si="8"/>
        <v>227026.80000000002</v>
      </c>
      <c r="H12" s="481">
        <f t="shared" si="8"/>
        <v>264864.60000000003</v>
      </c>
      <c r="I12" s="481">
        <f t="shared" si="8"/>
        <v>315315.00000000006</v>
      </c>
      <c r="J12" s="481">
        <f t="shared" si="8"/>
        <v>340540.2</v>
      </c>
      <c r="K12" s="481">
        <f t="shared" si="8"/>
        <v>353152.80000000005</v>
      </c>
    </row>
    <row r="13" spans="1:11" ht="15" customHeight="1">
      <c r="A13" s="478" t="s">
        <v>406</v>
      </c>
      <c r="B13" s="481">
        <f>(B11*25%)</f>
        <v>2102.1000000000004</v>
      </c>
      <c r="C13" s="481">
        <f aca="true" t="shared" si="9" ref="C13:K13">(C11*25%)</f>
        <v>12612.6</v>
      </c>
      <c r="D13" s="481">
        <f t="shared" si="9"/>
        <v>21021</v>
      </c>
      <c r="E13" s="481">
        <f t="shared" si="9"/>
        <v>33633.600000000006</v>
      </c>
      <c r="F13" s="481">
        <f t="shared" si="9"/>
        <v>58858.8</v>
      </c>
      <c r="G13" s="481">
        <f t="shared" si="9"/>
        <v>75675.6</v>
      </c>
      <c r="H13" s="481">
        <f t="shared" si="9"/>
        <v>88288.20000000001</v>
      </c>
      <c r="I13" s="481">
        <f t="shared" si="9"/>
        <v>105105.00000000001</v>
      </c>
      <c r="J13" s="481">
        <f t="shared" si="9"/>
        <v>113513.40000000001</v>
      </c>
      <c r="K13" s="481">
        <f t="shared" si="9"/>
        <v>117717.6</v>
      </c>
    </row>
    <row r="15" spans="2:11" ht="12.75">
      <c r="B15" s="48" t="s">
        <v>457</v>
      </c>
      <c r="C15" s="48" t="s">
        <v>458</v>
      </c>
      <c r="D15" s="48" t="s">
        <v>459</v>
      </c>
      <c r="E15" s="48"/>
      <c r="F15" s="48"/>
      <c r="G15" s="48"/>
      <c r="H15" s="48"/>
      <c r="I15" s="48"/>
      <c r="J15" s="48"/>
      <c r="K15" s="48"/>
    </row>
    <row r="16" spans="2:11" ht="12.75">
      <c r="B16" s="48">
        <f>B11/360</f>
        <v>23.35666666666667</v>
      </c>
      <c r="C16" s="48">
        <f aca="true" t="shared" si="10" ref="C16:K16">C11/360</f>
        <v>140.14000000000001</v>
      </c>
      <c r="D16" s="48">
        <f t="shared" si="10"/>
        <v>233.56666666666666</v>
      </c>
      <c r="E16" s="48">
        <f t="shared" si="10"/>
        <v>373.7066666666667</v>
      </c>
      <c r="F16" s="48">
        <f t="shared" si="10"/>
        <v>653.9866666666667</v>
      </c>
      <c r="G16" s="48">
        <f t="shared" si="10"/>
        <v>840.84</v>
      </c>
      <c r="H16" s="48">
        <f t="shared" si="10"/>
        <v>980.9800000000001</v>
      </c>
      <c r="I16" s="48">
        <f t="shared" si="10"/>
        <v>1167.8333333333335</v>
      </c>
      <c r="J16" s="48">
        <f t="shared" si="10"/>
        <v>1261.26</v>
      </c>
      <c r="K16" s="48">
        <f t="shared" si="10"/>
        <v>1307.9733333333334</v>
      </c>
    </row>
    <row r="17" spans="2:11" ht="12.75">
      <c r="B17" s="2">
        <f>B16/8</f>
        <v>2.9195833333333336</v>
      </c>
      <c r="C17" s="2">
        <f aca="true" t="shared" si="11" ref="C17:K18">C16/8</f>
        <v>17.517500000000002</v>
      </c>
      <c r="D17" s="2">
        <f t="shared" si="11"/>
        <v>29.195833333333333</v>
      </c>
      <c r="E17" s="2">
        <f t="shared" si="11"/>
        <v>46.71333333333334</v>
      </c>
      <c r="F17" s="2">
        <f t="shared" si="11"/>
        <v>81.74833333333333</v>
      </c>
      <c r="G17" s="2">
        <f t="shared" si="11"/>
        <v>105.105</v>
      </c>
      <c r="H17" s="2">
        <f t="shared" si="11"/>
        <v>122.62250000000002</v>
      </c>
      <c r="I17" s="2">
        <f t="shared" si="11"/>
        <v>145.97916666666669</v>
      </c>
      <c r="J17" s="2">
        <f t="shared" si="11"/>
        <v>157.6575</v>
      </c>
      <c r="K17" s="2">
        <f t="shared" si="11"/>
        <v>163.49666666666667</v>
      </c>
    </row>
    <row r="18" spans="2:11" ht="12.75">
      <c r="B18" s="2">
        <f>B17/8</f>
        <v>0.3649479166666667</v>
      </c>
      <c r="C18" s="2">
        <f t="shared" si="11"/>
        <v>2.1896875000000002</v>
      </c>
      <c r="D18" s="2">
        <f t="shared" si="11"/>
        <v>3.6494791666666666</v>
      </c>
      <c r="E18" s="2">
        <f t="shared" si="11"/>
        <v>5.839166666666667</v>
      </c>
      <c r="F18" s="2">
        <f t="shared" si="11"/>
        <v>10.218541666666667</v>
      </c>
      <c r="G18" s="2">
        <f t="shared" si="11"/>
        <v>13.138125</v>
      </c>
      <c r="H18" s="2">
        <f t="shared" si="11"/>
        <v>15.327812500000002</v>
      </c>
      <c r="I18" s="2">
        <f t="shared" si="11"/>
        <v>18.247395833333336</v>
      </c>
      <c r="J18" s="2">
        <f t="shared" si="11"/>
        <v>19.7071875</v>
      </c>
      <c r="K18" s="2">
        <f t="shared" si="11"/>
        <v>20.437083333333334</v>
      </c>
    </row>
    <row r="19" ht="12.75">
      <c r="K19" s="229"/>
    </row>
    <row r="20" spans="1:13" ht="12.75">
      <c r="A20" t="s">
        <v>566</v>
      </c>
      <c r="C20" s="4">
        <f aca="true" t="shared" si="12" ref="C20:K20">C11/B11-1</f>
        <v>4.999999999999999</v>
      </c>
      <c r="D20" s="4">
        <f t="shared" si="12"/>
        <v>0.6666666666666665</v>
      </c>
      <c r="E20" s="4">
        <f t="shared" si="12"/>
        <v>0.6000000000000003</v>
      </c>
      <c r="F20" s="4">
        <f t="shared" si="12"/>
        <v>0.7499999999999998</v>
      </c>
      <c r="G20" s="4">
        <f t="shared" si="12"/>
        <v>0.2857142857142858</v>
      </c>
      <c r="H20" s="4">
        <f t="shared" si="12"/>
        <v>0.16666666666666674</v>
      </c>
      <c r="I20" s="4">
        <f t="shared" si="12"/>
        <v>0.19047619047619047</v>
      </c>
      <c r="J20" s="4">
        <f t="shared" si="12"/>
        <v>0.07999999999999985</v>
      </c>
      <c r="K20" s="4">
        <f t="shared" si="12"/>
        <v>0.03703703703703698</v>
      </c>
      <c r="L20" s="636">
        <f>GEOMEAN(C20:K20)</f>
        <v>0.32487435594147257</v>
      </c>
      <c r="M20" s="635" t="s">
        <v>625</v>
      </c>
    </row>
    <row r="21" spans="3:11" ht="12.75">
      <c r="C21" s="4">
        <f aca="true" t="shared" si="13" ref="C21:K21">C12/B12-1</f>
        <v>4.999999999999999</v>
      </c>
      <c r="D21" s="4">
        <f t="shared" si="13"/>
        <v>0.6666666666666665</v>
      </c>
      <c r="E21" s="4">
        <f t="shared" si="13"/>
        <v>0.6000000000000003</v>
      </c>
      <c r="F21" s="4">
        <f t="shared" si="13"/>
        <v>0.75</v>
      </c>
      <c r="G21" s="4">
        <f t="shared" si="13"/>
        <v>0.2857142857142856</v>
      </c>
      <c r="H21" s="4">
        <f t="shared" si="13"/>
        <v>0.16666666666666674</v>
      </c>
      <c r="I21" s="4">
        <f t="shared" si="13"/>
        <v>0.19047619047619047</v>
      </c>
      <c r="J21" s="4">
        <f t="shared" si="13"/>
        <v>0.07999999999999985</v>
      </c>
      <c r="K21" s="4">
        <f t="shared" si="13"/>
        <v>0.0370370370370372</v>
      </c>
    </row>
    <row r="22" spans="3:11" ht="12.75">
      <c r="C22" s="4">
        <f aca="true" t="shared" si="14" ref="C22:K22">C13/B13-1</f>
        <v>4.999999999999999</v>
      </c>
      <c r="D22" s="4">
        <f t="shared" si="14"/>
        <v>0.6666666666666665</v>
      </c>
      <c r="E22" s="4">
        <f t="shared" si="14"/>
        <v>0.6000000000000003</v>
      </c>
      <c r="F22" s="4">
        <f t="shared" si="14"/>
        <v>0.7499999999999998</v>
      </c>
      <c r="G22" s="4">
        <f t="shared" si="14"/>
        <v>0.2857142857142858</v>
      </c>
      <c r="H22" s="4">
        <f t="shared" si="14"/>
        <v>0.16666666666666674</v>
      </c>
      <c r="I22" s="4">
        <f t="shared" si="14"/>
        <v>0.19047619047619047</v>
      </c>
      <c r="J22" s="4">
        <f t="shared" si="14"/>
        <v>0.07999999999999985</v>
      </c>
      <c r="K22" s="4">
        <f t="shared" si="14"/>
        <v>0.03703703703703698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2" sqref="E12"/>
    </sheetView>
  </sheetViews>
  <sheetFormatPr defaultColWidth="11.421875" defaultRowHeight="12.75"/>
  <cols>
    <col min="2" max="2" width="7.421875" style="0" customWidth="1"/>
    <col min="3" max="3" width="32.7109375" style="0" bestFit="1" customWidth="1"/>
    <col min="4" max="4" width="13.7109375" style="0" bestFit="1" customWidth="1"/>
    <col min="5" max="5" width="12.7109375" style="0" bestFit="1" customWidth="1"/>
  </cols>
  <sheetData>
    <row r="1" spans="3:6" ht="26.25" customHeight="1">
      <c r="C1" s="504" t="s">
        <v>57</v>
      </c>
      <c r="D1" s="504" t="s">
        <v>64</v>
      </c>
      <c r="E1" s="504" t="s">
        <v>58</v>
      </c>
      <c r="F1" s="534" t="s">
        <v>59</v>
      </c>
    </row>
    <row r="2" spans="3:6" ht="16.5" customHeight="1">
      <c r="C2" s="444" t="s">
        <v>570</v>
      </c>
      <c r="D2" s="535">
        <v>2000</v>
      </c>
      <c r="E2" s="535">
        <f>50*D2</f>
        <v>100000</v>
      </c>
      <c r="F2" s="536"/>
    </row>
    <row r="3" spans="1:9" ht="16.5" customHeight="1">
      <c r="A3">
        <v>3000</v>
      </c>
      <c r="B3">
        <v>50</v>
      </c>
      <c r="C3" s="444" t="s">
        <v>209</v>
      </c>
      <c r="D3" s="535">
        <v>75</v>
      </c>
      <c r="E3" s="535">
        <f>80*D3</f>
        <v>6000</v>
      </c>
      <c r="F3" s="537">
        <v>20</v>
      </c>
      <c r="I3">
        <f>6000/80</f>
        <v>75</v>
      </c>
    </row>
    <row r="4" spans="1:6" ht="16.5" customHeight="1">
      <c r="A4" t="s">
        <v>20</v>
      </c>
      <c r="B4">
        <v>190</v>
      </c>
      <c r="C4" s="444" t="s">
        <v>210</v>
      </c>
      <c r="D4" s="535">
        <v>50</v>
      </c>
      <c r="E4" s="535">
        <f>D4*40</f>
        <v>2000</v>
      </c>
      <c r="F4" s="537">
        <v>15</v>
      </c>
    </row>
    <row r="5" spans="1:6" ht="16.5" customHeight="1">
      <c r="A5" t="s">
        <v>56</v>
      </c>
      <c r="B5">
        <f>(A3*B4)/B3</f>
        <v>11400</v>
      </c>
      <c r="C5" s="444" t="s">
        <v>286</v>
      </c>
      <c r="D5" s="535">
        <v>52</v>
      </c>
      <c r="E5" s="535">
        <f>D5*76</f>
        <v>3952</v>
      </c>
      <c r="F5" s="537">
        <v>15</v>
      </c>
    </row>
    <row r="6" spans="3:6" ht="16.5" customHeight="1">
      <c r="C6" s="444" t="s">
        <v>252</v>
      </c>
      <c r="D6" s="535">
        <v>18</v>
      </c>
      <c r="E6" s="535">
        <f>D6*50</f>
        <v>900</v>
      </c>
      <c r="F6" s="537">
        <v>5</v>
      </c>
    </row>
    <row r="7" spans="3:6" ht="16.5" customHeight="1">
      <c r="C7" s="444" t="s">
        <v>287</v>
      </c>
      <c r="D7" s="535">
        <v>20</v>
      </c>
      <c r="E7" s="535">
        <f>D7*76</f>
        <v>1520</v>
      </c>
      <c r="F7" s="537">
        <v>5</v>
      </c>
    </row>
    <row r="8" spans="3:6" ht="16.5" customHeight="1">
      <c r="C8" s="444" t="s">
        <v>213</v>
      </c>
      <c r="D8" s="538"/>
      <c r="E8" s="535">
        <v>9000</v>
      </c>
      <c r="F8" s="537">
        <v>10</v>
      </c>
    </row>
    <row r="9" spans="1:6" ht="16.5" customHeight="1">
      <c r="A9">
        <f>400/20</f>
        <v>20</v>
      </c>
      <c r="C9" s="444" t="s">
        <v>60</v>
      </c>
      <c r="D9" s="538"/>
      <c r="E9" s="535">
        <v>11400</v>
      </c>
      <c r="F9" s="537">
        <v>10</v>
      </c>
    </row>
    <row r="10" spans="3:6" ht="16.5" customHeight="1">
      <c r="C10" s="444" t="s">
        <v>61</v>
      </c>
      <c r="D10" s="538"/>
      <c r="E10" s="535">
        <v>7600</v>
      </c>
      <c r="F10" s="537">
        <v>10</v>
      </c>
    </row>
    <row r="11" spans="3:6" ht="16.5" customHeight="1">
      <c r="C11" s="444" t="s">
        <v>62</v>
      </c>
      <c r="D11" s="538"/>
      <c r="E11" s="535">
        <v>2280</v>
      </c>
      <c r="F11" s="537">
        <v>15</v>
      </c>
    </row>
    <row r="12" spans="3:6" ht="16.5" customHeight="1">
      <c r="C12" s="451" t="s">
        <v>324</v>
      </c>
      <c r="D12" s="539"/>
      <c r="E12" s="540">
        <v>11400</v>
      </c>
      <c r="F12" s="541">
        <v>20</v>
      </c>
    </row>
    <row r="13" spans="3:6" ht="16.5" customHeight="1">
      <c r="C13" s="543" t="s">
        <v>0</v>
      </c>
      <c r="D13" s="544"/>
      <c r="E13" s="545">
        <f>SUM(E2:E12)</f>
        <v>156052</v>
      </c>
      <c r="F13" s="546"/>
    </row>
  </sheetData>
  <sheetProtection/>
  <printOptions/>
  <pageMargins left="1.51" right="0.7480314960629921" top="2.204724409448819" bottom="0.984251968503937" header="0" footer="0"/>
  <pageSetup horizontalDpi="600" verticalDpi="600" orientation="portrait" paperSize="9" r:id="rId1"/>
  <headerFooter alignWithMargins="0">
    <oddHeader>&amp;C&amp;"Arial,Negrita"&amp;12
ANEXO 5.1
ANEXOS FINANCIEROS
5.1.1 INFRAESTRUCTURA</oddHeader>
  </headerFooter>
  <ignoredErrors>
    <ignoredError sqref="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INSPIRON</cp:lastModifiedBy>
  <cp:lastPrinted>2007-09-19T22:28:15Z</cp:lastPrinted>
  <dcterms:created xsi:type="dcterms:W3CDTF">1996-11-27T10:00:04Z</dcterms:created>
  <dcterms:modified xsi:type="dcterms:W3CDTF">2007-10-15T04:33:48Z</dcterms:modified>
  <cp:category/>
  <cp:version/>
  <cp:contentType/>
  <cp:contentStatus/>
</cp:coreProperties>
</file>