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Hoja1" sheetId="1" r:id="rId1"/>
    <sheet name="Hoja2" sheetId="2" r:id="rId2"/>
    <sheet name="proyeccione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<sst xmlns="http://schemas.openxmlformats.org/spreadsheetml/2006/main" count="60" uniqueCount="38">
  <si>
    <t>IMPORTACIONES ECUATORIANAS DE NUEZ DE MACADAMIA</t>
  </si>
  <si>
    <t>PAISES</t>
  </si>
  <si>
    <t>2006 (ene-jul)</t>
  </si>
  <si>
    <t>TM</t>
  </si>
  <si>
    <t>(en miles de USD)</t>
  </si>
  <si>
    <t>Colombia</t>
  </si>
  <si>
    <t>Estados Unidos</t>
  </si>
  <si>
    <t>España</t>
  </si>
  <si>
    <t>Italia</t>
  </si>
  <si>
    <t>TOTAL</t>
  </si>
  <si>
    <t>(Codigo Nandina 0802900000)</t>
  </si>
  <si>
    <t>Valor CIF</t>
  </si>
  <si>
    <t>Bélgica</t>
  </si>
  <si>
    <t>Alemania</t>
  </si>
  <si>
    <t>México</t>
  </si>
  <si>
    <t>Importaciones ecuatorianas de Macadamia</t>
  </si>
  <si>
    <t>Año</t>
  </si>
  <si>
    <t>x</t>
  </si>
  <si>
    <t>y</t>
  </si>
  <si>
    <t>xi</t>
  </si>
  <si>
    <t>años</t>
  </si>
  <si>
    <t>importaciones</t>
  </si>
  <si>
    <t>consumo</t>
  </si>
  <si>
    <t>pronostico</t>
  </si>
  <si>
    <t>tendencia</t>
  </si>
  <si>
    <t>consumo Yi</t>
  </si>
  <si>
    <t>PROYECCIÓN</t>
  </si>
  <si>
    <t>BETAS</t>
  </si>
  <si>
    <t>Pendiente x</t>
  </si>
  <si>
    <t>Intersec. Y</t>
  </si>
  <si>
    <t>R2 =</t>
  </si>
  <si>
    <t>Crecimiento</t>
  </si>
  <si>
    <t>porcentual</t>
  </si>
  <si>
    <t>r2</t>
  </si>
  <si>
    <t>dato 99</t>
  </si>
  <si>
    <t>media geom</t>
  </si>
  <si>
    <t>Y =</t>
  </si>
  <si>
    <t>a+bx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</si>
</sst>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.00"/>
    <numFmt numFmtId="189" formatCode="&quot;$&quot;#,##0.0"/>
    <numFmt numFmtId="190" formatCode="&quot;$&quot;#,##0.000"/>
    <numFmt numFmtId="191" formatCode="&quot;$&quot;#,##0.0000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4" fontId="5" fillId="0" borderId="3" xfId="0" applyNumberFormat="1" applyFont="1" applyBorder="1" applyAlignment="1">
      <alignment/>
    </xf>
    <xf numFmtId="19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188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88" fontId="5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4" fontId="5" fillId="0" borderId="13" xfId="0" applyNumberFormat="1" applyFont="1" applyBorder="1" applyAlignment="1">
      <alignment/>
    </xf>
    <xf numFmtId="188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2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201" fontId="0" fillId="0" borderId="0" xfId="0" applyNumberFormat="1" applyAlignment="1">
      <alignment/>
    </xf>
    <xf numFmtId="0" fontId="1" fillId="0" borderId="22" xfId="0" applyFont="1" applyBorder="1" applyAlignment="1">
      <alignment horizontal="center"/>
    </xf>
    <xf numFmtId="0" fontId="0" fillId="0" borderId="6" xfId="0" applyBorder="1" applyAlignment="1">
      <alignment/>
    </xf>
    <xf numFmtId="201" fontId="0" fillId="0" borderId="7" xfId="0" applyNumberFormat="1" applyBorder="1" applyAlignment="1">
      <alignment/>
    </xf>
    <xf numFmtId="201" fontId="0" fillId="0" borderId="8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93" fontId="0" fillId="0" borderId="0" xfId="0" applyNumberForma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2" fontId="0" fillId="0" borderId="13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Importaciones ecuatorianas de Macadamia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Hoja2!$A$3:$A$9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Hoja2!$B$3:$B$9</c:f>
              <c:numCache>
                <c:ptCount val="7"/>
                <c:pt idx="0">
                  <c:v>0</c:v>
                </c:pt>
                <c:pt idx="1">
                  <c:v>0.38</c:v>
                </c:pt>
                <c:pt idx="2">
                  <c:v>0.586</c:v>
                </c:pt>
                <c:pt idx="3">
                  <c:v>1.57</c:v>
                </c:pt>
                <c:pt idx="4">
                  <c:v>0.117</c:v>
                </c:pt>
                <c:pt idx="5">
                  <c:v>4.5169999999999995</c:v>
                </c:pt>
                <c:pt idx="6">
                  <c:v>0.009</c:v>
                </c:pt>
              </c:numCache>
            </c:numRef>
          </c:val>
          <c:smooth val="0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036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E1E1E1"/>
        </a:gs>
        <a:gs pos="50000">
          <a:srgbClr val="C0C0C0"/>
        </a:gs>
        <a:gs pos="100000">
          <a:srgbClr val="E1E1E1"/>
        </a:gs>
      </a:gsLst>
      <a:lin ang="27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133350</xdr:rowOff>
    </xdr:from>
    <xdr:to>
      <xdr:col>12</xdr:col>
      <xdr:colOff>219075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333625" y="1285875"/>
        <a:ext cx="52006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CION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0"/>
    </sheetNames>
    <sheetDataSet>
      <sheetData sheetId="0">
        <row r="8">
          <cell r="E8">
            <v>0</v>
          </cell>
          <cell r="G8">
            <v>0.001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1"/>
    </sheetNames>
    <sheetDataSet>
      <sheetData sheetId="0">
        <row r="2">
          <cell r="E2">
            <v>0.144</v>
          </cell>
          <cell r="G2">
            <v>0.78</v>
          </cell>
        </row>
        <row r="3">
          <cell r="E3">
            <v>0.236</v>
          </cell>
          <cell r="G3">
            <v>0.291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2"/>
    </sheetNames>
    <sheetDataSet>
      <sheetData sheetId="0">
        <row r="2">
          <cell r="E2">
            <v>0.004</v>
          </cell>
          <cell r="G2">
            <v>0.092</v>
          </cell>
        </row>
        <row r="3">
          <cell r="E3">
            <v>0.33</v>
          </cell>
          <cell r="G3">
            <v>1.369</v>
          </cell>
        </row>
        <row r="4">
          <cell r="E4">
            <v>0.142</v>
          </cell>
          <cell r="G4">
            <v>0.238</v>
          </cell>
        </row>
        <row r="5">
          <cell r="E5">
            <v>0.11</v>
          </cell>
          <cell r="G5">
            <v>0.212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3"/>
    </sheetNames>
    <sheetDataSet>
      <sheetData sheetId="0">
        <row r="2">
          <cell r="E2">
            <v>0.068</v>
          </cell>
          <cell r="G2">
            <v>0.381</v>
          </cell>
        </row>
        <row r="3">
          <cell r="E3">
            <v>1.39</v>
          </cell>
          <cell r="G3">
            <v>3.585</v>
          </cell>
        </row>
        <row r="4">
          <cell r="E4">
            <v>0.104</v>
          </cell>
          <cell r="G4">
            <v>0.268</v>
          </cell>
        </row>
        <row r="5">
          <cell r="E5">
            <v>0.008</v>
          </cell>
          <cell r="G5">
            <v>0.038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4"/>
    </sheetNames>
    <sheetDataSet>
      <sheetData sheetId="0">
        <row r="2">
          <cell r="E2">
            <v>0.117</v>
          </cell>
          <cell r="G2">
            <v>1.927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</sheetNames>
    <sheetDataSet>
      <sheetData sheetId="0">
        <row r="2">
          <cell r="E2">
            <v>0.01</v>
          </cell>
          <cell r="G2">
            <v>0.478</v>
          </cell>
        </row>
        <row r="3">
          <cell r="E3">
            <v>4.507</v>
          </cell>
          <cell r="G3">
            <v>24.116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6"/>
    </sheetNames>
    <sheetDataSet>
      <sheetData sheetId="0">
        <row r="2">
          <cell r="E2">
            <v>0.009</v>
          </cell>
          <cell r="G2">
            <v>0.217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2" sqref="A12"/>
    </sheetView>
  </sheetViews>
  <sheetFormatPr defaultColWidth="11.421875" defaultRowHeight="12.75"/>
  <cols>
    <col min="1" max="1" width="13.7109375" style="11" bestFit="1" customWidth="1"/>
    <col min="2" max="2" width="4.421875" style="11" bestFit="1" customWidth="1"/>
    <col min="3" max="3" width="15.28125" style="11" bestFit="1" customWidth="1"/>
    <col min="4" max="4" width="6.00390625" style="11" bestFit="1" customWidth="1"/>
    <col min="5" max="5" width="15.28125" style="11" bestFit="1" customWidth="1"/>
    <col min="6" max="6" width="4.421875" style="11" bestFit="1" customWidth="1"/>
    <col min="7" max="7" width="15.28125" style="11" bestFit="1" customWidth="1"/>
    <col min="8" max="8" width="6.00390625" style="11" bestFit="1" customWidth="1"/>
    <col min="9" max="9" width="15.28125" style="11" bestFit="1" customWidth="1"/>
    <col min="10" max="10" width="4.421875" style="11" bestFit="1" customWidth="1"/>
    <col min="11" max="11" width="15.28125" style="11" bestFit="1" customWidth="1"/>
    <col min="12" max="12" width="4.421875" style="11" bestFit="1" customWidth="1"/>
    <col min="13" max="13" width="15.28125" style="11" bestFit="1" customWidth="1"/>
    <col min="14" max="14" width="4.421875" style="11" bestFit="1" customWidth="1"/>
    <col min="15" max="15" width="15.28125" style="11" bestFit="1" customWidth="1"/>
    <col min="16" max="16384" width="9.140625" style="11" customWidth="1"/>
  </cols>
  <sheetData>
    <row r="1" spans="1:15" ht="18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8.75" customHeight="1">
      <c r="A2" s="96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18.75" customHeight="1">
      <c r="A3" s="99" t="s">
        <v>1</v>
      </c>
      <c r="B3" s="102">
        <v>2000</v>
      </c>
      <c r="C3" s="97"/>
      <c r="D3" s="102">
        <v>2001</v>
      </c>
      <c r="E3" s="97"/>
      <c r="F3" s="102">
        <v>2002</v>
      </c>
      <c r="G3" s="97"/>
      <c r="H3" s="102">
        <v>2003</v>
      </c>
      <c r="I3" s="97"/>
      <c r="J3" s="102">
        <v>2004</v>
      </c>
      <c r="K3" s="103"/>
      <c r="L3" s="102">
        <v>2005</v>
      </c>
      <c r="M3" s="97"/>
      <c r="N3" s="102" t="s">
        <v>2</v>
      </c>
      <c r="O3" s="98"/>
    </row>
    <row r="4" spans="1:15" ht="18.75" customHeight="1">
      <c r="A4" s="100"/>
      <c r="B4" s="104" t="s">
        <v>3</v>
      </c>
      <c r="C4" s="13" t="s">
        <v>11</v>
      </c>
      <c r="D4" s="104" t="s">
        <v>3</v>
      </c>
      <c r="E4" s="14" t="s">
        <v>11</v>
      </c>
      <c r="F4" s="104" t="s">
        <v>3</v>
      </c>
      <c r="G4" s="14" t="s">
        <v>11</v>
      </c>
      <c r="H4" s="104" t="s">
        <v>3</v>
      </c>
      <c r="I4" s="14" t="s">
        <v>11</v>
      </c>
      <c r="J4" s="104" t="s">
        <v>3</v>
      </c>
      <c r="K4" s="13" t="s">
        <v>11</v>
      </c>
      <c r="L4" s="104" t="s">
        <v>3</v>
      </c>
      <c r="M4" s="14" t="s">
        <v>11</v>
      </c>
      <c r="N4" s="104" t="s">
        <v>3</v>
      </c>
      <c r="O4" s="15" t="s">
        <v>11</v>
      </c>
    </row>
    <row r="5" spans="1:15" ht="18.75" customHeight="1" thickBot="1">
      <c r="A5" s="101"/>
      <c r="B5" s="105"/>
      <c r="C5" s="16" t="s">
        <v>4</v>
      </c>
      <c r="D5" s="105"/>
      <c r="E5" s="16" t="s">
        <v>4</v>
      </c>
      <c r="F5" s="105"/>
      <c r="G5" s="16" t="s">
        <v>4</v>
      </c>
      <c r="H5" s="105"/>
      <c r="I5" s="16" t="s">
        <v>4</v>
      </c>
      <c r="J5" s="105"/>
      <c r="K5" s="17" t="s">
        <v>4</v>
      </c>
      <c r="L5" s="105"/>
      <c r="M5" s="16" t="s">
        <v>4</v>
      </c>
      <c r="N5" s="105"/>
      <c r="O5" s="18" t="s">
        <v>4</v>
      </c>
    </row>
    <row r="6" spans="1:17" ht="18.75" customHeight="1">
      <c r="A6" s="48" t="s">
        <v>13</v>
      </c>
      <c r="B6" s="12"/>
      <c r="C6" s="19"/>
      <c r="D6" s="12"/>
      <c r="E6" s="19"/>
      <c r="F6" s="12"/>
      <c r="G6" s="19"/>
      <c r="H6" s="20">
        <f>+'[4]IMPORTACIONES 2003'!$E$2</f>
        <v>0.068</v>
      </c>
      <c r="I6" s="21">
        <f>+'[4]IMPORTACIONES 2003'!$G$2</f>
        <v>0.381</v>
      </c>
      <c r="J6" s="12"/>
      <c r="K6" s="22"/>
      <c r="L6" s="20">
        <f>+'[6]IMPORTACIONES 2005'!$E$2</f>
        <v>0.01</v>
      </c>
      <c r="M6" s="21">
        <f>+'[6]IMPORTACIONES 2005'!$G$2</f>
        <v>0.478</v>
      </c>
      <c r="N6" s="20"/>
      <c r="O6" s="23"/>
      <c r="P6" s="11">
        <f>SUM(B6+D6+F6+H6+J6+L6+N6)</f>
        <v>0.078</v>
      </c>
      <c r="Q6" s="24">
        <f>P6/$P$13</f>
        <v>0.010865022983702465</v>
      </c>
    </row>
    <row r="7" spans="1:17" ht="18.75" customHeight="1">
      <c r="A7" s="25" t="s">
        <v>12</v>
      </c>
      <c r="B7" s="26">
        <f>+'[1]IMPORTACIONES 2000'!$E$8</f>
        <v>0</v>
      </c>
      <c r="C7" s="27">
        <f>+'[1]IMPORTACIONES 2000'!$G$8</f>
        <v>0.001</v>
      </c>
      <c r="D7" s="28"/>
      <c r="E7" s="28"/>
      <c r="F7" s="28"/>
      <c r="G7" s="28"/>
      <c r="H7" s="21"/>
      <c r="I7" s="28"/>
      <c r="J7" s="28"/>
      <c r="K7" s="29"/>
      <c r="L7" s="28"/>
      <c r="M7" s="28"/>
      <c r="N7" s="28"/>
      <c r="O7" s="30"/>
      <c r="P7" s="11">
        <f aca="true" t="shared" si="0" ref="P7:P12">SUM(B7+D7+F7+H7+J7+L7+N7)</f>
        <v>0</v>
      </c>
      <c r="Q7" s="24">
        <f aca="true" t="shared" si="1" ref="Q7:Q12">P7/$P$13</f>
        <v>0</v>
      </c>
    </row>
    <row r="8" spans="1:17" ht="18.75" customHeight="1">
      <c r="A8" s="25" t="s">
        <v>5</v>
      </c>
      <c r="B8" s="26"/>
      <c r="C8" s="31"/>
      <c r="D8" s="26"/>
      <c r="E8" s="31"/>
      <c r="F8" s="26">
        <f>+'[3]IMPORTACIONES 2002'!$E$2</f>
        <v>0.004</v>
      </c>
      <c r="G8" s="31">
        <f>+'[3]IMPORTACIONES 2002'!$G$2</f>
        <v>0.092</v>
      </c>
      <c r="H8" s="32"/>
      <c r="I8" s="31"/>
      <c r="J8" s="26"/>
      <c r="K8" s="33"/>
      <c r="L8" s="26"/>
      <c r="M8" s="31"/>
      <c r="N8" s="26"/>
      <c r="O8" s="34"/>
      <c r="P8" s="11">
        <f t="shared" si="0"/>
        <v>0.004</v>
      </c>
      <c r="Q8" s="24">
        <f t="shared" si="1"/>
        <v>0.0005571806658308956</v>
      </c>
    </row>
    <row r="9" spans="1:17" ht="18.75" customHeight="1">
      <c r="A9" s="25" t="s">
        <v>6</v>
      </c>
      <c r="B9" s="26"/>
      <c r="C9" s="31"/>
      <c r="D9" s="28">
        <f>+'[2]IMPORTACIONES 2001'!$E$3</f>
        <v>0.236</v>
      </c>
      <c r="E9" s="21">
        <f>+'[2]IMPORTACIONES 2001'!$G$3</f>
        <v>0.291</v>
      </c>
      <c r="F9" s="26">
        <f>+'[3]IMPORTACIONES 2002'!$E$4</f>
        <v>0.142</v>
      </c>
      <c r="G9" s="31">
        <f>+'[3]IMPORTACIONES 2002'!$G$4</f>
        <v>0.238</v>
      </c>
      <c r="H9" s="32">
        <f>+'[4]IMPORTACIONES 2003'!$E$3</f>
        <v>1.39</v>
      </c>
      <c r="I9" s="31">
        <f>+'[4]IMPORTACIONES 2003'!$G$3</f>
        <v>3.585</v>
      </c>
      <c r="J9" s="32">
        <f>+'[5]IMPORTACIONES 2004'!$E$2</f>
        <v>0.117</v>
      </c>
      <c r="K9" s="33">
        <f>+'[5]IMPORTACIONES 2004'!$G$2</f>
        <v>1.927</v>
      </c>
      <c r="L9" s="32">
        <f>+'[6]IMPORTACIONES 2005'!$E$3</f>
        <v>4.507</v>
      </c>
      <c r="M9" s="31">
        <f>+'[6]IMPORTACIONES 2005'!$G$3</f>
        <v>24.116</v>
      </c>
      <c r="N9" s="32">
        <f>+'[7]IMPORTACIONES 2006'!$E$2</f>
        <v>0.009</v>
      </c>
      <c r="O9" s="34">
        <f>+'[7]IMPORTACIONES 2006'!$G$2</f>
        <v>0.217</v>
      </c>
      <c r="P9" s="11">
        <f t="shared" si="0"/>
        <v>6.401</v>
      </c>
      <c r="Q9" s="24">
        <f t="shared" si="1"/>
        <v>0.8916283604958908</v>
      </c>
    </row>
    <row r="10" spans="1:17" ht="18.75" customHeight="1">
      <c r="A10" s="25" t="s">
        <v>7</v>
      </c>
      <c r="B10" s="26"/>
      <c r="C10" s="31"/>
      <c r="D10" s="28">
        <f>+'[2]IMPORTACIONES 2001'!$E$2</f>
        <v>0.144</v>
      </c>
      <c r="E10" s="21">
        <f>+'[2]IMPORTACIONES 2001'!$G$2</f>
        <v>0.78</v>
      </c>
      <c r="F10" s="26">
        <f>+'[3]IMPORTACIONES 2002'!$E$3</f>
        <v>0.33</v>
      </c>
      <c r="G10" s="31">
        <f>+'[3]IMPORTACIONES 2002'!$G$3</f>
        <v>1.369</v>
      </c>
      <c r="H10" s="32"/>
      <c r="I10" s="31"/>
      <c r="J10" s="26"/>
      <c r="K10" s="33"/>
      <c r="L10" s="26"/>
      <c r="M10" s="31"/>
      <c r="N10" s="26"/>
      <c r="O10" s="34"/>
      <c r="P10" s="11">
        <f t="shared" si="0"/>
        <v>0.474</v>
      </c>
      <c r="Q10" s="24">
        <f t="shared" si="1"/>
        <v>0.06602590890096113</v>
      </c>
    </row>
    <row r="11" spans="1:17" ht="18.75" customHeight="1">
      <c r="A11" s="25" t="s">
        <v>8</v>
      </c>
      <c r="B11" s="26"/>
      <c r="C11" s="31"/>
      <c r="D11" s="26"/>
      <c r="E11" s="31"/>
      <c r="F11" s="26">
        <f>+'[3]IMPORTACIONES 2002'!$E$5</f>
        <v>0.11</v>
      </c>
      <c r="G11" s="31">
        <f>+'[3]IMPORTACIONES 2002'!$G$5</f>
        <v>0.212</v>
      </c>
      <c r="H11" s="21">
        <f>+'[4]IMPORTACIONES 2003'!$E$4</f>
        <v>0.104</v>
      </c>
      <c r="I11" s="31">
        <f>+'[4]IMPORTACIONES 2003'!$G$4</f>
        <v>0.268</v>
      </c>
      <c r="J11" s="28"/>
      <c r="K11" s="29"/>
      <c r="L11" s="26"/>
      <c r="M11" s="31"/>
      <c r="N11" s="26"/>
      <c r="O11" s="34"/>
      <c r="P11" s="11">
        <f t="shared" si="0"/>
        <v>0.214</v>
      </c>
      <c r="Q11" s="24">
        <f t="shared" si="1"/>
        <v>0.029809165621952915</v>
      </c>
    </row>
    <row r="12" spans="1:17" ht="18.75" customHeight="1">
      <c r="A12" s="25" t="s">
        <v>14</v>
      </c>
      <c r="B12" s="26"/>
      <c r="C12" s="31"/>
      <c r="D12" s="28"/>
      <c r="E12" s="28"/>
      <c r="F12" s="28"/>
      <c r="G12" s="28"/>
      <c r="H12" s="21">
        <f>+'[4]IMPORTACIONES 2003'!$E$5</f>
        <v>0.008</v>
      </c>
      <c r="I12" s="31">
        <f>+'[4]IMPORTACIONES 2003'!$G$5</f>
        <v>0.038</v>
      </c>
      <c r="J12" s="28"/>
      <c r="K12" s="29"/>
      <c r="L12" s="28"/>
      <c r="M12" s="28"/>
      <c r="N12" s="28"/>
      <c r="O12" s="30"/>
      <c r="P12" s="11">
        <f t="shared" si="0"/>
        <v>0.008</v>
      </c>
      <c r="Q12" s="24">
        <f t="shared" si="1"/>
        <v>0.0011143613316617913</v>
      </c>
    </row>
    <row r="13" spans="1:16" ht="18.75" customHeight="1" thickBot="1">
      <c r="A13" s="35"/>
      <c r="B13" s="36"/>
      <c r="C13" s="37"/>
      <c r="D13" s="38"/>
      <c r="E13" s="38"/>
      <c r="F13" s="38"/>
      <c r="G13" s="38"/>
      <c r="H13" s="38"/>
      <c r="I13" s="38"/>
      <c r="J13" s="38"/>
      <c r="K13" s="39"/>
      <c r="L13" s="38"/>
      <c r="M13" s="38"/>
      <c r="N13" s="38"/>
      <c r="O13" s="40"/>
      <c r="P13" s="11">
        <f>SUM(P6:P12)</f>
        <v>7.179</v>
      </c>
    </row>
    <row r="14" spans="1:15" ht="18.75" customHeight="1" thickBot="1">
      <c r="A14" s="41" t="s">
        <v>9</v>
      </c>
      <c r="B14" s="42">
        <f>SUM(B6:B13)</f>
        <v>0</v>
      </c>
      <c r="C14" s="43">
        <f aca="true" t="shared" si="2" ref="C14:O14">SUM(C6:C13)</f>
        <v>0.001</v>
      </c>
      <c r="D14" s="42">
        <f t="shared" si="2"/>
        <v>0.38</v>
      </c>
      <c r="E14" s="42">
        <f t="shared" si="2"/>
        <v>1.071</v>
      </c>
      <c r="F14" s="42">
        <f t="shared" si="2"/>
        <v>0.586</v>
      </c>
      <c r="G14" s="42">
        <f t="shared" si="2"/>
        <v>1.9109999999999998</v>
      </c>
      <c r="H14" s="42">
        <f t="shared" si="2"/>
        <v>1.57</v>
      </c>
      <c r="I14" s="42">
        <f t="shared" si="2"/>
        <v>4.272</v>
      </c>
      <c r="J14" s="42">
        <f t="shared" si="2"/>
        <v>0.117</v>
      </c>
      <c r="K14" s="42">
        <f t="shared" si="2"/>
        <v>1.927</v>
      </c>
      <c r="L14" s="42">
        <f t="shared" si="2"/>
        <v>4.5169999999999995</v>
      </c>
      <c r="M14" s="42">
        <f t="shared" si="2"/>
        <v>24.594</v>
      </c>
      <c r="N14" s="42">
        <f t="shared" si="2"/>
        <v>0.009</v>
      </c>
      <c r="O14" s="44">
        <f t="shared" si="2"/>
        <v>0.217</v>
      </c>
    </row>
    <row r="15" spans="1:2" ht="12">
      <c r="A15" s="45"/>
      <c r="B15" s="46"/>
    </row>
    <row r="16" spans="1:2" ht="12">
      <c r="A16" s="47"/>
      <c r="B16" s="46"/>
    </row>
  </sheetData>
  <mergeCells count="17">
    <mergeCell ref="J4:J5"/>
    <mergeCell ref="L4:L5"/>
    <mergeCell ref="N4:N5"/>
    <mergeCell ref="B4:B5"/>
    <mergeCell ref="D4:D5"/>
    <mergeCell ref="F4:F5"/>
    <mergeCell ref="H4:H5"/>
    <mergeCell ref="A1:O1"/>
    <mergeCell ref="A2:O2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11.421875" defaultRowHeight="12.75"/>
  <cols>
    <col min="1" max="16384" width="9.140625" style="0" customWidth="1"/>
  </cols>
  <sheetData>
    <row r="1" ht="13.5" thickBot="1">
      <c r="A1" t="s">
        <v>15</v>
      </c>
    </row>
    <row r="2" spans="1:2" ht="13.5" thickBot="1">
      <c r="A2" s="6" t="s">
        <v>16</v>
      </c>
      <c r="B2" s="7" t="s">
        <v>3</v>
      </c>
    </row>
    <row r="3" spans="1:2" ht="12.75">
      <c r="A3" s="4">
        <v>2000</v>
      </c>
      <c r="B3" s="8">
        <f>+Hoja1!B14</f>
        <v>0</v>
      </c>
    </row>
    <row r="4" spans="1:2" ht="12.75">
      <c r="A4" s="4">
        <v>2001</v>
      </c>
      <c r="B4" s="8">
        <f>+Hoja1!D14</f>
        <v>0.38</v>
      </c>
    </row>
    <row r="5" spans="1:2" ht="12.75">
      <c r="A5" s="4">
        <v>2002</v>
      </c>
      <c r="B5" s="8">
        <f>+Hoja1!F14</f>
        <v>0.586</v>
      </c>
    </row>
    <row r="6" spans="1:2" ht="12.75">
      <c r="A6" s="4">
        <v>2003</v>
      </c>
      <c r="B6" s="8">
        <f>+Hoja1!H14</f>
        <v>1.57</v>
      </c>
    </row>
    <row r="7" spans="1:2" ht="12.75">
      <c r="A7" s="4">
        <v>2004</v>
      </c>
      <c r="B7" s="8">
        <f>+Hoja1!J14</f>
        <v>0.117</v>
      </c>
    </row>
    <row r="8" spans="1:2" ht="12.75">
      <c r="A8" s="4">
        <v>2005</v>
      </c>
      <c r="B8" s="8">
        <f>+Hoja1!L14</f>
        <v>4.5169999999999995</v>
      </c>
    </row>
    <row r="9" spans="1:2" ht="13.5" thickBot="1">
      <c r="A9" s="5">
        <v>2006</v>
      </c>
      <c r="B9" s="9">
        <f>+Hoja1!N14</f>
        <v>0.009</v>
      </c>
    </row>
    <row r="10" ht="13.5" thickBot="1">
      <c r="B10" s="10">
        <f>SUM(B3:B9)</f>
        <v>7.179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G28" sqref="G28"/>
    </sheetView>
  </sheetViews>
  <sheetFormatPr defaultColWidth="11.421875" defaultRowHeight="12.75"/>
  <cols>
    <col min="1" max="1" width="9.28125" style="0" customWidth="1"/>
    <col min="2" max="3" width="13.8515625" style="0" bestFit="1" customWidth="1"/>
    <col min="4" max="4" width="12.00390625" style="0" bestFit="1" customWidth="1"/>
    <col min="5" max="5" width="11.8515625" style="0" customWidth="1"/>
    <col min="6" max="6" width="9.28125" style="0" customWidth="1"/>
    <col min="7" max="7" width="9.140625" style="0" customWidth="1"/>
    <col min="8" max="8" width="9.28125" style="0" customWidth="1"/>
    <col min="9" max="10" width="9.140625" style="0" customWidth="1"/>
    <col min="11" max="11" width="10.140625" style="0" bestFit="1" customWidth="1"/>
    <col min="12" max="16384" width="9.140625" style="0" customWidth="1"/>
  </cols>
  <sheetData>
    <row r="1" spans="1:5" ht="13.5" thickBot="1">
      <c r="A1" s="65"/>
      <c r="B1" s="59" t="s">
        <v>17</v>
      </c>
      <c r="C1" s="60" t="s">
        <v>18</v>
      </c>
      <c r="D1" s="56" t="s">
        <v>31</v>
      </c>
      <c r="E1" s="51"/>
    </row>
    <row r="2" spans="1:11" ht="13.5" thickBot="1">
      <c r="A2" s="57" t="s">
        <v>20</v>
      </c>
      <c r="B2" s="3" t="s">
        <v>22</v>
      </c>
      <c r="C2" s="61" t="s">
        <v>21</v>
      </c>
      <c r="D2" s="78" t="s">
        <v>32</v>
      </c>
      <c r="E2" s="51"/>
      <c r="J2" s="82">
        <f aca="true" t="shared" si="0" ref="J2:J7">+C3</f>
        <v>0</v>
      </c>
      <c r="K2" s="62">
        <v>174.56</v>
      </c>
    </row>
    <row r="3" spans="1:11" ht="12.75">
      <c r="A3" s="49">
        <v>2000</v>
      </c>
      <c r="B3" s="62">
        <v>2.62</v>
      </c>
      <c r="C3" s="62">
        <f>+Hoja2!$B$3</f>
        <v>0</v>
      </c>
      <c r="D3" s="76">
        <f>B3/1.95-1</f>
        <v>0.3435897435897437</v>
      </c>
      <c r="E3" s="50" t="s">
        <v>34</v>
      </c>
      <c r="F3">
        <v>1.95</v>
      </c>
      <c r="J3" s="84">
        <f t="shared" si="0"/>
        <v>0.38</v>
      </c>
      <c r="K3" s="8">
        <v>143.74</v>
      </c>
    </row>
    <row r="4" spans="1:11" ht="12.75">
      <c r="A4" s="4">
        <v>2001</v>
      </c>
      <c r="B4" s="8">
        <v>4.63</v>
      </c>
      <c r="C4" s="8">
        <f>+Hoja2!$B$4</f>
        <v>0.38</v>
      </c>
      <c r="D4" s="76">
        <f>B4/B3-1</f>
        <v>0.7671755725190839</v>
      </c>
      <c r="E4" s="50"/>
      <c r="J4" s="84">
        <f t="shared" si="0"/>
        <v>0.586</v>
      </c>
      <c r="K4" s="8">
        <v>173.37</v>
      </c>
    </row>
    <row r="5" spans="1:11" ht="12.75">
      <c r="A5" s="4">
        <v>2002</v>
      </c>
      <c r="B5" s="8">
        <v>4.77</v>
      </c>
      <c r="C5" s="8">
        <f>+Hoja2!$B$5</f>
        <v>0.586</v>
      </c>
      <c r="D5" s="76">
        <f>B5/B4-1</f>
        <v>0.030237580993520474</v>
      </c>
      <c r="E5" s="50"/>
      <c r="J5" s="84">
        <f t="shared" si="0"/>
        <v>1.57</v>
      </c>
      <c r="K5" s="8">
        <v>145.61</v>
      </c>
    </row>
    <row r="6" spans="1:11" ht="12.75">
      <c r="A6" s="4">
        <v>2003</v>
      </c>
      <c r="B6" s="8">
        <v>5.06</v>
      </c>
      <c r="C6" s="8">
        <f>+Hoja2!$B$6</f>
        <v>1.57</v>
      </c>
      <c r="D6" s="76">
        <f>B6/B5-1</f>
        <v>0.06079664570230614</v>
      </c>
      <c r="E6" s="50"/>
      <c r="J6" s="84">
        <f t="shared" si="0"/>
        <v>0.117</v>
      </c>
      <c r="K6" s="83">
        <v>190.52</v>
      </c>
    </row>
    <row r="7" spans="1:11" ht="13.5" thickBot="1">
      <c r="A7" s="4">
        <v>2004</v>
      </c>
      <c r="B7" s="8">
        <v>6.32</v>
      </c>
      <c r="C7" s="8">
        <f>+Hoja2!$B$7</f>
        <v>0.117</v>
      </c>
      <c r="D7" s="76">
        <f>B7/B6-1</f>
        <v>0.24901185770751</v>
      </c>
      <c r="E7" s="50"/>
      <c r="J7" s="85">
        <f t="shared" si="0"/>
        <v>4.5169999999999995</v>
      </c>
      <c r="K7" s="9">
        <v>183.13</v>
      </c>
    </row>
    <row r="8" spans="1:5" ht="13.5" thickBot="1">
      <c r="A8" s="5">
        <v>2005</v>
      </c>
      <c r="B8" s="63">
        <v>7.16</v>
      </c>
      <c r="C8" s="9">
        <f>+Hoja2!$B$8</f>
        <v>4.5169999999999995</v>
      </c>
      <c r="D8" s="77">
        <f>B8/B7-1</f>
        <v>0.13291139240506333</v>
      </c>
      <c r="E8" s="50"/>
    </row>
    <row r="9" spans="1:11" ht="13.5" thickBot="1">
      <c r="A9" s="52"/>
      <c r="B9" s="53"/>
      <c r="C9" s="51"/>
      <c r="D9" s="79">
        <f>GEOMEAN(D3:D8)/6</f>
        <v>0.026467081769272885</v>
      </c>
      <c r="E9" s="51" t="s">
        <v>35</v>
      </c>
      <c r="J9" s="80" t="s">
        <v>33</v>
      </c>
      <c r="K9" s="81">
        <f>CORREL(K2:K7,J2:J7)</f>
        <v>0.15668896979928643</v>
      </c>
    </row>
    <row r="10" spans="1:5" ht="12.75">
      <c r="A10" s="52"/>
      <c r="B10" s="53"/>
      <c r="C10" s="51"/>
      <c r="D10" s="55"/>
      <c r="E10" s="51"/>
    </row>
    <row r="11" spans="1:11" ht="13.5" thickBot="1">
      <c r="A11" s="52"/>
      <c r="B11" s="53"/>
      <c r="C11" s="51"/>
      <c r="D11" s="55"/>
      <c r="E11" s="51"/>
      <c r="J11" s="80"/>
      <c r="K11" s="54"/>
    </row>
    <row r="12" spans="1:11" ht="13.5" thickBot="1">
      <c r="A12" s="52"/>
      <c r="B12" s="108" t="s">
        <v>26</v>
      </c>
      <c r="C12" s="109"/>
      <c r="D12" s="110"/>
      <c r="E12" s="51"/>
      <c r="J12" s="80"/>
      <c r="K12" s="54"/>
    </row>
    <row r="13" spans="1:11" ht="13.5" thickBot="1">
      <c r="A13" s="1" t="s">
        <v>20</v>
      </c>
      <c r="B13" s="74" t="s">
        <v>22</v>
      </c>
      <c r="C13" s="106" t="s">
        <v>25</v>
      </c>
      <c r="D13" s="107"/>
      <c r="J13" s="82">
        <f aca="true" t="shared" si="1" ref="J13:J18">+J2</f>
        <v>0</v>
      </c>
      <c r="K13" s="86">
        <v>862</v>
      </c>
    </row>
    <row r="14" spans="1:11" ht="13.5" thickBot="1">
      <c r="A14" s="2"/>
      <c r="B14" s="3" t="s">
        <v>19</v>
      </c>
      <c r="C14" s="3" t="s">
        <v>23</v>
      </c>
      <c r="D14" s="61" t="s">
        <v>24</v>
      </c>
      <c r="E14" s="58" t="s">
        <v>27</v>
      </c>
      <c r="F14" s="66"/>
      <c r="J14" s="84">
        <f t="shared" si="1"/>
        <v>0.38</v>
      </c>
      <c r="K14" s="87">
        <v>3022</v>
      </c>
    </row>
    <row r="15" spans="1:11" ht="12.75">
      <c r="A15" s="49">
        <v>2006</v>
      </c>
      <c r="B15" s="69">
        <f>B8*(1+$D$9)</f>
        <v>7.3495043054679945</v>
      </c>
      <c r="C15" s="69">
        <f>FORECAST(7,$C$3:$C$8,$B$3:$B$8)</f>
        <v>2.6094872518463124</v>
      </c>
      <c r="D15" s="71">
        <f>TREND($C$3:$C$8,$B$3:$B$8,7)</f>
        <v>2.6094872518463124</v>
      </c>
      <c r="E15" s="90" t="s">
        <v>28</v>
      </c>
      <c r="F15" s="67">
        <f>SLOPE(C3:C8,B3:B8)</f>
        <v>0.741863943276038</v>
      </c>
      <c r="J15" s="84">
        <f t="shared" si="1"/>
        <v>0.586</v>
      </c>
      <c r="K15" s="87">
        <v>2534</v>
      </c>
    </row>
    <row r="16" spans="1:11" ht="13.5" thickBot="1">
      <c r="A16" s="4">
        <v>2007</v>
      </c>
      <c r="B16" s="70">
        <f>B15*(1+D9)</f>
        <v>7.5440242368844395</v>
      </c>
      <c r="C16" s="70">
        <f>FORECAST(8,$C$3:$C$8,$B$3:$B$8)</f>
        <v>3.3513511951223505</v>
      </c>
      <c r="D16" s="72">
        <f>TREND($C$3:$C$8,$B$3:$B$8,8)</f>
        <v>3.3513511951223505</v>
      </c>
      <c r="E16" s="91" t="s">
        <v>29</v>
      </c>
      <c r="F16" s="68">
        <f>INTERCEPT(C3:C8,B3:B8)</f>
        <v>-2.5835603510859535</v>
      </c>
      <c r="J16" s="84">
        <f t="shared" si="1"/>
        <v>1.57</v>
      </c>
      <c r="K16" s="87">
        <v>537531</v>
      </c>
    </row>
    <row r="17" spans="1:11" ht="12.75">
      <c r="A17" s="4">
        <v>2008</v>
      </c>
      <c r="B17" s="70">
        <f>B16*(1+D9)</f>
        <v>7.743692543231437</v>
      </c>
      <c r="C17" s="70">
        <f>FORECAST(9,$C$3:$C$8,$B$3:$B$8)</f>
        <v>4.093215138398389</v>
      </c>
      <c r="D17" s="72">
        <f>TREND($C$3:$C$8,$B$3:$B$8,9)</f>
        <v>4.093215138398389</v>
      </c>
      <c r="J17" s="84">
        <f t="shared" si="1"/>
        <v>0.117</v>
      </c>
      <c r="K17" s="88">
        <v>233684</v>
      </c>
    </row>
    <row r="18" spans="1:11" ht="13.5" thickBot="1">
      <c r="A18" s="4">
        <v>2009</v>
      </c>
      <c r="B18" s="70">
        <f>B17*(1+D9)</f>
        <v>7.948645486969252</v>
      </c>
      <c r="C18" s="70">
        <f>FORECAST(10,$C$3:$C$8,$B$3:$B$8)</f>
        <v>4.835079081674427</v>
      </c>
      <c r="D18" s="72">
        <f>TREND($C$3:$C$8,$B$3:$B$8,10)</f>
        <v>4.835079081674427</v>
      </c>
      <c r="E18" t="s">
        <v>36</v>
      </c>
      <c r="F18" t="s">
        <v>37</v>
      </c>
      <c r="J18" s="85">
        <f t="shared" si="1"/>
        <v>4.5169999999999995</v>
      </c>
      <c r="K18" s="89">
        <v>242269</v>
      </c>
    </row>
    <row r="19" spans="1:4" ht="12.75">
      <c r="A19" s="4">
        <v>2010</v>
      </c>
      <c r="B19" s="70">
        <f>B18*(1+D9)</f>
        <v>8.15902293702783</v>
      </c>
      <c r="C19" s="70">
        <f>FORECAST(11,$C$3:$C$8,$B$3:$B$8)</f>
        <v>5.576943024950465</v>
      </c>
      <c r="D19" s="72">
        <f>TREND($C$3:$C$8,$B$3:$B$8,11)</f>
        <v>5.576943024950464</v>
      </c>
    </row>
    <row r="20" spans="1:11" ht="12.75">
      <c r="A20" s="4">
        <v>2011</v>
      </c>
      <c r="B20" s="70">
        <f>B19*(1+D9)</f>
        <v>8.374968464259519</v>
      </c>
      <c r="C20" s="70">
        <f>FORECAST(12,$C$3:$C$8,$B$3:$B$8)</f>
        <v>6.318806968226502</v>
      </c>
      <c r="D20" s="72">
        <f>TREND($C$3:$C$8,$B$3:$B$8,12)</f>
        <v>6.318806968226501</v>
      </c>
      <c r="J20" t="s">
        <v>33</v>
      </c>
      <c r="K20">
        <f>CORREL(K13:K18,J13:J18)</f>
        <v>0.40716559235577765</v>
      </c>
    </row>
    <row r="21" spans="1:4" ht="12.75">
      <c r="A21" s="4">
        <v>2012</v>
      </c>
      <c r="B21" s="70">
        <f>B20*(1+D9)</f>
        <v>8.596629439418157</v>
      </c>
      <c r="C21" s="70">
        <f>FORECAST(13,$C$3:$C$8,$B$3:$B$8)</f>
        <v>7.060670911502541</v>
      </c>
      <c r="D21" s="72">
        <f>TREND($C$3:$C$8,$B$3:$B$8,13)</f>
        <v>7.06067091150254</v>
      </c>
    </row>
    <row r="22" spans="1:4" ht="12.75">
      <c r="A22" s="4">
        <v>2013</v>
      </c>
      <c r="B22" s="70">
        <f>B21*(1+D9)</f>
        <v>8.824157133731376</v>
      </c>
      <c r="C22" s="70">
        <f>FORECAST(14,$C$3:$C$8,$B$3:$B$8)</f>
        <v>7.802534854778578</v>
      </c>
      <c r="D22" s="72">
        <f>TREND($C$3:$C$8,$B$3:$B$8,14)</f>
        <v>7.802534854778577</v>
      </c>
    </row>
    <row r="23" spans="1:4" ht="12.75">
      <c r="A23" s="4">
        <v>2014</v>
      </c>
      <c r="B23" s="70">
        <f>B22*(1+D9)</f>
        <v>9.057706822134756</v>
      </c>
      <c r="C23" s="70">
        <f>FORECAST(15,$C$3:$C$8,$B$3:$B$8)</f>
        <v>8.544398798054617</v>
      </c>
      <c r="D23" s="72">
        <f>TREND($C$3:$C$8,$B$3:$B$8,15)</f>
        <v>8.544398798054615</v>
      </c>
    </row>
    <row r="24" spans="1:4" ht="12.75">
      <c r="A24" s="4">
        <v>2015</v>
      </c>
      <c r="B24" s="70">
        <f>B23*(1+D9)</f>
        <v>9.297437889238298</v>
      </c>
      <c r="C24" s="70">
        <f>FORECAST(16,$C$3:$C$8,$B$3:$B$8)</f>
        <v>9.286262741330654</v>
      </c>
      <c r="D24" s="72">
        <f>TREND($C$3:$C$8,$B$3:$B$8,16)</f>
        <v>9.286262741330653</v>
      </c>
    </row>
    <row r="25" spans="1:4" ht="12.75">
      <c r="A25" s="111">
        <v>2016</v>
      </c>
      <c r="B25" s="70">
        <f>B24*(1+$D$9)</f>
        <v>9.543513938097504</v>
      </c>
      <c r="C25" s="70">
        <f>FORECAST(17,$C$3:$C$8,$B$3:$B$8)</f>
        <v>10.028126684606692</v>
      </c>
      <c r="D25" s="72">
        <f>TREND($C$3:$C$8,$B$3:$B$8,17)</f>
        <v>10.02812668460669</v>
      </c>
    </row>
    <row r="26" spans="1:4" ht="12.75">
      <c r="A26" s="111">
        <v>2017</v>
      </c>
      <c r="B26" s="70">
        <f>B25*(1+$D$9)</f>
        <v>9.796102901863327</v>
      </c>
      <c r="C26" s="70">
        <f>FORECAST(18,$C$3:$C$8,$B$3:$B$8)</f>
        <v>10.76999062788273</v>
      </c>
      <c r="D26" s="72">
        <f>TREND($C$3:$C$8,$B$3:$B$8,18)</f>
        <v>10.76999062788273</v>
      </c>
    </row>
    <row r="27" spans="1:4" ht="12.75">
      <c r="A27" s="111">
        <v>2018</v>
      </c>
      <c r="B27" s="70">
        <f>B26*(1+$D$9)</f>
        <v>10.055377158387156</v>
      </c>
      <c r="C27" s="70">
        <f>FORECAST(19,$C$3:$C$8,$B$3:$B$8)</f>
        <v>11.511854571158768</v>
      </c>
      <c r="D27" s="72">
        <f>TREND($C$3:$C$8,$B$3:$B$8,19)</f>
        <v>11.511854571158768</v>
      </c>
    </row>
    <row r="28" spans="1:4" ht="12.75">
      <c r="A28" s="111">
        <v>2019</v>
      </c>
      <c r="B28" s="70">
        <f>B27*(1+$D$9)</f>
        <v>10.321513647859067</v>
      </c>
      <c r="C28" s="70">
        <f>FORECAST(20,$C$3:$C$8,$B$3:$B$8)</f>
        <v>12.253718514434807</v>
      </c>
      <c r="D28" s="72">
        <f>TREND($C$3:$C$8,$B$3:$B$8,20)</f>
        <v>12.253718514434805</v>
      </c>
    </row>
    <row r="29" spans="1:4" ht="13.5" thickBot="1">
      <c r="A29" s="112">
        <v>2020</v>
      </c>
      <c r="B29" s="92">
        <f>B28*(1+$D$9)</f>
        <v>10.59469399355962</v>
      </c>
      <c r="C29" s="92">
        <f>FORECAST(21,$C$3:$C$8,$B$3:$B$8)</f>
        <v>12.995582457710844</v>
      </c>
      <c r="D29" s="73">
        <f>TREND($C$3:$C$8,$B$3:$B$8,21)</f>
        <v>12.995582457710842</v>
      </c>
    </row>
    <row r="31" spans="2:3" ht="12.75">
      <c r="B31" s="75" t="s">
        <v>30</v>
      </c>
      <c r="C31" s="64">
        <f>CORREL(B3:B8,C3:C8)</f>
        <v>0.6738941833237528</v>
      </c>
    </row>
  </sheetData>
  <mergeCells count="2">
    <mergeCell ref="C13:D13"/>
    <mergeCell ref="B12:D12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 flores</cp:lastModifiedBy>
  <cp:lastPrinted>2006-10-29T13:54:22Z</cp:lastPrinted>
  <dcterms:created xsi:type="dcterms:W3CDTF">1996-11-27T10:00:04Z</dcterms:created>
  <dcterms:modified xsi:type="dcterms:W3CDTF">2006-12-16T17:54:54Z</dcterms:modified>
  <cp:category/>
  <cp:version/>
  <cp:contentType/>
  <cp:contentStatus/>
</cp:coreProperties>
</file>