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3" activeTab="5"/>
  </bookViews>
  <sheets>
    <sheet name="COSTOS DE CAPACITACIÓN-TRABAJAD" sheetId="1" r:id="rId1"/>
    <sheet name="COSTO DE APLICACION DE MEJORAS" sheetId="2" r:id="rId2"/>
    <sheet name="CRONOGRAMA-IMPLEMENTACION" sheetId="3" r:id="rId3"/>
    <sheet name="ANALISIS COSTO DESPERDICIOS" sheetId="4" r:id="rId4"/>
    <sheet name="EX ANTE ma e. " sheetId="5" r:id="rId5"/>
    <sheet name="EX POST ma e." sheetId="6" r:id="rId6"/>
    <sheet name="VAN DIF FLUJOS" sheetId="7" r:id="rId7"/>
    <sheet name="SIMULACION" sheetId="8" r:id="rId8"/>
    <sheet name="Hoja10" sheetId="9" r:id="rId9"/>
  </sheets>
  <definedNames>
    <definedName name="OLE_LINK1" localSheetId="0">'COSTOS DE CAPACITACIÓN-TRABAJAD'!$E$26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<sst xmlns="http://schemas.openxmlformats.org/spreadsheetml/2006/main" count="299" uniqueCount="180">
  <si>
    <t>COSTOS</t>
  </si>
  <si>
    <t>ANALISIS DE LOS COSTOS DE APLICACIÓN MEJORAS</t>
  </si>
  <si>
    <t>Estrategias:</t>
  </si>
  <si>
    <t>Talleres motivacionales</t>
  </si>
  <si>
    <t>Costo</t>
  </si>
  <si>
    <t>Contratar facilitador</t>
  </si>
  <si>
    <t>Capacitar trabajadores</t>
  </si>
  <si>
    <t>Establecer cada cosa en su lugar</t>
  </si>
  <si>
    <t>Contratar empresa de diseño y distribución de espacios</t>
  </si>
  <si>
    <t>Total</t>
  </si>
  <si>
    <t>ANALISIS DE LOS COSTOS DE LOS DESPERDICIOS</t>
  </si>
  <si>
    <t>DESPERDICIOS DE FACTURACION</t>
  </si>
  <si>
    <t>Error en toma de pedidos</t>
  </si>
  <si>
    <t>Precio</t>
  </si>
  <si>
    <t>Duración</t>
  </si>
  <si>
    <t>Utilizadas</t>
  </si>
  <si>
    <t>Costo Mensual</t>
  </si>
  <si>
    <t>Costo anual</t>
  </si>
  <si>
    <t>Toner</t>
  </si>
  <si>
    <t>Cinta Epson</t>
  </si>
  <si>
    <t>Hojas</t>
  </si>
  <si>
    <t>-</t>
  </si>
  <si>
    <t>Departamento de Facturación</t>
  </si>
  <si>
    <t>Departamento de Cartera</t>
  </si>
  <si>
    <t>Departamento de Despacho</t>
  </si>
  <si>
    <t>Departamento de Bodega</t>
  </si>
  <si>
    <t>Notas de pedido</t>
  </si>
  <si>
    <t>Transporte</t>
  </si>
  <si>
    <t>45 km</t>
  </si>
  <si>
    <t>Gastos de Servicios</t>
  </si>
  <si>
    <t>TOTAL</t>
  </si>
  <si>
    <t>GASTOS ADMINISTRATIVOS</t>
  </si>
  <si>
    <t>Pago de luz</t>
  </si>
  <si>
    <t>Pago de teléfono</t>
  </si>
  <si>
    <t>Pago de agua</t>
  </si>
  <si>
    <t>Alquiler</t>
  </si>
  <si>
    <t>INGRESOS</t>
  </si>
  <si>
    <t>ERROR EN TOMA DE PEDIDOS</t>
  </si>
  <si>
    <t>GASTOS DE OPERACIÓN</t>
  </si>
  <si>
    <t>FONDOS CAJA CHICA</t>
  </si>
  <si>
    <t>FONDOS ROTATIVOS</t>
  </si>
  <si>
    <t>PAGOS  A PROVEEDORES</t>
  </si>
  <si>
    <t>GASTOS DE  ADMINISTRACIÓN</t>
  </si>
  <si>
    <t>TOTAL SALARIOS GYE</t>
  </si>
  <si>
    <t>GASTOS DE VENTA</t>
  </si>
  <si>
    <t>Total ARRENDAMIENTOS GYE</t>
  </si>
  <si>
    <t>TOTAL PERMISOS MUNICIPALES DE FUNCIONAMIENTO</t>
  </si>
  <si>
    <t>UTILIDAD OPERACIONAL</t>
  </si>
  <si>
    <t>SIPIA S.A.</t>
  </si>
  <si>
    <t>FLUJO DE CAJA DEL COSTO ANUAL UNIFORME EQUIVALENTE</t>
  </si>
  <si>
    <t>ERROR EN LA TOMA DE PEDIDOS A PERPETUIDAD</t>
  </si>
  <si>
    <t>TIR</t>
  </si>
  <si>
    <t>VAN</t>
  </si>
  <si>
    <t xml:space="preserve">SUELDOS </t>
  </si>
  <si>
    <t>MANO DE OBRA DIRECTA</t>
  </si>
  <si>
    <t>CANTIDAD</t>
  </si>
  <si>
    <t>SUELDO MENSUAL
 POR PERSONA</t>
  </si>
  <si>
    <t>SUELDO
 MENSUAL TOTAL</t>
  </si>
  <si>
    <t>ANUAL</t>
  </si>
  <si>
    <t>Jefe Regional</t>
  </si>
  <si>
    <t>Jefe Cartera</t>
  </si>
  <si>
    <t>Jefe Bodega</t>
  </si>
  <si>
    <t>Asistente Administrativa</t>
  </si>
  <si>
    <t>Asistente Servicio al Cliente</t>
  </si>
  <si>
    <t>Asistente Comercial</t>
  </si>
  <si>
    <t>Vendedores</t>
  </si>
  <si>
    <t>Mercaderistas</t>
  </si>
  <si>
    <t>Coordinador Ventas provincia</t>
  </si>
  <si>
    <t>Promotor de ventas provincia</t>
  </si>
  <si>
    <t>Asistente de Bodega</t>
  </si>
  <si>
    <t>Choferes</t>
  </si>
  <si>
    <t>Auxiliares</t>
  </si>
  <si>
    <t>VAN EX ANTE</t>
  </si>
  <si>
    <t>TASA DE DESCUENTO</t>
  </si>
  <si>
    <t>DIFERENCIA VAN</t>
  </si>
  <si>
    <t>EX POST - EX ANTE</t>
  </si>
  <si>
    <t xml:space="preserve">AHORRO DEL DEPARTAMENTO DE FACTURACION </t>
  </si>
  <si>
    <t>CON APLICACIÓN DE MEJORAS</t>
  </si>
  <si>
    <t>VAN EX POST</t>
  </si>
  <si>
    <t>ANALISIS DE SENSIBILIDAD</t>
  </si>
  <si>
    <t>TASA DE DESCUENTO:  LA TASA DE LA EMPRESA ES DEL 12.5 %, PERO EXISTE LA POSIBILIDAD</t>
  </si>
  <si>
    <t>DE VARIACIÓN DE MANERA PESIMISTA AL 18 %, PERO ES MUY PROBABLE QUE LA EMPRESA</t>
  </si>
  <si>
    <t>TENGA UNA CONSIDERACIÓN DEL 15 %.  DE MANERA HISTÓRICA.</t>
  </si>
  <si>
    <t>CON ESTO LA MEJOR VARIACIÓN DE LA TASA DE DESCUENTO ESTARÍA REPRESENTADA POR</t>
  </si>
  <si>
    <t>UNA DISTRIBUCIÓN DE PROBABILIDAD PERT (12.5, 15, 18), CUYO VALOR PESIMISTA SERÍA</t>
  </si>
  <si>
    <t>DEL 12.5%, MAS PROBABLE DEL 15 %, Y DE MANERA PESIMISTA CON TODAS LAS CONDICIONES</t>
  </si>
  <si>
    <t>DEL MERCADO CAMBIANTES, 18%.</t>
  </si>
  <si>
    <t xml:space="preserve">INVERSIÓN INICIAL:  POR CUESTIONES DE INFLACIÓN, PODEMOS TOMAR EN CUENTA QUE LA </t>
  </si>
  <si>
    <t>INVERSIÓN INICIAL PODRÍA VARIAR HASTA UN 10% (CONDICIONES ASAMBLEA CONSTITUYENTE)</t>
  </si>
  <si>
    <t>Y QUE LA MISMA TIENE IGUAL PROBABILIDAD QUE OCURRA ENTRE EL RANGO DE VALORES DEL</t>
  </si>
  <si>
    <t>3621 HASTA 3983.1</t>
  </si>
  <si>
    <t>AHORRO EN FACTURACIÓN:  ESTE AHORRO ESTÁ REPRESENTADO POR LAS FACTURAS ANULADAS</t>
  </si>
  <si>
    <t>LAS CUALES EN TOTAL SON 8 FACTURAS MENSUALES, EQUIVALENTES A 3714.01 AL AÑO.  SI CONSIDERAMOS</t>
  </si>
  <si>
    <t>QUE DESDE EL PUNTO DE VISTA PESIMISTA SE PODRIA OBTENER UNA EFICIENCIA DEL 50 %, Y MUY PROBABLEMENTE</t>
  </si>
  <si>
    <t>LA EFICIENCIA REAL PROMEDIO SEA DEL 75%, (6 FACTURAS), PODEMOS ASUMIR UNA DISTRIBUCIÓN PERT</t>
  </si>
  <si>
    <t>COMO VALOR PESIMISTA DE 1857, MAS PROBABLE DE 2785.51 Y OPTIMISTA DE ALCANZAR 8 FACTURAS CON UN VALOR</t>
  </si>
  <si>
    <t>DE 3714.01</t>
  </si>
  <si>
    <t>SE VA A ANALIZAR LA VARIACIÓN DEL VAN CON ESTÁS PREMISAS, PARA DETERMINAR SI EXISTE</t>
  </si>
  <si>
    <t>LA POSIBILIDAD DE OBTENER UN VAN NEGATIVO, Y CON ESTO TOMAR OTRAS ACCIONES EN CASO DE DARSE ESTA POSIBILIDAD.</t>
  </si>
  <si>
    <t>CON ESTO APLICAMOS UN MODELO DE SIMULACIÓN @RISK CON NUESTROS FLUJOS DE AHORRO Y VERIFICAMOS LOS RESULTADOS</t>
  </si>
  <si>
    <t>PARA EL MODELO SE TOMA EN CUENTA 10000 ITERACCIONES, LO QUE SIGNIFICAN 10.000 TABLAS EXCEL CON LAS DIFERENTES</t>
  </si>
  <si>
    <t>POSIBILIDADES CONTEMPLADAS EN EL MODELO, CON ESTO, LOS RESULTADOS SON:</t>
  </si>
  <si>
    <t>Name</t>
  </si>
  <si>
    <t>Minimum</t>
  </si>
  <si>
    <t>Mean</t>
  </si>
  <si>
    <t>Maximum</t>
  </si>
  <si>
    <t>Std Dev</t>
  </si>
  <si>
    <t>Variance</t>
  </si>
  <si>
    <t>Skewness</t>
  </si>
  <si>
    <t>Kurtosis</t>
  </si>
  <si>
    <t>Mode</t>
  </si>
  <si>
    <t>Left X</t>
  </si>
  <si>
    <t>Left P</t>
  </si>
  <si>
    <t>Right X</t>
  </si>
  <si>
    <t>Right P</t>
  </si>
  <si>
    <t>Diff. X</t>
  </si>
  <si>
    <t>Diff. P</t>
  </si>
  <si>
    <t>5th Perc.</t>
  </si>
  <si>
    <t>95th Perc.</t>
  </si>
  <si>
    <t>#Errors</t>
  </si>
  <si>
    <t>Filter Min</t>
  </si>
  <si>
    <t>Filter Max</t>
  </si>
  <si>
    <t>#Filtered</t>
  </si>
  <si>
    <t>EL VALOR MEDIO DEL VAN ES DE 5521, Y NO EXISTE NINGUNA PROB.</t>
  </si>
  <si>
    <t>DE QUE EL VAN SEA NEGATIVO.  LOS RESULTADOS DE LA SIMULACIÓN</t>
  </si>
  <si>
    <t>SE ENCUENTRAN EN LA TABLA ADJUNTA.</t>
  </si>
  <si>
    <t>TABLA</t>
  </si>
  <si>
    <t xml:space="preserve">AUN CONSIDERANDO QUE EL RANGO VARÍA AL DOBLE DE INVERSIÓN, TENEMOS EN CUENTA </t>
  </si>
  <si>
    <t>QUE SE DUPLICA LA INVERSIÓN A 7242, EN LAS CONDICIONES MAS ADVERSAS,</t>
  </si>
  <si>
    <t>TENEMOS QUE LOS RESULTADOS VARIARÍAN EN LO SIGUIENTE:</t>
  </si>
  <si>
    <t>CONSIDERANDO QUE NO SE ALCANZAN LAS METAS PROPUESTAS EN EL PRIMER AÑO.  SE ALCANZA SOLO</t>
  </si>
  <si>
    <t>MIN:  928.5, MPROB: 1857, MAX: 2785.51</t>
  </si>
  <si>
    <t>EL VALOR MEDIO DEL VAN ES DE 3892, Y NO EXISTE NINGUNA PROB.</t>
  </si>
  <si>
    <t>EL VALOR MEDIO DEL VAN ES DE 3085.336, Y  EXISTE UNA PROB.DEL 0.07%</t>
  </si>
  <si>
    <t>SI ADICIONALMENTE A QUE SE DE UNA POSIBILIDAD DE DUPLICAR LA INVERSIÓN</t>
  </si>
  <si>
    <t>Cantidad</t>
  </si>
  <si>
    <t xml:space="preserve">Descripción </t>
  </si>
  <si>
    <t>Precios</t>
  </si>
  <si>
    <t>Subtotal</t>
  </si>
  <si>
    <t>Coffee Break - Facturar por persona $3.84 + 22%</t>
  </si>
  <si>
    <t xml:space="preserve">Café a discreción </t>
  </si>
  <si>
    <t>Mini Sandwich</t>
  </si>
  <si>
    <t>Variedad de Torta</t>
  </si>
  <si>
    <t>Cola o Mineral</t>
  </si>
  <si>
    <t>Contratación del Facilitador</t>
  </si>
  <si>
    <t>Alquiler Proyector INFOCUS</t>
  </si>
  <si>
    <t xml:space="preserve">Proyector INFOCUS SVGA </t>
  </si>
  <si>
    <t>*Compatible Windows y Macintosh</t>
  </si>
  <si>
    <t>*Incluye cables de poder, cable de video</t>
  </si>
  <si>
    <t xml:space="preserve">*Incluye instalación en las oficinas y explicación de uso </t>
  </si>
  <si>
    <t>Televisor de 21'' colores con VCR para VHS</t>
  </si>
  <si>
    <t>Windows XP (word, excel, power point, access)</t>
  </si>
  <si>
    <t>Computador portatil Pentium 4/256 mb/20GB con</t>
  </si>
  <si>
    <t>*Información: Proforma Servicentro, Ecuaciones</t>
  </si>
  <si>
    <t>Fuente y Elaboración: Acosta, Castillo, Crespo</t>
  </si>
  <si>
    <t>TABLA COSTOS DE CAPACITACIÓN A TRABAJADORES GYE</t>
  </si>
  <si>
    <t>ACTIVIDAD</t>
  </si>
  <si>
    <t xml:space="preserve">Objetivo 1: </t>
  </si>
  <si>
    <t xml:space="preserve">Revisar y definir el requerimiento de las técnicas para un mejoramiento continuo </t>
  </si>
  <si>
    <t xml:space="preserve">Objetivo 2: </t>
  </si>
  <si>
    <t>Contratar Facilitador</t>
  </si>
  <si>
    <t xml:space="preserve">Objetivo 3: </t>
  </si>
  <si>
    <t>Capacitar a trabajadores</t>
  </si>
  <si>
    <t xml:space="preserve">Estrategia 2: </t>
  </si>
  <si>
    <t>Establecer us sistema de mejora que proporcione un lugar específico para cada cosa.</t>
  </si>
  <si>
    <t>Ejecutar la adquisición de muebles</t>
  </si>
  <si>
    <t>Responsable:</t>
  </si>
  <si>
    <t>Ing. Fernando Ramón - Experto Contralor</t>
  </si>
  <si>
    <t>Equipo de Implementación Acosta, Castillo, Crespo</t>
  </si>
  <si>
    <t xml:space="preserve">Estrategia 1: </t>
  </si>
  <si>
    <t>Talleres Motivacionales</t>
  </si>
  <si>
    <t>SEMANAS</t>
  </si>
  <si>
    <t>TABLA CRONOGRAMA PARA LA IMPLEMENTACIÓN DE LAS MEJORAS</t>
  </si>
  <si>
    <t>SIMULACIÓN APLICADA</t>
  </si>
  <si>
    <t>VAN SIMULACIÓN</t>
  </si>
  <si>
    <t>FLUJO DE CAJA ANUAL</t>
  </si>
  <si>
    <t>ERROR EN LA TOMA DE PEDIDOS</t>
  </si>
  <si>
    <t xml:space="preserve">FLUJO DE CAJA  ANUAL </t>
  </si>
  <si>
    <t>IMPLEMENTACIÓN DE LA MEJORA</t>
  </si>
  <si>
    <t>FLUJO DE CAJA DE AHORRO ANUAL POR IMPLEMENTACIÓN DE LAS MEJORAS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</si>
</sst>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000"/>
    <numFmt numFmtId="177" formatCode="#,##0.00\ _€"/>
    <numFmt numFmtId="178" formatCode="_(* #,##0.00_);_(* \(#,##0.00\);_(* &quot;-&quot;??_);_(@_)"/>
    <numFmt numFmtId="179" formatCode="_ * #,##0.00_ ;_ * \-#,##0.00_ ;_ * &quot;-&quot;??_ ;_ @_ "/>
    <numFmt numFmtId="186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Book Antiqua"/>
      <family val="1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3"/>
      <color indexed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2"/>
      <name val="Book Antiqua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3" fillId="2" borderId="1" xfId="0" applyFont="1" applyFill="1" applyBorder="1" applyAlignment="1">
      <alignment/>
    </xf>
    <xf numFmtId="177" fontId="0" fillId="2" borderId="3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7" xfId="22" applyFont="1" applyFill="1" applyBorder="1" applyAlignment="1">
      <alignment horizontal="left"/>
      <protection/>
    </xf>
    <xf numFmtId="0" fontId="5" fillId="0" borderId="7" xfId="22" applyBorder="1">
      <alignment/>
      <protection/>
    </xf>
    <xf numFmtId="0" fontId="5" fillId="0" borderId="0" xfId="22" applyBorder="1">
      <alignment/>
      <protection/>
    </xf>
    <xf numFmtId="0" fontId="4" fillId="0" borderId="0" xfId="22" applyFont="1" applyFill="1" applyBorder="1" applyAlignment="1">
      <alignment horizontal="left"/>
      <protection/>
    </xf>
    <xf numFmtId="0" fontId="6" fillId="0" borderId="0" xfId="22" applyFont="1" applyBorder="1">
      <alignment/>
      <protection/>
    </xf>
    <xf numFmtId="0" fontId="4" fillId="0" borderId="7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0" fontId="4" fillId="0" borderId="5" xfId="22" applyFont="1" applyFill="1" applyBorder="1" applyAlignment="1">
      <alignment horizontal="left"/>
      <protection/>
    </xf>
    <xf numFmtId="0" fontId="6" fillId="0" borderId="12" xfId="22" applyFont="1" applyBorder="1">
      <alignment/>
      <protection/>
    </xf>
    <xf numFmtId="0" fontId="5" fillId="0" borderId="10" xfId="22" applyBorder="1">
      <alignment/>
      <protection/>
    </xf>
    <xf numFmtId="0" fontId="5" fillId="0" borderId="0" xfId="22">
      <alignment/>
      <protection/>
    </xf>
    <xf numFmtId="178" fontId="7" fillId="0" borderId="0" xfId="22" applyNumberFormat="1" applyFont="1">
      <alignment/>
      <protection/>
    </xf>
    <xf numFmtId="0" fontId="6" fillId="0" borderId="0" xfId="22" applyFont="1" applyAlignment="1">
      <alignment horizontal="center"/>
      <protection/>
    </xf>
    <xf numFmtId="179" fontId="7" fillId="0" borderId="0" xfId="22" applyNumberFormat="1" applyFont="1">
      <alignment/>
      <protection/>
    </xf>
    <xf numFmtId="0" fontId="5" fillId="0" borderId="0" xfId="22" applyFill="1">
      <alignment/>
      <protection/>
    </xf>
    <xf numFmtId="178" fontId="5" fillId="0" borderId="0" xfId="22" applyNumberFormat="1" applyFill="1">
      <alignment/>
      <protection/>
    </xf>
    <xf numFmtId="0" fontId="5" fillId="0" borderId="6" xfId="22" applyBorder="1">
      <alignment/>
      <protection/>
    </xf>
    <xf numFmtId="0" fontId="5" fillId="0" borderId="13" xfId="22" applyBorder="1">
      <alignment/>
      <protection/>
    </xf>
    <xf numFmtId="178" fontId="7" fillId="0" borderId="0" xfId="19" applyFont="1" applyAlignment="1">
      <alignment/>
    </xf>
    <xf numFmtId="178" fontId="5" fillId="0" borderId="3" xfId="19" applyBorder="1" applyAlignment="1">
      <alignment/>
    </xf>
    <xf numFmtId="178" fontId="5" fillId="0" borderId="14" xfId="19" applyBorder="1" applyAlignment="1">
      <alignment/>
    </xf>
    <xf numFmtId="178" fontId="5" fillId="0" borderId="0" xfId="19" applyAlignment="1">
      <alignment/>
    </xf>
    <xf numFmtId="178" fontId="5" fillId="0" borderId="4" xfId="19" applyBorder="1" applyAlignment="1">
      <alignment/>
    </xf>
    <xf numFmtId="178" fontId="5" fillId="0" borderId="0" xfId="19" applyBorder="1" applyAlignment="1">
      <alignment/>
    </xf>
    <xf numFmtId="0" fontId="6" fillId="0" borderId="5" xfId="22" applyFont="1" applyBorder="1">
      <alignment/>
      <protection/>
    </xf>
    <xf numFmtId="0" fontId="6" fillId="0" borderId="7" xfId="22" applyFont="1" applyBorder="1">
      <alignment/>
      <protection/>
    </xf>
    <xf numFmtId="0" fontId="5" fillId="0" borderId="14" xfId="22" applyBorder="1">
      <alignment/>
      <protection/>
    </xf>
    <xf numFmtId="0" fontId="5" fillId="0" borderId="12" xfId="22" applyBorder="1">
      <alignment/>
      <protection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4" xfId="0" applyFill="1" applyBorder="1" applyAlignment="1">
      <alignment/>
    </xf>
    <xf numFmtId="178" fontId="5" fillId="0" borderId="6" xfId="19" applyBorder="1" applyAlignment="1">
      <alignment/>
    </xf>
    <xf numFmtId="178" fontId="5" fillId="0" borderId="13" xfId="19" applyBorder="1" applyAlignment="1">
      <alignment/>
    </xf>
    <xf numFmtId="0" fontId="5" fillId="0" borderId="15" xfId="22" applyBorder="1">
      <alignment/>
      <protection/>
    </xf>
    <xf numFmtId="178" fontId="5" fillId="0" borderId="2" xfId="19" applyBorder="1" applyAlignment="1">
      <alignment/>
    </xf>
    <xf numFmtId="0" fontId="5" fillId="0" borderId="3" xfId="22" applyBorder="1">
      <alignment/>
      <protection/>
    </xf>
    <xf numFmtId="0" fontId="5" fillId="0" borderId="4" xfId="22" applyBorder="1">
      <alignment/>
      <protection/>
    </xf>
    <xf numFmtId="0" fontId="6" fillId="0" borderId="1" xfId="19" applyNumberFormat="1" applyFont="1" applyBorder="1" applyAlignment="1">
      <alignment horizontal="center"/>
    </xf>
    <xf numFmtId="0" fontId="6" fillId="0" borderId="9" xfId="22" applyNumberFormat="1" applyFont="1" applyBorder="1" applyAlignment="1">
      <alignment horizontal="center"/>
      <protection/>
    </xf>
    <xf numFmtId="0" fontId="6" fillId="0" borderId="1" xfId="22" applyNumberFormat="1" applyFont="1" applyBorder="1" applyAlignment="1">
      <alignment horizontal="center"/>
      <protection/>
    </xf>
    <xf numFmtId="0" fontId="6" fillId="0" borderId="11" xfId="22" applyNumberFormat="1" applyFont="1" applyBorder="1" applyAlignment="1">
      <alignment horizontal="center"/>
      <protection/>
    </xf>
    <xf numFmtId="0" fontId="5" fillId="0" borderId="5" xfId="22" applyBorder="1">
      <alignment/>
      <protection/>
    </xf>
    <xf numFmtId="43" fontId="5" fillId="0" borderId="0" xfId="22" applyNumberFormat="1">
      <alignment/>
      <protection/>
    </xf>
    <xf numFmtId="8" fontId="5" fillId="0" borderId="0" xfId="22" applyNumberFormat="1">
      <alignment/>
      <protection/>
    </xf>
    <xf numFmtId="0" fontId="6" fillId="0" borderId="6" xfId="22" applyFont="1" applyBorder="1">
      <alignment/>
      <protection/>
    </xf>
    <xf numFmtId="10" fontId="6" fillId="0" borderId="13" xfId="22" applyNumberFormat="1" applyFont="1" applyBorder="1">
      <alignment/>
      <protection/>
    </xf>
    <xf numFmtId="0" fontId="6" fillId="0" borderId="14" xfId="22" applyFont="1" applyBorder="1">
      <alignment/>
      <protection/>
    </xf>
    <xf numFmtId="40" fontId="11" fillId="0" borderId="14" xfId="22" applyNumberFormat="1" applyFont="1" applyBorder="1">
      <alignment/>
      <protection/>
    </xf>
    <xf numFmtId="40" fontId="11" fillId="0" borderId="1" xfId="22" applyNumberFormat="1" applyFont="1" applyBorder="1">
      <alignment/>
      <protection/>
    </xf>
    <xf numFmtId="0" fontId="5" fillId="0" borderId="4" xfId="22" applyFont="1" applyBorder="1">
      <alignment/>
      <protection/>
    </xf>
    <xf numFmtId="40" fontId="11" fillId="0" borderId="13" xfId="22" applyNumberFormat="1" applyFont="1" applyFill="1" applyBorder="1">
      <alignment/>
      <protection/>
    </xf>
    <xf numFmtId="0" fontId="5" fillId="0" borderId="15" xfId="22" applyFill="1" applyBorder="1">
      <alignment/>
      <protection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5" fillId="0" borderId="0" xfId="22" applyAlignment="1">
      <alignment horizontal="center"/>
      <protection/>
    </xf>
    <xf numFmtId="178" fontId="7" fillId="0" borderId="0" xfId="22" applyNumberFormat="1" applyFont="1" applyAlignment="1">
      <alignment horizontal="center"/>
      <protection/>
    </xf>
    <xf numFmtId="178" fontId="7" fillId="0" borderId="0" xfId="19" applyFont="1" applyAlignment="1">
      <alignment horizontal="center"/>
    </xf>
    <xf numFmtId="179" fontId="7" fillId="0" borderId="0" xfId="22" applyNumberFormat="1" applyFont="1" applyAlignment="1">
      <alignment horizontal="center"/>
      <protection/>
    </xf>
    <xf numFmtId="0" fontId="5" fillId="0" borderId="0" xfId="22" applyFill="1" applyAlignment="1">
      <alignment horizontal="center"/>
      <protection/>
    </xf>
    <xf numFmtId="178" fontId="5" fillId="0" borderId="0" xfId="22" applyNumberFormat="1" applyFill="1" applyAlignment="1">
      <alignment horizontal="center"/>
      <protection/>
    </xf>
    <xf numFmtId="178" fontId="5" fillId="0" borderId="0" xfId="19" applyAlignment="1">
      <alignment horizontal="center"/>
    </xf>
    <xf numFmtId="0" fontId="5" fillId="0" borderId="0" xfId="22" applyFont="1">
      <alignment/>
      <protection/>
    </xf>
    <xf numFmtId="40" fontId="6" fillId="0" borderId="13" xfId="22" applyNumberFormat="1" applyFont="1" applyBorder="1">
      <alignment/>
      <protection/>
    </xf>
    <xf numFmtId="40" fontId="6" fillId="0" borderId="14" xfId="22" applyNumberFormat="1" applyFont="1" applyBorder="1">
      <alignment/>
      <protection/>
    </xf>
    <xf numFmtId="0" fontId="6" fillId="0" borderId="15" xfId="22" applyFont="1" applyBorder="1">
      <alignment/>
      <protection/>
    </xf>
    <xf numFmtId="40" fontId="6" fillId="0" borderId="15" xfId="22" applyNumberFormat="1" applyFont="1" applyBorder="1">
      <alignment/>
      <protection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1" fontId="0" fillId="0" borderId="19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9" fontId="0" fillId="0" borderId="19" xfId="0" applyNumberFormat="1" applyBorder="1" applyAlignment="1">
      <alignment/>
    </xf>
    <xf numFmtId="10" fontId="0" fillId="2" borderId="0" xfId="0" applyNumberFormat="1" applyFill="1" applyAlignment="1">
      <alignment/>
    </xf>
    <xf numFmtId="0" fontId="6" fillId="2" borderId="5" xfId="22" applyFont="1" applyFill="1" applyBorder="1">
      <alignment/>
      <protection/>
    </xf>
    <xf numFmtId="0" fontId="6" fillId="2" borderId="6" xfId="22" applyFont="1" applyFill="1" applyBorder="1">
      <alignment/>
      <protection/>
    </xf>
    <xf numFmtId="10" fontId="6" fillId="2" borderId="13" xfId="22" applyNumberFormat="1" applyFont="1" applyFill="1" applyBorder="1">
      <alignment/>
      <protection/>
    </xf>
    <xf numFmtId="0" fontId="6" fillId="2" borderId="7" xfId="22" applyFont="1" applyFill="1" applyBorder="1">
      <alignment/>
      <protection/>
    </xf>
    <xf numFmtId="0" fontId="6" fillId="2" borderId="0" xfId="22" applyFont="1" applyFill="1" applyBorder="1">
      <alignment/>
      <protection/>
    </xf>
    <xf numFmtId="0" fontId="6" fillId="2" borderId="14" xfId="22" applyFont="1" applyFill="1" applyBorder="1">
      <alignment/>
      <protection/>
    </xf>
    <xf numFmtId="40" fontId="11" fillId="2" borderId="14" xfId="22" applyNumberFormat="1" applyFont="1" applyFill="1" applyBorder="1">
      <alignment/>
      <protection/>
    </xf>
    <xf numFmtId="0" fontId="6" fillId="2" borderId="12" xfId="22" applyFont="1" applyFill="1" applyBorder="1">
      <alignment/>
      <protection/>
    </xf>
    <xf numFmtId="0" fontId="6" fillId="2" borderId="10" xfId="22" applyFont="1" applyFill="1" applyBorder="1">
      <alignment/>
      <protection/>
    </xf>
    <xf numFmtId="9" fontId="6" fillId="2" borderId="15" xfId="22" applyNumberFormat="1" applyFont="1" applyFill="1" applyBorder="1">
      <alignment/>
      <protection/>
    </xf>
    <xf numFmtId="0" fontId="6" fillId="3" borderId="5" xfId="22" applyFont="1" applyFill="1" applyBorder="1">
      <alignment/>
      <protection/>
    </xf>
    <xf numFmtId="0" fontId="6" fillId="3" borderId="6" xfId="22" applyFont="1" applyFill="1" applyBorder="1">
      <alignment/>
      <protection/>
    </xf>
    <xf numFmtId="10" fontId="6" fillId="3" borderId="13" xfId="22" applyNumberFormat="1" applyFont="1" applyFill="1" applyBorder="1">
      <alignment/>
      <protection/>
    </xf>
    <xf numFmtId="0" fontId="6" fillId="3" borderId="7" xfId="22" applyFont="1" applyFill="1" applyBorder="1">
      <alignment/>
      <protection/>
    </xf>
    <xf numFmtId="0" fontId="6" fillId="3" borderId="0" xfId="22" applyFont="1" applyFill="1" applyBorder="1">
      <alignment/>
      <protection/>
    </xf>
    <xf numFmtId="0" fontId="6" fillId="3" borderId="14" xfId="22" applyFont="1" applyFill="1" applyBorder="1">
      <alignment/>
      <protection/>
    </xf>
    <xf numFmtId="40" fontId="11" fillId="3" borderId="14" xfId="22" applyNumberFormat="1" applyFont="1" applyFill="1" applyBorder="1">
      <alignment/>
      <protection/>
    </xf>
    <xf numFmtId="0" fontId="6" fillId="3" borderId="12" xfId="22" applyFont="1" applyFill="1" applyBorder="1">
      <alignment/>
      <protection/>
    </xf>
    <xf numFmtId="0" fontId="6" fillId="3" borderId="10" xfId="22" applyFont="1" applyFill="1" applyBorder="1">
      <alignment/>
      <protection/>
    </xf>
    <xf numFmtId="9" fontId="6" fillId="3" borderId="15" xfId="22" applyNumberFormat="1" applyFont="1" applyFill="1" applyBorder="1">
      <alignment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3" xfId="0" applyFont="1" applyBorder="1" applyAlignment="1">
      <alignment/>
    </xf>
    <xf numFmtId="2" fontId="0" fillId="0" borderId="3" xfId="0" applyNumberFormat="1" applyBorder="1" applyAlignment="1">
      <alignment/>
    </xf>
    <xf numFmtId="0" fontId="3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86" fontId="0" fillId="0" borderId="13" xfId="0" applyNumberFormat="1" applyBorder="1" applyAlignment="1">
      <alignment/>
    </xf>
    <xf numFmtId="186" fontId="0" fillId="0" borderId="1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6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2" borderId="12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0" fontId="14" fillId="5" borderId="6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0" fontId="14" fillId="6" borderId="5" xfId="0" applyFont="1" applyFill="1" applyBorder="1" applyAlignment="1">
      <alignment/>
    </xf>
    <xf numFmtId="0" fontId="14" fillId="6" borderId="6" xfId="0" applyFont="1" applyFill="1" applyBorder="1" applyAlignment="1">
      <alignment/>
    </xf>
    <xf numFmtId="0" fontId="14" fillId="6" borderId="13" xfId="0" applyFont="1" applyFill="1" applyBorder="1" applyAlignment="1">
      <alignment/>
    </xf>
    <xf numFmtId="0" fontId="14" fillId="6" borderId="7" xfId="0" applyFont="1" applyFill="1" applyBorder="1" applyAlignment="1">
      <alignment/>
    </xf>
    <xf numFmtId="0" fontId="14" fillId="6" borderId="0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14" fillId="6" borderId="15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4" fillId="7" borderId="7" xfId="0" applyFont="1" applyFill="1" applyBorder="1" applyAlignment="1">
      <alignment/>
    </xf>
    <xf numFmtId="0" fontId="14" fillId="7" borderId="14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7" borderId="15" xfId="0" applyFont="1" applyFill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8" xfId="0" applyFont="1" applyFill="1" applyBorder="1" applyAlignment="1">
      <alignment/>
    </xf>
    <xf numFmtId="0" fontId="0" fillId="7" borderId="11" xfId="0" applyFill="1" applyBorder="1" applyAlignment="1">
      <alignment/>
    </xf>
    <xf numFmtId="10" fontId="0" fillId="7" borderId="1" xfId="0" applyNumberFormat="1" applyFill="1" applyBorder="1" applyAlignment="1">
      <alignment/>
    </xf>
    <xf numFmtId="0" fontId="3" fillId="7" borderId="5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" xfId="0" applyFill="1" applyBorder="1" applyAlignment="1">
      <alignment/>
    </xf>
    <xf numFmtId="177" fontId="0" fillId="7" borderId="1" xfId="0" applyNumberFormat="1" applyFill="1" applyBorder="1" applyAlignment="1">
      <alignment/>
    </xf>
    <xf numFmtId="0" fontId="3" fillId="7" borderId="12" xfId="0" applyFont="1" applyFill="1" applyBorder="1" applyAlignment="1">
      <alignment/>
    </xf>
    <xf numFmtId="0" fontId="0" fillId="7" borderId="15" xfId="0" applyFill="1" applyBorder="1" applyAlignment="1">
      <alignment/>
    </xf>
    <xf numFmtId="10" fontId="0" fillId="7" borderId="15" xfId="0" applyNumberFormat="1" applyFill="1" applyBorder="1" applyAlignment="1">
      <alignment/>
    </xf>
    <xf numFmtId="0" fontId="3" fillId="7" borderId="9" xfId="0" applyFont="1" applyFill="1" applyBorder="1" applyAlignment="1">
      <alignment/>
    </xf>
    <xf numFmtId="0" fontId="0" fillId="7" borderId="9" xfId="0" applyFill="1" applyBorder="1" applyAlignment="1">
      <alignment/>
    </xf>
    <xf numFmtId="177" fontId="0" fillId="7" borderId="9" xfId="0" applyNumberForma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10" fontId="0" fillId="2" borderId="1" xfId="0" applyNumberForma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77" fontId="0" fillId="2" borderId="1" xfId="0" applyNumberFormat="1" applyFill="1" applyBorder="1" applyAlignment="1">
      <alignment/>
    </xf>
    <xf numFmtId="0" fontId="3" fillId="2" borderId="12" xfId="0" applyFont="1" applyFill="1" applyBorder="1" applyAlignment="1">
      <alignment/>
    </xf>
    <xf numFmtId="0" fontId="0" fillId="2" borderId="10" xfId="0" applyFill="1" applyBorder="1" applyAlignment="1">
      <alignment/>
    </xf>
    <xf numFmtId="10" fontId="0" fillId="2" borderId="4" xfId="0" applyNumberForma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0" xfId="0" applyNumberFormat="1" applyFill="1" applyAlignment="1">
      <alignment/>
    </xf>
    <xf numFmtId="177" fontId="0" fillId="0" borderId="0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2" borderId="19" xfId="0" applyNumberFormat="1" applyFill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1" xfId="0" applyNumberFormat="1" applyBorder="1" applyAlignment="1">
      <alignment/>
    </xf>
    <xf numFmtId="10" fontId="0" fillId="2" borderId="21" xfId="0" applyNumberFormat="1" applyFill="1" applyBorder="1" applyAlignment="1">
      <alignment/>
    </xf>
    <xf numFmtId="177" fontId="0" fillId="8" borderId="19" xfId="0" applyNumberForma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flujo caja GYE" xfId="19"/>
    <cellStyle name="Currency" xfId="20"/>
    <cellStyle name="Currency [0]" xfId="21"/>
    <cellStyle name="Normal_Balances trabajo modicad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1314450</xdr:colOff>
      <xdr:row>0</xdr:row>
      <xdr:rowOff>123825</xdr:rowOff>
    </xdr:from>
    <xdr:to>
      <xdr:col>4</xdr:col>
      <xdr:colOff>781050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2382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85725</xdr:rowOff>
    </xdr:from>
    <xdr:to>
      <xdr:col>4</xdr:col>
      <xdr:colOff>942975</xdr:colOff>
      <xdr:row>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72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104775</xdr:rowOff>
    </xdr:from>
    <xdr:to>
      <xdr:col>4</xdr:col>
      <xdr:colOff>66675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6670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1</xdr:row>
      <xdr:rowOff>95250</xdr:rowOff>
    </xdr:from>
    <xdr:to>
      <xdr:col>3</xdr:col>
      <xdr:colOff>752475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5717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43</xdr:row>
      <xdr:rowOff>38100</xdr:rowOff>
    </xdr:from>
    <xdr:to>
      <xdr:col>14</xdr:col>
      <xdr:colOff>466725</xdr:colOff>
      <xdr:row>76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7153275"/>
          <a:ext cx="703897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106</xdr:row>
      <xdr:rowOff>0</xdr:rowOff>
    </xdr:from>
    <xdr:to>
      <xdr:col>15</xdr:col>
      <xdr:colOff>142875</xdr:colOff>
      <xdr:row>140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7354550"/>
          <a:ext cx="7515225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13</xdr:col>
      <xdr:colOff>657225</xdr:colOff>
      <xdr:row>206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27127200"/>
          <a:ext cx="6477000" cy="661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231</xdr:row>
      <xdr:rowOff>142875</xdr:rowOff>
    </xdr:from>
    <xdr:to>
      <xdr:col>16</xdr:col>
      <xdr:colOff>561975</xdr:colOff>
      <xdr:row>272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0" y="37861875"/>
          <a:ext cx="8667750" cy="661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selection activeCell="C40" sqref="C40"/>
    </sheetView>
  </sheetViews>
  <sheetFormatPr defaultColWidth="11.421875" defaultRowHeight="12.75"/>
  <cols>
    <col min="1" max="2" width="9.140625" style="0" customWidth="1"/>
    <col min="3" max="3" width="48.57421875" style="0" bestFit="1" customWidth="1"/>
    <col min="4" max="16384" width="9.140625" style="0" customWidth="1"/>
  </cols>
  <sheetData>
    <row r="2" spans="2:6" ht="13.5" thickBot="1">
      <c r="B2" s="156" t="s">
        <v>155</v>
      </c>
      <c r="C2" s="156"/>
      <c r="D2" s="156"/>
      <c r="E2" s="156"/>
      <c r="F2" s="156"/>
    </row>
    <row r="3" spans="2:6" ht="13.5" thickBot="1">
      <c r="B3" s="5" t="s">
        <v>135</v>
      </c>
      <c r="C3" s="5" t="s">
        <v>136</v>
      </c>
      <c r="D3" s="5" t="s">
        <v>137</v>
      </c>
      <c r="E3" s="5" t="s">
        <v>138</v>
      </c>
      <c r="F3" s="146" t="s">
        <v>9</v>
      </c>
    </row>
    <row r="4" spans="2:6" ht="12.75">
      <c r="B4" s="151">
        <v>16</v>
      </c>
      <c r="C4" s="149" t="s">
        <v>139</v>
      </c>
      <c r="D4" s="150">
        <v>4.687</v>
      </c>
      <c r="E4" s="150">
        <f>D4*B4</f>
        <v>74.992</v>
      </c>
      <c r="F4" s="153">
        <f>E4*2</f>
        <v>149.984</v>
      </c>
    </row>
    <row r="5" spans="2:6" ht="12.75">
      <c r="B5" s="13"/>
      <c r="C5" s="3" t="s">
        <v>140</v>
      </c>
      <c r="D5" s="3"/>
      <c r="E5" s="3"/>
      <c r="F5" s="64"/>
    </row>
    <row r="6" spans="2:6" ht="12.75">
      <c r="B6" s="13"/>
      <c r="C6" s="3" t="s">
        <v>141</v>
      </c>
      <c r="D6" s="3"/>
      <c r="E6" s="3"/>
      <c r="F6" s="64"/>
    </row>
    <row r="7" spans="2:6" ht="12.75">
      <c r="B7" s="13"/>
      <c r="C7" s="3" t="s">
        <v>142</v>
      </c>
      <c r="D7" s="3"/>
      <c r="E7" s="3"/>
      <c r="F7" s="64"/>
    </row>
    <row r="8" spans="2:6" ht="12.75">
      <c r="B8" s="13"/>
      <c r="C8" s="3" t="s">
        <v>143</v>
      </c>
      <c r="D8" s="3"/>
      <c r="E8" s="3"/>
      <c r="F8" s="64"/>
    </row>
    <row r="9" spans="2:6" ht="13.5" thickBot="1">
      <c r="B9" s="152"/>
      <c r="C9" s="4"/>
      <c r="D9" s="4"/>
      <c r="E9" s="4"/>
      <c r="F9" s="68"/>
    </row>
    <row r="10" spans="2:6" ht="12.75">
      <c r="B10" s="13"/>
      <c r="C10" s="147" t="s">
        <v>144</v>
      </c>
      <c r="D10" s="3"/>
      <c r="E10" s="148">
        <v>855</v>
      </c>
      <c r="F10" s="154">
        <f>E10+E12</f>
        <v>1000</v>
      </c>
    </row>
    <row r="11" spans="2:6" ht="12.75">
      <c r="B11" s="13"/>
      <c r="C11" s="3"/>
      <c r="D11" s="3"/>
      <c r="E11" s="148"/>
      <c r="F11" s="64"/>
    </row>
    <row r="12" spans="2:6" ht="13.5" thickBot="1">
      <c r="B12" s="13"/>
      <c r="C12" s="147" t="s">
        <v>145</v>
      </c>
      <c r="D12" s="3"/>
      <c r="E12" s="155">
        <f>D13+D18+D20</f>
        <v>145</v>
      </c>
      <c r="F12" s="64"/>
    </row>
    <row r="13" spans="2:6" ht="12.75">
      <c r="B13" s="13">
        <v>1</v>
      </c>
      <c r="C13" s="3" t="s">
        <v>146</v>
      </c>
      <c r="D13" s="148">
        <v>59.5</v>
      </c>
      <c r="E13" s="3"/>
      <c r="F13" s="64"/>
    </row>
    <row r="14" spans="2:6" ht="12.75">
      <c r="B14" s="13"/>
      <c r="C14" s="3" t="s">
        <v>147</v>
      </c>
      <c r="D14" s="148"/>
      <c r="E14" s="3"/>
      <c r="F14" s="64"/>
    </row>
    <row r="15" spans="2:6" ht="12.75">
      <c r="B15" s="13"/>
      <c r="C15" s="3" t="s">
        <v>148</v>
      </c>
      <c r="D15" s="148"/>
      <c r="E15" s="3"/>
      <c r="F15" s="64"/>
    </row>
    <row r="16" spans="2:6" ht="12.75">
      <c r="B16" s="13"/>
      <c r="C16" s="3" t="s">
        <v>149</v>
      </c>
      <c r="D16" s="148"/>
      <c r="E16" s="3"/>
      <c r="F16" s="64"/>
    </row>
    <row r="17" spans="2:6" ht="12.75">
      <c r="B17" s="13"/>
      <c r="C17" s="3"/>
      <c r="D17" s="148"/>
      <c r="E17" s="3"/>
      <c r="F17" s="64"/>
    </row>
    <row r="18" spans="2:6" ht="12.75">
      <c r="B18" s="13">
        <v>1</v>
      </c>
      <c r="C18" s="3" t="s">
        <v>150</v>
      </c>
      <c r="D18" s="148">
        <v>26</v>
      </c>
      <c r="E18" s="3"/>
      <c r="F18" s="64"/>
    </row>
    <row r="19" spans="2:6" ht="12.75">
      <c r="B19" s="13"/>
      <c r="C19" s="3"/>
      <c r="D19" s="148"/>
      <c r="E19" s="3"/>
      <c r="F19" s="64"/>
    </row>
    <row r="20" spans="2:6" ht="13.5" thickBot="1">
      <c r="B20" s="13">
        <v>1</v>
      </c>
      <c r="C20" s="3" t="s">
        <v>152</v>
      </c>
      <c r="D20" s="155">
        <v>59.5</v>
      </c>
      <c r="E20" s="3"/>
      <c r="F20" s="64"/>
    </row>
    <row r="21" spans="2:6" ht="12.75">
      <c r="B21" s="13"/>
      <c r="C21" s="3" t="s">
        <v>151</v>
      </c>
      <c r="D21" s="3"/>
      <c r="E21" s="3"/>
      <c r="F21" s="64"/>
    </row>
    <row r="22" spans="2:6" ht="13.5" thickBot="1">
      <c r="B22" s="4"/>
      <c r="C22" s="4"/>
      <c r="D22" s="4"/>
      <c r="E22" s="4"/>
      <c r="F22" s="68"/>
    </row>
    <row r="23" spans="2:4" ht="12.75">
      <c r="B23" s="10"/>
      <c r="C23" s="65" t="s">
        <v>153</v>
      </c>
      <c r="D23" s="10"/>
    </row>
    <row r="24" ht="12.75">
      <c r="B24" s="29" t="s">
        <v>154</v>
      </c>
    </row>
    <row r="25" ht="13.5" thickBot="1"/>
    <row r="26" ht="17.25" thickBot="1">
      <c r="E26" s="1"/>
    </row>
  </sheetData>
  <mergeCells count="1">
    <mergeCell ref="B2:F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E17"/>
  <sheetViews>
    <sheetView workbookViewId="0" topLeftCell="A1">
      <selection activeCell="D43" sqref="D43"/>
    </sheetView>
  </sheetViews>
  <sheetFormatPr defaultColWidth="11.421875" defaultRowHeight="12.75"/>
  <cols>
    <col min="1" max="3" width="9.140625" style="0" customWidth="1"/>
    <col min="4" max="4" width="37.7109375" style="0" customWidth="1"/>
    <col min="5" max="5" width="41.421875" style="0" customWidth="1"/>
    <col min="6" max="16384" width="9.140625" style="0" customWidth="1"/>
  </cols>
  <sheetData>
    <row r="10" spans="3:5" ht="13.5" thickBot="1">
      <c r="C10" t="s">
        <v>1</v>
      </c>
      <c r="E10" s="6"/>
    </row>
    <row r="11" spans="3:5" ht="12.75">
      <c r="C11" s="7" t="s">
        <v>2</v>
      </c>
      <c r="D11" s="8"/>
      <c r="E11" s="2"/>
    </row>
    <row r="12" spans="3:5" ht="12.75">
      <c r="C12" s="9" t="s">
        <v>3</v>
      </c>
      <c r="D12" s="10"/>
      <c r="E12" s="11" t="s">
        <v>4</v>
      </c>
    </row>
    <row r="13" spans="3:5" ht="12.75">
      <c r="C13" s="12" t="s">
        <v>5</v>
      </c>
      <c r="D13" s="10"/>
      <c r="E13" s="13">
        <v>1000</v>
      </c>
    </row>
    <row r="14" spans="3:5" ht="12.75">
      <c r="C14" s="12" t="s">
        <v>6</v>
      </c>
      <c r="D14" s="10"/>
      <c r="E14" s="13">
        <v>150</v>
      </c>
    </row>
    <row r="15" spans="3:5" ht="12.75">
      <c r="C15" s="9" t="s">
        <v>7</v>
      </c>
      <c r="D15" s="10"/>
      <c r="E15" s="13"/>
    </row>
    <row r="16" spans="3:5" ht="13.5" thickBot="1">
      <c r="C16" s="12" t="s">
        <v>8</v>
      </c>
      <c r="D16" s="10"/>
      <c r="E16" s="13">
        <v>2471</v>
      </c>
    </row>
    <row r="17" spans="3:5" ht="13.5" thickBot="1">
      <c r="C17" s="14" t="s">
        <v>9</v>
      </c>
      <c r="D17" s="15"/>
      <c r="E17" s="16">
        <f>SUM(E13:E16)</f>
        <v>3621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"/>
  <sheetViews>
    <sheetView workbookViewId="0" topLeftCell="A1">
      <selection activeCell="K33" sqref="K33"/>
    </sheetView>
  </sheetViews>
  <sheetFormatPr defaultColWidth="11.421875" defaultRowHeight="12.75"/>
  <cols>
    <col min="1" max="1" width="14.28125" style="0" customWidth="1"/>
    <col min="4" max="4" width="11.421875" style="0" customWidth="1"/>
    <col min="6" max="6" width="12.00390625" style="0" customWidth="1"/>
    <col min="7" max="37" width="3.00390625" style="0" customWidth="1"/>
  </cols>
  <sheetData>
    <row r="1" spans="1:38" ht="16.5">
      <c r="A1" s="235" t="s">
        <v>172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</row>
    <row r="2" spans="7:37" ht="17.25" thickBot="1">
      <c r="G2" s="234" t="s">
        <v>171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</row>
    <row r="3" spans="1:37" ht="17.25" thickBot="1">
      <c r="A3" s="161" t="s">
        <v>156</v>
      </c>
      <c r="B3" s="162"/>
      <c r="C3" s="162"/>
      <c r="D3" s="162"/>
      <c r="E3" s="162"/>
      <c r="F3" s="163"/>
      <c r="G3" s="164">
        <v>1</v>
      </c>
      <c r="H3" s="165"/>
      <c r="I3" s="165"/>
      <c r="J3" s="165"/>
      <c r="K3" s="165"/>
      <c r="L3" s="166"/>
      <c r="M3" s="164">
        <v>2</v>
      </c>
      <c r="N3" s="165"/>
      <c r="O3" s="165"/>
      <c r="P3" s="165"/>
      <c r="Q3" s="165"/>
      <c r="R3" s="165"/>
      <c r="S3" s="166"/>
      <c r="T3" s="165">
        <v>3</v>
      </c>
      <c r="U3" s="165"/>
      <c r="V3" s="165"/>
      <c r="W3" s="165"/>
      <c r="X3" s="165"/>
      <c r="Y3" s="165"/>
      <c r="Z3" s="165"/>
      <c r="AA3" s="164">
        <v>4</v>
      </c>
      <c r="AB3" s="165"/>
      <c r="AC3" s="165"/>
      <c r="AD3" s="165"/>
      <c r="AE3" s="165"/>
      <c r="AF3" s="165"/>
      <c r="AG3" s="166"/>
      <c r="AH3" s="164">
        <v>5</v>
      </c>
      <c r="AI3" s="165"/>
      <c r="AJ3" s="165"/>
      <c r="AK3" s="166"/>
    </row>
    <row r="4" spans="1:38" ht="17.25" thickBot="1">
      <c r="A4" s="183" t="s">
        <v>169</v>
      </c>
      <c r="B4" s="185" t="s">
        <v>170</v>
      </c>
      <c r="C4" s="185"/>
      <c r="D4" s="185"/>
      <c r="E4" s="184"/>
      <c r="F4" s="184"/>
      <c r="G4" s="183">
        <v>1</v>
      </c>
      <c r="H4" s="185">
        <v>2</v>
      </c>
      <c r="I4" s="185">
        <v>3</v>
      </c>
      <c r="J4" s="185">
        <v>4</v>
      </c>
      <c r="K4" s="185">
        <v>5</v>
      </c>
      <c r="L4" s="186">
        <v>6</v>
      </c>
      <c r="M4" s="183">
        <v>7</v>
      </c>
      <c r="N4" s="185">
        <v>8</v>
      </c>
      <c r="O4" s="185">
        <v>9</v>
      </c>
      <c r="P4" s="185">
        <v>10</v>
      </c>
      <c r="Q4" s="185">
        <v>11</v>
      </c>
      <c r="R4" s="185">
        <v>12</v>
      </c>
      <c r="S4" s="186">
        <v>13</v>
      </c>
      <c r="T4" s="185">
        <v>14</v>
      </c>
      <c r="U4" s="185">
        <v>15</v>
      </c>
      <c r="V4" s="185">
        <v>16</v>
      </c>
      <c r="W4" s="185">
        <v>17</v>
      </c>
      <c r="X4" s="185">
        <v>18</v>
      </c>
      <c r="Y4" s="185">
        <v>19</v>
      </c>
      <c r="Z4" s="185">
        <v>20</v>
      </c>
      <c r="AA4" s="183">
        <v>21</v>
      </c>
      <c r="AB4" s="185">
        <v>22</v>
      </c>
      <c r="AC4" s="185">
        <v>23</v>
      </c>
      <c r="AD4" s="185">
        <v>24</v>
      </c>
      <c r="AE4" s="185">
        <v>25</v>
      </c>
      <c r="AF4" s="185">
        <v>26</v>
      </c>
      <c r="AG4" s="186">
        <v>27</v>
      </c>
      <c r="AH4" s="183">
        <v>28</v>
      </c>
      <c r="AI4" s="185">
        <v>29</v>
      </c>
      <c r="AJ4" s="185">
        <v>30</v>
      </c>
      <c r="AK4" s="186">
        <v>31</v>
      </c>
      <c r="AL4" s="186" t="s">
        <v>0</v>
      </c>
    </row>
    <row r="5" spans="1:38" ht="16.5">
      <c r="A5" s="167" t="s">
        <v>157</v>
      </c>
      <c r="B5" s="187"/>
      <c r="C5" s="187"/>
      <c r="D5" s="187"/>
      <c r="E5" s="169" t="s">
        <v>166</v>
      </c>
      <c r="F5" s="168"/>
      <c r="G5" s="191"/>
      <c r="H5" s="192"/>
      <c r="I5" s="192"/>
      <c r="J5" s="192"/>
      <c r="K5" s="192"/>
      <c r="L5" s="193"/>
      <c r="M5" s="191"/>
      <c r="N5" s="192"/>
      <c r="O5" s="192"/>
      <c r="P5" s="192"/>
      <c r="Q5" s="168"/>
      <c r="R5" s="168"/>
      <c r="S5" s="189"/>
      <c r="T5" s="168"/>
      <c r="U5" s="168"/>
      <c r="V5" s="168"/>
      <c r="W5" s="168"/>
      <c r="X5" s="168"/>
      <c r="Y5" s="168"/>
      <c r="Z5" s="168"/>
      <c r="AA5" s="188"/>
      <c r="AB5" s="168"/>
      <c r="AC5" s="168"/>
      <c r="AD5" s="168"/>
      <c r="AE5" s="168"/>
      <c r="AF5" s="168"/>
      <c r="AG5" s="189"/>
      <c r="AH5" s="188"/>
      <c r="AI5" s="168"/>
      <c r="AJ5" s="168"/>
      <c r="AK5" s="189"/>
      <c r="AL5" s="227"/>
    </row>
    <row r="6" spans="1:38" ht="15.75">
      <c r="A6" s="173" t="s">
        <v>158</v>
      </c>
      <c r="B6" s="174"/>
      <c r="C6" s="174"/>
      <c r="D6" s="174"/>
      <c r="E6" s="174" t="s">
        <v>167</v>
      </c>
      <c r="F6" s="174"/>
      <c r="G6" s="194"/>
      <c r="H6" s="195"/>
      <c r="I6" s="195"/>
      <c r="J6" s="195"/>
      <c r="K6" s="195"/>
      <c r="L6" s="196"/>
      <c r="M6" s="194"/>
      <c r="N6" s="195"/>
      <c r="O6" s="195"/>
      <c r="P6" s="195"/>
      <c r="Q6" s="172"/>
      <c r="R6" s="172"/>
      <c r="S6" s="180"/>
      <c r="T6" s="172"/>
      <c r="U6" s="172"/>
      <c r="V6" s="172"/>
      <c r="W6" s="172"/>
      <c r="X6" s="172"/>
      <c r="Y6" s="172"/>
      <c r="Z6" s="172"/>
      <c r="AA6" s="179"/>
      <c r="AB6" s="172"/>
      <c r="AC6" s="172"/>
      <c r="AD6" s="172"/>
      <c r="AE6" s="172"/>
      <c r="AF6" s="172"/>
      <c r="AG6" s="180"/>
      <c r="AH6" s="179"/>
      <c r="AI6" s="172"/>
      <c r="AJ6" s="172"/>
      <c r="AK6" s="180"/>
      <c r="AL6" s="228"/>
    </row>
    <row r="7" spans="1:38" ht="16.5" thickBot="1">
      <c r="A7" s="176"/>
      <c r="B7" s="177"/>
      <c r="C7" s="177"/>
      <c r="D7" s="177"/>
      <c r="E7" s="177"/>
      <c r="F7" s="177"/>
      <c r="G7" s="197"/>
      <c r="H7" s="198"/>
      <c r="I7" s="198"/>
      <c r="J7" s="198"/>
      <c r="K7" s="198"/>
      <c r="L7" s="199"/>
      <c r="M7" s="197"/>
      <c r="N7" s="198"/>
      <c r="O7" s="198"/>
      <c r="P7" s="198"/>
      <c r="Q7" s="178"/>
      <c r="R7" s="178"/>
      <c r="S7" s="182"/>
      <c r="T7" s="178"/>
      <c r="U7" s="178"/>
      <c r="V7" s="178"/>
      <c r="W7" s="178"/>
      <c r="X7" s="178"/>
      <c r="Y7" s="178"/>
      <c r="Z7" s="178"/>
      <c r="AA7" s="181"/>
      <c r="AB7" s="178"/>
      <c r="AC7" s="178"/>
      <c r="AD7" s="178"/>
      <c r="AE7" s="178"/>
      <c r="AF7" s="178"/>
      <c r="AG7" s="182"/>
      <c r="AH7" s="181"/>
      <c r="AI7" s="178"/>
      <c r="AJ7" s="178"/>
      <c r="AK7" s="182"/>
      <c r="AL7" s="229"/>
    </row>
    <row r="8" spans="1:38" ht="16.5">
      <c r="A8" s="170" t="s">
        <v>159</v>
      </c>
      <c r="B8" s="171"/>
      <c r="C8" s="171"/>
      <c r="D8" s="171"/>
      <c r="E8" s="172"/>
      <c r="F8" s="172"/>
      <c r="G8" s="179"/>
      <c r="H8" s="172"/>
      <c r="I8" s="172"/>
      <c r="J8" s="172"/>
      <c r="K8" s="172"/>
      <c r="L8" s="180"/>
      <c r="M8" s="179"/>
      <c r="N8" s="172"/>
      <c r="O8" s="172"/>
      <c r="P8" s="172"/>
      <c r="Q8" s="200"/>
      <c r="R8" s="200"/>
      <c r="S8" s="201"/>
      <c r="T8" s="200"/>
      <c r="U8" s="200"/>
      <c r="V8" s="200"/>
      <c r="W8" s="172"/>
      <c r="X8" s="172"/>
      <c r="Y8" s="172"/>
      <c r="Z8" s="172"/>
      <c r="AA8" s="179"/>
      <c r="AB8" s="172"/>
      <c r="AC8" s="172"/>
      <c r="AD8" s="172"/>
      <c r="AE8" s="172"/>
      <c r="AF8" s="172"/>
      <c r="AG8" s="180"/>
      <c r="AH8" s="179"/>
      <c r="AI8" s="172"/>
      <c r="AJ8" s="172"/>
      <c r="AK8" s="180"/>
      <c r="AL8" s="228"/>
    </row>
    <row r="9" spans="1:38" ht="15.75">
      <c r="A9" s="173" t="s">
        <v>160</v>
      </c>
      <c r="B9" s="174"/>
      <c r="C9" s="174"/>
      <c r="D9" s="174"/>
      <c r="E9" s="174" t="s">
        <v>167</v>
      </c>
      <c r="F9" s="174"/>
      <c r="G9" s="179"/>
      <c r="H9" s="172"/>
      <c r="I9" s="172"/>
      <c r="J9" s="172"/>
      <c r="K9" s="172"/>
      <c r="L9" s="180"/>
      <c r="M9" s="179"/>
      <c r="N9" s="172"/>
      <c r="O9" s="172"/>
      <c r="P9" s="172"/>
      <c r="Q9" s="200"/>
      <c r="R9" s="200"/>
      <c r="S9" s="201"/>
      <c r="T9" s="200"/>
      <c r="U9" s="200"/>
      <c r="V9" s="200"/>
      <c r="W9" s="172"/>
      <c r="X9" s="172"/>
      <c r="Y9" s="172"/>
      <c r="Z9" s="172"/>
      <c r="AA9" s="179"/>
      <c r="AB9" s="172"/>
      <c r="AC9" s="172"/>
      <c r="AD9" s="172"/>
      <c r="AE9" s="172"/>
      <c r="AF9" s="172"/>
      <c r="AG9" s="180"/>
      <c r="AH9" s="179"/>
      <c r="AI9" s="172"/>
      <c r="AJ9" s="172"/>
      <c r="AK9" s="180"/>
      <c r="AL9" s="230">
        <v>1000</v>
      </c>
    </row>
    <row r="10" spans="1:38" ht="16.5" thickBot="1">
      <c r="A10" s="173"/>
      <c r="B10" s="174"/>
      <c r="C10" s="174"/>
      <c r="D10" s="174"/>
      <c r="E10" s="174"/>
      <c r="F10" s="174"/>
      <c r="G10" s="179"/>
      <c r="H10" s="172"/>
      <c r="I10" s="172"/>
      <c r="J10" s="172"/>
      <c r="K10" s="172"/>
      <c r="L10" s="180"/>
      <c r="M10" s="179"/>
      <c r="N10" s="172"/>
      <c r="O10" s="172"/>
      <c r="P10" s="172"/>
      <c r="Q10" s="200"/>
      <c r="R10" s="200"/>
      <c r="S10" s="201"/>
      <c r="T10" s="200"/>
      <c r="U10" s="200"/>
      <c r="V10" s="200"/>
      <c r="W10" s="172"/>
      <c r="X10" s="172"/>
      <c r="Y10" s="172"/>
      <c r="Z10" s="172"/>
      <c r="AA10" s="179"/>
      <c r="AB10" s="172"/>
      <c r="AC10" s="172"/>
      <c r="AD10" s="172"/>
      <c r="AE10" s="172"/>
      <c r="AF10" s="172"/>
      <c r="AG10" s="180"/>
      <c r="AH10" s="179"/>
      <c r="AI10" s="172"/>
      <c r="AJ10" s="172"/>
      <c r="AK10" s="180"/>
      <c r="AL10" s="230"/>
    </row>
    <row r="11" spans="1:38" ht="16.5">
      <c r="A11" s="167" t="s">
        <v>161</v>
      </c>
      <c r="B11" s="187"/>
      <c r="C11" s="187"/>
      <c r="D11" s="187"/>
      <c r="E11" s="168"/>
      <c r="F11" s="168"/>
      <c r="G11" s="188"/>
      <c r="H11" s="168"/>
      <c r="I11" s="168"/>
      <c r="J11" s="168"/>
      <c r="K11" s="168"/>
      <c r="L11" s="189"/>
      <c r="M11" s="188"/>
      <c r="N11" s="168"/>
      <c r="O11" s="168"/>
      <c r="P11" s="168"/>
      <c r="Q11" s="168"/>
      <c r="R11" s="168"/>
      <c r="S11" s="189"/>
      <c r="T11" s="168"/>
      <c r="U11" s="168"/>
      <c r="V11" s="168"/>
      <c r="W11" s="168"/>
      <c r="X11" s="168"/>
      <c r="Y11" s="202"/>
      <c r="Z11" s="202"/>
      <c r="AA11" s="188"/>
      <c r="AB11" s="168"/>
      <c r="AC11" s="168"/>
      <c r="AD11" s="168"/>
      <c r="AE11" s="168"/>
      <c r="AF11" s="168"/>
      <c r="AG11" s="189"/>
      <c r="AH11" s="188"/>
      <c r="AI11" s="168"/>
      <c r="AJ11" s="168"/>
      <c r="AK11" s="189"/>
      <c r="AL11" s="231"/>
    </row>
    <row r="12" spans="1:38" ht="15.75">
      <c r="A12" s="173" t="s">
        <v>162</v>
      </c>
      <c r="B12" s="174"/>
      <c r="C12" s="174"/>
      <c r="D12" s="174"/>
      <c r="E12" s="174" t="s">
        <v>167</v>
      </c>
      <c r="F12" s="174"/>
      <c r="G12" s="179"/>
      <c r="H12" s="172"/>
      <c r="I12" s="172"/>
      <c r="J12" s="172"/>
      <c r="K12" s="172"/>
      <c r="L12" s="180"/>
      <c r="M12" s="179"/>
      <c r="N12" s="172"/>
      <c r="O12" s="172"/>
      <c r="P12" s="172"/>
      <c r="Q12" s="172"/>
      <c r="R12" s="172"/>
      <c r="S12" s="180"/>
      <c r="T12" s="172"/>
      <c r="U12" s="172"/>
      <c r="V12" s="172"/>
      <c r="W12" s="172"/>
      <c r="X12" s="172"/>
      <c r="Y12" s="203"/>
      <c r="Z12" s="203"/>
      <c r="AA12" s="179"/>
      <c r="AB12" s="172"/>
      <c r="AC12" s="172"/>
      <c r="AD12" s="172"/>
      <c r="AE12" s="172"/>
      <c r="AF12" s="172"/>
      <c r="AG12" s="180"/>
      <c r="AH12" s="179"/>
      <c r="AI12" s="172"/>
      <c r="AJ12" s="172"/>
      <c r="AK12" s="180"/>
      <c r="AL12" s="230">
        <v>150</v>
      </c>
    </row>
    <row r="13" spans="1:38" ht="16.5" thickBot="1">
      <c r="A13" s="176"/>
      <c r="B13" s="177"/>
      <c r="C13" s="177"/>
      <c r="D13" s="177"/>
      <c r="E13" s="177"/>
      <c r="F13" s="177"/>
      <c r="G13" s="181"/>
      <c r="H13" s="178"/>
      <c r="I13" s="178"/>
      <c r="J13" s="178"/>
      <c r="K13" s="178"/>
      <c r="L13" s="182"/>
      <c r="M13" s="181"/>
      <c r="N13" s="178"/>
      <c r="O13" s="178"/>
      <c r="P13" s="178"/>
      <c r="Q13" s="178"/>
      <c r="R13" s="178"/>
      <c r="S13" s="182"/>
      <c r="T13" s="178"/>
      <c r="U13" s="178"/>
      <c r="V13" s="178"/>
      <c r="W13" s="178"/>
      <c r="X13" s="178"/>
      <c r="Y13" s="204"/>
      <c r="Z13" s="204"/>
      <c r="AA13" s="181"/>
      <c r="AB13" s="178"/>
      <c r="AC13" s="178"/>
      <c r="AD13" s="178"/>
      <c r="AE13" s="178"/>
      <c r="AF13" s="178"/>
      <c r="AG13" s="182"/>
      <c r="AH13" s="181"/>
      <c r="AI13" s="178"/>
      <c r="AJ13" s="178"/>
      <c r="AK13" s="182"/>
      <c r="AL13" s="232"/>
    </row>
    <row r="14" spans="1:38" ht="12.75" customHeight="1">
      <c r="A14" s="175" t="s">
        <v>163</v>
      </c>
      <c r="B14" s="220" t="s">
        <v>164</v>
      </c>
      <c r="C14" s="221"/>
      <c r="D14" s="221"/>
      <c r="E14" s="221"/>
      <c r="F14" s="222"/>
      <c r="G14" s="179"/>
      <c r="H14" s="172"/>
      <c r="I14" s="172"/>
      <c r="J14" s="172"/>
      <c r="K14" s="172"/>
      <c r="L14" s="180"/>
      <c r="M14" s="179"/>
      <c r="N14" s="172"/>
      <c r="O14" s="172"/>
      <c r="P14" s="172"/>
      <c r="Q14" s="172"/>
      <c r="R14" s="172"/>
      <c r="S14" s="180"/>
      <c r="T14" s="172"/>
      <c r="U14" s="172"/>
      <c r="V14" s="172"/>
      <c r="W14" s="172"/>
      <c r="X14" s="172"/>
      <c r="Y14" s="172"/>
      <c r="Z14" s="172"/>
      <c r="AA14" s="179"/>
      <c r="AB14" s="172"/>
      <c r="AC14" s="172"/>
      <c r="AD14" s="172"/>
      <c r="AE14" s="172"/>
      <c r="AF14" s="172"/>
      <c r="AG14" s="180"/>
      <c r="AH14" s="179"/>
      <c r="AI14" s="172"/>
      <c r="AJ14" s="172"/>
      <c r="AK14" s="180"/>
      <c r="AL14" s="230"/>
    </row>
    <row r="15" spans="1:38" ht="15.75">
      <c r="A15" s="175"/>
      <c r="B15" s="223"/>
      <c r="C15" s="223"/>
      <c r="D15" s="223"/>
      <c r="E15" s="223"/>
      <c r="F15" s="224"/>
      <c r="G15" s="179"/>
      <c r="H15" s="172"/>
      <c r="I15" s="172"/>
      <c r="J15" s="172"/>
      <c r="K15" s="172"/>
      <c r="L15" s="180"/>
      <c r="M15" s="179"/>
      <c r="N15" s="172"/>
      <c r="O15" s="172"/>
      <c r="P15" s="172"/>
      <c r="Q15" s="172"/>
      <c r="R15" s="172"/>
      <c r="S15" s="180"/>
      <c r="T15" s="172"/>
      <c r="U15" s="172"/>
      <c r="V15" s="172"/>
      <c r="W15" s="172"/>
      <c r="X15" s="172"/>
      <c r="Y15" s="172"/>
      <c r="Z15" s="172"/>
      <c r="AA15" s="179"/>
      <c r="AB15" s="172"/>
      <c r="AC15" s="172"/>
      <c r="AD15" s="172"/>
      <c r="AE15" s="172"/>
      <c r="AF15" s="172"/>
      <c r="AG15" s="180"/>
      <c r="AH15" s="179"/>
      <c r="AI15" s="172"/>
      <c r="AJ15" s="172"/>
      <c r="AK15" s="180"/>
      <c r="AL15" s="230"/>
    </row>
    <row r="16" spans="1:38" ht="16.5" thickBot="1">
      <c r="A16" s="175"/>
      <c r="B16" s="225"/>
      <c r="C16" s="225"/>
      <c r="D16" s="225"/>
      <c r="E16" s="225"/>
      <c r="F16" s="226"/>
      <c r="G16" s="179"/>
      <c r="H16" s="172"/>
      <c r="I16" s="172"/>
      <c r="J16" s="172"/>
      <c r="K16" s="172"/>
      <c r="L16" s="180"/>
      <c r="M16" s="179"/>
      <c r="N16" s="172"/>
      <c r="O16" s="172"/>
      <c r="P16" s="172"/>
      <c r="Q16" s="172"/>
      <c r="R16" s="172"/>
      <c r="S16" s="180"/>
      <c r="T16" s="172"/>
      <c r="U16" s="172"/>
      <c r="V16" s="172"/>
      <c r="W16" s="172"/>
      <c r="X16" s="172"/>
      <c r="Y16" s="172"/>
      <c r="Z16" s="172"/>
      <c r="AA16" s="179"/>
      <c r="AB16" s="172"/>
      <c r="AC16" s="172"/>
      <c r="AD16" s="172"/>
      <c r="AE16" s="172"/>
      <c r="AF16" s="172"/>
      <c r="AG16" s="180"/>
      <c r="AH16" s="179"/>
      <c r="AI16" s="172"/>
      <c r="AJ16" s="172"/>
      <c r="AK16" s="180"/>
      <c r="AL16" s="230"/>
    </row>
    <row r="17" spans="1:38" ht="16.5">
      <c r="A17" s="167" t="s">
        <v>157</v>
      </c>
      <c r="B17" s="187"/>
      <c r="C17" s="187"/>
      <c r="D17" s="187"/>
      <c r="E17" s="190" t="s">
        <v>168</v>
      </c>
      <c r="F17" s="190"/>
      <c r="G17" s="205"/>
      <c r="H17" s="206"/>
      <c r="I17" s="206"/>
      <c r="J17" s="206"/>
      <c r="K17" s="206"/>
      <c r="L17" s="207"/>
      <c r="M17" s="205"/>
      <c r="N17" s="206"/>
      <c r="O17" s="206"/>
      <c r="P17" s="206"/>
      <c r="Q17" s="206"/>
      <c r="R17" s="206"/>
      <c r="S17" s="207"/>
      <c r="T17" s="206"/>
      <c r="U17" s="206"/>
      <c r="V17" s="168"/>
      <c r="W17" s="168"/>
      <c r="X17" s="168"/>
      <c r="Y17" s="168"/>
      <c r="Z17" s="168"/>
      <c r="AA17" s="188"/>
      <c r="AB17" s="168"/>
      <c r="AC17" s="168"/>
      <c r="AD17" s="168"/>
      <c r="AE17" s="168"/>
      <c r="AF17" s="168"/>
      <c r="AG17" s="189"/>
      <c r="AH17" s="188"/>
      <c r="AI17" s="168"/>
      <c r="AJ17" s="168"/>
      <c r="AK17" s="189"/>
      <c r="AL17" s="231"/>
    </row>
    <row r="18" spans="1:38" ht="15.75">
      <c r="A18" s="173" t="s">
        <v>8</v>
      </c>
      <c r="B18" s="174"/>
      <c r="C18" s="174"/>
      <c r="D18" s="174"/>
      <c r="E18" s="174"/>
      <c r="F18" s="174"/>
      <c r="G18" s="208"/>
      <c r="H18" s="209"/>
      <c r="I18" s="209"/>
      <c r="J18" s="209"/>
      <c r="K18" s="209"/>
      <c r="L18" s="210"/>
      <c r="M18" s="208"/>
      <c r="N18" s="209"/>
      <c r="O18" s="209"/>
      <c r="P18" s="209"/>
      <c r="Q18" s="209"/>
      <c r="R18" s="209"/>
      <c r="S18" s="210"/>
      <c r="T18" s="209"/>
      <c r="U18" s="209"/>
      <c r="V18" s="172"/>
      <c r="W18" s="172"/>
      <c r="X18" s="172"/>
      <c r="Y18" s="172"/>
      <c r="Z18" s="172"/>
      <c r="AA18" s="179"/>
      <c r="AB18" s="172"/>
      <c r="AC18" s="172"/>
      <c r="AD18" s="172"/>
      <c r="AE18" s="172"/>
      <c r="AF18" s="172"/>
      <c r="AG18" s="180"/>
      <c r="AH18" s="179"/>
      <c r="AI18" s="172"/>
      <c r="AJ18" s="172"/>
      <c r="AK18" s="180"/>
      <c r="AL18" s="230">
        <v>2471</v>
      </c>
    </row>
    <row r="19" spans="1:38" ht="16.5" thickBot="1">
      <c r="A19" s="176"/>
      <c r="B19" s="177"/>
      <c r="C19" s="177"/>
      <c r="D19" s="177"/>
      <c r="E19" s="177"/>
      <c r="F19" s="177"/>
      <c r="G19" s="211"/>
      <c r="H19" s="212"/>
      <c r="I19" s="212"/>
      <c r="J19" s="212"/>
      <c r="K19" s="212"/>
      <c r="L19" s="213"/>
      <c r="M19" s="211"/>
      <c r="N19" s="212"/>
      <c r="O19" s="212"/>
      <c r="P19" s="212"/>
      <c r="Q19" s="212"/>
      <c r="R19" s="212"/>
      <c r="S19" s="213"/>
      <c r="T19" s="212"/>
      <c r="U19" s="212"/>
      <c r="V19" s="178"/>
      <c r="W19" s="178"/>
      <c r="X19" s="178"/>
      <c r="Y19" s="178"/>
      <c r="Z19" s="178"/>
      <c r="AA19" s="181"/>
      <c r="AB19" s="178"/>
      <c r="AC19" s="178"/>
      <c r="AD19" s="178"/>
      <c r="AE19" s="178"/>
      <c r="AF19" s="178"/>
      <c r="AG19" s="182"/>
      <c r="AH19" s="181"/>
      <c r="AI19" s="178"/>
      <c r="AJ19" s="178"/>
      <c r="AK19" s="182"/>
      <c r="AL19" s="182"/>
    </row>
    <row r="20" spans="1:38" ht="16.5">
      <c r="A20" s="170" t="s">
        <v>159</v>
      </c>
      <c r="B20" s="171"/>
      <c r="C20" s="171"/>
      <c r="D20" s="171"/>
      <c r="E20" s="172"/>
      <c r="F20" s="172"/>
      <c r="G20" s="179"/>
      <c r="H20" s="172"/>
      <c r="I20" s="172"/>
      <c r="J20" s="172"/>
      <c r="K20" s="172"/>
      <c r="L20" s="180"/>
      <c r="M20" s="179"/>
      <c r="N20" s="172"/>
      <c r="O20" s="172"/>
      <c r="P20" s="172"/>
      <c r="Q20" s="172"/>
      <c r="R20" s="172"/>
      <c r="S20" s="180"/>
      <c r="T20" s="172"/>
      <c r="U20" s="172"/>
      <c r="V20" s="214"/>
      <c r="W20" s="214"/>
      <c r="X20" s="214"/>
      <c r="Y20" s="214"/>
      <c r="Z20" s="214"/>
      <c r="AA20" s="215"/>
      <c r="AB20" s="214"/>
      <c r="AC20" s="214"/>
      <c r="AD20" s="214"/>
      <c r="AE20" s="214"/>
      <c r="AF20" s="214"/>
      <c r="AG20" s="216"/>
      <c r="AH20" s="215"/>
      <c r="AI20" s="214"/>
      <c r="AJ20" s="214"/>
      <c r="AK20" s="216"/>
      <c r="AL20" s="180"/>
    </row>
    <row r="21" spans="1:38" ht="15.75">
      <c r="A21" s="173" t="s">
        <v>165</v>
      </c>
      <c r="B21" s="174"/>
      <c r="C21" s="174"/>
      <c r="D21" s="174"/>
      <c r="E21" s="174" t="s">
        <v>168</v>
      </c>
      <c r="F21" s="174"/>
      <c r="G21" s="179"/>
      <c r="H21" s="172"/>
      <c r="I21" s="172"/>
      <c r="J21" s="172"/>
      <c r="K21" s="172"/>
      <c r="L21" s="180"/>
      <c r="M21" s="179"/>
      <c r="N21" s="172"/>
      <c r="O21" s="172"/>
      <c r="P21" s="172"/>
      <c r="Q21" s="172"/>
      <c r="R21" s="172"/>
      <c r="S21" s="180"/>
      <c r="T21" s="172"/>
      <c r="U21" s="172"/>
      <c r="V21" s="214"/>
      <c r="W21" s="214"/>
      <c r="X21" s="214"/>
      <c r="Y21" s="214"/>
      <c r="Z21" s="214"/>
      <c r="AA21" s="215"/>
      <c r="AB21" s="214"/>
      <c r="AC21" s="214"/>
      <c r="AD21" s="214"/>
      <c r="AE21" s="214"/>
      <c r="AF21" s="214"/>
      <c r="AG21" s="216"/>
      <c r="AH21" s="215"/>
      <c r="AI21" s="214"/>
      <c r="AJ21" s="214"/>
      <c r="AK21" s="216"/>
      <c r="AL21" s="180"/>
    </row>
    <row r="22" spans="1:38" ht="15.75">
      <c r="A22" s="173"/>
      <c r="B22" s="174"/>
      <c r="C22" s="174"/>
      <c r="D22" s="174"/>
      <c r="E22" s="174"/>
      <c r="F22" s="174"/>
      <c r="G22" s="179"/>
      <c r="H22" s="172"/>
      <c r="I22" s="172"/>
      <c r="J22" s="172"/>
      <c r="K22" s="172"/>
      <c r="L22" s="180"/>
      <c r="M22" s="179"/>
      <c r="N22" s="172"/>
      <c r="O22" s="172"/>
      <c r="P22" s="172"/>
      <c r="Q22" s="172"/>
      <c r="R22" s="172"/>
      <c r="S22" s="180"/>
      <c r="T22" s="172"/>
      <c r="U22" s="172"/>
      <c r="V22" s="214"/>
      <c r="W22" s="214"/>
      <c r="X22" s="214"/>
      <c r="Y22" s="214"/>
      <c r="Z22" s="214"/>
      <c r="AA22" s="215"/>
      <c r="AB22" s="214"/>
      <c r="AC22" s="214"/>
      <c r="AD22" s="214"/>
      <c r="AE22" s="214"/>
      <c r="AF22" s="214"/>
      <c r="AG22" s="216"/>
      <c r="AH22" s="215"/>
      <c r="AI22" s="214"/>
      <c r="AJ22" s="214"/>
      <c r="AK22" s="216"/>
      <c r="AL22" s="180"/>
    </row>
    <row r="23" spans="1:38" ht="16.5" thickBot="1">
      <c r="A23" s="176"/>
      <c r="B23" s="177"/>
      <c r="C23" s="177"/>
      <c r="D23" s="177"/>
      <c r="E23" s="177"/>
      <c r="F23" s="177"/>
      <c r="G23" s="181"/>
      <c r="H23" s="178"/>
      <c r="I23" s="178"/>
      <c r="J23" s="178"/>
      <c r="K23" s="178"/>
      <c r="L23" s="182"/>
      <c r="M23" s="181"/>
      <c r="N23" s="178"/>
      <c r="O23" s="178"/>
      <c r="P23" s="178"/>
      <c r="Q23" s="178"/>
      <c r="R23" s="178"/>
      <c r="S23" s="182"/>
      <c r="T23" s="178"/>
      <c r="U23" s="178"/>
      <c r="V23" s="217"/>
      <c r="W23" s="217"/>
      <c r="X23" s="217"/>
      <c r="Y23" s="217"/>
      <c r="Z23" s="217"/>
      <c r="AA23" s="218"/>
      <c r="AB23" s="217"/>
      <c r="AC23" s="217"/>
      <c r="AD23" s="217"/>
      <c r="AE23" s="217"/>
      <c r="AF23" s="217"/>
      <c r="AG23" s="219"/>
      <c r="AH23" s="218"/>
      <c r="AI23" s="217"/>
      <c r="AJ23" s="217"/>
      <c r="AK23" s="219"/>
      <c r="AL23" s="182"/>
    </row>
    <row r="24" spans="1:38" ht="17.25" thickBot="1">
      <c r="A24" s="160" t="s">
        <v>154</v>
      </c>
      <c r="AH24" s="157" t="s">
        <v>30</v>
      </c>
      <c r="AI24" s="158"/>
      <c r="AJ24" s="158"/>
      <c r="AK24" s="159"/>
      <c r="AL24" s="233">
        <f>AL9+AL12+AL18</f>
        <v>3621</v>
      </c>
    </row>
  </sheetData>
  <mergeCells count="26">
    <mergeCell ref="G2:AK2"/>
    <mergeCell ref="A3:F3"/>
    <mergeCell ref="A1:AL1"/>
    <mergeCell ref="AA3:AG3"/>
    <mergeCell ref="AH3:AK3"/>
    <mergeCell ref="B14:F16"/>
    <mergeCell ref="AH24:AK24"/>
    <mergeCell ref="E21:F23"/>
    <mergeCell ref="G3:L3"/>
    <mergeCell ref="M3:S3"/>
    <mergeCell ref="T3:Z3"/>
    <mergeCell ref="E6:F7"/>
    <mergeCell ref="E9:F10"/>
    <mergeCell ref="E12:F13"/>
    <mergeCell ref="E17:F19"/>
    <mergeCell ref="A18:D19"/>
    <mergeCell ref="A21:D23"/>
    <mergeCell ref="B20:D20"/>
    <mergeCell ref="B17:D17"/>
    <mergeCell ref="A14:A16"/>
    <mergeCell ref="B11:D11"/>
    <mergeCell ref="B8:D8"/>
    <mergeCell ref="A6:D7"/>
    <mergeCell ref="A9:D10"/>
    <mergeCell ref="A12:D13"/>
    <mergeCell ref="B5:D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9"/>
  <sheetViews>
    <sheetView workbookViewId="0" topLeftCell="A1">
      <selection activeCell="G16" sqref="G16"/>
    </sheetView>
  </sheetViews>
  <sheetFormatPr defaultColWidth="11.421875" defaultRowHeight="12.75"/>
  <cols>
    <col min="1" max="1" width="9.140625" style="0" customWidth="1"/>
    <col min="2" max="2" width="32.00390625" style="0" customWidth="1"/>
    <col min="3" max="3" width="25.00390625" style="0" customWidth="1"/>
    <col min="4" max="4" width="15.421875" style="0" customWidth="1"/>
    <col min="5" max="5" width="13.421875" style="0" customWidth="1"/>
    <col min="6" max="6" width="14.00390625" style="0" customWidth="1"/>
    <col min="7" max="7" width="20.421875" style="0" customWidth="1"/>
    <col min="8" max="16384" width="9.140625" style="0" customWidth="1"/>
  </cols>
  <sheetData>
    <row r="3" spans="2:3" ht="12.75">
      <c r="B3" s="29" t="s">
        <v>10</v>
      </c>
      <c r="C3" s="29"/>
    </row>
    <row r="4" spans="2:3" ht="13.5" thickBot="1">
      <c r="B4" s="29" t="s">
        <v>11</v>
      </c>
      <c r="C4" s="29"/>
    </row>
    <row r="5" spans="2:7" ht="13.5" thickBot="1">
      <c r="B5" s="17" t="s">
        <v>12</v>
      </c>
      <c r="C5" s="18" t="s">
        <v>13</v>
      </c>
      <c r="D5" s="18" t="s">
        <v>14</v>
      </c>
      <c r="E5" s="18" t="s">
        <v>15</v>
      </c>
      <c r="F5" s="19" t="s">
        <v>16</v>
      </c>
      <c r="G5" s="20" t="s">
        <v>17</v>
      </c>
    </row>
    <row r="6" spans="2:7" ht="12.75">
      <c r="B6" s="12" t="s">
        <v>18</v>
      </c>
      <c r="C6" s="21">
        <v>70</v>
      </c>
      <c r="D6" s="21">
        <v>2000</v>
      </c>
      <c r="E6" s="21">
        <f>8*2</f>
        <v>16</v>
      </c>
      <c r="F6" s="22">
        <f>(C6/D6)*E6</f>
        <v>0.56</v>
      </c>
      <c r="G6" s="23">
        <f aca="true" t="shared" si="0" ref="G6:G15">F6*12</f>
        <v>6.720000000000001</v>
      </c>
    </row>
    <row r="7" spans="2:7" ht="12.75">
      <c r="B7" s="12" t="s">
        <v>19</v>
      </c>
      <c r="C7" s="21">
        <v>12</v>
      </c>
      <c r="D7" s="21">
        <v>900</v>
      </c>
      <c r="E7" s="21">
        <v>16</v>
      </c>
      <c r="F7" s="24">
        <f>(C7/D7)*E7</f>
        <v>0.21333333333333335</v>
      </c>
      <c r="G7" s="23">
        <f t="shared" si="0"/>
        <v>2.56</v>
      </c>
    </row>
    <row r="8" spans="2:7" ht="12.75">
      <c r="B8" s="12" t="s">
        <v>20</v>
      </c>
      <c r="C8" s="21">
        <v>0.2</v>
      </c>
      <c r="D8" s="21" t="s">
        <v>21</v>
      </c>
      <c r="E8" s="21">
        <v>16</v>
      </c>
      <c r="F8" s="24">
        <f>C8*E8</f>
        <v>3.2</v>
      </c>
      <c r="G8" s="23">
        <f t="shared" si="0"/>
        <v>38.400000000000006</v>
      </c>
    </row>
    <row r="9" spans="2:7" ht="12.75">
      <c r="B9" s="12" t="s">
        <v>22</v>
      </c>
      <c r="C9" s="21">
        <v>600</v>
      </c>
      <c r="D9" s="21">
        <v>800</v>
      </c>
      <c r="E9" s="21">
        <v>16</v>
      </c>
      <c r="F9" s="24">
        <f>(C9/D9)*E9</f>
        <v>12</v>
      </c>
      <c r="G9" s="23">
        <f t="shared" si="0"/>
        <v>144</v>
      </c>
    </row>
    <row r="10" spans="2:7" ht="12.75">
      <c r="B10" s="12" t="s">
        <v>23</v>
      </c>
      <c r="C10" s="21">
        <v>850</v>
      </c>
      <c r="D10" s="21">
        <v>800</v>
      </c>
      <c r="E10" s="21">
        <f>16</f>
        <v>16</v>
      </c>
      <c r="F10" s="24">
        <f>(850/800)*E10</f>
        <v>17</v>
      </c>
      <c r="G10" s="23">
        <f t="shared" si="0"/>
        <v>204</v>
      </c>
    </row>
    <row r="11" spans="2:7" ht="12.75">
      <c r="B11" s="12" t="s">
        <v>24</v>
      </c>
      <c r="C11" s="21">
        <f>650+350</f>
        <v>1000</v>
      </c>
      <c r="D11" s="21">
        <v>800</v>
      </c>
      <c r="E11" s="21">
        <v>16</v>
      </c>
      <c r="F11" s="24">
        <f>(C11/D11)*E11</f>
        <v>20</v>
      </c>
      <c r="G11" s="23">
        <f t="shared" si="0"/>
        <v>240</v>
      </c>
    </row>
    <row r="12" spans="2:7" ht="12.75">
      <c r="B12" s="12" t="s">
        <v>25</v>
      </c>
      <c r="C12" s="21">
        <f>450*4</f>
        <v>1800</v>
      </c>
      <c r="D12" s="21">
        <v>800</v>
      </c>
      <c r="E12" s="21">
        <v>16</v>
      </c>
      <c r="F12" s="24">
        <f>(C12/D12)*E12</f>
        <v>36</v>
      </c>
      <c r="G12" s="23">
        <f t="shared" si="0"/>
        <v>432</v>
      </c>
    </row>
    <row r="13" spans="2:7" ht="12.75">
      <c r="B13" s="12" t="s">
        <v>26</v>
      </c>
      <c r="C13" s="21">
        <v>0.06</v>
      </c>
      <c r="D13" s="21"/>
      <c r="E13" s="21">
        <v>16</v>
      </c>
      <c r="F13" s="24">
        <f>C13*E13</f>
        <v>0.96</v>
      </c>
      <c r="G13" s="23">
        <f t="shared" si="0"/>
        <v>11.52</v>
      </c>
    </row>
    <row r="14" spans="2:7" ht="12.75">
      <c r="B14" s="12" t="s">
        <v>27</v>
      </c>
      <c r="C14" s="21">
        <v>0.16</v>
      </c>
      <c r="D14" s="21"/>
      <c r="E14" s="21" t="s">
        <v>28</v>
      </c>
      <c r="F14" s="24">
        <f>(0.16*45)*16</f>
        <v>115.2</v>
      </c>
      <c r="G14" s="23">
        <f t="shared" si="0"/>
        <v>1382.4</v>
      </c>
    </row>
    <row r="15" spans="2:7" ht="13.5" thickBot="1">
      <c r="B15" s="12" t="s">
        <v>29</v>
      </c>
      <c r="C15" s="28">
        <f>C29</f>
        <v>5218.37</v>
      </c>
      <c r="D15" s="21">
        <v>800</v>
      </c>
      <c r="E15" s="21">
        <v>16</v>
      </c>
      <c r="F15" s="25">
        <f>(C15/D15)*E15</f>
        <v>104.3674</v>
      </c>
      <c r="G15" s="23">
        <f t="shared" si="0"/>
        <v>1252.4088000000002</v>
      </c>
    </row>
    <row r="16" spans="2:7" ht="13.5" thickBot="1">
      <c r="B16" s="14" t="s">
        <v>30</v>
      </c>
      <c r="C16" s="140"/>
      <c r="D16" s="141"/>
      <c r="E16" s="142"/>
      <c r="F16" s="26">
        <f>SUM(F6:F15)</f>
        <v>309.5007333333333</v>
      </c>
      <c r="G16" s="20">
        <f>SUM(G6:G15)</f>
        <v>3714.0088000000005</v>
      </c>
    </row>
    <row r="23" ht="13.5" thickBot="1"/>
    <row r="24" spans="2:3" ht="13.5" thickBot="1">
      <c r="B24" s="143" t="s">
        <v>31</v>
      </c>
      <c r="C24" s="144"/>
    </row>
    <row r="25" spans="2:3" ht="12.75">
      <c r="B25" s="12" t="s">
        <v>32</v>
      </c>
      <c r="C25" s="2">
        <v>695.45</v>
      </c>
    </row>
    <row r="26" spans="2:3" ht="12.75">
      <c r="B26" s="12" t="s">
        <v>33</v>
      </c>
      <c r="C26" s="3">
        <v>992.92</v>
      </c>
    </row>
    <row r="27" spans="2:3" ht="12.75">
      <c r="B27" s="12" t="s">
        <v>34</v>
      </c>
      <c r="C27" s="3">
        <v>30</v>
      </c>
    </row>
    <row r="28" spans="2:3" ht="13.5" thickBot="1">
      <c r="B28" s="12" t="s">
        <v>35</v>
      </c>
      <c r="C28" s="4">
        <v>3500</v>
      </c>
    </row>
    <row r="29" spans="2:3" ht="13.5" thickBot="1">
      <c r="B29" s="5" t="s">
        <v>30</v>
      </c>
      <c r="C29" s="27">
        <f>SUM(C25:C28)</f>
        <v>5218.37</v>
      </c>
    </row>
  </sheetData>
  <mergeCells count="2">
    <mergeCell ref="C16:E16"/>
    <mergeCell ref="B24:C2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B1">
      <selection activeCell="J34" sqref="J34"/>
    </sheetView>
  </sheetViews>
  <sheetFormatPr defaultColWidth="11.421875" defaultRowHeight="12.75"/>
  <cols>
    <col min="1" max="1" width="4.140625" style="40" hidden="1" customWidth="1"/>
    <col min="2" max="2" width="4.140625" style="32" customWidth="1"/>
    <col min="3" max="3" width="21.28125" style="40" customWidth="1"/>
    <col min="4" max="4" width="20.28125" style="40" customWidth="1"/>
    <col min="5" max="5" width="28.28125" style="40" customWidth="1"/>
    <col min="6" max="6" width="10.57421875" style="40" hidden="1" customWidth="1"/>
    <col min="7" max="7" width="31.00390625" style="40" hidden="1" customWidth="1"/>
    <col min="8" max="8" width="11.28125" style="40" bestFit="1" customWidth="1"/>
    <col min="9" max="9" width="15.00390625" style="40" customWidth="1"/>
    <col min="10" max="13" width="11.28125" style="40" bestFit="1" customWidth="1"/>
    <col min="14" max="14" width="4.00390625" style="40" customWidth="1"/>
    <col min="15" max="16384" width="11.421875" style="40" customWidth="1"/>
  </cols>
  <sheetData>
    <row r="1" spans="3:13" ht="12.75">
      <c r="C1" s="95"/>
      <c r="D1" s="95"/>
      <c r="E1" s="95"/>
      <c r="F1" s="95"/>
      <c r="G1" s="95"/>
      <c r="H1" s="96"/>
      <c r="I1" s="96"/>
      <c r="J1" s="95"/>
      <c r="K1" s="95"/>
      <c r="L1" s="95"/>
      <c r="M1" s="95"/>
    </row>
    <row r="2" spans="3:13" ht="12.75">
      <c r="C2" s="95"/>
      <c r="D2" s="95"/>
      <c r="F2" s="95"/>
      <c r="G2" s="95"/>
      <c r="H2" s="42" t="s">
        <v>48</v>
      </c>
      <c r="I2" s="97"/>
      <c r="J2" s="95"/>
      <c r="K2" s="95"/>
      <c r="L2" s="95"/>
      <c r="M2" s="95"/>
    </row>
    <row r="3" spans="3:13" ht="12.75">
      <c r="C3" s="95"/>
      <c r="D3" s="95"/>
      <c r="F3" s="95"/>
      <c r="G3" s="95"/>
      <c r="H3" s="42" t="s">
        <v>175</v>
      </c>
      <c r="I3" s="98"/>
      <c r="J3" s="95"/>
      <c r="K3" s="95"/>
      <c r="L3" s="95"/>
      <c r="M3" s="95"/>
    </row>
    <row r="4" spans="3:13" ht="12.75">
      <c r="C4" s="95"/>
      <c r="D4" s="95"/>
      <c r="F4" s="99"/>
      <c r="G4" s="99"/>
      <c r="H4" s="42" t="s">
        <v>176</v>
      </c>
      <c r="I4" s="100"/>
      <c r="J4" s="95"/>
      <c r="K4" s="95"/>
      <c r="L4" s="95"/>
      <c r="M4" s="95"/>
    </row>
    <row r="5" spans="3:13" ht="12.75">
      <c r="C5" s="95"/>
      <c r="D5" s="95"/>
      <c r="E5" s="95"/>
      <c r="F5" s="95"/>
      <c r="G5" s="95"/>
      <c r="H5" s="101"/>
      <c r="I5" s="95"/>
      <c r="J5" s="95"/>
      <c r="K5" s="95"/>
      <c r="L5" s="95"/>
      <c r="M5" s="95"/>
    </row>
    <row r="6" ht="12.75">
      <c r="H6" s="51"/>
    </row>
    <row r="7" ht="12.75">
      <c r="H7" s="51"/>
    </row>
    <row r="8" ht="13.5" thickBot="1">
      <c r="H8" s="51"/>
    </row>
    <row r="9" spans="8:13" ht="13.5" thickBot="1">
      <c r="H9" s="76">
        <v>2007</v>
      </c>
      <c r="I9" s="78">
        <v>2008</v>
      </c>
      <c r="J9" s="79">
        <v>2009</v>
      </c>
      <c r="K9" s="77">
        <v>2010</v>
      </c>
      <c r="L9" s="78">
        <v>2011</v>
      </c>
      <c r="M9" s="79">
        <v>2012</v>
      </c>
    </row>
    <row r="10" spans="1:13" ht="12.75">
      <c r="A10" s="80"/>
      <c r="C10" s="37" t="s">
        <v>36</v>
      </c>
      <c r="D10" s="46"/>
      <c r="E10" s="47"/>
      <c r="F10" s="46"/>
      <c r="G10" s="46"/>
      <c r="H10" s="73">
        <f aca="true" t="shared" si="0" ref="H10:M10">(((16125211.15271*19.54%)*(3/10)))</f>
        <v>945259.8777718601</v>
      </c>
      <c r="I10" s="73">
        <f t="shared" si="0"/>
        <v>945259.8777718601</v>
      </c>
      <c r="J10" s="71">
        <f t="shared" si="0"/>
        <v>945259.8777718601</v>
      </c>
      <c r="K10" s="73">
        <f t="shared" si="0"/>
        <v>945259.8777718601</v>
      </c>
      <c r="L10" s="73">
        <f t="shared" si="0"/>
        <v>945259.8777718601</v>
      </c>
      <c r="M10" s="73">
        <f t="shared" si="0"/>
        <v>945259.8777718601</v>
      </c>
    </row>
    <row r="11" spans="1:13" ht="12.75">
      <c r="A11" s="31"/>
      <c r="C11" s="31"/>
      <c r="D11" s="32"/>
      <c r="E11" s="56"/>
      <c r="F11" s="32"/>
      <c r="G11" s="32"/>
      <c r="H11" s="49"/>
      <c r="I11" s="74"/>
      <c r="J11" s="56"/>
      <c r="K11" s="32"/>
      <c r="L11" s="74"/>
      <c r="M11" s="56"/>
    </row>
    <row r="12" spans="1:13" ht="12.75">
      <c r="A12" s="31"/>
      <c r="C12" s="30" t="s">
        <v>0</v>
      </c>
      <c r="D12" s="32"/>
      <c r="E12" s="56"/>
      <c r="F12" s="32"/>
      <c r="G12" s="32"/>
      <c r="H12" s="49"/>
      <c r="I12" s="74"/>
      <c r="J12" s="56"/>
      <c r="K12" s="32"/>
      <c r="L12" s="74"/>
      <c r="M12" s="56"/>
    </row>
    <row r="13" spans="1:13" ht="12.75">
      <c r="A13" s="31"/>
      <c r="C13" s="31"/>
      <c r="D13" s="34" t="s">
        <v>37</v>
      </c>
      <c r="E13" s="56"/>
      <c r="F13" s="32"/>
      <c r="G13" s="32"/>
      <c r="H13" s="49"/>
      <c r="I13" s="49">
        <f>'ANALISIS COSTO DESPERDICIOS'!G16</f>
        <v>3714.0088000000005</v>
      </c>
      <c r="J13" s="50">
        <f>I13</f>
        <v>3714.0088000000005</v>
      </c>
      <c r="K13" s="53">
        <f>I13</f>
        <v>3714.0088000000005</v>
      </c>
      <c r="L13" s="49">
        <f>I13</f>
        <v>3714.0088000000005</v>
      </c>
      <c r="M13" s="50">
        <f>I13</f>
        <v>3714.0088000000005</v>
      </c>
    </row>
    <row r="14" spans="1:13" ht="12.75">
      <c r="A14" s="31"/>
      <c r="C14" s="31"/>
      <c r="D14" s="32"/>
      <c r="E14" s="56"/>
      <c r="F14" s="32"/>
      <c r="G14" s="32"/>
      <c r="H14" s="49"/>
      <c r="I14" s="74"/>
      <c r="J14" s="56"/>
      <c r="K14" s="32"/>
      <c r="L14" s="74"/>
      <c r="M14" s="56"/>
    </row>
    <row r="15" spans="1:13" ht="12.75">
      <c r="A15" s="31"/>
      <c r="C15" s="35" t="s">
        <v>38</v>
      </c>
      <c r="D15" s="32"/>
      <c r="E15" s="56"/>
      <c r="F15" s="32"/>
      <c r="G15" s="32"/>
      <c r="H15" s="49"/>
      <c r="I15" s="74"/>
      <c r="J15" s="56"/>
      <c r="K15" s="32"/>
      <c r="L15" s="74"/>
      <c r="M15" s="56"/>
    </row>
    <row r="16" spans="1:13" ht="12.75">
      <c r="A16" s="31"/>
      <c r="C16" s="31"/>
      <c r="D16" s="33" t="s">
        <v>39</v>
      </c>
      <c r="E16" s="56"/>
      <c r="F16" s="32"/>
      <c r="G16" s="32"/>
      <c r="H16" s="49">
        <f aca="true" t="shared" si="1" ref="H16:M16">600*12</f>
        <v>7200</v>
      </c>
      <c r="I16" s="49">
        <f t="shared" si="1"/>
        <v>7200</v>
      </c>
      <c r="J16" s="50">
        <f t="shared" si="1"/>
        <v>7200</v>
      </c>
      <c r="K16" s="53">
        <f t="shared" si="1"/>
        <v>7200</v>
      </c>
      <c r="L16" s="49">
        <f t="shared" si="1"/>
        <v>7200</v>
      </c>
      <c r="M16" s="50">
        <f t="shared" si="1"/>
        <v>7200</v>
      </c>
    </row>
    <row r="17" spans="1:13" ht="12.75">
      <c r="A17" s="31"/>
      <c r="C17" s="31"/>
      <c r="D17" s="33" t="s">
        <v>40</v>
      </c>
      <c r="E17" s="56"/>
      <c r="F17" s="32"/>
      <c r="G17" s="32"/>
      <c r="H17" s="49">
        <f aca="true" t="shared" si="2" ref="H17:M17">850*12</f>
        <v>10200</v>
      </c>
      <c r="I17" s="49">
        <f t="shared" si="2"/>
        <v>10200</v>
      </c>
      <c r="J17" s="50">
        <f t="shared" si="2"/>
        <v>10200</v>
      </c>
      <c r="K17" s="53">
        <f t="shared" si="2"/>
        <v>10200</v>
      </c>
      <c r="L17" s="49">
        <f t="shared" si="2"/>
        <v>10200</v>
      </c>
      <c r="M17" s="50">
        <f t="shared" si="2"/>
        <v>10200</v>
      </c>
    </row>
    <row r="18" spans="1:13" ht="12.75">
      <c r="A18" s="31"/>
      <c r="C18" s="31"/>
      <c r="D18" s="36" t="s">
        <v>41</v>
      </c>
      <c r="E18" s="56"/>
      <c r="F18" s="32"/>
      <c r="G18" s="32"/>
      <c r="H18" s="49">
        <v>30178.68</v>
      </c>
      <c r="I18" s="49">
        <f>H18</f>
        <v>30178.68</v>
      </c>
      <c r="J18" s="53">
        <f>H18</f>
        <v>30178.68</v>
      </c>
      <c r="K18" s="49">
        <f>H18</f>
        <v>30178.68</v>
      </c>
      <c r="L18" s="53">
        <f>H18</f>
        <v>30178.68</v>
      </c>
      <c r="M18" s="49">
        <f>H18</f>
        <v>30178.68</v>
      </c>
    </row>
    <row r="19" spans="1:13" ht="12.75">
      <c r="A19" s="31"/>
      <c r="C19" s="31"/>
      <c r="D19" s="32"/>
      <c r="E19" s="56"/>
      <c r="F19" s="32"/>
      <c r="G19" s="32"/>
      <c r="H19" s="49"/>
      <c r="I19" s="49"/>
      <c r="J19" s="50"/>
      <c r="K19" s="53"/>
      <c r="L19" s="49"/>
      <c r="M19" s="50"/>
    </row>
    <row r="20" spans="1:13" ht="12.75">
      <c r="A20" s="31"/>
      <c r="C20" s="30" t="s">
        <v>42</v>
      </c>
      <c r="D20" s="32"/>
      <c r="E20" s="56"/>
      <c r="F20" s="32"/>
      <c r="G20" s="32"/>
      <c r="H20" s="49"/>
      <c r="I20" s="49"/>
      <c r="J20" s="50"/>
      <c r="K20" s="53"/>
      <c r="L20" s="49"/>
      <c r="M20" s="50"/>
    </row>
    <row r="21" spans="1:13" ht="12.75">
      <c r="A21" s="31"/>
      <c r="C21" s="31"/>
      <c r="D21" s="33" t="s">
        <v>43</v>
      </c>
      <c r="E21" s="56"/>
      <c r="F21" s="32"/>
      <c r="G21" s="32"/>
      <c r="H21" s="49">
        <f>Hoja10!F17</f>
        <v>68280</v>
      </c>
      <c r="I21" s="49">
        <f>H21</f>
        <v>68280</v>
      </c>
      <c r="J21" s="50">
        <f>H21</f>
        <v>68280</v>
      </c>
      <c r="K21" s="53">
        <f>H21</f>
        <v>68280</v>
      </c>
      <c r="L21" s="49">
        <f>H21</f>
        <v>68280</v>
      </c>
      <c r="M21" s="50">
        <f>H21</f>
        <v>68280</v>
      </c>
    </row>
    <row r="22" spans="1:13" ht="12.75">
      <c r="A22" s="31"/>
      <c r="C22" s="31"/>
      <c r="D22" s="32"/>
      <c r="E22" s="56"/>
      <c r="F22" s="32"/>
      <c r="G22" s="32"/>
      <c r="H22" s="74"/>
      <c r="I22" s="74"/>
      <c r="J22" s="56"/>
      <c r="K22" s="32"/>
      <c r="L22" s="74"/>
      <c r="M22" s="56"/>
    </row>
    <row r="23" spans="1:13" ht="12.75">
      <c r="A23" s="31"/>
      <c r="C23" s="30" t="s">
        <v>44</v>
      </c>
      <c r="D23" s="32"/>
      <c r="E23" s="56"/>
      <c r="F23" s="32"/>
      <c r="G23" s="32"/>
      <c r="H23" s="49"/>
      <c r="I23" s="49"/>
      <c r="J23" s="50"/>
      <c r="K23" s="53"/>
      <c r="L23" s="49"/>
      <c r="M23" s="50"/>
    </row>
    <row r="24" spans="1:13" ht="12.75">
      <c r="A24" s="31"/>
      <c r="C24" s="31"/>
      <c r="D24" s="33" t="s">
        <v>45</v>
      </c>
      <c r="E24" s="56"/>
      <c r="F24" s="32"/>
      <c r="G24" s="32"/>
      <c r="H24" s="49">
        <v>14814.24</v>
      </c>
      <c r="I24" s="49">
        <v>14814.24</v>
      </c>
      <c r="J24" s="50">
        <v>14814.24</v>
      </c>
      <c r="K24" s="53">
        <v>14814.24</v>
      </c>
      <c r="L24" s="49">
        <v>14814.24</v>
      </c>
      <c r="M24" s="50">
        <v>14814.24</v>
      </c>
    </row>
    <row r="25" spans="1:13" ht="12.75">
      <c r="A25" s="31"/>
      <c r="C25" s="31"/>
      <c r="D25" s="33" t="s">
        <v>46</v>
      </c>
      <c r="E25" s="56"/>
      <c r="F25" s="32"/>
      <c r="G25" s="32"/>
      <c r="H25" s="49">
        <v>734.3</v>
      </c>
      <c r="I25" s="49">
        <v>734.3</v>
      </c>
      <c r="J25" s="50">
        <v>734.3</v>
      </c>
      <c r="K25" s="53">
        <v>734.3</v>
      </c>
      <c r="L25" s="49">
        <v>734.3</v>
      </c>
      <c r="M25" s="50">
        <v>734.3</v>
      </c>
    </row>
    <row r="26" spans="1:13" ht="12.75">
      <c r="A26" s="31"/>
      <c r="C26" s="31"/>
      <c r="D26" s="32"/>
      <c r="E26" s="56"/>
      <c r="F26" s="32"/>
      <c r="G26" s="32"/>
      <c r="H26" s="49"/>
      <c r="I26" s="49"/>
      <c r="J26" s="50"/>
      <c r="K26" s="53"/>
      <c r="L26" s="49"/>
      <c r="M26" s="50"/>
    </row>
    <row r="27" spans="1:13" ht="13.5" thickBot="1">
      <c r="A27" s="31"/>
      <c r="C27" s="55"/>
      <c r="D27" s="32"/>
      <c r="E27" s="56"/>
      <c r="F27" s="32"/>
      <c r="G27" s="32"/>
      <c r="H27" s="49"/>
      <c r="I27" s="49"/>
      <c r="J27" s="50"/>
      <c r="K27" s="53"/>
      <c r="L27" s="49"/>
      <c r="M27" s="50"/>
    </row>
    <row r="28" spans="1:13" ht="12.75">
      <c r="A28" s="31"/>
      <c r="C28" s="54" t="s">
        <v>47</v>
      </c>
      <c r="D28" s="46"/>
      <c r="E28" s="47"/>
      <c r="F28" s="46"/>
      <c r="G28" s="46"/>
      <c r="H28" s="73">
        <f aca="true" t="shared" si="3" ref="H28:M28">H10-H13-H16-H17-H18-H21-H24-H25</f>
        <v>813852.65777186</v>
      </c>
      <c r="I28" s="73">
        <f t="shared" si="3"/>
        <v>810138.6489718601</v>
      </c>
      <c r="J28" s="71">
        <f t="shared" si="3"/>
        <v>810138.6489718601</v>
      </c>
      <c r="K28" s="70">
        <f t="shared" si="3"/>
        <v>810138.6489718601</v>
      </c>
      <c r="L28" s="73">
        <f t="shared" si="3"/>
        <v>810138.6489718601</v>
      </c>
      <c r="M28" s="71">
        <f t="shared" si="3"/>
        <v>810138.6489718601</v>
      </c>
    </row>
    <row r="29" spans="1:13" ht="13.5" thickBot="1">
      <c r="A29" s="57"/>
      <c r="C29" s="57"/>
      <c r="D29" s="39"/>
      <c r="E29" s="72"/>
      <c r="F29" s="39"/>
      <c r="G29" s="39"/>
      <c r="H29" s="52"/>
      <c r="I29" s="75"/>
      <c r="J29" s="72"/>
      <c r="K29" s="39"/>
      <c r="L29" s="75"/>
      <c r="M29" s="72"/>
    </row>
    <row r="30" ht="12.75">
      <c r="H30" s="51"/>
    </row>
    <row r="31" spans="8:10" ht="13.5" thickBot="1">
      <c r="H31" s="51"/>
      <c r="J31" s="102"/>
    </row>
    <row r="32" spans="3:8" ht="12.75">
      <c r="C32" s="54" t="s">
        <v>73</v>
      </c>
      <c r="D32" s="83"/>
      <c r="E32" s="84">
        <v>0.125</v>
      </c>
      <c r="H32" s="51"/>
    </row>
    <row r="33" spans="3:8" ht="12.75">
      <c r="C33" s="55"/>
      <c r="D33" s="34"/>
      <c r="E33" s="85"/>
      <c r="H33" s="51"/>
    </row>
    <row r="34" spans="3:9" ht="16.5">
      <c r="C34" s="55" t="s">
        <v>72</v>
      </c>
      <c r="D34" s="34"/>
      <c r="E34" s="86">
        <f>NPV(E32,I28:M28)+H28</f>
        <v>3698406.6835646024</v>
      </c>
      <c r="H34" s="51"/>
      <c r="I34" s="82"/>
    </row>
    <row r="35" spans="3:8" ht="13.5" thickBot="1">
      <c r="C35" s="57"/>
      <c r="D35" s="39"/>
      <c r="E35" s="72"/>
      <c r="H35" s="51"/>
    </row>
    <row r="36" ht="12.75">
      <c r="H36" s="51"/>
    </row>
    <row r="37" spans="8:9" ht="12.75">
      <c r="H37" s="51"/>
      <c r="I37" s="82"/>
    </row>
    <row r="38" spans="8:11" ht="12.75">
      <c r="H38" s="51"/>
      <c r="K38" s="82"/>
    </row>
    <row r="39" ht="12.75">
      <c r="H39" s="51"/>
    </row>
    <row r="40" ht="12.75">
      <c r="H40" s="51"/>
    </row>
    <row r="41" ht="12.75">
      <c r="H41" s="51"/>
    </row>
    <row r="42" ht="12.75">
      <c r="H42" s="51"/>
    </row>
    <row r="43" ht="12.75">
      <c r="H43" s="51"/>
    </row>
    <row r="44" ht="12.75">
      <c r="H44" s="51"/>
    </row>
    <row r="45" ht="12.75">
      <c r="H45" s="51"/>
    </row>
    <row r="46" ht="12.75">
      <c r="H46" s="51"/>
    </row>
  </sheetData>
  <printOptions/>
  <pageMargins left="0.75" right="0.75" top="1" bottom="1" header="0" footer="0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B2">
      <selection activeCell="E7" sqref="E7"/>
    </sheetView>
  </sheetViews>
  <sheetFormatPr defaultColWidth="11.421875" defaultRowHeight="12.75"/>
  <cols>
    <col min="1" max="1" width="4.140625" style="40" hidden="1" customWidth="1"/>
    <col min="2" max="2" width="4.140625" style="40" customWidth="1"/>
    <col min="3" max="3" width="10.140625" style="40" customWidth="1"/>
    <col min="4" max="4" width="22.421875" style="40" customWidth="1"/>
    <col min="5" max="5" width="30.28125" style="40" customWidth="1"/>
    <col min="6" max="6" width="10.57421875" style="40" hidden="1" customWidth="1"/>
    <col min="7" max="7" width="31.00390625" style="40" hidden="1" customWidth="1"/>
    <col min="8" max="8" width="11.28125" style="40" bestFit="1" customWidth="1"/>
    <col min="9" max="9" width="12.7109375" style="40" customWidth="1"/>
    <col min="10" max="12" width="11.28125" style="40" bestFit="1" customWidth="1"/>
    <col min="13" max="13" width="14.00390625" style="40" customWidth="1"/>
    <col min="14" max="14" width="4.8515625" style="40" customWidth="1"/>
    <col min="15" max="16384" width="11.421875" style="40" customWidth="1"/>
  </cols>
  <sheetData>
    <row r="1" spans="8:9" ht="12.75">
      <c r="H1" s="41"/>
      <c r="I1" s="41"/>
    </row>
    <row r="2" spans="8:9" ht="12.75">
      <c r="H2" s="42" t="s">
        <v>48</v>
      </c>
      <c r="I2" s="48"/>
    </row>
    <row r="3" spans="8:9" ht="12.75">
      <c r="H3" s="42" t="s">
        <v>177</v>
      </c>
      <c r="I3" s="43"/>
    </row>
    <row r="4" spans="6:9" ht="12.75">
      <c r="F4" s="44"/>
      <c r="G4" s="44"/>
      <c r="H4" s="42" t="s">
        <v>178</v>
      </c>
      <c r="I4" s="45"/>
    </row>
    <row r="5" ht="12.75">
      <c r="H5" s="51"/>
    </row>
    <row r="6" ht="12.75">
      <c r="H6" s="51"/>
    </row>
    <row r="7" spans="2:8" ht="12.75">
      <c r="B7" s="32"/>
      <c r="H7" s="51"/>
    </row>
    <row r="8" spans="2:8" ht="13.5" thickBot="1">
      <c r="B8" s="32"/>
      <c r="H8" s="51"/>
    </row>
    <row r="9" spans="2:13" ht="13.5" thickBot="1">
      <c r="B9" s="32"/>
      <c r="H9" s="76">
        <v>2007</v>
      </c>
      <c r="I9" s="77">
        <v>2008</v>
      </c>
      <c r="J9" s="78">
        <v>2009</v>
      </c>
      <c r="K9" s="77">
        <v>2010</v>
      </c>
      <c r="L9" s="78">
        <v>2011</v>
      </c>
      <c r="M9" s="79">
        <v>2012</v>
      </c>
    </row>
    <row r="10" spans="1:13" ht="12.75">
      <c r="A10" s="80"/>
      <c r="B10" s="32"/>
      <c r="C10" s="37" t="s">
        <v>36</v>
      </c>
      <c r="D10" s="46"/>
      <c r="E10" s="47"/>
      <c r="F10" s="46"/>
      <c r="G10" s="46"/>
      <c r="H10" s="73">
        <f aca="true" t="shared" si="0" ref="H10:M10">(((16125211.15271*19.54%)*(3/10))/9600)*(9600-0)</f>
        <v>945259.8777718601</v>
      </c>
      <c r="I10" s="73">
        <f t="shared" si="0"/>
        <v>945259.8777718601</v>
      </c>
      <c r="J10" s="73">
        <f t="shared" si="0"/>
        <v>945259.8777718601</v>
      </c>
      <c r="K10" s="73">
        <f t="shared" si="0"/>
        <v>945259.8777718601</v>
      </c>
      <c r="L10" s="73">
        <f t="shared" si="0"/>
        <v>945259.8777718601</v>
      </c>
      <c r="M10" s="73">
        <f t="shared" si="0"/>
        <v>945259.8777718601</v>
      </c>
    </row>
    <row r="11" spans="1:13" ht="12.75">
      <c r="A11" s="31"/>
      <c r="B11" s="32"/>
      <c r="C11" s="31"/>
      <c r="D11" s="32"/>
      <c r="E11" s="56"/>
      <c r="F11" s="32"/>
      <c r="G11" s="32"/>
      <c r="H11" s="49"/>
      <c r="I11" s="32"/>
      <c r="J11" s="74"/>
      <c r="K11" s="32"/>
      <c r="L11" s="74"/>
      <c r="M11" s="56"/>
    </row>
    <row r="12" spans="1:13" ht="12.75">
      <c r="A12" s="31"/>
      <c r="B12" s="32"/>
      <c r="C12" s="30" t="s">
        <v>0</v>
      </c>
      <c r="D12" s="32"/>
      <c r="E12" s="56"/>
      <c r="F12" s="32"/>
      <c r="G12" s="32"/>
      <c r="H12" s="49"/>
      <c r="I12" s="32"/>
      <c r="J12" s="74"/>
      <c r="K12" s="32"/>
      <c r="L12" s="74"/>
      <c r="M12" s="56"/>
    </row>
    <row r="13" spans="1:13" ht="12.75">
      <c r="A13" s="31"/>
      <c r="B13" s="32"/>
      <c r="C13" s="31"/>
      <c r="D13" s="34" t="s">
        <v>178</v>
      </c>
      <c r="E13" s="56"/>
      <c r="F13" s="32"/>
      <c r="G13" s="32"/>
      <c r="H13" s="49">
        <v>3621</v>
      </c>
      <c r="I13" s="53"/>
      <c r="J13" s="49"/>
      <c r="K13" s="53"/>
      <c r="L13" s="49"/>
      <c r="M13" s="50"/>
    </row>
    <row r="14" spans="1:13" ht="12.75">
      <c r="A14" s="31"/>
      <c r="B14" s="32"/>
      <c r="C14" s="31"/>
      <c r="D14" s="32"/>
      <c r="E14" s="56"/>
      <c r="F14" s="32"/>
      <c r="G14" s="32"/>
      <c r="H14" s="49"/>
      <c r="I14" s="32"/>
      <c r="J14" s="74"/>
      <c r="K14" s="32"/>
      <c r="L14" s="74"/>
      <c r="M14" s="56"/>
    </row>
    <row r="15" spans="1:13" ht="12.75">
      <c r="A15" s="31"/>
      <c r="B15" s="32"/>
      <c r="C15" s="35" t="s">
        <v>38</v>
      </c>
      <c r="D15" s="32"/>
      <c r="E15" s="56"/>
      <c r="F15" s="32"/>
      <c r="G15" s="32"/>
      <c r="H15" s="49"/>
      <c r="I15" s="32"/>
      <c r="J15" s="74"/>
      <c r="K15" s="32"/>
      <c r="L15" s="74"/>
      <c r="M15" s="56"/>
    </row>
    <row r="16" spans="1:13" ht="12.75">
      <c r="A16" s="31"/>
      <c r="B16" s="32"/>
      <c r="C16" s="31"/>
      <c r="D16" s="33" t="s">
        <v>39</v>
      </c>
      <c r="E16" s="56"/>
      <c r="F16" s="32"/>
      <c r="G16" s="32"/>
      <c r="H16" s="49">
        <f aca="true" t="shared" si="1" ref="H16:M16">600*12</f>
        <v>7200</v>
      </c>
      <c r="I16" s="53">
        <f t="shared" si="1"/>
        <v>7200</v>
      </c>
      <c r="J16" s="49">
        <f t="shared" si="1"/>
        <v>7200</v>
      </c>
      <c r="K16" s="53">
        <f t="shared" si="1"/>
        <v>7200</v>
      </c>
      <c r="L16" s="49">
        <f t="shared" si="1"/>
        <v>7200</v>
      </c>
      <c r="M16" s="50">
        <f t="shared" si="1"/>
        <v>7200</v>
      </c>
    </row>
    <row r="17" spans="1:13" ht="12.75">
      <c r="A17" s="31"/>
      <c r="B17" s="32"/>
      <c r="C17" s="31"/>
      <c r="D17" s="33" t="s">
        <v>40</v>
      </c>
      <c r="E17" s="56"/>
      <c r="F17" s="32"/>
      <c r="G17" s="32"/>
      <c r="H17" s="49">
        <f aca="true" t="shared" si="2" ref="H17:M17">850*12</f>
        <v>10200</v>
      </c>
      <c r="I17" s="53">
        <f t="shared" si="2"/>
        <v>10200</v>
      </c>
      <c r="J17" s="49">
        <f t="shared" si="2"/>
        <v>10200</v>
      </c>
      <c r="K17" s="53">
        <f t="shared" si="2"/>
        <v>10200</v>
      </c>
      <c r="L17" s="49">
        <f t="shared" si="2"/>
        <v>10200</v>
      </c>
      <c r="M17" s="50">
        <f t="shared" si="2"/>
        <v>10200</v>
      </c>
    </row>
    <row r="18" spans="1:13" ht="12.75">
      <c r="A18" s="31"/>
      <c r="B18" s="32"/>
      <c r="C18" s="31"/>
      <c r="D18" s="36" t="s">
        <v>41</v>
      </c>
      <c r="E18" s="56"/>
      <c r="F18" s="32"/>
      <c r="G18" s="32"/>
      <c r="H18" s="49">
        <v>30178.68</v>
      </c>
      <c r="I18" s="53">
        <f>H18</f>
        <v>30178.68</v>
      </c>
      <c r="J18" s="49">
        <f>H18</f>
        <v>30178.68</v>
      </c>
      <c r="K18" s="53">
        <f>H18</f>
        <v>30178.68</v>
      </c>
      <c r="L18" s="49">
        <f>H18</f>
        <v>30178.68</v>
      </c>
      <c r="M18" s="50">
        <f>H18</f>
        <v>30178.68</v>
      </c>
    </row>
    <row r="19" spans="1:13" ht="12.75">
      <c r="A19" s="31"/>
      <c r="B19" s="32"/>
      <c r="C19" s="31"/>
      <c r="D19" s="32"/>
      <c r="E19" s="56"/>
      <c r="F19" s="32"/>
      <c r="G19" s="32"/>
      <c r="H19" s="49"/>
      <c r="I19" s="53"/>
      <c r="J19" s="49"/>
      <c r="K19" s="53"/>
      <c r="L19" s="49"/>
      <c r="M19" s="50"/>
    </row>
    <row r="20" spans="1:13" ht="12.75">
      <c r="A20" s="31"/>
      <c r="B20" s="32"/>
      <c r="C20" s="30" t="s">
        <v>42</v>
      </c>
      <c r="D20" s="32"/>
      <c r="E20" s="56"/>
      <c r="F20" s="32"/>
      <c r="G20" s="32"/>
      <c r="H20" s="49"/>
      <c r="I20" s="53"/>
      <c r="J20" s="49"/>
      <c r="K20" s="53"/>
      <c r="L20" s="49"/>
      <c r="M20" s="50"/>
    </row>
    <row r="21" spans="1:13" ht="12.75">
      <c r="A21" s="31"/>
      <c r="B21" s="32"/>
      <c r="C21" s="31"/>
      <c r="D21" s="33" t="s">
        <v>43</v>
      </c>
      <c r="E21" s="56"/>
      <c r="F21" s="32"/>
      <c r="G21" s="32"/>
      <c r="H21" s="49">
        <f>Hoja10!F17</f>
        <v>68280</v>
      </c>
      <c r="I21" s="53">
        <f>H21</f>
        <v>68280</v>
      </c>
      <c r="J21" s="49">
        <f>H21</f>
        <v>68280</v>
      </c>
      <c r="K21" s="53">
        <f>H21</f>
        <v>68280</v>
      </c>
      <c r="L21" s="49">
        <f>H21</f>
        <v>68280</v>
      </c>
      <c r="M21" s="50">
        <f>H21</f>
        <v>68280</v>
      </c>
    </row>
    <row r="22" spans="1:13" ht="12.75">
      <c r="A22" s="31"/>
      <c r="B22" s="32"/>
      <c r="C22" s="31"/>
      <c r="D22" s="32"/>
      <c r="E22" s="56"/>
      <c r="F22" s="32"/>
      <c r="G22" s="32"/>
      <c r="H22" s="74"/>
      <c r="I22" s="32"/>
      <c r="J22" s="74"/>
      <c r="K22" s="32"/>
      <c r="L22" s="74"/>
      <c r="M22" s="56"/>
    </row>
    <row r="23" spans="1:13" ht="12.75">
      <c r="A23" s="31"/>
      <c r="B23" s="32"/>
      <c r="C23" s="30" t="s">
        <v>44</v>
      </c>
      <c r="D23" s="32"/>
      <c r="E23" s="56"/>
      <c r="F23" s="32"/>
      <c r="G23" s="32"/>
      <c r="H23" s="49"/>
      <c r="I23" s="53"/>
      <c r="J23" s="49"/>
      <c r="K23" s="53"/>
      <c r="L23" s="49"/>
      <c r="M23" s="50"/>
    </row>
    <row r="24" spans="1:13" ht="12.75">
      <c r="A24" s="31"/>
      <c r="B24" s="32"/>
      <c r="C24" s="31"/>
      <c r="D24" s="33" t="s">
        <v>45</v>
      </c>
      <c r="E24" s="56"/>
      <c r="F24" s="32"/>
      <c r="G24" s="32"/>
      <c r="H24" s="49">
        <v>14814.24</v>
      </c>
      <c r="I24" s="53">
        <v>14814.24</v>
      </c>
      <c r="J24" s="49">
        <v>14814.24</v>
      </c>
      <c r="K24" s="53">
        <v>14814.24</v>
      </c>
      <c r="L24" s="49">
        <v>14814.24</v>
      </c>
      <c r="M24" s="50">
        <v>14814.24</v>
      </c>
    </row>
    <row r="25" spans="1:13" ht="12.75">
      <c r="A25" s="31"/>
      <c r="B25" s="32"/>
      <c r="C25" s="31"/>
      <c r="D25" s="33" t="s">
        <v>46</v>
      </c>
      <c r="E25" s="56"/>
      <c r="F25" s="32"/>
      <c r="G25" s="32"/>
      <c r="H25" s="49">
        <v>734.3</v>
      </c>
      <c r="I25" s="53">
        <v>734.3</v>
      </c>
      <c r="J25" s="49">
        <v>734.3</v>
      </c>
      <c r="K25" s="53">
        <v>734.3</v>
      </c>
      <c r="L25" s="49">
        <v>734.3</v>
      </c>
      <c r="M25" s="50">
        <v>734.3</v>
      </c>
    </row>
    <row r="26" spans="1:13" ht="12.75">
      <c r="A26" s="31"/>
      <c r="B26" s="32"/>
      <c r="C26" s="31"/>
      <c r="D26" s="32"/>
      <c r="E26" s="56"/>
      <c r="F26" s="32"/>
      <c r="G26" s="32"/>
      <c r="H26" s="49"/>
      <c r="I26" s="53"/>
      <c r="J26" s="49"/>
      <c r="K26" s="53"/>
      <c r="L26" s="49"/>
      <c r="M26" s="50"/>
    </row>
    <row r="27" spans="1:13" ht="13.5" thickBot="1">
      <c r="A27" s="31"/>
      <c r="B27" s="32"/>
      <c r="C27" s="55"/>
      <c r="D27" s="32"/>
      <c r="E27" s="56"/>
      <c r="F27" s="32"/>
      <c r="G27" s="32"/>
      <c r="H27" s="49"/>
      <c r="I27" s="53"/>
      <c r="J27" s="49"/>
      <c r="K27" s="53"/>
      <c r="L27" s="49"/>
      <c r="M27" s="50"/>
    </row>
    <row r="28" spans="1:13" ht="12.75">
      <c r="A28" s="31"/>
      <c r="B28" s="32"/>
      <c r="C28" s="54" t="s">
        <v>47</v>
      </c>
      <c r="D28" s="46"/>
      <c r="E28" s="47"/>
      <c r="F28" s="46"/>
      <c r="G28" s="46"/>
      <c r="H28" s="73">
        <f aca="true" t="shared" si="3" ref="H28:M28">H10-H13-H16-H17-H18-H21-H24-H25</f>
        <v>810231.65777186</v>
      </c>
      <c r="I28" s="70">
        <f t="shared" si="3"/>
        <v>813852.65777186</v>
      </c>
      <c r="J28" s="73">
        <f t="shared" si="3"/>
        <v>813852.65777186</v>
      </c>
      <c r="K28" s="70">
        <f t="shared" si="3"/>
        <v>813852.65777186</v>
      </c>
      <c r="L28" s="73">
        <f t="shared" si="3"/>
        <v>813852.65777186</v>
      </c>
      <c r="M28" s="71">
        <f t="shared" si="3"/>
        <v>813852.65777186</v>
      </c>
    </row>
    <row r="29" spans="1:13" ht="13.5" thickBot="1">
      <c r="A29" s="57"/>
      <c r="B29" s="32"/>
      <c r="C29" s="57"/>
      <c r="D29" s="39"/>
      <c r="E29" s="72"/>
      <c r="F29" s="39"/>
      <c r="G29" s="39"/>
      <c r="H29" s="52"/>
      <c r="I29" s="39"/>
      <c r="J29" s="75"/>
      <c r="K29" s="39"/>
      <c r="L29" s="75"/>
      <c r="M29" s="72"/>
    </row>
    <row r="30" spans="2:8" ht="12.75">
      <c r="B30" s="32"/>
      <c r="H30" s="51"/>
    </row>
    <row r="31" ht="13.5" thickBot="1">
      <c r="H31" s="51"/>
    </row>
    <row r="32" spans="3:8" ht="12.75">
      <c r="C32" s="54" t="s">
        <v>73</v>
      </c>
      <c r="D32" s="83"/>
      <c r="E32" s="84">
        <v>0.125</v>
      </c>
      <c r="H32" s="51"/>
    </row>
    <row r="33" spans="3:8" ht="12.75">
      <c r="C33" s="55"/>
      <c r="D33" s="34"/>
      <c r="E33" s="85"/>
      <c r="H33" s="51"/>
    </row>
    <row r="34" spans="3:13" ht="16.5">
      <c r="C34" s="55" t="s">
        <v>78</v>
      </c>
      <c r="D34" s="34"/>
      <c r="E34" s="86">
        <f>NPV(E32,I28:M28)+H28</f>
        <v>3708009.6657181084</v>
      </c>
      <c r="H34" s="51"/>
      <c r="M34" s="81"/>
    </row>
    <row r="35" spans="3:13" ht="13.5" thickBot="1">
      <c r="C35" s="57"/>
      <c r="D35" s="39"/>
      <c r="E35" s="72"/>
      <c r="H35" s="51"/>
      <c r="M35" s="102"/>
    </row>
    <row r="36" spans="3:8" ht="12.75">
      <c r="C36" s="32"/>
      <c r="D36" s="32"/>
      <c r="E36" s="32"/>
      <c r="H36" s="51"/>
    </row>
    <row r="37" spans="3:8" ht="12.75">
      <c r="C37" s="32"/>
      <c r="D37" s="32"/>
      <c r="E37" s="32"/>
      <c r="H37" s="51"/>
    </row>
    <row r="38" spans="3:8" ht="12.75">
      <c r="C38" s="32"/>
      <c r="D38" s="32"/>
      <c r="E38" s="32"/>
      <c r="H38" s="51"/>
    </row>
    <row r="39" spans="3:8" ht="13.5" thickBot="1">
      <c r="C39" s="32"/>
      <c r="D39" s="32"/>
      <c r="E39" s="32"/>
      <c r="H39" s="51"/>
    </row>
    <row r="40" spans="4:13" ht="12.75">
      <c r="D40" s="54" t="s">
        <v>78</v>
      </c>
      <c r="E40" s="103">
        <f>E34</f>
        <v>3708009.6657181084</v>
      </c>
      <c r="H40" s="51"/>
      <c r="M40" s="81"/>
    </row>
    <row r="41" spans="4:13" ht="13.5" thickBot="1">
      <c r="D41" s="38"/>
      <c r="E41" s="106"/>
      <c r="H41" s="51"/>
      <c r="M41" s="81"/>
    </row>
    <row r="42" spans="4:8" ht="12.75">
      <c r="D42" s="55" t="s">
        <v>72</v>
      </c>
      <c r="E42" s="104">
        <f>'EX ANTE ma e. '!E34</f>
        <v>3698406.6835646024</v>
      </c>
      <c r="H42" s="51"/>
    </row>
    <row r="43" spans="4:8" ht="13.5" thickBot="1">
      <c r="D43" s="38"/>
      <c r="E43" s="105"/>
      <c r="H43" s="51"/>
    </row>
    <row r="44" spans="4:9" ht="17.25" thickBot="1">
      <c r="D44" s="87" t="s">
        <v>74</v>
      </c>
      <c r="E44" s="89">
        <f>E34-'EX ANTE ma e. '!E34</f>
        <v>9602.982153506018</v>
      </c>
      <c r="H44" s="51"/>
      <c r="I44" s="82"/>
    </row>
    <row r="45" spans="4:8" ht="13.5" thickBot="1">
      <c r="D45" s="88" t="s">
        <v>75</v>
      </c>
      <c r="E45" s="90"/>
      <c r="H45" s="51"/>
    </row>
    <row r="46" ht="12.75">
      <c r="H46" s="51"/>
    </row>
    <row r="47" ht="12.75">
      <c r="H47" s="51"/>
    </row>
    <row r="48" ht="12.75">
      <c r="H48" s="51"/>
    </row>
    <row r="49" ht="12.75">
      <c r="H49" s="51"/>
    </row>
    <row r="50" ht="12.75">
      <c r="H50" s="51"/>
    </row>
    <row r="51" ht="12.75">
      <c r="H51" s="51"/>
    </row>
  </sheetData>
  <printOptions/>
  <pageMargins left="0.75" right="0.75" top="1" bottom="1" header="0" footer="0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9"/>
  <sheetViews>
    <sheetView workbookViewId="0" topLeftCell="A1">
      <selection activeCell="A19" sqref="A2:M19"/>
    </sheetView>
  </sheetViews>
  <sheetFormatPr defaultColWidth="11.421875" defaultRowHeight="12.75"/>
  <cols>
    <col min="1" max="1" width="5.421875" style="0" customWidth="1"/>
    <col min="4" max="4" width="14.57421875" style="0" customWidth="1"/>
    <col min="13" max="13" width="4.421875" style="0" customWidth="1"/>
  </cols>
  <sheetData>
    <row r="1" spans="7:8" s="40" customFormat="1" ht="12.75">
      <c r="G1" s="41"/>
      <c r="H1" s="41"/>
    </row>
    <row r="2" spans="7:8" s="40" customFormat="1" ht="12.75">
      <c r="G2" s="48"/>
      <c r="H2" s="48"/>
    </row>
    <row r="3" spans="8:9" s="40" customFormat="1" ht="12.75">
      <c r="H3" s="41"/>
      <c r="I3" s="41"/>
    </row>
    <row r="4" spans="8:9" s="40" customFormat="1" ht="12.75">
      <c r="H4" s="42" t="s">
        <v>48</v>
      </c>
      <c r="I4" s="48"/>
    </row>
    <row r="5" spans="4:9" s="40" customFormat="1" ht="12.75">
      <c r="D5" s="42"/>
      <c r="H5" s="42" t="s">
        <v>179</v>
      </c>
      <c r="I5" s="43"/>
    </row>
    <row r="6" spans="4:9" s="40" customFormat="1" ht="12.75">
      <c r="D6" s="42"/>
      <c r="F6" s="44"/>
      <c r="G6" s="44"/>
      <c r="H6" s="42"/>
      <c r="I6" s="45"/>
    </row>
    <row r="7" s="40" customFormat="1" ht="12.75">
      <c r="H7" s="51"/>
    </row>
    <row r="8" s="40" customFormat="1" ht="13.5" thickBot="1">
      <c r="G8" s="51"/>
    </row>
    <row r="9" spans="2:12" s="40" customFormat="1" ht="13.5" thickBot="1">
      <c r="B9" s="80"/>
      <c r="C9" s="46"/>
      <c r="D9" s="46"/>
      <c r="E9" s="46"/>
      <c r="F9" s="46"/>
      <c r="G9" s="70"/>
      <c r="H9" s="46"/>
      <c r="I9" s="46"/>
      <c r="J9" s="46"/>
      <c r="K9" s="46"/>
      <c r="L9" s="47"/>
    </row>
    <row r="10" spans="2:12" s="40" customFormat="1" ht="13.5" thickBot="1">
      <c r="B10" s="31"/>
      <c r="C10" s="32"/>
      <c r="D10" s="32"/>
      <c r="E10" s="32"/>
      <c r="F10" s="32"/>
      <c r="G10" s="76">
        <v>2007</v>
      </c>
      <c r="H10" s="77">
        <v>2008</v>
      </c>
      <c r="I10" s="78">
        <v>2009</v>
      </c>
      <c r="J10" s="77">
        <v>2010</v>
      </c>
      <c r="K10" s="78">
        <v>2011</v>
      </c>
      <c r="L10" s="79">
        <v>2012</v>
      </c>
    </row>
    <row r="11" spans="2:12" ht="12.75">
      <c r="B11" s="9" t="s">
        <v>76</v>
      </c>
      <c r="C11" s="91"/>
      <c r="D11" s="91"/>
      <c r="E11" s="10"/>
      <c r="F11" s="10"/>
      <c r="G11" s="268">
        <f>'EX POST ma e.'!H28-'EX ANTE ma e. '!H28</f>
        <v>-3621</v>
      </c>
      <c r="H11" s="268">
        <f>'EX POST ma e.'!I28-'EX ANTE ma e. '!I28</f>
        <v>3714.0087999999523</v>
      </c>
      <c r="I11" s="268">
        <f>H11</f>
        <v>3714.0087999999523</v>
      </c>
      <c r="J11" s="268">
        <f>H11</f>
        <v>3714.0087999999523</v>
      </c>
      <c r="K11" s="268">
        <f>H11</f>
        <v>3714.0087999999523</v>
      </c>
      <c r="L11" s="269">
        <f>H11</f>
        <v>3714.0087999999523</v>
      </c>
    </row>
    <row r="12" spans="2:12" ht="13.5" thickBot="1">
      <c r="B12" s="92" t="s">
        <v>77</v>
      </c>
      <c r="C12" s="93"/>
      <c r="D12" s="93"/>
      <c r="E12" s="67"/>
      <c r="F12" s="67"/>
      <c r="G12" s="67"/>
      <c r="H12" s="67"/>
      <c r="I12" s="67"/>
      <c r="J12" s="67"/>
      <c r="K12" s="67"/>
      <c r="L12" s="68"/>
    </row>
    <row r="14" ht="13.5" thickBot="1"/>
    <row r="15" spans="2:4" ht="12.75">
      <c r="B15" s="54" t="s">
        <v>73</v>
      </c>
      <c r="C15" s="83"/>
      <c r="D15" s="84">
        <v>0.125</v>
      </c>
    </row>
    <row r="16" spans="2:4" ht="12.75">
      <c r="B16" s="55"/>
      <c r="C16" s="34"/>
      <c r="D16" s="85"/>
    </row>
    <row r="17" spans="2:4" ht="16.5">
      <c r="B17" s="55" t="s">
        <v>52</v>
      </c>
      <c r="C17" s="34"/>
      <c r="D17" s="86">
        <f>NPV(D15,H11:L11)+G11</f>
        <v>9602.982153506242</v>
      </c>
    </row>
    <row r="18" spans="2:4" ht="13.5" thickBot="1">
      <c r="B18" s="57"/>
      <c r="C18" s="39"/>
      <c r="D18" s="72"/>
    </row>
    <row r="20" ht="12.75">
      <c r="D20" s="107"/>
    </row>
    <row r="21" ht="12.75">
      <c r="F21" s="108"/>
    </row>
    <row r="22" spans="6:10" ht="12.75">
      <c r="F22" s="94"/>
      <c r="J22" s="94"/>
    </row>
    <row r="23" ht="12.75">
      <c r="K23" s="94"/>
    </row>
    <row r="25" ht="12.75">
      <c r="D25" s="94"/>
    </row>
    <row r="27" ht="12.75">
      <c r="H27" s="107"/>
    </row>
    <row r="29" ht="12.75">
      <c r="H29" s="107"/>
    </row>
  </sheetData>
  <printOptions/>
  <pageMargins left="0.75" right="0.75" top="1" bottom="1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92"/>
  <sheetViews>
    <sheetView workbookViewId="0" topLeftCell="C160">
      <selection activeCell="P210" sqref="P210:Q220"/>
    </sheetView>
  </sheetViews>
  <sheetFormatPr defaultColWidth="11.421875" defaultRowHeight="12.75"/>
  <cols>
    <col min="1" max="1" width="5.421875" style="0" customWidth="1"/>
    <col min="4" max="4" width="14.57421875" style="0" customWidth="1"/>
    <col min="6" max="6" width="7.421875" style="0" customWidth="1"/>
    <col min="7" max="7" width="10.28125" style="0" customWidth="1"/>
    <col min="13" max="13" width="12.421875" style="0" customWidth="1"/>
    <col min="17" max="17" width="11.421875" style="0" customWidth="1"/>
  </cols>
  <sheetData>
    <row r="1" spans="7:8" s="40" customFormat="1" ht="12.75">
      <c r="G1" s="41"/>
      <c r="H1" s="41"/>
    </row>
    <row r="2" spans="7:8" s="40" customFormat="1" ht="12.75">
      <c r="G2" s="48"/>
      <c r="H2" s="48"/>
    </row>
    <row r="3" spans="7:8" s="40" customFormat="1" ht="12.75">
      <c r="G3" s="42" t="s">
        <v>48</v>
      </c>
      <c r="H3" s="43"/>
    </row>
    <row r="4" spans="5:8" s="40" customFormat="1" ht="12.75">
      <c r="E4" s="44"/>
      <c r="F4" s="44"/>
      <c r="G4" s="42" t="s">
        <v>49</v>
      </c>
      <c r="H4" s="45"/>
    </row>
    <row r="5" spans="4:8" s="40" customFormat="1" ht="12.75">
      <c r="D5" s="42"/>
      <c r="E5" s="44"/>
      <c r="F5" s="44"/>
      <c r="G5" s="42" t="s">
        <v>50</v>
      </c>
      <c r="H5" s="45"/>
    </row>
    <row r="6" spans="4:8" s="40" customFormat="1" ht="12.75">
      <c r="D6" s="42"/>
      <c r="E6" s="44"/>
      <c r="F6" s="44"/>
      <c r="G6" s="44"/>
      <c r="H6" s="45"/>
    </row>
    <row r="7" s="40" customFormat="1" ht="12.75">
      <c r="G7" s="51"/>
    </row>
    <row r="8" s="40" customFormat="1" ht="13.5" thickBot="1">
      <c r="G8" s="51"/>
    </row>
    <row r="9" spans="2:17" s="40" customFormat="1" ht="13.5" thickBot="1">
      <c r="B9" s="80"/>
      <c r="C9" s="46"/>
      <c r="D9" s="46"/>
      <c r="E9" s="46"/>
      <c r="F9" s="46"/>
      <c r="G9" s="70"/>
      <c r="H9" s="46"/>
      <c r="I9" s="46"/>
      <c r="J9" s="46"/>
      <c r="K9" s="46"/>
      <c r="L9" s="47"/>
      <c r="O9" s="120" t="s">
        <v>73</v>
      </c>
      <c r="P9" s="121"/>
      <c r="Q9" s="122">
        <f>0.125</f>
        <v>0.125</v>
      </c>
    </row>
    <row r="10" spans="2:17" s="40" customFormat="1" ht="13.5" thickBot="1">
      <c r="B10" s="31"/>
      <c r="C10" s="32"/>
      <c r="D10" s="32"/>
      <c r="E10" s="32"/>
      <c r="F10" s="32"/>
      <c r="G10" s="76">
        <v>2007</v>
      </c>
      <c r="H10" s="77">
        <v>2008</v>
      </c>
      <c r="I10" s="78">
        <v>2009</v>
      </c>
      <c r="J10" s="77">
        <v>2010</v>
      </c>
      <c r="K10" s="78">
        <v>2011</v>
      </c>
      <c r="L10" s="79">
        <v>2012</v>
      </c>
      <c r="O10" s="123"/>
      <c r="P10" s="124"/>
      <c r="Q10" s="125"/>
    </row>
    <row r="11" spans="2:17" ht="16.5">
      <c r="B11" s="9" t="s">
        <v>76</v>
      </c>
      <c r="C11" s="91"/>
      <c r="D11" s="91"/>
      <c r="E11" s="10"/>
      <c r="F11" s="10"/>
      <c r="G11" s="10">
        <f>'EX POST ma e.'!H28-'EX ANTE ma e. '!H28</f>
        <v>-3621</v>
      </c>
      <c r="H11" s="10">
        <f>'EX POST ma e.'!I28-'EX ANTE ma e. '!I28</f>
        <v>3714.0087999999523</v>
      </c>
      <c r="I11" s="10">
        <f>'EX POST ma e.'!J28-'EX ANTE ma e. '!J28</f>
        <v>3714.0087999999523</v>
      </c>
      <c r="J11" s="10">
        <f>'EX POST ma e.'!J28-'EX ANTE ma e. '!J28</f>
        <v>3714.0087999999523</v>
      </c>
      <c r="K11" s="10">
        <f>'EX POST ma e.'!K28-'EX ANTE ma e. '!K28</f>
        <v>3714.0087999999523</v>
      </c>
      <c r="L11" s="64">
        <f>'EX POST ma e.'!L28-'EX ANTE ma e. '!L28</f>
        <v>3714.0087999999523</v>
      </c>
      <c r="O11" s="123" t="s">
        <v>52</v>
      </c>
      <c r="P11" s="124"/>
      <c r="Q11" s="126">
        <f>NPV(Q9,H11:L11)+G11</f>
        <v>9602.982153506242</v>
      </c>
    </row>
    <row r="12" spans="2:17" ht="13.5" thickBot="1">
      <c r="B12" s="92" t="s">
        <v>77</v>
      </c>
      <c r="C12" s="93"/>
      <c r="D12" s="93"/>
      <c r="E12" s="67"/>
      <c r="F12" s="67"/>
      <c r="G12" s="67" t="e">
        <f>_XLL.RISKUNIFORM(-7242,-3621)</f>
        <v>#NAME?</v>
      </c>
      <c r="H12" s="67" t="e">
        <f>_XLL.RISKPERT(928.5,1857,2785.51)</f>
        <v>#NAME?</v>
      </c>
      <c r="I12" s="67" t="e">
        <f>_XLL.RISKPERT(1857,2785.51,3714.01)</f>
        <v>#NAME?</v>
      </c>
      <c r="J12" s="67" t="e">
        <f>_XLL.RISKPERT(1857,2785.51,3714.01)</f>
        <v>#NAME?</v>
      </c>
      <c r="K12" s="67" t="e">
        <f>_XLL.RISKPERT(1857,2785.51,3714.01)</f>
        <v>#NAME?</v>
      </c>
      <c r="L12" s="67" t="e">
        <f>_XLL.RISKPERT(1857,2785.51,3714.01)</f>
        <v>#NAME?</v>
      </c>
      <c r="O12" s="127" t="s">
        <v>51</v>
      </c>
      <c r="P12" s="128"/>
      <c r="Q12" s="129">
        <f>IRR(G11:L11)</f>
        <v>0.9930723145023925</v>
      </c>
    </row>
    <row r="14" ht="13.5" thickBot="1"/>
    <row r="15" spans="2:6" ht="12.75">
      <c r="B15" s="130" t="s">
        <v>73</v>
      </c>
      <c r="C15" s="131"/>
      <c r="D15" s="132" t="e">
        <f>_XLL.RISKPERT(0.125,0.15,0.18,_XLL.RISKTRUNCATE(0,))</f>
        <v>#NAME?</v>
      </c>
      <c r="F15" s="29" t="s">
        <v>79</v>
      </c>
    </row>
    <row r="16" spans="2:4" ht="12.75">
      <c r="B16" s="133"/>
      <c r="C16" s="134"/>
      <c r="D16" s="135"/>
    </row>
    <row r="17" spans="2:6" ht="16.5">
      <c r="B17" s="133" t="s">
        <v>52</v>
      </c>
      <c r="C17" s="134"/>
      <c r="D17" s="136" t="e">
        <f>_XLL.RISKOUTPUT()+NPV(D15,H12:L12)+G12</f>
        <v>#NAME?</v>
      </c>
      <c r="F17" t="s">
        <v>80</v>
      </c>
    </row>
    <row r="18" spans="2:6" ht="13.5" thickBot="1">
      <c r="B18" s="137" t="s">
        <v>51</v>
      </c>
      <c r="C18" s="138"/>
      <c r="D18" s="139" t="e">
        <f>_XLL.RISKOUTPUT()+IRR(G12:L12)</f>
        <v>#NAME?</v>
      </c>
      <c r="F18" t="s">
        <v>81</v>
      </c>
    </row>
    <row r="19" ht="12.75">
      <c r="F19" t="s">
        <v>82</v>
      </c>
    </row>
    <row r="20" spans="4:6" ht="12.75">
      <c r="D20" s="107"/>
      <c r="F20" t="s">
        <v>83</v>
      </c>
    </row>
    <row r="21" ht="12.75">
      <c r="F21" s="108" t="s">
        <v>84</v>
      </c>
    </row>
    <row r="22" spans="6:10" ht="12.75">
      <c r="F22" s="94" t="s">
        <v>85</v>
      </c>
      <c r="J22" s="94"/>
    </row>
    <row r="23" spans="6:11" ht="12.75">
      <c r="F23" s="108" t="s">
        <v>86</v>
      </c>
      <c r="K23" s="94"/>
    </row>
    <row r="25" spans="4:6" ht="12.75">
      <c r="D25" s="94"/>
      <c r="F25" t="s">
        <v>87</v>
      </c>
    </row>
    <row r="26" ht="12.75">
      <c r="F26" t="s">
        <v>88</v>
      </c>
    </row>
    <row r="27" spans="6:8" ht="12.75">
      <c r="F27" t="s">
        <v>89</v>
      </c>
      <c r="H27" s="107"/>
    </row>
    <row r="28" ht="12.75">
      <c r="F28" t="s">
        <v>90</v>
      </c>
    </row>
    <row r="29" ht="12.75">
      <c r="H29" s="107"/>
    </row>
    <row r="30" ht="12.75">
      <c r="F30" t="s">
        <v>91</v>
      </c>
    </row>
    <row r="31" ht="12.75">
      <c r="F31" t="s">
        <v>92</v>
      </c>
    </row>
    <row r="32" ht="12.75">
      <c r="F32" t="s">
        <v>93</v>
      </c>
    </row>
    <row r="33" ht="12.75">
      <c r="F33" t="s">
        <v>94</v>
      </c>
    </row>
    <row r="34" ht="12.75">
      <c r="F34" t="s">
        <v>95</v>
      </c>
    </row>
    <row r="35" ht="12.75">
      <c r="F35" t="s">
        <v>96</v>
      </c>
    </row>
    <row r="37" ht="12.75">
      <c r="F37" t="s">
        <v>97</v>
      </c>
    </row>
    <row r="38" ht="12.75">
      <c r="F38" t="s">
        <v>98</v>
      </c>
    </row>
    <row r="40" ht="12.75">
      <c r="F40" t="s">
        <v>99</v>
      </c>
    </row>
    <row r="41" ht="12.75">
      <c r="F41" t="s">
        <v>100</v>
      </c>
    </row>
    <row r="42" ht="12.75">
      <c r="F42" t="s">
        <v>101</v>
      </c>
    </row>
    <row r="77" ht="13.5" thickBot="1"/>
    <row r="78" spans="6:7" ht="13.5" thickBot="1">
      <c r="F78" s="272" t="s">
        <v>126</v>
      </c>
      <c r="G78" s="273"/>
    </row>
    <row r="79" spans="6:9" ht="12.75">
      <c r="F79" s="109" t="s">
        <v>102</v>
      </c>
      <c r="G79" s="110" t="s">
        <v>52</v>
      </c>
      <c r="I79" t="s">
        <v>123</v>
      </c>
    </row>
    <row r="80" spans="6:9" ht="12.75">
      <c r="F80" s="111" t="s">
        <v>103</v>
      </c>
      <c r="G80" s="274">
        <v>3354.872</v>
      </c>
      <c r="I80" t="s">
        <v>124</v>
      </c>
    </row>
    <row r="81" spans="6:9" ht="12.75">
      <c r="F81" s="111" t="s">
        <v>104</v>
      </c>
      <c r="G81" s="275">
        <v>5521.65</v>
      </c>
      <c r="I81" t="s">
        <v>125</v>
      </c>
    </row>
    <row r="82" spans="6:7" ht="12.75">
      <c r="F82" s="111" t="s">
        <v>105</v>
      </c>
      <c r="G82" s="274">
        <v>8001.786</v>
      </c>
    </row>
    <row r="83" spans="6:7" ht="13.5" thickBot="1">
      <c r="F83" s="115" t="s">
        <v>106</v>
      </c>
      <c r="G83" s="276">
        <v>593.7016</v>
      </c>
    </row>
    <row r="84" spans="6:7" ht="12.75">
      <c r="F84" s="270" t="s">
        <v>107</v>
      </c>
      <c r="G84" s="271">
        <v>352481.6</v>
      </c>
    </row>
    <row r="85" spans="6:7" ht="12.75">
      <c r="F85" s="111" t="s">
        <v>108</v>
      </c>
      <c r="G85" s="113">
        <v>0.04853238</v>
      </c>
    </row>
    <row r="86" spans="6:7" ht="12.75">
      <c r="F86" s="111" t="s">
        <v>109</v>
      </c>
      <c r="G86" s="112">
        <v>2.87304</v>
      </c>
    </row>
    <row r="87" spans="6:7" ht="12.75">
      <c r="F87" s="111" t="s">
        <v>110</v>
      </c>
      <c r="G87" s="112">
        <v>5537.052</v>
      </c>
    </row>
    <row r="88" spans="6:7" ht="12.75">
      <c r="F88" s="111" t="s">
        <v>111</v>
      </c>
      <c r="G88" s="112">
        <v>3400</v>
      </c>
    </row>
    <row r="89" spans="6:7" ht="12.75">
      <c r="F89" s="111" t="s">
        <v>112</v>
      </c>
      <c r="G89" s="114">
        <v>0.9998672</v>
      </c>
    </row>
    <row r="90" spans="6:7" ht="12.75">
      <c r="F90" s="111" t="s">
        <v>113</v>
      </c>
      <c r="G90" s="112">
        <v>7600</v>
      </c>
    </row>
    <row r="91" spans="6:7" ht="12.75">
      <c r="F91" s="111" t="s">
        <v>114</v>
      </c>
      <c r="G91" s="113">
        <v>8.712552E-05</v>
      </c>
    </row>
    <row r="92" spans="6:7" ht="12.75">
      <c r="F92" s="111" t="s">
        <v>115</v>
      </c>
      <c r="G92" s="112">
        <v>4200</v>
      </c>
    </row>
    <row r="93" spans="6:7" ht="12.75">
      <c r="F93" s="111" t="s">
        <v>116</v>
      </c>
      <c r="G93" s="114">
        <v>0.99978</v>
      </c>
    </row>
    <row r="94" spans="6:7" ht="12.75">
      <c r="F94" s="111" t="s">
        <v>117</v>
      </c>
      <c r="G94" s="112">
        <v>4552.048</v>
      </c>
    </row>
    <row r="95" spans="6:7" ht="12.75">
      <c r="F95" s="111" t="s">
        <v>118</v>
      </c>
      <c r="G95" s="112">
        <v>6515.312</v>
      </c>
    </row>
    <row r="96" spans="6:7" ht="12.75">
      <c r="F96" s="111" t="s">
        <v>119</v>
      </c>
      <c r="G96" s="112">
        <v>0</v>
      </c>
    </row>
    <row r="97" spans="6:7" ht="12.75">
      <c r="F97" s="111" t="s">
        <v>120</v>
      </c>
      <c r="G97" s="112"/>
    </row>
    <row r="98" spans="6:7" ht="12.75">
      <c r="F98" s="111" t="s">
        <v>121</v>
      </c>
      <c r="G98" s="112"/>
    </row>
    <row r="99" spans="6:7" ht="12.75">
      <c r="F99" s="111" t="s">
        <v>122</v>
      </c>
      <c r="G99" s="112">
        <v>0</v>
      </c>
    </row>
    <row r="100" spans="6:7" ht="13.5" thickBot="1">
      <c r="F100" s="115"/>
      <c r="G100" s="116"/>
    </row>
    <row r="102" ht="12.75">
      <c r="F102" t="s">
        <v>127</v>
      </c>
    </row>
    <row r="103" ht="12.75">
      <c r="F103" t="s">
        <v>128</v>
      </c>
    </row>
    <row r="104" ht="12.75">
      <c r="F104" t="s">
        <v>129</v>
      </c>
    </row>
    <row r="140" ht="13.5" thickBot="1"/>
    <row r="141" ht="13.5" thickBot="1">
      <c r="F141" s="2" t="s">
        <v>126</v>
      </c>
    </row>
    <row r="142" spans="6:7" ht="12.75">
      <c r="F142" s="109" t="s">
        <v>102</v>
      </c>
      <c r="G142" s="110" t="s">
        <v>52</v>
      </c>
    </row>
    <row r="143" spans="6:7" ht="12.75">
      <c r="F143" s="111" t="s">
        <v>103</v>
      </c>
      <c r="G143" s="274">
        <v>680.5617</v>
      </c>
    </row>
    <row r="144" spans="6:9" ht="12.75">
      <c r="F144" s="111" t="s">
        <v>104</v>
      </c>
      <c r="G144" s="275">
        <v>3892.015</v>
      </c>
      <c r="I144" t="s">
        <v>132</v>
      </c>
    </row>
    <row r="145" spans="6:9" ht="12.75">
      <c r="F145" s="111" t="s">
        <v>105</v>
      </c>
      <c r="G145" s="274">
        <v>7189.095</v>
      </c>
      <c r="I145" t="s">
        <v>124</v>
      </c>
    </row>
    <row r="146" spans="6:9" ht="13.5" thickBot="1">
      <c r="F146" s="115" t="s">
        <v>106</v>
      </c>
      <c r="G146" s="276">
        <v>1199.131</v>
      </c>
      <c r="I146" t="s">
        <v>125</v>
      </c>
    </row>
    <row r="147" spans="6:7" ht="13.5" thickBot="1">
      <c r="F147" s="270" t="s">
        <v>107</v>
      </c>
      <c r="G147" s="271">
        <v>1437916</v>
      </c>
    </row>
    <row r="148" spans="6:8" ht="13.5" thickBot="1">
      <c r="F148" s="111" t="s">
        <v>108</v>
      </c>
      <c r="G148" s="113">
        <v>0.002119061</v>
      </c>
      <c r="H148" s="117"/>
    </row>
    <row r="149" spans="6:7" ht="12.75">
      <c r="F149" s="111" t="s">
        <v>109</v>
      </c>
      <c r="G149" s="112">
        <v>2.220162</v>
      </c>
    </row>
    <row r="150" spans="6:7" ht="12.75">
      <c r="F150" s="111" t="s">
        <v>110</v>
      </c>
      <c r="G150" s="112">
        <v>3579.52</v>
      </c>
    </row>
    <row r="151" spans="6:7" ht="12.75">
      <c r="F151" s="111" t="s">
        <v>111</v>
      </c>
      <c r="G151" s="112">
        <v>700</v>
      </c>
    </row>
    <row r="152" spans="6:7" ht="12.75">
      <c r="F152" s="111" t="s">
        <v>112</v>
      </c>
      <c r="G152" s="114">
        <v>0.9998331</v>
      </c>
    </row>
    <row r="153" spans="6:7" ht="12.75">
      <c r="F153" s="111" t="s">
        <v>113</v>
      </c>
      <c r="G153" s="112">
        <v>7200</v>
      </c>
    </row>
    <row r="154" spans="6:7" ht="12.75">
      <c r="F154" s="111" t="s">
        <v>114</v>
      </c>
      <c r="G154" s="118">
        <v>0</v>
      </c>
    </row>
    <row r="155" spans="6:7" ht="12.75">
      <c r="F155" s="111" t="s">
        <v>115</v>
      </c>
      <c r="G155" s="112">
        <v>6500</v>
      </c>
    </row>
    <row r="156" spans="6:7" ht="12.75">
      <c r="F156" s="111" t="s">
        <v>116</v>
      </c>
      <c r="G156" s="114">
        <v>0.9998331</v>
      </c>
    </row>
    <row r="157" spans="6:7" ht="12.75">
      <c r="F157" s="111" t="s">
        <v>117</v>
      </c>
      <c r="G157" s="112">
        <v>1958.307</v>
      </c>
    </row>
    <row r="158" spans="6:7" ht="12.75">
      <c r="F158" s="111" t="s">
        <v>118</v>
      </c>
      <c r="G158" s="112">
        <v>5811.012</v>
      </c>
    </row>
    <row r="159" spans="6:7" ht="12.75">
      <c r="F159" s="111" t="s">
        <v>119</v>
      </c>
      <c r="G159" s="112">
        <v>0</v>
      </c>
    </row>
    <row r="160" spans="6:7" ht="12.75">
      <c r="F160" s="111" t="s">
        <v>120</v>
      </c>
      <c r="G160" s="112"/>
    </row>
    <row r="161" spans="6:7" ht="12.75">
      <c r="F161" s="111" t="s">
        <v>121</v>
      </c>
      <c r="G161" s="112"/>
    </row>
    <row r="162" spans="6:7" ht="13.5" thickBot="1">
      <c r="F162" s="115" t="s">
        <v>122</v>
      </c>
      <c r="G162" s="116">
        <v>0</v>
      </c>
    </row>
    <row r="164" ht="12.75">
      <c r="F164" t="s">
        <v>130</v>
      </c>
    </row>
    <row r="165" spans="6:8" ht="12.75">
      <c r="F165" t="s">
        <v>131</v>
      </c>
      <c r="H165" t="s">
        <v>134</v>
      </c>
    </row>
    <row r="207" ht="13.5" thickBot="1"/>
    <row r="208" ht="13.5" thickBot="1">
      <c r="F208" s="117" t="s">
        <v>126</v>
      </c>
    </row>
    <row r="209" spans="6:16" ht="13.5" thickBot="1">
      <c r="F209" s="109" t="s">
        <v>102</v>
      </c>
      <c r="G209" s="110" t="s">
        <v>52</v>
      </c>
      <c r="P209" s="117" t="s">
        <v>126</v>
      </c>
    </row>
    <row r="210" spans="6:17" ht="12.75">
      <c r="F210" s="111" t="s">
        <v>103</v>
      </c>
      <c r="G210" s="278">
        <v>-511.6446</v>
      </c>
      <c r="P210" s="109" t="s">
        <v>102</v>
      </c>
      <c r="Q210" s="110" t="s">
        <v>52</v>
      </c>
    </row>
    <row r="211" spans="6:17" ht="12.75">
      <c r="F211" s="111" t="s">
        <v>104</v>
      </c>
      <c r="G211" s="275">
        <v>3085.336</v>
      </c>
      <c r="P211" s="111" t="s">
        <v>103</v>
      </c>
      <c r="Q211" s="112">
        <v>-511.6446</v>
      </c>
    </row>
    <row r="212" spans="6:17" ht="12.75">
      <c r="F212" s="111" t="s">
        <v>105</v>
      </c>
      <c r="G212" s="274">
        <v>6674.546</v>
      </c>
      <c r="P212" s="111" t="s">
        <v>104</v>
      </c>
      <c r="Q212" s="112">
        <v>3085.336</v>
      </c>
    </row>
    <row r="213" spans="6:17" ht="13.5" thickBot="1">
      <c r="F213" s="115" t="s">
        <v>106</v>
      </c>
      <c r="G213" s="276">
        <v>1193.638</v>
      </c>
      <c r="I213" t="s">
        <v>133</v>
      </c>
      <c r="P213" s="111" t="s">
        <v>105</v>
      </c>
      <c r="Q213" s="112">
        <v>6674.546</v>
      </c>
    </row>
    <row r="214" spans="6:17" ht="12.75">
      <c r="F214" s="270" t="s">
        <v>107</v>
      </c>
      <c r="G214" s="271">
        <v>1424771</v>
      </c>
      <c r="I214" t="s">
        <v>124</v>
      </c>
      <c r="P214" s="111" t="s">
        <v>106</v>
      </c>
      <c r="Q214" s="112">
        <v>1193.638</v>
      </c>
    </row>
    <row r="215" spans="6:17" ht="12.75">
      <c r="F215" s="111" t="s">
        <v>108</v>
      </c>
      <c r="G215" s="113">
        <v>0.01508566</v>
      </c>
      <c r="I215" t="s">
        <v>125</v>
      </c>
      <c r="P215" s="111" t="s">
        <v>107</v>
      </c>
      <c r="Q215" s="112">
        <v>1424771</v>
      </c>
    </row>
    <row r="216" spans="6:17" ht="12.75">
      <c r="F216" s="111" t="s">
        <v>109</v>
      </c>
      <c r="G216" s="112">
        <v>2.296859</v>
      </c>
      <c r="P216" s="111" t="s">
        <v>108</v>
      </c>
      <c r="Q216" s="113">
        <v>0.01508566</v>
      </c>
    </row>
    <row r="217" spans="6:17" ht="12.75">
      <c r="F217" s="111" t="s">
        <v>110</v>
      </c>
      <c r="G217" s="112">
        <v>2706.358</v>
      </c>
      <c r="P217" s="111" t="s">
        <v>109</v>
      </c>
      <c r="Q217" s="112">
        <v>2.296859</v>
      </c>
    </row>
    <row r="218" spans="6:17" ht="12.75">
      <c r="F218" s="111" t="s">
        <v>111</v>
      </c>
      <c r="G218" s="112">
        <v>700</v>
      </c>
      <c r="P218" s="111" t="s">
        <v>110</v>
      </c>
      <c r="Q218" s="112">
        <v>2706.358</v>
      </c>
    </row>
    <row r="219" spans="6:17" ht="12.75">
      <c r="F219" s="111" t="s">
        <v>112</v>
      </c>
      <c r="G219" s="114">
        <v>0.9881042</v>
      </c>
      <c r="H219">
        <v>0</v>
      </c>
      <c r="P219" s="111" t="s">
        <v>111</v>
      </c>
      <c r="Q219" s="112">
        <v>0</v>
      </c>
    </row>
    <row r="220" spans="6:17" ht="13.5" thickBot="1">
      <c r="F220" s="111" t="s">
        <v>113</v>
      </c>
      <c r="G220" s="112">
        <v>7200</v>
      </c>
      <c r="P220" s="115" t="s">
        <v>112</v>
      </c>
      <c r="Q220" s="277">
        <v>0.9993146</v>
      </c>
    </row>
    <row r="221" spans="6:17" ht="12.75">
      <c r="F221" s="111" t="s">
        <v>114</v>
      </c>
      <c r="G221" s="118">
        <v>0</v>
      </c>
      <c r="N221" s="119">
        <f>1-Q220</f>
        <v>0.0006853999999999472</v>
      </c>
      <c r="P221" s="270" t="s">
        <v>113</v>
      </c>
      <c r="Q221" s="271">
        <v>7200</v>
      </c>
    </row>
    <row r="222" spans="6:17" ht="12.75">
      <c r="F222" s="111" t="s">
        <v>115</v>
      </c>
      <c r="G222" s="112">
        <v>6500</v>
      </c>
      <c r="P222" s="111" t="s">
        <v>114</v>
      </c>
      <c r="Q222" s="118">
        <v>0</v>
      </c>
    </row>
    <row r="223" spans="6:17" ht="12.75">
      <c r="F223" s="111" t="s">
        <v>116</v>
      </c>
      <c r="G223" s="114">
        <v>0.9881042</v>
      </c>
      <c r="P223" s="111" t="s">
        <v>115</v>
      </c>
      <c r="Q223" s="112">
        <v>7200</v>
      </c>
    </row>
    <row r="224" spans="6:17" ht="12.75">
      <c r="F224" s="111" t="s">
        <v>117</v>
      </c>
      <c r="G224" s="112">
        <v>1179.591</v>
      </c>
      <c r="P224" s="111" t="s">
        <v>116</v>
      </c>
      <c r="Q224" s="114">
        <v>0.9993146</v>
      </c>
    </row>
    <row r="225" spans="6:17" ht="12.75">
      <c r="F225" s="111" t="s">
        <v>118</v>
      </c>
      <c r="G225" s="112">
        <v>5008.449</v>
      </c>
      <c r="P225" s="111" t="s">
        <v>117</v>
      </c>
      <c r="Q225" s="112">
        <v>1179.591</v>
      </c>
    </row>
    <row r="226" spans="6:17" ht="12.75">
      <c r="F226" s="111" t="s">
        <v>119</v>
      </c>
      <c r="G226" s="112">
        <v>0</v>
      </c>
      <c r="P226" s="111" t="s">
        <v>118</v>
      </c>
      <c r="Q226" s="112">
        <v>5008.449</v>
      </c>
    </row>
    <row r="227" spans="6:17" ht="12.75">
      <c r="F227" s="111" t="s">
        <v>120</v>
      </c>
      <c r="G227" s="112"/>
      <c r="P227" s="111" t="s">
        <v>119</v>
      </c>
      <c r="Q227" s="112">
        <v>0</v>
      </c>
    </row>
    <row r="228" spans="6:17" ht="12.75">
      <c r="F228" s="111" t="s">
        <v>121</v>
      </c>
      <c r="G228" s="112"/>
      <c r="P228" s="111" t="s">
        <v>120</v>
      </c>
      <c r="Q228" s="112"/>
    </row>
    <row r="229" spans="6:17" ht="12.75">
      <c r="F229" s="111" t="s">
        <v>122</v>
      </c>
      <c r="G229" s="112">
        <v>0</v>
      </c>
      <c r="P229" s="111" t="s">
        <v>121</v>
      </c>
      <c r="Q229" s="112"/>
    </row>
    <row r="230" spans="6:17" ht="13.5" thickBot="1">
      <c r="F230" s="115"/>
      <c r="G230" s="116"/>
      <c r="P230" s="111" t="s">
        <v>122</v>
      </c>
      <c r="Q230" s="112">
        <v>0</v>
      </c>
    </row>
    <row r="231" spans="16:17" ht="13.5" thickBot="1">
      <c r="P231" s="115"/>
      <c r="Q231" s="116"/>
    </row>
    <row r="279" ht="13.5" thickBot="1"/>
    <row r="280" spans="6:7" ht="12.75">
      <c r="F280" s="263"/>
      <c r="G280" s="262"/>
    </row>
    <row r="281" spans="6:7" ht="13.5" thickBot="1">
      <c r="F281" s="255"/>
      <c r="G281" s="255"/>
    </row>
    <row r="282" spans="6:7" ht="13.5" thickBot="1">
      <c r="F282" s="249"/>
      <c r="G282" s="249"/>
    </row>
    <row r="283" spans="3:13" ht="13.5" thickBot="1">
      <c r="C283" s="261" t="s">
        <v>76</v>
      </c>
      <c r="D283" s="262"/>
      <c r="E283" s="263"/>
      <c r="H283" s="27">
        <v>2007</v>
      </c>
      <c r="I283" s="264">
        <v>2008</v>
      </c>
      <c r="J283" s="27">
        <v>2009</v>
      </c>
      <c r="K283" s="264">
        <v>2010</v>
      </c>
      <c r="L283" s="27">
        <v>2011</v>
      </c>
      <c r="M283" s="27">
        <v>2012</v>
      </c>
    </row>
    <row r="284" spans="3:13" ht="13.5" thickBot="1">
      <c r="C284" s="254" t="s">
        <v>77</v>
      </c>
      <c r="D284" s="265"/>
      <c r="E284" s="255"/>
      <c r="H284" s="266">
        <v>-3621</v>
      </c>
      <c r="I284" s="267">
        <v>3714.0087999999523</v>
      </c>
      <c r="J284" s="266">
        <v>3714.0087999999523</v>
      </c>
      <c r="K284" s="267">
        <v>3714.0087999999523</v>
      </c>
      <c r="L284" s="266">
        <v>3714.0087999999523</v>
      </c>
      <c r="M284" s="266">
        <v>3714.0087999999523</v>
      </c>
    </row>
    <row r="285" spans="3:13" ht="13.5" thickBot="1">
      <c r="C285" s="237" t="s">
        <v>173</v>
      </c>
      <c r="D285" s="248"/>
      <c r="E285" s="249"/>
      <c r="H285" s="244">
        <v>-5431.5</v>
      </c>
      <c r="I285" s="250">
        <v>1857.0016666666666</v>
      </c>
      <c r="J285" s="244">
        <v>2785.5083333333337</v>
      </c>
      <c r="K285" s="250">
        <v>2785.5083333333337</v>
      </c>
      <c r="L285" s="244">
        <v>2785.5083333333337</v>
      </c>
      <c r="M285" s="244">
        <v>2785.5083333333337</v>
      </c>
    </row>
    <row r="287" ht="13.5" thickBot="1"/>
    <row r="288" spans="3:10" ht="13.5" thickBot="1">
      <c r="C288" s="237" t="s">
        <v>73</v>
      </c>
      <c r="D288" s="238"/>
      <c r="E288" s="239">
        <v>0.15083333333333332</v>
      </c>
      <c r="H288" s="251" t="s">
        <v>73</v>
      </c>
      <c r="I288" s="252"/>
      <c r="J288" s="253">
        <v>0.125</v>
      </c>
    </row>
    <row r="289" spans="3:10" ht="13.5" thickBot="1">
      <c r="C289" s="240"/>
      <c r="D289" s="241"/>
      <c r="E289" s="242"/>
      <c r="F289" s="10"/>
      <c r="G289" s="10"/>
      <c r="H289" s="254"/>
      <c r="I289" s="255"/>
      <c r="J289" s="256"/>
    </row>
    <row r="290" spans="3:10" ht="13.5" thickBot="1">
      <c r="C290" s="237" t="s">
        <v>174</v>
      </c>
      <c r="D290" s="243"/>
      <c r="E290" s="244">
        <f>NPV(E288,I285:M285)+H285</f>
        <v>3080.7497874317924</v>
      </c>
      <c r="H290" s="251" t="s">
        <v>52</v>
      </c>
      <c r="I290" s="252"/>
      <c r="J290" s="257">
        <f>NPV(J288,I284:M284)+H284</f>
        <v>9602.982153506242</v>
      </c>
    </row>
    <row r="291" spans="3:10" ht="13.5" thickBot="1">
      <c r="C291" s="245" t="s">
        <v>51</v>
      </c>
      <c r="D291" s="246"/>
      <c r="E291" s="247">
        <f>IRR(H285:M285)</f>
        <v>0.3561470291390522</v>
      </c>
      <c r="H291" s="258" t="s">
        <v>51</v>
      </c>
      <c r="I291" s="259"/>
      <c r="J291" s="260">
        <f>IRR(H284:M284)</f>
        <v>0.9930723145023925</v>
      </c>
    </row>
    <row r="292" spans="3:11" ht="12.75">
      <c r="C292" s="29"/>
      <c r="H292" s="10"/>
      <c r="I292" s="10"/>
      <c r="J292" s="10"/>
      <c r="K292" s="1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B40" sqref="B40"/>
    </sheetView>
  </sheetViews>
  <sheetFormatPr defaultColWidth="11.421875" defaultRowHeight="12.75"/>
  <cols>
    <col min="2" max="2" width="31.28125" style="0" customWidth="1"/>
  </cols>
  <sheetData>
    <row r="2" spans="2:6" ht="24" thickBot="1">
      <c r="B2" s="145" t="s">
        <v>53</v>
      </c>
      <c r="C2" s="145"/>
      <c r="D2" s="145"/>
      <c r="E2" s="145"/>
      <c r="F2" s="145"/>
    </row>
    <row r="3" spans="2:6" ht="51.75" thickBot="1">
      <c r="B3" s="58" t="s">
        <v>54</v>
      </c>
      <c r="C3" s="59" t="s">
        <v>55</v>
      </c>
      <c r="D3" s="60" t="s">
        <v>56</v>
      </c>
      <c r="E3" s="61" t="s">
        <v>57</v>
      </c>
      <c r="F3" s="62" t="s">
        <v>58</v>
      </c>
    </row>
    <row r="4" spans="2:6" ht="12.75">
      <c r="B4" s="7" t="s">
        <v>59</v>
      </c>
      <c r="C4" s="2">
        <v>1</v>
      </c>
      <c r="D4" s="8">
        <v>600</v>
      </c>
      <c r="E4" s="2">
        <f>C4*D4</f>
        <v>600</v>
      </c>
      <c r="F4" s="63">
        <f>E4*12</f>
        <v>7200</v>
      </c>
    </row>
    <row r="5" spans="2:6" ht="12.75">
      <c r="B5" s="12" t="s">
        <v>60</v>
      </c>
      <c r="C5" s="3">
        <v>1</v>
      </c>
      <c r="D5" s="10">
        <v>460</v>
      </c>
      <c r="E5" s="3">
        <f aca="true" t="shared" si="0" ref="E5:E16">C5*D5</f>
        <v>460</v>
      </c>
      <c r="F5" s="64">
        <f aca="true" t="shared" si="1" ref="F5:F16">E5*12</f>
        <v>5520</v>
      </c>
    </row>
    <row r="6" spans="2:6" ht="12.75">
      <c r="B6" s="12" t="s">
        <v>61</v>
      </c>
      <c r="C6" s="3">
        <v>1</v>
      </c>
      <c r="D6" s="10">
        <v>400</v>
      </c>
      <c r="E6" s="3">
        <f t="shared" si="0"/>
        <v>400</v>
      </c>
      <c r="F6" s="64">
        <f t="shared" si="1"/>
        <v>4800</v>
      </c>
    </row>
    <row r="7" spans="2:6" ht="12.75">
      <c r="B7" s="12" t="s">
        <v>62</v>
      </c>
      <c r="C7" s="3">
        <v>1</v>
      </c>
      <c r="D7" s="10">
        <v>270</v>
      </c>
      <c r="E7" s="3">
        <f t="shared" si="0"/>
        <v>270</v>
      </c>
      <c r="F7" s="64">
        <f t="shared" si="1"/>
        <v>3240</v>
      </c>
    </row>
    <row r="8" spans="2:6" ht="12.75">
      <c r="B8" s="12" t="s">
        <v>63</v>
      </c>
      <c r="C8" s="3">
        <v>1</v>
      </c>
      <c r="D8" s="10">
        <v>330</v>
      </c>
      <c r="E8" s="3">
        <f t="shared" si="0"/>
        <v>330</v>
      </c>
      <c r="F8" s="64">
        <f t="shared" si="1"/>
        <v>3960</v>
      </c>
    </row>
    <row r="9" spans="2:6" ht="12.75">
      <c r="B9" s="12" t="s">
        <v>64</v>
      </c>
      <c r="C9" s="3">
        <v>1</v>
      </c>
      <c r="D9" s="10">
        <v>350</v>
      </c>
      <c r="E9" s="3">
        <f t="shared" si="0"/>
        <v>350</v>
      </c>
      <c r="F9" s="64">
        <f t="shared" si="1"/>
        <v>4200</v>
      </c>
    </row>
    <row r="10" spans="2:6" ht="12.75">
      <c r="B10" s="12" t="s">
        <v>65</v>
      </c>
      <c r="C10" s="3">
        <v>2</v>
      </c>
      <c r="D10" s="65">
        <v>270</v>
      </c>
      <c r="E10" s="3">
        <f t="shared" si="0"/>
        <v>540</v>
      </c>
      <c r="F10" s="64">
        <f t="shared" si="1"/>
        <v>6480</v>
      </c>
    </row>
    <row r="11" spans="2:6" ht="12.75">
      <c r="B11" s="12" t="s">
        <v>66</v>
      </c>
      <c r="C11" s="3">
        <v>4</v>
      </c>
      <c r="D11" s="65">
        <v>200</v>
      </c>
      <c r="E11" s="3">
        <f t="shared" si="0"/>
        <v>800</v>
      </c>
      <c r="F11" s="64">
        <f t="shared" si="1"/>
        <v>9600</v>
      </c>
    </row>
    <row r="12" spans="2:6" ht="12.75">
      <c r="B12" s="12" t="s">
        <v>67</v>
      </c>
      <c r="C12" s="3">
        <v>1</v>
      </c>
      <c r="D12" s="10">
        <v>400</v>
      </c>
      <c r="E12" s="3">
        <f t="shared" si="0"/>
        <v>400</v>
      </c>
      <c r="F12" s="64">
        <f t="shared" si="1"/>
        <v>4800</v>
      </c>
    </row>
    <row r="13" spans="2:6" ht="12.75">
      <c r="B13" s="12" t="s">
        <v>68</v>
      </c>
      <c r="C13" s="3">
        <v>1</v>
      </c>
      <c r="D13" s="65">
        <v>300</v>
      </c>
      <c r="E13" s="3">
        <f t="shared" si="0"/>
        <v>300</v>
      </c>
      <c r="F13" s="64">
        <f t="shared" si="1"/>
        <v>3600</v>
      </c>
    </row>
    <row r="14" spans="2:6" ht="12.75">
      <c r="B14" s="12" t="s">
        <v>69</v>
      </c>
      <c r="C14" s="3">
        <v>1</v>
      </c>
      <c r="D14" s="10">
        <v>280</v>
      </c>
      <c r="E14" s="3">
        <f t="shared" si="0"/>
        <v>280</v>
      </c>
      <c r="F14" s="64">
        <f t="shared" si="1"/>
        <v>3360</v>
      </c>
    </row>
    <row r="15" spans="2:6" ht="12.75">
      <c r="B15" s="12" t="s">
        <v>70</v>
      </c>
      <c r="C15" s="3">
        <v>2</v>
      </c>
      <c r="D15" s="10">
        <v>230</v>
      </c>
      <c r="E15" s="3">
        <f t="shared" si="0"/>
        <v>460</v>
      </c>
      <c r="F15" s="64">
        <f t="shared" si="1"/>
        <v>5520</v>
      </c>
    </row>
    <row r="16" spans="2:6" ht="13.5" thickBot="1">
      <c r="B16" s="66" t="s">
        <v>71</v>
      </c>
      <c r="C16" s="4">
        <v>2</v>
      </c>
      <c r="D16" s="67">
        <v>250</v>
      </c>
      <c r="E16" s="4">
        <f t="shared" si="0"/>
        <v>500</v>
      </c>
      <c r="F16" s="68">
        <f t="shared" si="1"/>
        <v>6000</v>
      </c>
    </row>
    <row r="17" ht="13.5" thickBot="1">
      <c r="F17" s="69">
        <f>SUM(F4:F16)</f>
        <v>68280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</cp:lastModifiedBy>
  <dcterms:created xsi:type="dcterms:W3CDTF">1996-11-27T10:00:04Z</dcterms:created>
  <dcterms:modified xsi:type="dcterms:W3CDTF">2007-08-25T22:42:08Z</dcterms:modified>
  <cp:category/>
  <cp:version/>
  <cp:contentType/>
  <cp:contentStatus/>
</cp:coreProperties>
</file>