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35" windowHeight="4455" tabRatio="898" firstSheet="28" activeTab="34"/>
  </bookViews>
  <sheets>
    <sheet name="RIESGO PAÍS TASA BONOS" sheetId="1" r:id="rId1"/>
    <sheet name="BETAS " sheetId="2" r:id="rId2"/>
    <sheet name="S&amp;P 500" sheetId="3" r:id="rId3"/>
    <sheet name="Ke &amp; WACC" sheetId="4" r:id="rId4"/>
    <sheet name="A" sheetId="5" r:id="rId5"/>
    <sheet name="B" sheetId="6" r:id="rId6"/>
    <sheet name="C" sheetId="7" r:id="rId7"/>
    <sheet name="D" sheetId="8" r:id="rId8"/>
    <sheet name="ESTIMACIÓN PRODUCCIÓN 2008" sheetId="9" r:id="rId9"/>
    <sheet name="VENTAS TIPOS CAFÉ" sheetId="10" r:id="rId10"/>
    <sheet name="COSTO COMPRA DE PRODUCTO" sheetId="11" r:id="rId11"/>
    <sheet name="COSTO BENEFICIO" sheetId="12" r:id="rId12"/>
    <sheet name="INGRESO POR VENTAS" sheetId="13" r:id="rId13"/>
    <sheet name="COSTO DE VENTAS" sheetId="14" r:id="rId14"/>
    <sheet name="P&amp;G PROYECTADO " sheetId="15" r:id="rId15"/>
    <sheet name="PUNTO DE EQUILIBRIO" sheetId="16" r:id="rId16"/>
    <sheet name="FLUJO DE CAJA" sheetId="17" r:id="rId17"/>
    <sheet name="TIR Y VAN" sheetId="18" r:id="rId18"/>
    <sheet name="ANALISIS DE SENSIBILIDAD" sheetId="19" r:id="rId19"/>
    <sheet name="COSTO FIDECOMICIO" sheetId="20" r:id="rId20"/>
    <sheet name="REABILITACIÓN DE LODANA 1" sheetId="21" r:id="rId21"/>
    <sheet name="REABILITACIÓN DE LODANA 2" sheetId="22" r:id="rId22"/>
    <sheet name="INVERSIÓN PLAN" sheetId="23" r:id="rId23"/>
    <sheet name="INVERSIONES FIJAS" sheetId="24" r:id="rId24"/>
    <sheet name="NUEVAS DEPRECIACIONES" sheetId="25" r:id="rId25"/>
    <sheet name="CAPITAL DE TRABAJO" sheetId="26" r:id="rId26"/>
    <sheet name="GASTOS GENERALES" sheetId="27" r:id="rId27"/>
    <sheet name="SUELDOS Y SALARIOS" sheetId="28" r:id="rId28"/>
    <sheet name="VENTAS 2006 - 2007" sheetId="29" r:id="rId29"/>
    <sheet name="ESTIMACIÓN ARROZ" sheetId="30" r:id="rId30"/>
    <sheet name="ESTIMACIÓN MAIZ" sheetId="31" r:id="rId31"/>
    <sheet name="PRODUCCIÓN MANABITA" sheetId="32" r:id="rId32"/>
    <sheet name="ARROZ CANTONAL" sheetId="33" r:id="rId33"/>
    <sheet name="MAIZ DURO SECO CANTONAL" sheetId="34" r:id="rId34"/>
    <sheet name="EMISIÓN DE ACCIONES" sheetId="35" r:id="rId35"/>
    <sheet name="ANALISIS DE RIESGO" sheetId="36" r:id="rId36"/>
  </sheets>
  <externalReferences>
    <externalReference r:id="rId39"/>
  </externalReferences>
  <definedNames>
    <definedName name="_xlnm.Print_Area" localSheetId="4">'A'!$A$2:$F$107</definedName>
    <definedName name="_xlnm.Print_Area" localSheetId="35">'ANALISIS DE RIESGO'!$A$3:$F$21</definedName>
    <definedName name="_xlnm.Print_Area" localSheetId="18">'ANALISIS DE SENSIBILIDAD'!$B$4:$F$15</definedName>
    <definedName name="_xlnm.Print_Area" localSheetId="32">'ARROZ CANTONAL'!$D$1:$I$25,'ARROZ CANTONAL'!$D$27:$J$38</definedName>
    <definedName name="_xlnm.Print_Area" localSheetId="5">'B'!$A$1:$F$64</definedName>
    <definedName name="_xlnm.Print_Area" localSheetId="1">'BETAS '!$A$1:$H$106</definedName>
    <definedName name="_xlnm.Print_Area" localSheetId="6">'C'!$A$1:$H$107</definedName>
    <definedName name="_xlnm.Print_Area" localSheetId="25">'CAPITAL DE TRABAJO'!$A$3:$M$14</definedName>
    <definedName name="_xlnm.Print_Area" localSheetId="11">'COSTO BENEFICIO'!$D$3:$J$43</definedName>
    <definedName name="_xlnm.Print_Area" localSheetId="10">'COSTO COMPRA DE PRODUCTO'!$C$1:$I$33</definedName>
    <definedName name="_xlnm.Print_Area" localSheetId="13">'COSTO DE VENTAS'!$C$4:$I$21</definedName>
    <definedName name="_xlnm.Print_Area" localSheetId="19">'COSTO FIDECOMICIO'!$A$4:$H$15</definedName>
    <definedName name="_xlnm.Print_Area" localSheetId="7">'D'!$A$3:$H$119</definedName>
    <definedName name="_xlnm.Print_Area" localSheetId="29">'ESTIMACIÓN ARROZ'!$B$10:$H$55</definedName>
    <definedName name="_xlnm.Print_Area" localSheetId="30">'ESTIMACIÓN MAIZ'!$B$10:$H$33</definedName>
    <definedName name="_xlnm.Print_Area" localSheetId="8">'ESTIMACIÓN PRODUCCIÓN 2008'!$B$1:$J$26,'ESTIMACIÓN PRODUCCIÓN 2008'!$C$30:$E$37,'ESTIMACIÓN PRODUCCIÓN 2008'!$B$41:$J$66</definedName>
    <definedName name="_xlnm.Print_Area" localSheetId="16">'FLUJO DE CAJA'!$A$1:$H$22</definedName>
    <definedName name="_xlnm.Print_Area" localSheetId="26">'GASTOS GENERALES'!$D$2:$J$58</definedName>
    <definedName name="_xlnm.Print_Area" localSheetId="12">'INGRESO POR VENTAS'!$C$3:$I$33</definedName>
    <definedName name="_xlnm.Print_Area" localSheetId="22">'INVERSIÓN PLAN'!$B$1:$D$19</definedName>
    <definedName name="_xlnm.Print_Area" localSheetId="23">'INVERSIONES FIJAS'!$B$4:$F$19</definedName>
    <definedName name="_xlnm.Print_Area" localSheetId="3">'Ke &amp; WACC'!$A$3:$B$38</definedName>
    <definedName name="_xlnm.Print_Area" localSheetId="33">'MAIZ DURO SECO CANTONAL'!$D$2:$I$28,'MAIZ DURO SECO CANTONAL'!$D$30:$J$44</definedName>
    <definedName name="_xlnm.Print_Area" localSheetId="24">'NUEVAS DEPRECIACIONES'!$A$2:$N$14</definedName>
    <definedName name="_xlnm.Print_Area" localSheetId="14">'P&amp;G PROYECTADO '!$B$2:$H$29</definedName>
    <definedName name="_xlnm.Print_Area" localSheetId="31">'PRODUCCIÓN MANABITA'!$B$2:$F$107</definedName>
    <definedName name="_xlnm.Print_Area" localSheetId="15">'PUNTO DE EQUILIBRIO'!$C$10:$F$16</definedName>
    <definedName name="_xlnm.Print_Area" localSheetId="20">'REABILITACIÓN DE LODANA 1'!$A$3:$G$53</definedName>
    <definedName name="_xlnm.Print_Area" localSheetId="21">'REABILITACIÓN DE LODANA 2'!$A$3:$G$15</definedName>
    <definedName name="_xlnm.Print_Area" localSheetId="0">'RIESGO PAÍS TASA BONOS'!$A$1:$F$12,'RIESGO PAÍS TASA BONOS'!$H$1:$L$17,'RIESGO PAÍS TASA BONOS'!$C$20:$F$57</definedName>
    <definedName name="_xlnm.Print_Area" localSheetId="2">'S&amp;P 500'!$A$1:$F$66</definedName>
    <definedName name="_xlnm.Print_Area" localSheetId="27">'SUELDOS Y SALARIOS'!$C$13:$J$27,'SUELDOS Y SALARIOS'!$G$36:$Q$74</definedName>
    <definedName name="_xlnm.Print_Area" localSheetId="17">'TIR Y VAN'!$A$2:$H$16</definedName>
    <definedName name="_xlnm.Print_Area" localSheetId="28">'VENTAS 2006 - 2007'!$B$5:$G$34</definedName>
    <definedName name="wrn.uno." localSheetId="7" hidden="1">{#N/A,#N/A,FALSE,"REN"}</definedName>
    <definedName name="wrn.uno." localSheetId="30" hidden="1">{#N/A,#N/A,FALSE,"REN"}</definedName>
    <definedName name="wrn.uno." localSheetId="12" hidden="1">{#N/A,#N/A,FALSE,"REN"}</definedName>
    <definedName name="wrn.uno." localSheetId="21" hidden="1">{#N/A,#N/A,FALSE,"REN"}</definedName>
    <definedName name="wrn.uno." hidden="1">{#N/A,#N/A,FALSE,"REN"}</definedName>
  </definedNames>
  <calcPr fullCalcOnLoad="1"/>
</workbook>
</file>

<file path=xl/comments12.xml><?xml version="1.0" encoding="utf-8"?>
<comments xmlns="http://schemas.openxmlformats.org/spreadsheetml/2006/main">
  <authors>
    <author>alvaro-portatil</author>
  </authors>
  <commentList>
    <comment ref="J15" authorId="0">
      <text>
        <r>
          <rPr>
            <b/>
            <sz val="10"/>
            <rFont val="Tahoma"/>
            <family val="0"/>
          </rPr>
          <t>alvaro-portatil:</t>
        </r>
        <r>
          <rPr>
            <sz val="10"/>
            <rFont val="Tahoma"/>
            <family val="0"/>
          </rPr>
          <t xml:space="preserve">
a 5v quinto año</t>
        </r>
      </text>
    </comment>
    <comment ref="E17" authorId="0">
      <text>
        <r>
          <rPr>
            <b/>
            <sz val="10"/>
            <rFont val="Tahoma"/>
            <family val="0"/>
          </rPr>
          <t>alvaro-portatil:</t>
        </r>
        <r>
          <rPr>
            <sz val="10"/>
            <rFont val="Tahoma"/>
            <family val="0"/>
          </rPr>
          <t xml:space="preserve">
tendencia a descender</t>
        </r>
      </text>
    </comment>
  </commentList>
</comments>
</file>

<file path=xl/sharedStrings.xml><?xml version="1.0" encoding="utf-8"?>
<sst xmlns="http://schemas.openxmlformats.org/spreadsheetml/2006/main" count="1759" uniqueCount="1079">
  <si>
    <t>RAZON DE ENDEUDAMIENTO PATRIMONIO</t>
  </si>
  <si>
    <t>RAZON DE ENDEUDAMIENTO ACTIVOS</t>
  </si>
  <si>
    <t>ROA=</t>
  </si>
  <si>
    <t>ROE=</t>
  </si>
  <si>
    <t>%</t>
  </si>
  <si>
    <t xml:space="preserve"> </t>
  </si>
  <si>
    <t>PERSONAL</t>
  </si>
  <si>
    <t>CAPITAL</t>
  </si>
  <si>
    <t>Inversión</t>
  </si>
  <si>
    <t>ESTIMACIÓN</t>
  </si>
  <si>
    <t>DETERMINACION DE Ke Y DE WACC</t>
  </si>
  <si>
    <t>β de empresa no apalancado</t>
  </si>
  <si>
    <t>Beta ajustada</t>
  </si>
  <si>
    <t>Inversion Inicial</t>
  </si>
  <si>
    <t>Deuda</t>
  </si>
  <si>
    <t>Capital</t>
  </si>
  <si>
    <t>Razon de la Deuda/Capital</t>
  </si>
  <si>
    <r>
      <t xml:space="preserve">t </t>
    </r>
    <r>
      <rPr>
        <b/>
        <vertAlign val="subscript"/>
        <sz val="10"/>
        <rFont val="Arial"/>
        <family val="2"/>
      </rPr>
      <t>ecuador</t>
    </r>
  </si>
  <si>
    <t>Bcapital= B empresa no apalancada*(1+(Deuda/Capital)*(1-tEcuador))</t>
  </si>
  <si>
    <t>B (riesgo del negocio) =</t>
  </si>
  <si>
    <t>Rm ( Return on equity) =</t>
  </si>
  <si>
    <t>Rentabilidad Promedio anual de SP500, tomado de yahoo finance</t>
  </si>
  <si>
    <t>Risk Country Ecuador</t>
  </si>
  <si>
    <t>Tomado de www.bce.fin.ec</t>
  </si>
  <si>
    <t>Ke</t>
  </si>
  <si>
    <t>Coste de la deuda (Kd)</t>
  </si>
  <si>
    <t>Años</t>
  </si>
  <si>
    <t>Costo de capital promedio ponderado (WACC)</t>
  </si>
  <si>
    <t>WACC = (% de deuda)(costo deuda)(1-t) + (%patrimonio)(costo patrimonio)</t>
  </si>
  <si>
    <t>WACC =</t>
  </si>
  <si>
    <t>&amp; Damodaran, estimación del costo de capital de una empresa en países emergentes</t>
  </si>
  <si>
    <t>Tasa promedio activa referencial en dolares de nuestro país dada por el Bco. Central</t>
  </si>
  <si>
    <t>EMPRESA</t>
  </si>
  <si>
    <t>GROWTH</t>
  </si>
  <si>
    <t>WACC</t>
  </si>
  <si>
    <t>AÑOS</t>
  </si>
  <si>
    <t>GASTOS</t>
  </si>
  <si>
    <t>VALOR</t>
  </si>
  <si>
    <t>US BENCHMARK</t>
  </si>
  <si>
    <t>US TREAS 1Y</t>
  </si>
  <si>
    <t>US TREAS 2Y</t>
  </si>
  <si>
    <t>US TREAS 5Y</t>
  </si>
  <si>
    <t>US TREAS 10Y</t>
  </si>
  <si>
    <t>US TREAS 30 Y</t>
  </si>
  <si>
    <t>RIESGO PAIS EMBY</t>
  </si>
  <si>
    <t>AL 29/05/2008</t>
  </si>
  <si>
    <t xml:space="preserve">Fuente: Banco Central del Ecuador </t>
  </si>
  <si>
    <t>RIESGO PAIS (EMBI Ecuador)</t>
  </si>
  <si>
    <t>El riesgo país es un concepto económico que ha sido abordado académica y empíricamente mediante la aplicación de metodologías de la más variada índole: desde la utilización de índices de mercado como el índice EMBI de países emergentes de Chase-JPmorgan hasta sistemas que incorpora variables económicas, políticas y financieras. El Embi se define como un índice de bonos de mercados emergentes, el cual refleja el movimiento en los precios de sus títulos negociados en moneda extranjera. Se la expresa como un índice ó como un margen de rentabilidad sobre aquella implícita en bonos del tesoro de los Estados Unidos.</t>
  </si>
  <si>
    <t>FECHA</t>
  </si>
  <si>
    <t>Mayo-22-2008</t>
  </si>
  <si>
    <t>Mayo-21-2008</t>
  </si>
  <si>
    <t>Mayo-20-2008</t>
  </si>
  <si>
    <t>Mayo-19-2008</t>
  </si>
  <si>
    <t>Mayo-16-2008</t>
  </si>
  <si>
    <t>Mayo-15-2008</t>
  </si>
  <si>
    <t>Mayo-14-2008</t>
  </si>
  <si>
    <t>Mayo-13-2008</t>
  </si>
  <si>
    <t>Mayo-12-2008</t>
  </si>
  <si>
    <t>Mayo-09-2008</t>
  </si>
  <si>
    <t>Mayo-08-2008</t>
  </si>
  <si>
    <t>Mayo-07-2008</t>
  </si>
  <si>
    <t>Mayo-06-2008</t>
  </si>
  <si>
    <t>Mayo-05-2008</t>
  </si>
  <si>
    <t>Mayo-02-2008</t>
  </si>
  <si>
    <t>Mayo-01-2008</t>
  </si>
  <si>
    <t>Abril-30-2008</t>
  </si>
  <si>
    <t>Abril-29-2008</t>
  </si>
  <si>
    <t>Abril-28-2008</t>
  </si>
  <si>
    <t>Abril-25-2008</t>
  </si>
  <si>
    <t>Abril-24-2008</t>
  </si>
  <si>
    <t>Abril-23-2008</t>
  </si>
  <si>
    <t>Abril-22-2008</t>
  </si>
  <si>
    <t>Abril-21-2008</t>
  </si>
  <si>
    <t>Abril-18-2008</t>
  </si>
  <si>
    <t>Abril-17-2008</t>
  </si>
  <si>
    <t>Abril-16-2008</t>
  </si>
  <si>
    <t>Abril-15-2008</t>
  </si>
  <si>
    <t>Abril-14-2008</t>
  </si>
  <si>
    <t>Abril-11-2008</t>
  </si>
  <si>
    <t>Razon de la Deuda/Capital de Industria de Procesamiento Café</t>
  </si>
  <si>
    <t>Industry Name</t>
  </si>
  <si>
    <t>Number of Firms</t>
  </si>
  <si>
    <t>Average Beta</t>
  </si>
  <si>
    <t>Market D/E Ratio</t>
  </si>
  <si>
    <t>Tax Rate</t>
  </si>
  <si>
    <t>Unlevered Beta</t>
  </si>
  <si>
    <t>Cash/Firm Value</t>
  </si>
  <si>
    <t>Unlevered Beta corrected for cash</t>
  </si>
  <si>
    <t>Advertising</t>
  </si>
  <si>
    <t>Aerospace/Defense/ Marine (boats vessel)</t>
  </si>
  <si>
    <t>Air Transport</t>
  </si>
  <si>
    <t>Apparel</t>
  </si>
  <si>
    <t>Auto &amp; Truck</t>
  </si>
  <si>
    <t>Auto Parts</t>
  </si>
  <si>
    <t>Bank</t>
  </si>
  <si>
    <t>Bank (Canadian)</t>
  </si>
  <si>
    <t>Bank (Foreign)</t>
  </si>
  <si>
    <t>NA</t>
  </si>
  <si>
    <t>Bank (Midwest)</t>
  </si>
  <si>
    <t>Beverage (Alcoholic)</t>
  </si>
  <si>
    <t>Beverage (Soft Drink)</t>
  </si>
  <si>
    <t>Biotechnology</t>
  </si>
  <si>
    <t>Building Materials</t>
  </si>
  <si>
    <t>Cable TV</t>
  </si>
  <si>
    <t>Canadian Energy</t>
  </si>
  <si>
    <t>Cement &amp; Aggregates</t>
  </si>
  <si>
    <t>Chemical (Basic)</t>
  </si>
  <si>
    <t>Chemical (Diversified)</t>
  </si>
  <si>
    <t>0.90</t>
  </si>
  <si>
    <t>Chemical (Specialty)</t>
  </si>
  <si>
    <t>Coal</t>
  </si>
  <si>
    <t>Computer Software/Svcs</t>
  </si>
  <si>
    <t>Computers/Peripherals</t>
  </si>
  <si>
    <t>Diversified Co.</t>
  </si>
  <si>
    <t>Drug</t>
  </si>
  <si>
    <t>E-Commerce</t>
  </si>
  <si>
    <t>Educational Services</t>
  </si>
  <si>
    <t>Electric Util. (Central)</t>
  </si>
  <si>
    <t>Electric Utility (East)</t>
  </si>
  <si>
    <t>Electric Utility (West)</t>
  </si>
  <si>
    <t>Electrical Equipment</t>
  </si>
  <si>
    <t>Electronics</t>
  </si>
  <si>
    <t>Entertainment</t>
  </si>
  <si>
    <t>Entertainment Tech</t>
  </si>
  <si>
    <t>Environmental</t>
  </si>
  <si>
    <t>Financial Svcs. (Div.)</t>
  </si>
  <si>
    <t>Food Processing</t>
  </si>
  <si>
    <t>Food Wholesalers</t>
  </si>
  <si>
    <t>Foreign Electronics</t>
  </si>
  <si>
    <t>Furn/Home Furnishings</t>
  </si>
  <si>
    <t>Grocery</t>
  </si>
  <si>
    <t>Healthcare Information</t>
  </si>
  <si>
    <t>Home Appliance</t>
  </si>
  <si>
    <t>Homebuilding</t>
  </si>
  <si>
    <t>Hotel/Gaming</t>
  </si>
  <si>
    <t>Household Products</t>
  </si>
  <si>
    <t>Human Resources</t>
  </si>
  <si>
    <t>Industrial Services</t>
  </si>
  <si>
    <t>Information Services</t>
  </si>
  <si>
    <t>Insurance (Life)</t>
  </si>
  <si>
    <t>Insurance (Prop/Cas.)</t>
  </si>
  <si>
    <t>Internet</t>
  </si>
  <si>
    <t>Investment Co.</t>
  </si>
  <si>
    <t>Investment Co.(Foreign)</t>
  </si>
  <si>
    <t>Machinery</t>
  </si>
  <si>
    <t>Manuf. Housing/RV</t>
  </si>
  <si>
    <t>Maritime</t>
  </si>
  <si>
    <t>Medical Services</t>
  </si>
  <si>
    <t>Medical Supplies</t>
  </si>
  <si>
    <t>Metal Fabricating</t>
  </si>
  <si>
    <t>Metals &amp; Mining (Div.)</t>
  </si>
  <si>
    <t>Natural Gas (Distrib.)</t>
  </si>
  <si>
    <t>Natural Gas (Div.)</t>
  </si>
  <si>
    <t>Newspaper</t>
  </si>
  <si>
    <t>Office Equip/Supplies</t>
  </si>
  <si>
    <t>Oilfield Svcs/Equip.</t>
  </si>
  <si>
    <t>Packaging &amp; Container</t>
  </si>
  <si>
    <t>Paper/Forest Products</t>
  </si>
  <si>
    <t>Petroleum (Integrated)</t>
  </si>
  <si>
    <t>Petroleum (Producing)</t>
  </si>
  <si>
    <t>Pharmacy Services</t>
  </si>
  <si>
    <t>Power</t>
  </si>
  <si>
    <t>Precious Metals</t>
  </si>
  <si>
    <t>Precision Instrument</t>
  </si>
  <si>
    <t>Publishing</t>
  </si>
  <si>
    <t>R.E.I.T.</t>
  </si>
  <si>
    <t>Railroad</t>
  </si>
  <si>
    <t>Recreation</t>
  </si>
  <si>
    <t>Restaurant</t>
  </si>
  <si>
    <t>Retail (Special Lines)</t>
  </si>
  <si>
    <t>Retail Automotive</t>
  </si>
  <si>
    <t>Retail Building Supply</t>
  </si>
  <si>
    <t>Retail Store</t>
  </si>
  <si>
    <t>Securities Brokerage</t>
  </si>
  <si>
    <t>Semiconductor</t>
  </si>
  <si>
    <t>Semiconductor Equip</t>
  </si>
  <si>
    <t>7.53%</t>
  </si>
  <si>
    <t>Shoe</t>
  </si>
  <si>
    <t>Steel (General)</t>
  </si>
  <si>
    <t>Steel (Integrated)</t>
  </si>
  <si>
    <t>Telecom. Equipment</t>
  </si>
  <si>
    <t>Telecom. Services</t>
  </si>
  <si>
    <t>Thrift</t>
  </si>
  <si>
    <t>Tire &amp; Rubber</t>
  </si>
  <si>
    <t>Tobacco</t>
  </si>
  <si>
    <t>Toiletries/Cosmetics</t>
  </si>
  <si>
    <t>Trucking</t>
  </si>
  <si>
    <t>Utility (Foreign)</t>
  </si>
  <si>
    <t>Water Utility</t>
  </si>
  <si>
    <t>Wireless Networking</t>
  </si>
  <si>
    <t>Other</t>
  </si>
  <si>
    <t>Market</t>
  </si>
  <si>
    <t>1.14</t>
  </si>
  <si>
    <t>32.11%</t>
  </si>
  <si>
    <t>16.40%</t>
  </si>
  <si>
    <r>
      <t xml:space="preserve">tax rate </t>
    </r>
    <r>
      <rPr>
        <b/>
        <vertAlign val="subscript"/>
        <sz val="10"/>
        <rFont val="Arial"/>
        <family val="2"/>
      </rPr>
      <t>EEUU</t>
    </r>
  </si>
  <si>
    <t>β Industria  Industria de Procesamiento Café</t>
  </si>
  <si>
    <t>DATE</t>
  </si>
  <si>
    <t>Open</t>
  </si>
  <si>
    <t>High</t>
  </si>
  <si>
    <t>Low</t>
  </si>
  <si>
    <t>Close</t>
  </si>
  <si>
    <t>Adj Close*</t>
  </si>
  <si>
    <t>m</t>
  </si>
  <si>
    <t>Apr-08</t>
  </si>
  <si>
    <t>c</t>
  </si>
  <si>
    <t>n</t>
  </si>
  <si>
    <t>r</t>
  </si>
  <si>
    <t>Jan-08</t>
  </si>
  <si>
    <t>Dec-07</t>
  </si>
  <si>
    <t>Aug-07</t>
  </si>
  <si>
    <t>Apr-07</t>
  </si>
  <si>
    <t>Jan-07</t>
  </si>
  <si>
    <t>Dec-06</t>
  </si>
  <si>
    <t>Aug-06</t>
  </si>
  <si>
    <t>Apr-06</t>
  </si>
  <si>
    <t>Jan-06</t>
  </si>
  <si>
    <t>Dec-05</t>
  </si>
  <si>
    <t>Aug-05</t>
  </si>
  <si>
    <t>Apr-05</t>
  </si>
  <si>
    <t>Jan-05</t>
  </si>
  <si>
    <t>Dec-04</t>
  </si>
  <si>
    <t>Aug-04</t>
  </si>
  <si>
    <t>Apr-04</t>
  </si>
  <si>
    <t>Jan-04</t>
  </si>
  <si>
    <t>Dec-03</t>
  </si>
  <si>
    <t>Aug-03</t>
  </si>
  <si>
    <t xml:space="preserve">INGRESOS  </t>
  </si>
  <si>
    <t>VENTAS</t>
  </si>
  <si>
    <t>VENTAS TARIFA 12</t>
  </si>
  <si>
    <t>VENTAS TARIFA CERO</t>
  </si>
  <si>
    <t>DESCUENTOS EN VENTAS</t>
  </si>
  <si>
    <t>INGRESOS OPERACIONALES</t>
  </si>
  <si>
    <t>INGRESOS NO OPERACIONALES</t>
  </si>
  <si>
    <t>OTROS INGRESOS</t>
  </si>
  <si>
    <t>INGRESOS POR DONACIONES</t>
  </si>
  <si>
    <t>ING. POR PAGO CREDITO ANT</t>
  </si>
  <si>
    <t>INGRESO POR REEMBOLSOS</t>
  </si>
  <si>
    <t>INGRESOS FONDOS PICHINCHA</t>
  </si>
  <si>
    <t>GASTOS Y COSTOS</t>
  </si>
  <si>
    <t>COSTOS Y GASTOS OPERACIONALES</t>
  </si>
  <si>
    <t xml:space="preserve">COSTOS        </t>
  </si>
  <si>
    <t>COMPRAS 12%</t>
  </si>
  <si>
    <t>GASTOS ADMINISTRATIVOS</t>
  </si>
  <si>
    <t>SUELDOS</t>
  </si>
  <si>
    <t>UNIFORMES</t>
  </si>
  <si>
    <t>DECIMO TERCER SUELDO</t>
  </si>
  <si>
    <t>DECIMO CUARTO SULDO</t>
  </si>
  <si>
    <t>APORTE PATRONAL</t>
  </si>
  <si>
    <t>FONDO DE RESERVA</t>
  </si>
  <si>
    <t>IECE</t>
  </si>
  <si>
    <t>SECAP</t>
  </si>
  <si>
    <t>BONIFICACIÓN PRESIDENTE</t>
  </si>
  <si>
    <t>REMUNERACIÓN TRABAJO AUTONOMO</t>
  </si>
  <si>
    <t>OTROS ADMINISTRATIVOS</t>
  </si>
  <si>
    <t>CAPACITACIÓN</t>
  </si>
  <si>
    <t>ALQUILER DE LOCAL</t>
  </si>
  <si>
    <t>REFRIGERIOS</t>
  </si>
  <si>
    <t>SERVICIOS BÁSICOS</t>
  </si>
  <si>
    <t>CORREPONDENCIA</t>
  </si>
  <si>
    <t>PACIFITEL</t>
  </si>
  <si>
    <t>GASTOS GENERALES</t>
  </si>
  <si>
    <t>PROFESIONALES</t>
  </si>
  <si>
    <t>HONORARIOS PROFESIONALES</t>
  </si>
  <si>
    <t>GASTOS DE OFICINA</t>
  </si>
  <si>
    <t>PASIVO</t>
  </si>
  <si>
    <t>ACTIVO</t>
  </si>
  <si>
    <t>P+A</t>
  </si>
  <si>
    <t>DEUDA / CAPITAL</t>
  </si>
  <si>
    <t>Rentabilidad Treasury Bonds a 5 años</t>
  </si>
  <si>
    <t>SUMINISTROS DE OFICINA</t>
  </si>
  <si>
    <t>SUMINISTROS DE COMPUTACIÓN</t>
  </si>
  <si>
    <t>SUMINITROS Y MATERIALES</t>
  </si>
  <si>
    <t>SERVICIO DE INTERNET</t>
  </si>
  <si>
    <t>OTROS GASTOS</t>
  </si>
  <si>
    <t>ASAMBLEA GENERAL</t>
  </si>
  <si>
    <t>COMBUSTIBLE</t>
  </si>
  <si>
    <t>MOVILIZACIÓN Y TRANSPORTE</t>
  </si>
  <si>
    <t>MULTAS</t>
  </si>
  <si>
    <t>MANTENIMIENTO DE OFICINA</t>
  </si>
  <si>
    <t>MANTENIMIENTO EQUIPOS DE COMPUTACIÓN</t>
  </si>
  <si>
    <t>MANTENIMIENTO MUEBLES Y ENSERES</t>
  </si>
  <si>
    <t>SEGUROS Y REASEGUROS</t>
  </si>
  <si>
    <t>PASAJE</t>
  </si>
  <si>
    <t>GASTOS DE IMPORTACIÓN</t>
  </si>
  <si>
    <t>MANTENIMIENTO DE MAQUINARIAS</t>
  </si>
  <si>
    <t>MATERIALES DE LABORATORIO</t>
  </si>
  <si>
    <t>PATENTES</t>
  </si>
  <si>
    <t>DEPRECIACIONES Y AMORTIZACIÓN</t>
  </si>
  <si>
    <t>DEPRECIACIONES</t>
  </si>
  <si>
    <t>ALIMENTACIÓN</t>
  </si>
  <si>
    <t>VIATICOS Y MOVILIZACIÓN</t>
  </si>
  <si>
    <t>IM**SIONES</t>
  </si>
  <si>
    <t>SACOS</t>
  </si>
  <si>
    <t>CUOTAS SOCIALES</t>
  </si>
  <si>
    <t>OTROS GASTOS OPERATIVOS</t>
  </si>
  <si>
    <t>TRANSPORTE</t>
  </si>
  <si>
    <t>HONORARIOS PLANTA CEZAMO</t>
  </si>
  <si>
    <t>ENVIO MUESTRAS</t>
  </si>
  <si>
    <t>PROCESAMIENTO PLANTA CEZAMO</t>
  </si>
  <si>
    <t>PUBLICIDAD</t>
  </si>
  <si>
    <t>ANECAFÉ</t>
  </si>
  <si>
    <t>CORPEI</t>
  </si>
  <si>
    <t>COFENAC</t>
  </si>
  <si>
    <t>GASTOS DE EXPORTACIÓN</t>
  </si>
  <si>
    <t>HOSPEDAJES</t>
  </si>
  <si>
    <t>PEAJES</t>
  </si>
  <si>
    <t>ACOPIO Y BENEFICIO</t>
  </si>
  <si>
    <t>GASTOS FINANCIEROS</t>
  </si>
  <si>
    <t>INTERESES PAGADOS</t>
  </si>
  <si>
    <t>COMISIONES BANCARIAS</t>
  </si>
  <si>
    <t>SERVICIOS BANCARIOS</t>
  </si>
  <si>
    <t>INTERESES FINANCIEROS</t>
  </si>
  <si>
    <t>ESTADO DE CUENTAS</t>
  </si>
  <si>
    <t>SOLICITUD CHEQUERA</t>
  </si>
  <si>
    <t>GASTOS BANCARIOS</t>
  </si>
  <si>
    <t>GASTOS IVA</t>
  </si>
  <si>
    <t>GASTOS NO OPERACIONALES</t>
  </si>
  <si>
    <t>VARIOS</t>
  </si>
  <si>
    <t>PROVISIÓN DE CUENTAS INCOBRABLES</t>
  </si>
  <si>
    <t>RESULTADO DEL EJERCICIO</t>
  </si>
  <si>
    <t>GASTOS DE VENTAS</t>
  </si>
  <si>
    <t>CAPACITACIONES CORECAF</t>
  </si>
  <si>
    <t>COSTO DE VENTA</t>
  </si>
  <si>
    <t>COSTO DE VENTAS</t>
  </si>
  <si>
    <t>PART DE TRABAJADORES</t>
  </si>
  <si>
    <t>UTILIDAD ANTES DE IMP A LA RENTA</t>
  </si>
  <si>
    <t>IMPUESTO A LA RENTA</t>
  </si>
  <si>
    <t>UTILIDAD CONTABLE</t>
  </si>
  <si>
    <t>SUMINISTROS DE VENTAS</t>
  </si>
  <si>
    <t>RESULTADO DEL EJERCICIO ANTES DE PARTICIPACION DE TRABAJADORES 15% E IMPUESTO A LA RENTA 25%</t>
  </si>
  <si>
    <t>PART DE TRABAJADORES 15%</t>
  </si>
  <si>
    <t>IMPUESTO A LA RENTA 25%</t>
  </si>
  <si>
    <t>AJUSTE DEPRECIACIÓN</t>
  </si>
  <si>
    <t>DECIMO CUARTO SUELDO</t>
  </si>
  <si>
    <t>FLUJO REAL PRONOSTICADO</t>
  </si>
  <si>
    <t>VALOR RESIDUAL DE LA EMPRESA</t>
  </si>
  <si>
    <t>FLUJO PARA VALORACIÓN</t>
  </si>
  <si>
    <t>Asociación</t>
  </si>
  <si>
    <t>Abril</t>
  </si>
  <si>
    <t>Mayo</t>
  </si>
  <si>
    <t>Junio</t>
  </si>
  <si>
    <t xml:space="preserve">Julio </t>
  </si>
  <si>
    <t>Agosto</t>
  </si>
  <si>
    <t>Septiembre</t>
  </si>
  <si>
    <t>Total</t>
  </si>
  <si>
    <t xml:space="preserve">Quintales </t>
  </si>
  <si>
    <t>San Gabriel</t>
  </si>
  <si>
    <t>La Saiba</t>
  </si>
  <si>
    <t>Buena Esperanza</t>
  </si>
  <si>
    <t>José L Intriago</t>
  </si>
  <si>
    <t>Fino de Aroma</t>
  </si>
  <si>
    <t>2 de Octubre</t>
  </si>
  <si>
    <t>Ceprocafé</t>
  </si>
  <si>
    <t>Río Caña</t>
  </si>
  <si>
    <t>Jóvenes Embajadores</t>
  </si>
  <si>
    <t>4 de Agosto</t>
  </si>
  <si>
    <t>Cedocao</t>
  </si>
  <si>
    <t>Unospas</t>
  </si>
  <si>
    <t>Caprocabe</t>
  </si>
  <si>
    <t>Caprocaf</t>
  </si>
  <si>
    <t>El Carmen</t>
  </si>
  <si>
    <t>Pan y Agua</t>
  </si>
  <si>
    <t>Uocacp</t>
  </si>
  <si>
    <t>Otros</t>
  </si>
  <si>
    <t>Porcentaje total por mes</t>
  </si>
  <si>
    <t>Plan de compras</t>
  </si>
  <si>
    <t>Tipo de café</t>
  </si>
  <si>
    <t>Base</t>
  </si>
  <si>
    <t>Café Cereza</t>
  </si>
  <si>
    <t>Café Convencional</t>
  </si>
  <si>
    <t>Café Certificado</t>
  </si>
  <si>
    <t>% Convencional</t>
  </si>
  <si>
    <t>% Certificado</t>
  </si>
  <si>
    <t>PRECIO qq CEREZA</t>
  </si>
  <si>
    <t>PRECIO qq CEREZA CERTIFICADO</t>
  </si>
  <si>
    <t>DESCUENTO ECUADOR</t>
  </si>
  <si>
    <t>CRECIMIENTO ESPERADO DE PRECIOS  SEGÚN FUTUROS</t>
  </si>
  <si>
    <t>% PREMIO qq CEREZA CERTIFICADA RF</t>
  </si>
  <si>
    <t>COSTOS QQ CEREZA CONVENCIONAL</t>
  </si>
  <si>
    <t>COSTOS QQ CEREZA CERTIFICADA</t>
  </si>
  <si>
    <t>TOTAL COMPRA MATERIA PRIMA</t>
  </si>
  <si>
    <t>CRECIMIENTO DE LAS COMPRAS</t>
  </si>
  <si>
    <t>Café Cereza qq</t>
  </si>
  <si>
    <t>Café Convencional qq</t>
  </si>
  <si>
    <t>Café Certificado qq</t>
  </si>
  <si>
    <t>GASTOS DEL PROCESO</t>
  </si>
  <si>
    <t>NOMINA DEL PERSONAL</t>
  </si>
  <si>
    <t>GESTIÓN ADMINISTRATIVA</t>
  </si>
  <si>
    <t>TRANSPORTE CAFÉ RUTAS</t>
  </si>
  <si>
    <t>GASTOS VARIOS ACCESORIOS</t>
  </si>
  <si>
    <t>TOTAL GASTOS CAB´S</t>
  </si>
  <si>
    <t>BENEFICIO EN PLANTA</t>
  </si>
  <si>
    <t>CAFÉ DORADO</t>
  </si>
  <si>
    <t>COSTES</t>
  </si>
  <si>
    <t>COSTO UNITARIO POR BENEFICIO QQ</t>
  </si>
  <si>
    <t>COSTES TOTALES BENEFICIO PLANTA</t>
  </si>
  <si>
    <t>COSTOS TOTALES SACOS DE YUTE</t>
  </si>
  <si>
    <t>GASTOS MATERIALES Y SUMINISTROS</t>
  </si>
  <si>
    <t>COSTOS FIJOS GLOBALES</t>
  </si>
  <si>
    <t>PERSONAL DE PLANTA Y OTROS</t>
  </si>
  <si>
    <t>TOTAL DE COSTOS DIRECTOS DE BENEFICIO</t>
  </si>
  <si>
    <t>TOTAL COSTO DE COMPRA PRODUCTO</t>
  </si>
  <si>
    <t>COSECHA 2006</t>
  </si>
  <si>
    <t>QUINTALES</t>
  </si>
  <si>
    <t>P/UNIT</t>
  </si>
  <si>
    <t>V/TOTALES</t>
  </si>
  <si>
    <t>DESTINO</t>
  </si>
  <si>
    <t>SUCAFINA S.A</t>
  </si>
  <si>
    <t>SUCAFINA S.A.</t>
  </si>
  <si>
    <t>ALEMANIA</t>
  </si>
  <si>
    <t>CAFECOM S.A.</t>
  </si>
  <si>
    <t>GUAYAQUIL</t>
  </si>
  <si>
    <t>CORECAFÈ</t>
  </si>
  <si>
    <t>QUITO</t>
  </si>
  <si>
    <t>EL CAFÉ</t>
  </si>
  <si>
    <t>SUBTOTAL</t>
  </si>
  <si>
    <t>VENTA LOCAL</t>
  </si>
  <si>
    <t>VENTA EXTRANJERO</t>
  </si>
  <si>
    <t>VENTA TOTAL</t>
  </si>
  <si>
    <t>VENTAS 2006</t>
  </si>
  <si>
    <t>PESO %</t>
  </si>
  <si>
    <t>USA</t>
  </si>
  <si>
    <t>EXPIGO</t>
  </si>
  <si>
    <t>CORECAFE</t>
  </si>
  <si>
    <t>SICA</t>
  </si>
  <si>
    <t>VENTAS 2007</t>
  </si>
  <si>
    <t>RELACIÓN RENDIMIENTO A BENEFICIO</t>
  </si>
  <si>
    <t>M</t>
  </si>
  <si>
    <t>C</t>
  </si>
  <si>
    <t>N</t>
  </si>
  <si>
    <t>% LAVADO PILADO BRUTO</t>
  </si>
  <si>
    <t>% CORRIENTE NATURAL</t>
  </si>
  <si>
    <t>% CAFÉ FLOTE</t>
  </si>
  <si>
    <t>LAVADO</t>
  </si>
  <si>
    <t>CORRIENTE</t>
  </si>
  <si>
    <t>FLOTE</t>
  </si>
  <si>
    <t>qq LAVADO PILADO BRUTO</t>
  </si>
  <si>
    <t>qq CORRIENTE NATURAL</t>
  </si>
  <si>
    <t>qq CAFÉ FLOTE</t>
  </si>
  <si>
    <t>Café Certificado no apto para exportar (20%)</t>
  </si>
  <si>
    <t>Café corriente natural mercado local</t>
  </si>
  <si>
    <t>Café Certificado qq exportable</t>
  </si>
  <si>
    <t>Café Convencional qq exportable</t>
  </si>
  <si>
    <t>corriente y flotes</t>
  </si>
  <si>
    <t>rechazo</t>
  </si>
  <si>
    <t>RENDIMIENTO EN PLANTA</t>
  </si>
  <si>
    <t>PRODUCTOS A EXPENDER</t>
  </si>
  <si>
    <t>Café flote mercado local</t>
  </si>
  <si>
    <t>Total qq</t>
  </si>
  <si>
    <t>Café Convencional mercado local</t>
  </si>
  <si>
    <t>Café convencional qq mercado local</t>
  </si>
  <si>
    <t>INGRESOS TOTALES POR VENTA DE CAFÉ</t>
  </si>
  <si>
    <t>SUBTOTAL VENTA</t>
  </si>
  <si>
    <t>PRECIOS Y SUBTOTALES DE VENTA DE DE VENTA</t>
  </si>
  <si>
    <t>COSTO POR TRANSPORTE A CLIENTES</t>
  </si>
  <si>
    <t>CORECAF SERV GREMIALES 1%</t>
  </si>
  <si>
    <t>COSTO UNITARIOS SACOS DE YUTE EXPORTABLE</t>
  </si>
  <si>
    <t>COSTO UNITARIOS SACOS DE YUTE NACIONAL</t>
  </si>
  <si>
    <t>CORPEI 1,5 X 1000</t>
  </si>
  <si>
    <t>ANECAFÉ 0,08 CTVS X QQ</t>
  </si>
  <si>
    <t>COSTOS DIRECTOS DE VENTAS</t>
  </si>
  <si>
    <t xml:space="preserve">  </t>
  </si>
  <si>
    <t>PERIODO/AÑO</t>
  </si>
  <si>
    <t>TOTAL</t>
  </si>
  <si>
    <t>RMU</t>
  </si>
  <si>
    <t>GERENTE GENERAL</t>
  </si>
  <si>
    <t>CONTADORA</t>
  </si>
  <si>
    <t>CARGOS</t>
  </si>
  <si>
    <t>TECNICO CONTROL DE CALIDAD</t>
  </si>
  <si>
    <t>13º SUELDO</t>
  </si>
  <si>
    <t>14º SUELDO</t>
  </si>
  <si>
    <t>ASISTENTE POLIFUNCIONAL (CHOFER)</t>
  </si>
  <si>
    <t>ASISTENTE CONTABLE</t>
  </si>
  <si>
    <t>12 MESES</t>
  </si>
  <si>
    <t>ANUAL</t>
  </si>
  <si>
    <t>SUELDOS Y SALARIOS</t>
  </si>
  <si>
    <t>ALQUILER DE OFICINA</t>
  </si>
  <si>
    <t>COMBUSTIBLE PARA CAMIONETAS DE OFICINA</t>
  </si>
  <si>
    <t>MANTENIMIENTO Y LIMPIEZA DE OFICINA</t>
  </si>
  <si>
    <t>DEPRECIACIONES NUEVAS INVERSIONES</t>
  </si>
  <si>
    <t>ESTADO DE PÉRDIDAS Y GANANCIAS</t>
  </si>
  <si>
    <t>Detalle</t>
  </si>
  <si>
    <t>Año 1</t>
  </si>
  <si>
    <t>Año 2</t>
  </si>
  <si>
    <t>Año 3</t>
  </si>
  <si>
    <t>Año 4</t>
  </si>
  <si>
    <t>Año 5</t>
  </si>
  <si>
    <t>Año 6</t>
  </si>
  <si>
    <t>Ingresos</t>
  </si>
  <si>
    <t>Gastos Administrativos</t>
  </si>
  <si>
    <t>Gastos de Ventas</t>
  </si>
  <si>
    <t>UTILIDAD OPERACIONAL</t>
  </si>
  <si>
    <t>Utilidad antes de particip. e imptos.</t>
  </si>
  <si>
    <t>15% Participación trabajadores</t>
  </si>
  <si>
    <t>25% Impuesto a la Renta</t>
  </si>
  <si>
    <t>Utilidad Neta</t>
  </si>
  <si>
    <t>Utilidad Inicial</t>
  </si>
  <si>
    <t>Utilidad Acumulada</t>
  </si>
  <si>
    <t>Compra de producto</t>
  </si>
  <si>
    <t>Costo de producción (beneficio)</t>
  </si>
  <si>
    <t>Costo de Ventas</t>
  </si>
  <si>
    <t>TOTAL GASTOS ADMINISTRATIVOS</t>
  </si>
  <si>
    <t>SUMINISTROS Y MATERIALES</t>
  </si>
  <si>
    <t>Gastos Generales</t>
  </si>
  <si>
    <t>TOTAL GASTOS GENERALES</t>
  </si>
  <si>
    <t>Depreciaciones y amortizaciones</t>
  </si>
  <si>
    <t>TOTAL DEPRECIACIONES Y AMORTIZACIONES</t>
  </si>
  <si>
    <t>COSTO MEDIO DE COMPRA DE QQ CEREZA</t>
  </si>
  <si>
    <t>COSTO MEDIO DE QUINTAL DORADO BENEFICIADO</t>
  </si>
  <si>
    <t>Utilidad Neta Contable</t>
  </si>
  <si>
    <t>TOTAL GASTOS DE VENTAS</t>
  </si>
  <si>
    <t>MARGEN OPERACIONAL</t>
  </si>
  <si>
    <t>Costos Directos</t>
  </si>
  <si>
    <t>TOTAL GASTOS FINANCIEROS</t>
  </si>
  <si>
    <t>Gastos Financieros</t>
  </si>
  <si>
    <t>ITEM</t>
  </si>
  <si>
    <t xml:space="preserve">MAQUINAS Y EQUIPOS </t>
  </si>
  <si>
    <t xml:space="preserve">Maquinas y equipos existentes        </t>
  </si>
  <si>
    <t xml:space="preserve">Incorporación de nuevos equipos     </t>
  </si>
  <si>
    <t>TOTAL DE MAQUINARIAS Y EQUIPOS</t>
  </si>
  <si>
    <t>INFRAESTRUCTURA CIVIL</t>
  </si>
  <si>
    <t xml:space="preserve">Cerramiento                                     </t>
  </si>
  <si>
    <t xml:space="preserve">Edificio de administración                </t>
  </si>
  <si>
    <t xml:space="preserve">Tendal o pista                                     </t>
  </si>
  <si>
    <t xml:space="preserve">Demolición de canchón o bodega mixta      </t>
  </si>
  <si>
    <t xml:space="preserve">Accesos a comedor                                    </t>
  </si>
  <si>
    <t xml:space="preserve">Comedor                                                       </t>
  </si>
  <si>
    <t xml:space="preserve">Demolición de Caseta No 2                            </t>
  </si>
  <si>
    <t xml:space="preserve">Planta de café                                                                                                                     </t>
  </si>
  <si>
    <t xml:space="preserve">Bodega No 3                                                </t>
  </si>
  <si>
    <t xml:space="preserve">Bodega No 2                                                                                                            </t>
  </si>
  <si>
    <t xml:space="preserve">Vivienda de administrador                            </t>
  </si>
  <si>
    <t>TOTAL INFRAESTRUCTURA CIVIL</t>
  </si>
  <si>
    <t>REHABILITACION DEL SISTEMA ELECTRICO</t>
  </si>
  <si>
    <t>Linea y alumbrado exterior</t>
  </si>
  <si>
    <t>Alumbrado y puntos de fuerza exterior</t>
  </si>
  <si>
    <t>Motores - tableros - conductores - otros.</t>
  </si>
  <si>
    <t>TOTAL DE REHABILITACION DEL SISTEMA ELECTRICO</t>
  </si>
  <si>
    <t>TOTAL GENERAL</t>
  </si>
  <si>
    <r>
      <t xml:space="preserve">Caseta No 1                                                   </t>
    </r>
    <r>
      <rPr>
        <b/>
        <u val="single"/>
        <sz val="10"/>
        <rFont val="Arial"/>
        <family val="0"/>
      </rPr>
      <t xml:space="preserve"> </t>
    </r>
  </si>
  <si>
    <t>RESUMEN DE LA COMPOSICIÓN DE COSTOS DE REHABILITACIÓN DE LA PLANTA DE TRATAMIENTO DE CAFÉ DE COFENAC LODANA</t>
  </si>
  <si>
    <t>Maquinarias y equipos</t>
  </si>
  <si>
    <t>DETALLE</t>
  </si>
  <si>
    <t>CANTIDAD</t>
  </si>
  <si>
    <t>PRECIO TOTAL</t>
  </si>
  <si>
    <t>EQUIPOS DE OFICINA</t>
  </si>
  <si>
    <t>Computadora</t>
  </si>
  <si>
    <t>Impresora</t>
  </si>
  <si>
    <t>MUEBLES DE OFICINA Y DECORACIÓN</t>
  </si>
  <si>
    <t>Escritorio</t>
  </si>
  <si>
    <t>Rodante</t>
  </si>
  <si>
    <t>VEHÍCULO</t>
  </si>
  <si>
    <t>CAMIONETA DOBLE CABINA</t>
  </si>
  <si>
    <t>Silla para escritorio</t>
  </si>
  <si>
    <t>Dual core V 1.5 Ghz, memoria RAM 1 Gb, disco duro 100Gb, combo dvd rw , Fax Modem 56000 Kbps, Tarjeta de video AGP 32 bits, sonido 3D, floppy disk drive, Monitor 17'', multimedia</t>
  </si>
  <si>
    <t>PRECIO UNIT</t>
  </si>
  <si>
    <t>LASER SANSUNG ML 2610</t>
  </si>
  <si>
    <t>TOTAL INVERSIONES FIJAS</t>
  </si>
  <si>
    <t>Tipo oficina módulo</t>
  </si>
  <si>
    <t>Vehículos</t>
  </si>
  <si>
    <t>MANTENIMIENTO CAMIONETAS</t>
  </si>
  <si>
    <t>ENE</t>
  </si>
  <si>
    <t>FEB</t>
  </si>
  <si>
    <t>MAR</t>
  </si>
  <si>
    <t>ABR</t>
  </si>
  <si>
    <t>MAY</t>
  </si>
  <si>
    <t>JUN</t>
  </si>
  <si>
    <t>JUL</t>
  </si>
  <si>
    <t>AGO</t>
  </si>
  <si>
    <t>SEP</t>
  </si>
  <si>
    <t>OCT</t>
  </si>
  <si>
    <t>NOV</t>
  </si>
  <si>
    <t>DIC</t>
  </si>
  <si>
    <t>GASTOS DE COMPRAS</t>
  </si>
  <si>
    <t>GASTOS BENEFICIO</t>
  </si>
  <si>
    <t>PRODUCCIÓN</t>
  </si>
  <si>
    <t>NECESIDAD DE CAPITAL DE TRABAJO</t>
  </si>
  <si>
    <t>INVERSIÓN FIJA Y CAPITAL DE OPERACIÓN</t>
  </si>
  <si>
    <t>INVERSION TOTAL INICIAL</t>
  </si>
  <si>
    <t>Capital de Operación</t>
  </si>
  <si>
    <t>INVERSIÓN FIJA</t>
  </si>
  <si>
    <t xml:space="preserve">CAPITAL DE OPERACIÓN </t>
  </si>
  <si>
    <t>DESCRIPCION</t>
  </si>
  <si>
    <t>VALOR SALV.</t>
  </si>
  <si>
    <t>valor total inv</t>
  </si>
  <si>
    <t>Depreciación anual</t>
  </si>
  <si>
    <t>Depreciación acumulada</t>
  </si>
  <si>
    <t>VAL. LIBROS</t>
  </si>
  <si>
    <t>U / PERDIDA</t>
  </si>
  <si>
    <t>IMPUEST0</t>
  </si>
  <si>
    <t>RESIDUO</t>
  </si>
  <si>
    <t>FLUJO DE CAJA ANUAL</t>
  </si>
  <si>
    <t>Año 0</t>
  </si>
  <si>
    <t>(I) Ingresos</t>
  </si>
  <si>
    <t>(II) Egresos</t>
  </si>
  <si>
    <t>(+) Depreciaciones</t>
  </si>
  <si>
    <t>FLUJO NETO DE EFECTIVO</t>
  </si>
  <si>
    <t>Saldo Inicial</t>
  </si>
  <si>
    <t>Saldo Final</t>
  </si>
  <si>
    <t>CALCULO DE TIR Y VAN</t>
  </si>
  <si>
    <t>Inversión Activos Fijos</t>
  </si>
  <si>
    <t>Flujo Operacional</t>
  </si>
  <si>
    <t>FLUJO NETO ANUAL</t>
  </si>
  <si>
    <t>TASA INTERNA DE RETORNO</t>
  </si>
  <si>
    <t>VALOR ACTUAL NETO</t>
  </si>
  <si>
    <t>% RELATIVO</t>
  </si>
  <si>
    <t>CAPITAL MÍNIMO AÑO 2008</t>
  </si>
  <si>
    <t>APORTE FUTURA CAP CORECAF</t>
  </si>
  <si>
    <t>APORTE 2 CAMIONETAS PROYECTO CAFÉ MANABÍ</t>
  </si>
  <si>
    <t>APORTE FONDO DE CAPITAL</t>
  </si>
  <si>
    <t>CAPITALIZACIÓN INICIAL PROPUESTA</t>
  </si>
  <si>
    <t>FONDOS DISPONIBLES</t>
  </si>
  <si>
    <t>MANTENIMIENTO ANUAL</t>
  </si>
  <si>
    <t>VALOR DEL FIDECOMICIO</t>
  </si>
  <si>
    <t>ESTRUCTURACIÓN DE FLUJOS DE FIDECOMICIO</t>
  </si>
  <si>
    <t>MANTENIMIENTO MENSUAL 1 X 1000</t>
  </si>
  <si>
    <t>FLUJO DE COSTOS MÍNIMO DE FIDECOMICIO</t>
  </si>
  <si>
    <t>COSTO FIDECOMICIO</t>
  </si>
  <si>
    <t>USO FIDECOMICIO</t>
  </si>
  <si>
    <t>CAPITALIZACIÓN</t>
  </si>
  <si>
    <t>Costo anual fidecomicio</t>
  </si>
  <si>
    <t>(+) Capital de trabajo</t>
  </si>
  <si>
    <t>(+) Valor Residual</t>
  </si>
  <si>
    <r>
      <t>β de empresa no apalancado= β ind. Telec./{1+(Deuda/Capital)* (1-t</t>
    </r>
    <r>
      <rPr>
        <b/>
        <vertAlign val="subscript"/>
        <sz val="10"/>
        <rFont val="Arial"/>
        <family val="2"/>
      </rPr>
      <t>EEUU</t>
    </r>
    <r>
      <rPr>
        <b/>
        <sz val="10"/>
        <rFont val="Arial"/>
        <family val="2"/>
      </rPr>
      <t>)}</t>
    </r>
  </si>
  <si>
    <t>Costo de Capital Ke = rf +β[E(Rm) – rf ]+ l(Riesgo País)  &amp;</t>
  </si>
  <si>
    <r>
      <t>Tasa libre de riesgo r</t>
    </r>
    <r>
      <rPr>
        <vertAlign val="subscript"/>
        <sz val="10"/>
        <rFont val="Arial"/>
        <family val="2"/>
      </rPr>
      <t>f</t>
    </r>
    <r>
      <rPr>
        <sz val="10"/>
        <rFont val="Arial"/>
        <family val="2"/>
      </rPr>
      <t>(bonos tesoro americanos) =</t>
    </r>
  </si>
  <si>
    <t>COSTOS DE COMPRA DE CAFÉ CEREZA</t>
  </si>
  <si>
    <t>COSTO BENEFICIO DE CAFÉ EN PLANTA</t>
  </si>
  <si>
    <t>MAYOR QUE</t>
  </si>
  <si>
    <t>Solamente la inversión sin agregar personal administrativo y operador de planta supera el costo de usar servicios de planta CEZAMO</t>
  </si>
  <si>
    <t>ANALISIS DE REHABILITAR PLANTA LODANA VS CONTINUAR CON PLANTA CEZAMO</t>
  </si>
  <si>
    <t>VAC COSTOS DE BENEFICIO DE CAFÉ PLANTA CEZAMO</t>
  </si>
  <si>
    <t>DESCONTADOS AL PRESENTE CON TASA DE OPORTUNIDAD</t>
  </si>
  <si>
    <t>INGRESOS POR VENTAS</t>
  </si>
  <si>
    <t>COSTOS DE VENTAS</t>
  </si>
  <si>
    <t>INVERSIONES FIJAS</t>
  </si>
  <si>
    <t>ESTRUCTURA PROPUESTA</t>
  </si>
  <si>
    <t>CARGO DE PERSONAL</t>
  </si>
  <si>
    <t>Razones de Liquidez</t>
  </si>
  <si>
    <t>Objetivo:  Medir capacidad de la empresa para generar recursos disponibles para el pago de sus obligaciones de corto plazo.  Cuantos $ de activo corriente por cada $ de pasivo corriente.</t>
  </si>
  <si>
    <t>Índice de liquidez= Activo corriente / Pasivo corriente</t>
  </si>
  <si>
    <t>ACTIVO CORRIENTE</t>
  </si>
  <si>
    <t>PASIVO CORRIENTE</t>
  </si>
  <si>
    <t>INDICE DE LÌQUIDEZ</t>
  </si>
  <si>
    <t>Razones de endeudamiento</t>
  </si>
  <si>
    <t>Objetivo:  Medir el grado de compromiso de la empresa con sus acreedores.  Este compromiso puede referirse al patrimonio o a los activos de la empresa.  Cuantos $ debo por cada $ de capital o por cada $ que poseo cuantos $ debo a terceros.</t>
  </si>
  <si>
    <t>Razón de endeudamiento= Total pasivos / patrimonio</t>
  </si>
  <si>
    <t>Razón de endeudamiento= Tot. Pasivos / tot. Activos</t>
  </si>
  <si>
    <t>TOTAL PASIVO</t>
  </si>
  <si>
    <t>PATRIMONIO</t>
  </si>
  <si>
    <t>TOTAL ACTIVOS</t>
  </si>
  <si>
    <t>Razones de Rentabilidad</t>
  </si>
  <si>
    <t>ROA: Cuanto gana la empresa por cada $ de activo</t>
  </si>
  <si>
    <t>Utilidad del Ejercicio</t>
  </si>
  <si>
    <t>Activos</t>
  </si>
  <si>
    <t>ROE: Cuanto gana la empresa por cada $ de patrimonio</t>
  </si>
  <si>
    <t xml:space="preserve">        Patrimonio</t>
  </si>
  <si>
    <t>Razones de Márgenes</t>
  </si>
  <si>
    <t>a) Margen bruto: Mide la capacidad de las ventas para generar utilidad bruta</t>
  </si>
  <si>
    <t xml:space="preserve">       Utilidad Bruta</t>
  </si>
  <si>
    <t xml:space="preserve">Margen bruto     = </t>
  </si>
  <si>
    <t xml:space="preserve">            Ventas</t>
  </si>
  <si>
    <t>b) Margen operacional: Mide la capacidad de las ventas para generar utilidad operacional</t>
  </si>
  <si>
    <t>Utilidad operacional</t>
  </si>
  <si>
    <t xml:space="preserve">Margen operacional     = </t>
  </si>
  <si>
    <t>Ventas</t>
  </si>
  <si>
    <t>c) Margen Neto</t>
  </si>
  <si>
    <t>Utilidad antes de impuestos</t>
  </si>
  <si>
    <t>d) Margen de comercialización bruto: Una medida muy usada en el comercio (para fijar precios)</t>
  </si>
  <si>
    <t>Margen de</t>
  </si>
  <si>
    <t>Ventas - Costo de ventas</t>
  </si>
  <si>
    <t>comercialización</t>
  </si>
  <si>
    <t>bruto</t>
  </si>
  <si>
    <t>Costo de ventas</t>
  </si>
  <si>
    <t>COSTO DE FIDECOMICIO PARA CAPITAL DE TRABAJO</t>
  </si>
  <si>
    <t>REL B/C</t>
  </si>
  <si>
    <t>VAB</t>
  </si>
  <si>
    <t>VAC</t>
  </si>
  <si>
    <t>VENTA MÍNIMA QQ CAFÈ</t>
  </si>
  <si>
    <t>COMPRA MÍNIMA CEREZA</t>
  </si>
  <si>
    <t>INGRESO EN DINERO INGRESO MÍNIMO</t>
  </si>
  <si>
    <t>PUNTO DE EQUILIBRIO EN INGRESOS, COMPRAS Y VENTAS</t>
  </si>
  <si>
    <t>VARIABLES</t>
  </si>
  <si>
    <t>CAMBIO</t>
  </si>
  <si>
    <t>VAN</t>
  </si>
  <si>
    <t>TIR</t>
  </si>
  <si>
    <t>ACTUAL</t>
  </si>
  <si>
    <t>PRECIO DE VENTA</t>
  </si>
  <si>
    <t>COSTO DE BENEFICIO</t>
  </si>
  <si>
    <t>COSTO BENEFICIO</t>
  </si>
  <si>
    <t>ANALISIS DE SENSIBILIDAD</t>
  </si>
  <si>
    <t>COSTO DE CEREZA Y ACOPIO</t>
  </si>
  <si>
    <t>MAX</t>
  </si>
  <si>
    <t>CUADRO N°1</t>
  </si>
  <si>
    <t>Fuente: Ecuador Invierte, www.ecuadorinvierte.com</t>
  </si>
  <si>
    <t xml:space="preserve">GRAFICO N°1 </t>
  </si>
  <si>
    <t xml:space="preserve">EVOLUCIÓN DEL RIESGO PAÍS EN EL ECUADOR </t>
  </si>
  <si>
    <t>CUADRO N°2</t>
  </si>
  <si>
    <t>VALOR DEL RIESGO PAÍS</t>
  </si>
  <si>
    <t>RENDIMIENTO DE BONOS DEL TESORO AMERICANO Y RIESGO PAÍS</t>
  </si>
  <si>
    <t>CUADRO N°3</t>
  </si>
  <si>
    <t xml:space="preserve">BETAS SECTORIALES INTERNACIONALES DAMODARAN </t>
  </si>
  <si>
    <t>Fuente: Profesor Asvath Damodaran, NY University at http://pages.stern.nyu.edu/~adamodar</t>
  </si>
  <si>
    <t>Fuente: Yahoo Finance http://finance.yahoo.com/</t>
  </si>
  <si>
    <t>RENDIMIENTO S&amp;P 500 ÚLTIMOS 5 AÑOS</t>
  </si>
  <si>
    <t>CUADRO N°4</t>
  </si>
  <si>
    <t>CUADRO No 5</t>
  </si>
  <si>
    <t>CUADRO N°6</t>
  </si>
  <si>
    <t>CUADRO N°7</t>
  </si>
  <si>
    <t>CUADRO N°8</t>
  </si>
  <si>
    <t>CUADRO N° 9</t>
  </si>
  <si>
    <t>Elaboración: El Consultor.</t>
  </si>
  <si>
    <t>*** Premio estimado en realación a mercado actual</t>
  </si>
  <si>
    <t>% Certificado*</t>
  </si>
  <si>
    <t>PRECIO REFERENCIAL BOLSA NY POR QUINTAL EN FUTUROS DE CAFÉ**</t>
  </si>
  <si>
    <t>PRECIOS PARA ECUADOR***</t>
  </si>
  <si>
    <t>PRECIOS CERTIFICADO RF ECUADOR****</t>
  </si>
  <si>
    <t>** Precios tomados del NYBOT</t>
  </si>
  <si>
    <t>***Precios de futuros tomados del NYBOT Clasificaci{on ICO (Brazilian and Other Naturals Group)</t>
  </si>
  <si>
    <t>PLAN DE COMPRAS POR TIPO</t>
  </si>
  <si>
    <t>CUADRO N°11</t>
  </si>
  <si>
    <t>CUADRO N° 12</t>
  </si>
  <si>
    <t>exp</t>
  </si>
  <si>
    <t>no exp</t>
  </si>
  <si>
    <t>cert</t>
  </si>
  <si>
    <t>local</t>
  </si>
  <si>
    <t>CUADRO N° 17</t>
  </si>
  <si>
    <t>CUADRO N° 19</t>
  </si>
  <si>
    <t>CUADRO N° 21</t>
  </si>
  <si>
    <t>CUADRO N° 22</t>
  </si>
  <si>
    <t>CONSTITUCIÓN LEGAL ESCRITURA Y ESTATUTOS</t>
  </si>
  <si>
    <t>CONCLUCIÓN NO ES CONVENIENTE REHABILITAR PLANTA LODANA</t>
  </si>
  <si>
    <t>CUADRO N° 24</t>
  </si>
  <si>
    <t>CUADRO N° 25</t>
  </si>
  <si>
    <t>CUADRO N° 26</t>
  </si>
  <si>
    <t>CUADRO N° 27</t>
  </si>
  <si>
    <t>DETERMINACIÓN DE CAPITAL DE TRABAJO POR DEFICIT ACUMULADO MÁXIMO</t>
  </si>
  <si>
    <t>CUADRO N° 28</t>
  </si>
  <si>
    <t>VENTAS 2006-2007</t>
  </si>
  <si>
    <t>CUADRO N° 31</t>
  </si>
  <si>
    <t>CUADRO N° 30</t>
  </si>
  <si>
    <t>CANTIDAD DE SACAS DE ARROZ</t>
  </si>
  <si>
    <t>Precio Final de saco de arroz</t>
  </si>
  <si>
    <t>Costo Unitario por Secado de saca</t>
  </si>
  <si>
    <t>Costo unitario por pilado de saca</t>
  </si>
  <si>
    <t>Costo de saca</t>
  </si>
  <si>
    <t>Costo quintal Arrocillo 3/4</t>
  </si>
  <si>
    <t>Costo quintal Arrocillo menor</t>
  </si>
  <si>
    <t>Costo de polvillo</t>
  </si>
  <si>
    <t>LIBRAS ARROZ GRANO ENTERO</t>
  </si>
  <si>
    <t>LIBRAS ARROCILLO 3/4</t>
  </si>
  <si>
    <t xml:space="preserve">LIBRAS ARROCILLO   </t>
  </si>
  <si>
    <t>LIBRAS DE POLVILLO</t>
  </si>
  <si>
    <t>COSTOS</t>
  </si>
  <si>
    <t>COSTO POR SACA</t>
  </si>
  <si>
    <t>COSTO DE TRANSPORTE Y ACARREO POR  SACA</t>
  </si>
  <si>
    <t>COSTOS DE SECADO</t>
  </si>
  <si>
    <t>COSTOS DE PILADO</t>
  </si>
  <si>
    <t>COSTOS TOTALES</t>
  </si>
  <si>
    <t>RENDIMIENTOS ESTIMADOS</t>
  </si>
  <si>
    <t>SACOS DE ARROZ</t>
  </si>
  <si>
    <t>SACOS DE ARROCILLO 3/4</t>
  </si>
  <si>
    <t>SACOS DE ARROCILLO MENOR</t>
  </si>
  <si>
    <t>SACOS DE POLVILLO</t>
  </si>
  <si>
    <t>INGRESOS ESTIMADOS POR VENTAS</t>
  </si>
  <si>
    <t xml:space="preserve">INGRESOS TOTALES </t>
  </si>
  <si>
    <t>MARGEN BRUTO DE OPERACIÓN</t>
  </si>
  <si>
    <t>IMPUESTOS</t>
  </si>
  <si>
    <t>APORTE NETO AL FLUJO DE CAJA</t>
  </si>
  <si>
    <t>ESTIMACIÓN DE OPERACIONES DE ARROZ</t>
  </si>
  <si>
    <t>SUPUESTOS</t>
  </si>
  <si>
    <t>ESTIMACIÓN VAN PROYECTO ARROZ</t>
  </si>
  <si>
    <t>CUOTA INICIAL DE PRODUCCIÓN EN SACAS</t>
  </si>
  <si>
    <t>CRECIMIENTO ANUAL DE OPERACIONES</t>
  </si>
  <si>
    <t>RENDIMIENTOS POR SACA DE ARROZ CASCARA (2210 A 220 LBS)</t>
  </si>
  <si>
    <t>MARGEN ANUAL NETO</t>
  </si>
  <si>
    <t>ESTIMACIÓN DE OPERACIONES DE MAIZ</t>
  </si>
  <si>
    <t xml:space="preserve">COSTO POR SACO </t>
  </si>
  <si>
    <t>CUOTA INICIAL DE COMPRA Y VENTA DE MAIZ</t>
  </si>
  <si>
    <t>CANTIDAD DE SACAS DE</t>
  </si>
  <si>
    <t>SACOS DE MAIZ</t>
  </si>
  <si>
    <t>ESTIMACIÓN VAN PROYECTO MAIZ</t>
  </si>
  <si>
    <t>Precio Final de saco de MAIZ</t>
  </si>
  <si>
    <t>Costo de saco comprado a productor</t>
  </si>
  <si>
    <t>PRODUCTO</t>
  </si>
  <si>
    <t>HECTAREAS</t>
  </si>
  <si>
    <t>TONELADAS</t>
  </si>
  <si>
    <t>k03302</t>
  </si>
  <si>
    <t>nombre</t>
  </si>
  <si>
    <t>k04402</t>
  </si>
  <si>
    <t>CACAO</t>
  </si>
  <si>
    <t>Achiote</t>
  </si>
  <si>
    <t>Acelga</t>
  </si>
  <si>
    <t>CAFÉ</t>
  </si>
  <si>
    <t>Ají</t>
  </si>
  <si>
    <t>Ají serrano</t>
  </si>
  <si>
    <t>MAIZ DURO SECO</t>
  </si>
  <si>
    <t>Abacá</t>
  </si>
  <si>
    <t>Ajo</t>
  </si>
  <si>
    <t>Aguacate</t>
  </si>
  <si>
    <t>Ajonjolí</t>
  </si>
  <si>
    <t>Alcaparra</t>
  </si>
  <si>
    <t>Alcachofa</t>
  </si>
  <si>
    <t>Arazá</t>
  </si>
  <si>
    <t>Algodón</t>
  </si>
  <si>
    <t>Babaco</t>
  </si>
  <si>
    <t>Anís</t>
  </si>
  <si>
    <t>Banano</t>
  </si>
  <si>
    <t>Apio</t>
  </si>
  <si>
    <t>Cabuya</t>
  </si>
  <si>
    <t>Arroz</t>
  </si>
  <si>
    <t>Cacao</t>
  </si>
  <si>
    <t>Arveja seca</t>
  </si>
  <si>
    <t>Café</t>
  </si>
  <si>
    <t>Arveja tierna</t>
  </si>
  <si>
    <t>Caña de azúcar para azúcar</t>
  </si>
  <si>
    <t>Avena</t>
  </si>
  <si>
    <t>Caña de azúcar otros usos</t>
  </si>
  <si>
    <t>Badea</t>
  </si>
  <si>
    <t>Caña guadua</t>
  </si>
  <si>
    <t>Berenjena</t>
  </si>
  <si>
    <t>Capulí</t>
  </si>
  <si>
    <t>Brócoli</t>
  </si>
  <si>
    <t>Cardamomo</t>
  </si>
  <si>
    <t>Brumancia</t>
  </si>
  <si>
    <t>Caucho</t>
  </si>
  <si>
    <t>Camote</t>
  </si>
  <si>
    <t>Ceibo</t>
  </si>
  <si>
    <t>Cebada</t>
  </si>
  <si>
    <t>Cereza</t>
  </si>
  <si>
    <t>Cebolla blanca</t>
  </si>
  <si>
    <t>Chirimoya</t>
  </si>
  <si>
    <t>Cebolla colorada</t>
  </si>
  <si>
    <t>Ciruelo</t>
  </si>
  <si>
    <t>Cebolla perla</t>
  </si>
  <si>
    <t>Ciruela costeña</t>
  </si>
  <si>
    <t>Centeno</t>
  </si>
  <si>
    <t>Claudia</t>
  </si>
  <si>
    <t>Chocho</t>
  </si>
  <si>
    <t>Cocotero</t>
  </si>
  <si>
    <t>Cilantro</t>
  </si>
  <si>
    <t>Durazno</t>
  </si>
  <si>
    <t>Col</t>
  </si>
  <si>
    <t>Espárrago</t>
  </si>
  <si>
    <t>Coliflor</t>
  </si>
  <si>
    <t>Frutilla o fresas</t>
  </si>
  <si>
    <t>Col de bruselas</t>
  </si>
  <si>
    <t>Granadilla</t>
  </si>
  <si>
    <t>Espinaca</t>
  </si>
  <si>
    <t>Guaba</t>
  </si>
  <si>
    <t>Fréjol seco</t>
  </si>
  <si>
    <t>Guanabana</t>
  </si>
  <si>
    <t>Fréjol tierno</t>
  </si>
  <si>
    <t>Guanto</t>
  </si>
  <si>
    <t>Garbanzo</t>
  </si>
  <si>
    <t>Guayaba</t>
  </si>
  <si>
    <t>Girasol</t>
  </si>
  <si>
    <t>Higo</t>
  </si>
  <si>
    <t>Haba seca</t>
  </si>
  <si>
    <t>Lima</t>
  </si>
  <si>
    <t>Haba tierna</t>
  </si>
  <si>
    <t>Limón</t>
  </si>
  <si>
    <t>Higuerilla</t>
  </si>
  <si>
    <t>Macadamia</t>
  </si>
  <si>
    <t>Hongos</t>
  </si>
  <si>
    <t>Mamey</t>
  </si>
  <si>
    <t>Jengibre</t>
  </si>
  <si>
    <t>Mandarina</t>
  </si>
  <si>
    <t>Lechuga</t>
  </si>
  <si>
    <t>Mango</t>
  </si>
  <si>
    <t>Lenteja</t>
  </si>
  <si>
    <t>Manzana</t>
  </si>
  <si>
    <t>Linaza</t>
  </si>
  <si>
    <t>Maracuyá</t>
  </si>
  <si>
    <t>Lufa</t>
  </si>
  <si>
    <t>Marañon</t>
  </si>
  <si>
    <t>Maíz duro choclo</t>
  </si>
  <si>
    <t>Membrillo</t>
  </si>
  <si>
    <t>Maíz duro seco</t>
  </si>
  <si>
    <t>Mora</t>
  </si>
  <si>
    <t>Maíz suave choclo</t>
  </si>
  <si>
    <t>Naranja</t>
  </si>
  <si>
    <t>Maíz suave seco</t>
  </si>
  <si>
    <t>Naranjilla</t>
  </si>
  <si>
    <t>Maní</t>
  </si>
  <si>
    <t>Níspero</t>
  </si>
  <si>
    <t>Marigold</t>
  </si>
  <si>
    <t>Paja toquilla</t>
  </si>
  <si>
    <t>Malanga</t>
  </si>
  <si>
    <t>Palma africana</t>
  </si>
  <si>
    <t>Melloco</t>
  </si>
  <si>
    <t>Palmito</t>
  </si>
  <si>
    <t>Melón</t>
  </si>
  <si>
    <t>Papaya</t>
  </si>
  <si>
    <t>Nabo</t>
  </si>
  <si>
    <t>Pepino</t>
  </si>
  <si>
    <t>Oca</t>
  </si>
  <si>
    <t>Pera</t>
  </si>
  <si>
    <t>Papa</t>
  </si>
  <si>
    <t>Pimienta dulce</t>
  </si>
  <si>
    <t>Papa china</t>
  </si>
  <si>
    <t>Pimienta negra</t>
  </si>
  <si>
    <t>Papa nabo</t>
  </si>
  <si>
    <t>Piña</t>
  </si>
  <si>
    <t>Pepinillo</t>
  </si>
  <si>
    <t>Pitahaya</t>
  </si>
  <si>
    <t>Perejil</t>
  </si>
  <si>
    <t>Plátano</t>
  </si>
  <si>
    <t>Pimiento</t>
  </si>
  <si>
    <t>Kiwi</t>
  </si>
  <si>
    <t>Quínua</t>
  </si>
  <si>
    <t>Sábila</t>
  </si>
  <si>
    <t>Rabano</t>
  </si>
  <si>
    <t>Tamarindo</t>
  </si>
  <si>
    <t>Remolacha</t>
  </si>
  <si>
    <t>Taxo</t>
  </si>
  <si>
    <t>Romanescu</t>
  </si>
  <si>
    <t>Té</t>
  </si>
  <si>
    <t>Sandía</t>
  </si>
  <si>
    <t>Tomate de árbol</t>
  </si>
  <si>
    <t>Sorgo</t>
  </si>
  <si>
    <t>Toronja</t>
  </si>
  <si>
    <t>Soya</t>
  </si>
  <si>
    <t>Tuna</t>
  </si>
  <si>
    <t>Suquini</t>
  </si>
  <si>
    <t>Uva</t>
  </si>
  <si>
    <t>Tabaco</t>
  </si>
  <si>
    <t>Uvilla</t>
  </si>
  <si>
    <t>Tomate riñón</t>
  </si>
  <si>
    <t>Zapote</t>
  </si>
  <si>
    <t>Trigo</t>
  </si>
  <si>
    <t>Orito</t>
  </si>
  <si>
    <t>Vainita</t>
  </si>
  <si>
    <t>Chonta</t>
  </si>
  <si>
    <t>Yuca</t>
  </si>
  <si>
    <t>Tagua</t>
  </si>
  <si>
    <t>Zambo</t>
  </si>
  <si>
    <t>Caimito</t>
  </si>
  <si>
    <t>Zanahoria amarilla</t>
  </si>
  <si>
    <t>Uva de monte</t>
  </si>
  <si>
    <t>Zanahoria blanca</t>
  </si>
  <si>
    <t>Borojó</t>
  </si>
  <si>
    <t>Zapallo</t>
  </si>
  <si>
    <t>Huerto frutal</t>
  </si>
  <si>
    <t>Mashua</t>
  </si>
  <si>
    <t>Planta Medicinal permanente</t>
  </si>
  <si>
    <t>Huerto Hortícola</t>
  </si>
  <si>
    <t>Vivero permanente</t>
  </si>
  <si>
    <t>Planta Medicinal Transitorio</t>
  </si>
  <si>
    <t>Otros Permanentes</t>
  </si>
  <si>
    <t>Vivero Transitorios</t>
  </si>
  <si>
    <t>Otros Transitorios</t>
  </si>
  <si>
    <t>Cantón</t>
  </si>
  <si>
    <t>HECTAREAS SEMBRADAS</t>
  </si>
  <si>
    <t>TONELADAS PRODUCIDAS</t>
  </si>
  <si>
    <t>sacos 100 lbs</t>
  </si>
  <si>
    <t>PICHINCHA</t>
  </si>
  <si>
    <t>PAJAN</t>
  </si>
  <si>
    <t>SANTA ANA</t>
  </si>
  <si>
    <t>ROCAFUERTE</t>
  </si>
  <si>
    <t>CHONE</t>
  </si>
  <si>
    <t>OLMEDO</t>
  </si>
  <si>
    <t>24 DE MAYO</t>
  </si>
  <si>
    <t>BOLIVAR</t>
  </si>
  <si>
    <t>SUCRE</t>
  </si>
  <si>
    <t>PORTOVIEJO</t>
  </si>
  <si>
    <t>TOSAGUA</t>
  </si>
  <si>
    <t>PEDERNALES</t>
  </si>
  <si>
    <t>FLAVIO ALFARO</t>
  </si>
  <si>
    <t>EL CARMEN</t>
  </si>
  <si>
    <t>JIPIJAPA</t>
  </si>
  <si>
    <t>JUNIN</t>
  </si>
  <si>
    <t>JARAMIJO</t>
  </si>
  <si>
    <t>MONTECRISTI</t>
  </si>
  <si>
    <t>PUERTO LOPEZ</t>
  </si>
  <si>
    <t>OBJETIVO</t>
  </si>
  <si>
    <t>CANTÓN</t>
  </si>
  <si>
    <t>QQ</t>
  </si>
  <si>
    <t>JAMA</t>
  </si>
  <si>
    <t>MANTA</t>
  </si>
  <si>
    <t>CRECIMIENTO DE COSTOS</t>
  </si>
  <si>
    <t>PLATANO</t>
  </si>
  <si>
    <t>BANANO</t>
  </si>
  <si>
    <t>ARROZ</t>
  </si>
  <si>
    <t>MANDARINA</t>
  </si>
  <si>
    <t>NARANJA</t>
  </si>
  <si>
    <t>MARACUYÁ</t>
  </si>
  <si>
    <t>MANI</t>
  </si>
  <si>
    <t>YUCA</t>
  </si>
  <si>
    <t>HABA SECA</t>
  </si>
  <si>
    <t>ZAPALLO</t>
  </si>
  <si>
    <t>CUADRO N° 33</t>
  </si>
  <si>
    <t>RESUMEN PRODUCCIÓN MANABITA</t>
  </si>
  <si>
    <t>ARROZ EN MANABI</t>
  </si>
  <si>
    <t>Elaboración: El Autor</t>
  </si>
  <si>
    <t>CANTONES POTENCIALES PARA COMERCIALIZACIÓN DE ARROZ</t>
  </si>
  <si>
    <t>MAIZ EN MANABI</t>
  </si>
  <si>
    <t>CANTONES POTENCIALES PARA COMERCIALIZACIÓN DE MAIZ</t>
  </si>
  <si>
    <t>Emisión</t>
  </si>
  <si>
    <t>Plazo</t>
  </si>
  <si>
    <t>Comisiones Bolsa</t>
  </si>
  <si>
    <t>Comisiones PDV</t>
  </si>
  <si>
    <t>Estructuración</t>
  </si>
  <si>
    <t>Insc. RMV</t>
  </si>
  <si>
    <t>Calif. Riesgo</t>
  </si>
  <si>
    <t>Ag. Pagador</t>
  </si>
  <si>
    <t>Rep. Oblig.</t>
  </si>
  <si>
    <t>Prensa</t>
  </si>
  <si>
    <t>Prospectos</t>
  </si>
  <si>
    <t>Impresión</t>
  </si>
  <si>
    <t>Comis. BVG</t>
  </si>
  <si>
    <t>Comis. PDV</t>
  </si>
  <si>
    <t>FLUJO TOTAL</t>
  </si>
  <si>
    <t>Indefinido</t>
  </si>
  <si>
    <t>Papeles MONTO DE CAPITAL A LEVANTAR</t>
  </si>
  <si>
    <t>PROCESO DE EMISIÓN DE ACCIONES VÍA BOLSA DE VALORES</t>
  </si>
  <si>
    <t>* En este ejemplo se considera levantar el 49% del Coste del plan de negocios</t>
  </si>
  <si>
    <t>COSTO TOTAL APROXIMADO</t>
  </si>
  <si>
    <t>Evento de Lanzamiento de acciones</t>
  </si>
  <si>
    <t>CUADRO N° 20</t>
  </si>
  <si>
    <t>RECUPERACIÓN DEL CAPITAL INVERTIDO</t>
  </si>
  <si>
    <t>MERCADO</t>
  </si>
  <si>
    <t>POTENCIA</t>
  </si>
  <si>
    <t>COMPETENCIA</t>
  </si>
  <si>
    <t>CUOTA DE MERCADO</t>
  </si>
  <si>
    <t>DIFERENCIACION DE PRODUCTO</t>
  </si>
  <si>
    <t>BARRERAS DE ENTRADA</t>
  </si>
  <si>
    <t>CONDICIONES</t>
  </si>
  <si>
    <t>DISTRIBUCIÓN</t>
  </si>
  <si>
    <t>RED</t>
  </si>
  <si>
    <t>MARGENES</t>
  </si>
  <si>
    <t>SUMINISTROS</t>
  </si>
  <si>
    <t>FACTORES CONDICIONANTES</t>
  </si>
  <si>
    <t>PESO ESPECIFICO EN %</t>
  </si>
  <si>
    <t>BAJO RIESGO (ENRE 2 Y 4)</t>
  </si>
  <si>
    <t>RIESGO MEDIO (ENTRE 5 Y 7)</t>
  </si>
  <si>
    <t>RIESGO ALTO (ENTRE 8 Y 10)</t>
  </si>
  <si>
    <t>PUNTOS DEL FACTOR</t>
  </si>
  <si>
    <t>SUMA</t>
  </si>
  <si>
    <t>MENOR QUE</t>
  </si>
  <si>
    <t xml:space="preserve">AHORRO DE </t>
  </si>
  <si>
    <t>CONCLUCIÓN ES CONVENIENTE REHABILITAR PARCIALMENTE PLANTA LODANA</t>
  </si>
  <si>
    <t>ANALISIS DE REHABILITAR PLANTA LODANA VS CONTINUAR CON PLANTA CEZAMO (REHABILITACIÓN PARCIAL)</t>
  </si>
  <si>
    <t>RECUPERACIÓN DEL CAPITAL</t>
  </si>
  <si>
    <t>AÑO 3 Y 4</t>
  </si>
  <si>
    <t>CAFÉ MANABÍ ENFRENTA UN RIESGO MEDIO ALTO</t>
  </si>
  <si>
    <t>ELABORACIÓN: El AUTOR</t>
  </si>
  <si>
    <t>SISTEMATIZACIÓN DE TALLER RIESGO CAFÉ MANABÍ</t>
  </si>
  <si>
    <t>PROYECCIÓN CAFÉ MANABI ESCENARIO ACTUAL</t>
  </si>
  <si>
    <t>PROYECCIÓN DEL ESTADO DE PERDIDAS Y GANANCIAS CAFÉ MANABI EJERCICIO 2007 CORREGIDO</t>
  </si>
  <si>
    <t>ANALISIS DE RAZONES FINANCIERAS DE CAFÉ MANABI</t>
  </si>
  <si>
    <t>PROYECCIÓN DEL ESTADO DE PERDIDAS Y GANANCIAS CAFÉ MANABI EJERCICIO 2007</t>
  </si>
  <si>
    <t>Fuente: CAFÉ MANABI</t>
  </si>
  <si>
    <t>Elaboración: El Autor en base a estudio</t>
  </si>
  <si>
    <t>β de capital de CAFÉ MANABÍ</t>
  </si>
  <si>
    <t>β Apalacada según estructura de capital de CAFÉ MANABÍ S.A</t>
  </si>
  <si>
    <t>VALUE FIRM CAFÉ MANABÍ</t>
  </si>
  <si>
    <t>*Se espera que CAFÉ MANABÍ S.A, Exporte café certificado al menos un 80% al final del 5to año</t>
  </si>
  <si>
    <t>Elaboración: El Autor en base a información provista por CAFÉ MANABI</t>
  </si>
  <si>
    <t>DEPRECIACIONES DE INVERSIONES</t>
  </si>
  <si>
    <t>Elaboración: El Autor en base a información proporcionada.</t>
  </si>
  <si>
    <t>CUADRO N° 6</t>
  </si>
  <si>
    <t>CUADRO N° 8</t>
  </si>
  <si>
    <t>CUADRO N°9</t>
  </si>
  <si>
    <t>CUADRO N°10</t>
  </si>
  <si>
    <t>CUADRO No 13</t>
  </si>
  <si>
    <t>CUADRO N° 14</t>
  </si>
  <si>
    <t>CUADRO N° 15</t>
  </si>
  <si>
    <t>CUADRO N° 16</t>
  </si>
  <si>
    <t>CUADRO N° 18 A</t>
  </si>
  <si>
    <t>CUADRO N° 18 B</t>
  </si>
  <si>
    <t>CUADRO N° 23</t>
  </si>
  <si>
    <t>CUADRO N ° 32</t>
  </si>
  <si>
    <t>CUADRO N° 29 A</t>
  </si>
  <si>
    <t>CUADRO N° 29B</t>
  </si>
  <si>
    <t>PLAN DE COMPRAS EN CAFÉ CEREZA - CAFÉ MANABI 2009</t>
  </si>
  <si>
    <t>PLAN DE COMPRAS EN CAFÉ PERGAMINO OREADO - CAFÉ MANABI 2009</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</si>
</sst>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
    <numFmt numFmtId="177" formatCode="0.000"/>
    <numFmt numFmtId="178" formatCode="#,##0_ ;\-#,##0\ "/>
    <numFmt numFmtId="179" formatCode="#,##0.0"/>
    <numFmt numFmtId="180" formatCode="#,##0.000"/>
    <numFmt numFmtId="181" formatCode="_-* #,##0.00_-;\-* #,##0.00_-;_-* &quot;-&quot;??_-;_-@_-"/>
    <numFmt numFmtId="182" formatCode="[$$-409]#,##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000000"/>
    <numFmt numFmtId="188" formatCode="0.000000"/>
    <numFmt numFmtId="189" formatCode="0.00000"/>
    <numFmt numFmtId="190" formatCode="0.0000"/>
    <numFmt numFmtId="191" formatCode="#,##0.0000"/>
    <numFmt numFmtId="192" formatCode="0.0"/>
    <numFmt numFmtId="193" formatCode="_ * #,##0.0_ ;_ * \-#,##0.0_ ;_ * &quot;-&quot;??_ ;_ @_ "/>
    <numFmt numFmtId="194" formatCode="_ * #,##0_ ;_ * \-#,##0_ ;_ * &quot;-&quot;??_ ;_ @_ "/>
    <numFmt numFmtId="195" formatCode="0.000%"/>
    <numFmt numFmtId="196" formatCode="0.0000%"/>
    <numFmt numFmtId="197" formatCode="#,##0.00000"/>
    <numFmt numFmtId="198" formatCode="#,##0.000000"/>
  </numFmts>
  <fonts count="26">
    <font>
      <sz val="10"/>
      <name val="Arial"/>
      <family val="0"/>
    </font>
    <font>
      <b/>
      <sz val="10"/>
      <name val="Arial"/>
      <family val="0"/>
    </font>
    <font>
      <i/>
      <sz val="10"/>
      <name val="Arial"/>
      <family val="0"/>
    </font>
    <font>
      <b/>
      <i/>
      <sz val="10"/>
      <name val="Arial"/>
      <family val="0"/>
    </font>
    <font>
      <sz val="8"/>
      <name val="Arial"/>
      <family val="0"/>
    </font>
    <font>
      <b/>
      <vertAlign val="subscript"/>
      <sz val="10"/>
      <name val="Arial"/>
      <family val="2"/>
    </font>
    <font>
      <u val="single"/>
      <sz val="10"/>
      <color indexed="12"/>
      <name val="Arial"/>
      <family val="0"/>
    </font>
    <font>
      <u val="single"/>
      <sz val="10"/>
      <color indexed="36"/>
      <name val="Arial"/>
      <family val="0"/>
    </font>
    <font>
      <b/>
      <sz val="10"/>
      <name val="Verdana"/>
      <family val="2"/>
    </font>
    <font>
      <sz val="10"/>
      <name val="Verdana"/>
      <family val="2"/>
    </font>
    <font>
      <b/>
      <u val="single"/>
      <sz val="10"/>
      <name val="Arial"/>
      <family val="0"/>
    </font>
    <font>
      <vertAlign val="subscript"/>
      <sz val="10"/>
      <name val="Arial"/>
      <family val="2"/>
    </font>
    <font>
      <sz val="10"/>
      <name val="Tahoma"/>
      <family val="0"/>
    </font>
    <font>
      <b/>
      <sz val="10"/>
      <name val="Tahoma"/>
      <family val="0"/>
    </font>
    <font>
      <b/>
      <sz val="14"/>
      <name val="Arial"/>
      <family val="2"/>
    </font>
    <font>
      <sz val="11.75"/>
      <name val="Arial"/>
      <family val="0"/>
    </font>
    <font>
      <sz val="10"/>
      <color indexed="12"/>
      <name val="Arial"/>
      <family val="0"/>
    </font>
    <font>
      <b/>
      <sz val="11.5"/>
      <name val="Arial"/>
      <family val="0"/>
    </font>
    <font>
      <sz val="11.5"/>
      <name val="Arial"/>
      <family val="0"/>
    </font>
    <font>
      <sz val="11.25"/>
      <name val="Arial"/>
      <family val="0"/>
    </font>
    <font>
      <b/>
      <sz val="15.5"/>
      <name val="Arial"/>
      <family val="2"/>
    </font>
    <font>
      <b/>
      <sz val="10"/>
      <color indexed="9"/>
      <name val="Arial"/>
      <family val="2"/>
    </font>
    <font>
      <sz val="10"/>
      <color indexed="9"/>
      <name val="Arial"/>
      <family val="0"/>
    </font>
    <font>
      <sz val="12"/>
      <name val="Arial"/>
      <family val="0"/>
    </font>
    <font>
      <b/>
      <sz val="12"/>
      <name val="Arial"/>
      <family val="0"/>
    </font>
    <font>
      <b/>
      <sz val="8"/>
      <name val="Arial"/>
      <family val="2"/>
    </font>
  </fonts>
  <fills count="8">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s>
  <borders count="57">
    <border>
      <left/>
      <right/>
      <top/>
      <bottom/>
      <diagonal/>
    </border>
    <border>
      <left style="medium"/>
      <right style="thin"/>
      <top style="thin"/>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style="thin"/>
      <right style="thin"/>
      <top style="thin"/>
      <bottom style="thin"/>
    </border>
    <border>
      <left style="medium"/>
      <right style="medium"/>
      <top>
        <color indexed="63"/>
      </top>
      <bottom>
        <color indexed="63"/>
      </bottom>
    </border>
    <border>
      <left style="medium"/>
      <right style="medium"/>
      <top style="medium"/>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thin"/>
    </border>
    <border>
      <left>
        <color indexed="63"/>
      </left>
      <right>
        <color indexed="63"/>
      </right>
      <top style="medium"/>
      <bottom style="mediu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thin"/>
      <top>
        <color indexed="63"/>
      </top>
      <bottom>
        <color indexed="63"/>
      </botto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medium"/>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813">
    <xf numFmtId="0" fontId="0" fillId="0" borderId="0" xfId="0" applyAlignment="1">
      <alignment/>
    </xf>
    <xf numFmtId="0" fontId="0" fillId="0" borderId="0" xfId="0" applyFont="1" applyAlignment="1">
      <alignment/>
    </xf>
    <xf numFmtId="0" fontId="0" fillId="0" borderId="1" xfId="0" applyBorder="1" applyAlignment="1">
      <alignment/>
    </xf>
    <xf numFmtId="0" fontId="1" fillId="0" borderId="2" xfId="0" applyFont="1" applyBorder="1" applyAlignment="1">
      <alignment/>
    </xf>
    <xf numFmtId="0" fontId="1" fillId="0" borderId="0" xfId="0" applyFont="1" applyAlignment="1">
      <alignment/>
    </xf>
    <xf numFmtId="4" fontId="0" fillId="0" borderId="0" xfId="0" applyNumberFormat="1" applyFont="1" applyBorder="1" applyAlignment="1">
      <alignment/>
    </xf>
    <xf numFmtId="0" fontId="0" fillId="0" borderId="0" xfId="0" applyFont="1" applyBorder="1" applyAlignment="1">
      <alignment/>
    </xf>
    <xf numFmtId="4" fontId="1" fillId="0" borderId="0" xfId="0" applyNumberFormat="1" applyFont="1" applyFill="1" applyBorder="1" applyAlignment="1">
      <alignment horizontal="center"/>
    </xf>
    <xf numFmtId="0" fontId="1" fillId="0" borderId="0" xfId="0" applyFont="1" applyAlignment="1">
      <alignment horizontal="center"/>
    </xf>
    <xf numFmtId="0" fontId="0" fillId="0" borderId="3" xfId="0" applyBorder="1" applyAlignment="1">
      <alignment/>
    </xf>
    <xf numFmtId="0" fontId="0" fillId="0" borderId="4" xfId="0" applyBorder="1" applyAlignment="1">
      <alignment/>
    </xf>
    <xf numFmtId="4" fontId="0" fillId="0" borderId="0" xfId="0" applyNumberFormat="1" applyAlignment="1">
      <alignment/>
    </xf>
    <xf numFmtId="4" fontId="1" fillId="0" borderId="0" xfId="0" applyNumberFormat="1" applyFont="1" applyAlignment="1">
      <alignment/>
    </xf>
    <xf numFmtId="0" fontId="1" fillId="0" borderId="5" xfId="0" applyFont="1" applyBorder="1" applyAlignment="1">
      <alignment horizontal="center"/>
    </xf>
    <xf numFmtId="4" fontId="0" fillId="0" borderId="1" xfId="0" applyNumberFormat="1" applyFont="1" applyBorder="1" applyAlignment="1">
      <alignment horizontal="left"/>
    </xf>
    <xf numFmtId="10" fontId="0" fillId="0" borderId="0" xfId="22" applyNumberFormat="1" applyAlignment="1">
      <alignment/>
    </xf>
    <xf numFmtId="0" fontId="0" fillId="0" borderId="0" xfId="0" applyFont="1" applyAlignment="1">
      <alignment/>
    </xf>
    <xf numFmtId="10" fontId="1" fillId="0" borderId="6" xfId="0" applyNumberFormat="1" applyFont="1" applyFill="1" applyBorder="1" applyAlignment="1">
      <alignment horizontal="center"/>
    </xf>
    <xf numFmtId="0" fontId="0" fillId="0" borderId="0" xfId="0" applyBorder="1" applyAlignment="1">
      <alignment/>
    </xf>
    <xf numFmtId="0" fontId="0" fillId="0" borderId="7" xfId="0" applyFill="1" applyBorder="1" applyAlignment="1">
      <alignment/>
    </xf>
    <xf numFmtId="0" fontId="8" fillId="2" borderId="8" xfId="0" applyFont="1" applyFill="1" applyBorder="1" applyAlignment="1">
      <alignment wrapText="1"/>
    </xf>
    <xf numFmtId="0" fontId="8" fillId="2" borderId="8" xfId="0" applyFont="1" applyFill="1" applyBorder="1" applyAlignment="1">
      <alignment horizontal="right" wrapText="1"/>
    </xf>
    <xf numFmtId="0" fontId="9" fillId="3" borderId="8" xfId="0" applyFont="1" applyFill="1" applyBorder="1" applyAlignment="1">
      <alignment wrapText="1"/>
    </xf>
    <xf numFmtId="0" fontId="9" fillId="3" borderId="8" xfId="0" applyFont="1" applyFill="1" applyBorder="1" applyAlignment="1">
      <alignment horizontal="right" wrapText="1"/>
    </xf>
    <xf numFmtId="0" fontId="9" fillId="0" borderId="0" xfId="0" applyFont="1" applyAlignment="1">
      <alignment/>
    </xf>
    <xf numFmtId="0" fontId="9" fillId="0" borderId="0" xfId="0" applyFont="1" applyAlignment="1">
      <alignment horizontal="center"/>
    </xf>
    <xf numFmtId="0" fontId="9" fillId="0" borderId="0" xfId="0" applyFont="1" applyAlignment="1">
      <alignment wrapText="1"/>
    </xf>
    <xf numFmtId="0" fontId="9" fillId="0" borderId="8" xfId="0" applyFont="1" applyBorder="1" applyAlignment="1">
      <alignment horizontal="center"/>
    </xf>
    <xf numFmtId="0" fontId="9" fillId="0" borderId="8" xfId="0" applyFont="1" applyFill="1" applyBorder="1" applyAlignment="1">
      <alignment horizontal="center"/>
    </xf>
    <xf numFmtId="0" fontId="9" fillId="0" borderId="0" xfId="0" applyFont="1" applyFill="1" applyAlignment="1">
      <alignment/>
    </xf>
    <xf numFmtId="10" fontId="9" fillId="0" borderId="8" xfId="0" applyNumberFormat="1" applyFont="1" applyBorder="1" applyAlignment="1">
      <alignment horizontal="center"/>
    </xf>
    <xf numFmtId="10" fontId="9" fillId="0" borderId="8" xfId="0" applyNumberFormat="1" applyFont="1" applyFill="1" applyBorder="1" applyAlignment="1">
      <alignment horizontal="center"/>
    </xf>
    <xf numFmtId="4" fontId="1" fillId="0" borderId="9" xfId="0" applyNumberFormat="1" applyFont="1" applyFill="1" applyBorder="1" applyAlignment="1">
      <alignment horizontal="left" indent="1"/>
    </xf>
    <xf numFmtId="4" fontId="1" fillId="0" borderId="9" xfId="0" applyNumberFormat="1" applyFont="1" applyBorder="1" applyAlignment="1">
      <alignment horizontal="left" indent="1"/>
    </xf>
    <xf numFmtId="4" fontId="1" fillId="0" borderId="9" xfId="0" applyNumberFormat="1" applyFont="1" applyBorder="1" applyAlignment="1">
      <alignment horizontal="left" indent="2"/>
    </xf>
    <xf numFmtId="4" fontId="1" fillId="0" borderId="9" xfId="0" applyNumberFormat="1" applyFont="1" applyBorder="1" applyAlignment="1">
      <alignment/>
    </xf>
    <xf numFmtId="4" fontId="1" fillId="0" borderId="9" xfId="0" applyNumberFormat="1" applyFont="1" applyFill="1" applyBorder="1" applyAlignment="1">
      <alignment/>
    </xf>
    <xf numFmtId="4" fontId="0" fillId="0" borderId="8" xfId="0" applyNumberFormat="1" applyBorder="1" applyAlignment="1">
      <alignment/>
    </xf>
    <xf numFmtId="4" fontId="1" fillId="0" borderId="4" xfId="0" applyNumberFormat="1" applyFont="1" applyBorder="1" applyAlignment="1">
      <alignment horizontal="right"/>
    </xf>
    <xf numFmtId="4" fontId="1" fillId="0" borderId="6" xfId="0" applyNumberFormat="1" applyFont="1" applyBorder="1" applyAlignment="1">
      <alignment/>
    </xf>
    <xf numFmtId="4" fontId="1" fillId="0" borderId="6" xfId="0" applyNumberFormat="1" applyFont="1" applyBorder="1" applyAlignment="1">
      <alignment horizontal="right"/>
    </xf>
    <xf numFmtId="4" fontId="1" fillId="0" borderId="10" xfId="0" applyNumberFormat="1" applyFont="1" applyBorder="1" applyAlignment="1">
      <alignment/>
    </xf>
    <xf numFmtId="4" fontId="0" fillId="0" borderId="8" xfId="0" applyNumberFormat="1" applyFont="1" applyBorder="1" applyAlignment="1">
      <alignment/>
    </xf>
    <xf numFmtId="4" fontId="0" fillId="0" borderId="5" xfId="0" applyNumberFormat="1" applyFont="1" applyBorder="1" applyAlignment="1">
      <alignment/>
    </xf>
    <xf numFmtId="4" fontId="0" fillId="0" borderId="8" xfId="0" applyNumberFormat="1" applyFont="1" applyBorder="1" applyAlignment="1">
      <alignment horizontal="left"/>
    </xf>
    <xf numFmtId="4" fontId="0" fillId="0" borderId="5" xfId="0" applyNumberFormat="1" applyBorder="1" applyAlignment="1">
      <alignment/>
    </xf>
    <xf numFmtId="4" fontId="0" fillId="0" borderId="1" xfId="0" applyNumberFormat="1" applyBorder="1" applyAlignment="1">
      <alignment/>
    </xf>
    <xf numFmtId="4" fontId="0" fillId="0" borderId="4" xfId="0" applyNumberFormat="1" applyBorder="1" applyAlignment="1">
      <alignment/>
    </xf>
    <xf numFmtId="4" fontId="0" fillId="0" borderId="11" xfId="0" applyNumberFormat="1" applyBorder="1" applyAlignment="1">
      <alignment/>
    </xf>
    <xf numFmtId="4" fontId="1" fillId="0" borderId="1" xfId="0" applyNumberFormat="1" applyFont="1" applyBorder="1" applyAlignment="1">
      <alignment/>
    </xf>
    <xf numFmtId="4" fontId="1" fillId="0" borderId="8" xfId="0" applyNumberFormat="1" applyFont="1" applyBorder="1" applyAlignment="1">
      <alignment/>
    </xf>
    <xf numFmtId="4" fontId="1" fillId="0" borderId="4" xfId="0" applyNumberFormat="1" applyFont="1" applyBorder="1" applyAlignment="1">
      <alignment/>
    </xf>
    <xf numFmtId="4" fontId="1" fillId="0" borderId="11" xfId="0" applyNumberFormat="1" applyFont="1" applyBorder="1" applyAlignment="1">
      <alignment/>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4" fontId="1" fillId="0" borderId="14" xfId="0" applyNumberFormat="1" applyFont="1" applyBorder="1" applyAlignment="1">
      <alignment horizontal="center"/>
    </xf>
    <xf numFmtId="10" fontId="1" fillId="0" borderId="5" xfId="22" applyNumberFormat="1" applyFont="1" applyBorder="1" applyAlignment="1">
      <alignment/>
    </xf>
    <xf numFmtId="10" fontId="1" fillId="0" borderId="6" xfId="22" applyNumberFormat="1" applyFont="1" applyBorder="1" applyAlignment="1">
      <alignment/>
    </xf>
    <xf numFmtId="0" fontId="1" fillId="0" borderId="14" xfId="0" applyFont="1" applyBorder="1" applyAlignment="1">
      <alignment horizontal="center"/>
    </xf>
    <xf numFmtId="0" fontId="1" fillId="0" borderId="13" xfId="0" applyFont="1" applyBorder="1" applyAlignment="1">
      <alignment horizontal="center"/>
    </xf>
    <xf numFmtId="0" fontId="0" fillId="0" borderId="5" xfId="0" applyFont="1" applyFill="1" applyBorder="1" applyAlignment="1">
      <alignment horizontal="center"/>
    </xf>
    <xf numFmtId="0" fontId="1" fillId="0" borderId="0" xfId="0" applyFont="1" applyFill="1" applyBorder="1" applyAlignment="1">
      <alignment horizontal="center"/>
    </xf>
    <xf numFmtId="0" fontId="0" fillId="0" borderId="8" xfId="0" applyFont="1" applyFill="1" applyBorder="1" applyAlignment="1">
      <alignment horizontal="center"/>
    </xf>
    <xf numFmtId="4" fontId="1" fillId="0" borderId="15" xfId="0" applyNumberFormat="1" applyFont="1" applyBorder="1" applyAlignment="1">
      <alignment/>
    </xf>
    <xf numFmtId="4" fontId="1" fillId="0" borderId="16" xfId="0" applyNumberFormat="1" applyFont="1" applyBorder="1" applyAlignment="1">
      <alignment/>
    </xf>
    <xf numFmtId="10" fontId="0" fillId="0" borderId="0" xfId="22" applyNumberFormat="1" applyAlignment="1">
      <alignment/>
    </xf>
    <xf numFmtId="4" fontId="1" fillId="0" borderId="0" xfId="0" applyNumberFormat="1" applyFont="1" applyBorder="1" applyAlignment="1">
      <alignment/>
    </xf>
    <xf numFmtId="0" fontId="1" fillId="0" borderId="8" xfId="0" applyFont="1" applyBorder="1" applyAlignment="1">
      <alignment horizontal="center"/>
    </xf>
    <xf numFmtId="3" fontId="1" fillId="0" borderId="11" xfId="0" applyNumberFormat="1" applyFont="1" applyBorder="1" applyAlignment="1">
      <alignment horizontal="center"/>
    </xf>
    <xf numFmtId="3" fontId="1" fillId="0" borderId="6" xfId="0" applyNumberFormat="1" applyFont="1" applyBorder="1" applyAlignment="1">
      <alignment horizontal="center"/>
    </xf>
    <xf numFmtId="4" fontId="0" fillId="0" borderId="17" xfId="0" applyNumberFormat="1" applyBorder="1" applyAlignment="1">
      <alignment/>
    </xf>
    <xf numFmtId="4" fontId="1" fillId="0" borderId="18" xfId="0" applyNumberFormat="1" applyFont="1" applyBorder="1" applyAlignment="1">
      <alignment/>
    </xf>
    <xf numFmtId="4" fontId="1" fillId="0" borderId="19" xfId="0" applyNumberFormat="1" applyFont="1" applyBorder="1" applyAlignment="1">
      <alignment/>
    </xf>
    <xf numFmtId="4" fontId="1" fillId="0" borderId="20" xfId="0" applyNumberFormat="1" applyFont="1" applyBorder="1" applyAlignment="1">
      <alignment horizontal="right"/>
    </xf>
    <xf numFmtId="4" fontId="1" fillId="0" borderId="20" xfId="0" applyNumberFormat="1" applyFont="1" applyBorder="1" applyAlignment="1">
      <alignment horizontal="center"/>
    </xf>
    <xf numFmtId="4" fontId="1" fillId="0" borderId="18" xfId="0" applyNumberFormat="1" applyFont="1" applyFill="1" applyBorder="1" applyAlignment="1">
      <alignment horizontal="center"/>
    </xf>
    <xf numFmtId="0" fontId="1" fillId="0" borderId="18" xfId="0" applyFont="1" applyBorder="1" applyAlignment="1">
      <alignment horizontal="center"/>
    </xf>
    <xf numFmtId="4" fontId="0" fillId="0" borderId="0" xfId="0" applyNumberFormat="1" applyFont="1" applyBorder="1" applyAlignment="1">
      <alignment/>
    </xf>
    <xf numFmtId="4" fontId="0" fillId="0" borderId="0" xfId="0" applyNumberFormat="1" applyFont="1" applyAlignment="1">
      <alignment/>
    </xf>
    <xf numFmtId="2" fontId="0" fillId="0" borderId="0" xfId="0" applyNumberFormat="1" applyFont="1" applyAlignment="1">
      <alignment/>
    </xf>
    <xf numFmtId="0" fontId="1" fillId="0" borderId="8" xfId="0" applyFont="1" applyBorder="1" applyAlignment="1">
      <alignment horizontal="center"/>
    </xf>
    <xf numFmtId="4" fontId="0" fillId="0" borderId="8" xfId="0" applyNumberFormat="1" applyFont="1" applyBorder="1" applyAlignment="1">
      <alignment/>
    </xf>
    <xf numFmtId="0" fontId="1" fillId="0" borderId="0" xfId="0" applyFont="1" applyBorder="1" applyAlignment="1">
      <alignment wrapText="1"/>
    </xf>
    <xf numFmtId="0" fontId="1" fillId="0" borderId="0" xfId="0" applyFont="1" applyBorder="1" applyAlignment="1">
      <alignment/>
    </xf>
    <xf numFmtId="4" fontId="0" fillId="0" borderId="21" xfId="0" applyNumberFormat="1" applyFont="1" applyBorder="1" applyAlignment="1">
      <alignment/>
    </xf>
    <xf numFmtId="0" fontId="0" fillId="0" borderId="16" xfId="0" applyFont="1" applyBorder="1" applyAlignment="1">
      <alignment/>
    </xf>
    <xf numFmtId="0" fontId="1" fillId="0" borderId="0" xfId="0" applyFont="1" applyBorder="1" applyAlignment="1">
      <alignment horizontal="center" wrapText="1"/>
    </xf>
    <xf numFmtId="0" fontId="0" fillId="0" borderId="17" xfId="0" applyBorder="1" applyAlignment="1">
      <alignment/>
    </xf>
    <xf numFmtId="4" fontId="0" fillId="0" borderId="22" xfId="0" applyNumberFormat="1" applyBorder="1" applyAlignment="1">
      <alignment/>
    </xf>
    <xf numFmtId="4" fontId="0" fillId="0" borderId="23" xfId="0" applyNumberFormat="1" applyBorder="1" applyAlignment="1">
      <alignment/>
    </xf>
    <xf numFmtId="0" fontId="1" fillId="0" borderId="20" xfId="0" applyFont="1" applyBorder="1" applyAlignment="1">
      <alignment/>
    </xf>
    <xf numFmtId="0" fontId="1" fillId="0" borderId="19" xfId="0" applyFont="1" applyBorder="1" applyAlignment="1">
      <alignment horizontal="center"/>
    </xf>
    <xf numFmtId="0" fontId="0" fillId="0" borderId="0" xfId="0" applyFont="1" applyFill="1" applyBorder="1" applyAlignment="1">
      <alignment/>
    </xf>
    <xf numFmtId="0" fontId="0" fillId="0" borderId="8" xfId="0" applyFont="1" applyFill="1" applyBorder="1" applyAlignment="1">
      <alignment/>
    </xf>
    <xf numFmtId="0" fontId="0" fillId="0" borderId="3" xfId="0" applyFont="1" applyBorder="1" applyAlignment="1">
      <alignment/>
    </xf>
    <xf numFmtId="10" fontId="0" fillId="0" borderId="24" xfId="22" applyNumberFormat="1" applyFont="1" applyBorder="1" applyAlignment="1">
      <alignment/>
    </xf>
    <xf numFmtId="0" fontId="1" fillId="0" borderId="20" xfId="0" applyFont="1" applyBorder="1" applyAlignment="1">
      <alignment horizontal="center"/>
    </xf>
    <xf numFmtId="0" fontId="0" fillId="0" borderId="17" xfId="0" applyFont="1" applyBorder="1" applyAlignment="1">
      <alignment/>
    </xf>
    <xf numFmtId="0" fontId="1" fillId="0" borderId="20" xfId="0" applyFont="1" applyFill="1" applyBorder="1" applyAlignment="1">
      <alignment/>
    </xf>
    <xf numFmtId="0" fontId="0" fillId="0" borderId="9" xfId="0" applyFont="1" applyFill="1" applyBorder="1" applyAlignment="1">
      <alignment/>
    </xf>
    <xf numFmtId="0" fontId="0" fillId="0" borderId="0" xfId="0" applyFont="1" applyFill="1" applyAlignment="1">
      <alignment/>
    </xf>
    <xf numFmtId="0" fontId="0" fillId="0" borderId="0" xfId="0" applyFont="1" applyFill="1" applyAlignment="1">
      <alignment vertical="center"/>
    </xf>
    <xf numFmtId="4" fontId="0" fillId="0" borderId="8" xfId="0" applyNumberFormat="1" applyFont="1" applyFill="1" applyBorder="1" applyAlignment="1">
      <alignment vertical="center"/>
    </xf>
    <xf numFmtId="4" fontId="0" fillId="0" borderId="8" xfId="0" applyNumberFormat="1" applyFont="1" applyFill="1" applyBorder="1" applyAlignment="1">
      <alignment/>
    </xf>
    <xf numFmtId="0" fontId="0"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0" fillId="0" borderId="5" xfId="0" applyFont="1" applyFill="1" applyBorder="1" applyAlignment="1">
      <alignment/>
    </xf>
    <xf numFmtId="4" fontId="0" fillId="0" borderId="11" xfId="0" applyNumberFormat="1" applyFont="1" applyFill="1" applyBorder="1" applyAlignment="1">
      <alignment/>
    </xf>
    <xf numFmtId="0" fontId="0" fillId="0" borderId="3" xfId="0" applyFont="1" applyFill="1" applyBorder="1" applyAlignment="1">
      <alignment horizontal="justify" vertical="center" wrapText="1"/>
    </xf>
    <xf numFmtId="4" fontId="0" fillId="0" borderId="25" xfId="0" applyNumberFormat="1" applyFont="1" applyFill="1" applyBorder="1" applyAlignment="1">
      <alignment vertical="center"/>
    </xf>
    <xf numFmtId="0" fontId="0" fillId="0" borderId="25" xfId="0" applyFont="1" applyFill="1" applyBorder="1" applyAlignment="1">
      <alignment horizontal="center"/>
    </xf>
    <xf numFmtId="4" fontId="0" fillId="0" borderId="22" xfId="0" applyNumberFormat="1" applyFont="1" applyFill="1" applyBorder="1" applyAlignment="1">
      <alignment vertical="center"/>
    </xf>
    <xf numFmtId="0" fontId="0" fillId="0" borderId="22" xfId="0" applyFont="1" applyFill="1" applyBorder="1" applyAlignment="1">
      <alignment/>
    </xf>
    <xf numFmtId="0" fontId="0" fillId="0" borderId="23" xfId="0" applyFont="1" applyFill="1" applyBorder="1" applyAlignment="1">
      <alignment/>
    </xf>
    <xf numFmtId="0" fontId="1" fillId="0" borderId="26" xfId="0" applyFont="1" applyFill="1" applyBorder="1" applyAlignment="1">
      <alignment horizontal="center"/>
    </xf>
    <xf numFmtId="0" fontId="1" fillId="0" borderId="13" xfId="0" applyFont="1" applyFill="1" applyBorder="1" applyAlignment="1">
      <alignment horizontal="center"/>
    </xf>
    <xf numFmtId="4" fontId="0" fillId="0" borderId="0" xfId="0" applyNumberFormat="1" applyFont="1" applyFill="1" applyAlignment="1">
      <alignment/>
    </xf>
    <xf numFmtId="4" fontId="0" fillId="0" borderId="0" xfId="0" applyNumberFormat="1" applyFont="1" applyFill="1" applyBorder="1" applyAlignment="1">
      <alignment/>
    </xf>
    <xf numFmtId="4" fontId="0" fillId="0" borderId="5" xfId="0" applyNumberFormat="1" applyFont="1" applyFill="1" applyBorder="1" applyAlignment="1">
      <alignment/>
    </xf>
    <xf numFmtId="4" fontId="0" fillId="0" borderId="25" xfId="0" applyNumberFormat="1" applyFont="1" applyFill="1" applyBorder="1" applyAlignment="1">
      <alignment/>
    </xf>
    <xf numFmtId="0" fontId="0" fillId="0" borderId="25" xfId="0" applyFont="1" applyFill="1" applyBorder="1" applyAlignment="1">
      <alignment/>
    </xf>
    <xf numFmtId="4" fontId="0" fillId="0" borderId="24" xfId="0" applyNumberFormat="1" applyFont="1" applyFill="1" applyBorder="1" applyAlignment="1">
      <alignment/>
    </xf>
    <xf numFmtId="0" fontId="1" fillId="0" borderId="20" xfId="0" applyFont="1" applyFill="1" applyBorder="1" applyAlignment="1">
      <alignment horizontal="center"/>
    </xf>
    <xf numFmtId="0" fontId="1" fillId="0" borderId="18" xfId="0" applyFont="1" applyFill="1" applyBorder="1" applyAlignment="1">
      <alignment horizontal="center"/>
    </xf>
    <xf numFmtId="4" fontId="0" fillId="0" borderId="18" xfId="0" applyNumberFormat="1"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1" fillId="0" borderId="0" xfId="0" applyFont="1" applyFill="1" applyAlignment="1">
      <alignment horizontal="center"/>
    </xf>
    <xf numFmtId="0" fontId="1" fillId="0" borderId="10" xfId="0" applyFont="1" applyFill="1" applyBorder="1" applyAlignment="1">
      <alignment/>
    </xf>
    <xf numFmtId="4" fontId="1" fillId="0" borderId="18" xfId="0" applyNumberFormat="1" applyFont="1" applyFill="1" applyBorder="1" applyAlignment="1">
      <alignment/>
    </xf>
    <xf numFmtId="4" fontId="1" fillId="0" borderId="26" xfId="0" applyNumberFormat="1" applyFont="1" applyFill="1" applyBorder="1" applyAlignment="1">
      <alignment/>
    </xf>
    <xf numFmtId="4" fontId="0" fillId="0" borderId="27" xfId="0" applyNumberFormat="1" applyFont="1" applyFill="1" applyBorder="1" applyAlignment="1">
      <alignment/>
    </xf>
    <xf numFmtId="4" fontId="0" fillId="0" borderId="28" xfId="0" applyNumberFormat="1" applyFont="1" applyFill="1" applyBorder="1" applyAlignment="1">
      <alignment/>
    </xf>
    <xf numFmtId="4" fontId="1" fillId="0" borderId="19" xfId="0" applyNumberFormat="1" applyFont="1" applyFill="1" applyBorder="1" applyAlignment="1">
      <alignment/>
    </xf>
    <xf numFmtId="4" fontId="0" fillId="0" borderId="29" xfId="0" applyNumberFormat="1" applyFont="1" applyFill="1" applyBorder="1" applyAlignment="1">
      <alignment/>
    </xf>
    <xf numFmtId="0" fontId="1" fillId="0" borderId="19" xfId="0" applyFont="1" applyFill="1" applyBorder="1" applyAlignment="1">
      <alignment horizontal="center"/>
    </xf>
    <xf numFmtId="0" fontId="1" fillId="4" borderId="30" xfId="0" applyFont="1" applyFill="1" applyBorder="1" applyAlignment="1">
      <alignment horizontal="right"/>
    </xf>
    <xf numFmtId="0" fontId="1" fillId="0" borderId="12" xfId="0" applyFont="1" applyFill="1" applyBorder="1" applyAlignment="1">
      <alignment horizontal="center"/>
    </xf>
    <xf numFmtId="0" fontId="1" fillId="0" borderId="14" xfId="0" applyFont="1" applyFill="1" applyBorder="1" applyAlignment="1">
      <alignment horizontal="center"/>
    </xf>
    <xf numFmtId="0" fontId="0" fillId="0" borderId="1" xfId="0" applyFont="1" applyFill="1" applyBorder="1" applyAlignment="1">
      <alignment/>
    </xf>
    <xf numFmtId="0" fontId="0" fillId="0" borderId="1" xfId="0" applyFont="1" applyFill="1" applyBorder="1" applyAlignment="1">
      <alignment horizontal="left" indent="1"/>
    </xf>
    <xf numFmtId="0" fontId="0" fillId="0" borderId="4" xfId="0" applyFont="1" applyFill="1" applyBorder="1" applyAlignment="1">
      <alignment/>
    </xf>
    <xf numFmtId="0" fontId="0" fillId="0" borderId="17" xfId="0" applyFont="1" applyFill="1" applyBorder="1" applyAlignment="1">
      <alignment horizontal="left" indent="1"/>
    </xf>
    <xf numFmtId="4" fontId="0" fillId="0" borderId="22" xfId="0" applyNumberFormat="1" applyFont="1" applyFill="1" applyBorder="1" applyAlignment="1">
      <alignment/>
    </xf>
    <xf numFmtId="4" fontId="0" fillId="0" borderId="23" xfId="0" applyNumberFormat="1" applyFont="1" applyFill="1" applyBorder="1" applyAlignment="1">
      <alignment/>
    </xf>
    <xf numFmtId="0" fontId="0" fillId="0" borderId="3" xfId="0" applyFont="1" applyFill="1" applyBorder="1" applyAlignment="1">
      <alignment/>
    </xf>
    <xf numFmtId="0" fontId="1" fillId="0" borderId="1" xfId="0" applyFont="1" applyFill="1" applyBorder="1" applyAlignment="1">
      <alignment horizontal="left"/>
    </xf>
    <xf numFmtId="4" fontId="1" fillId="0" borderId="8" xfId="0" applyNumberFormat="1" applyFont="1" applyFill="1" applyBorder="1" applyAlignment="1">
      <alignment/>
    </xf>
    <xf numFmtId="4" fontId="1" fillId="0" borderId="5" xfId="0" applyNumberFormat="1" applyFont="1" applyFill="1" applyBorder="1" applyAlignment="1">
      <alignment/>
    </xf>
    <xf numFmtId="3" fontId="1" fillId="0" borderId="13" xfId="0" applyNumberFormat="1" applyFont="1" applyBorder="1" applyAlignment="1">
      <alignment horizontal="center"/>
    </xf>
    <xf numFmtId="3" fontId="1" fillId="0" borderId="14" xfId="0" applyNumberFormat="1" applyFont="1" applyBorder="1" applyAlignment="1">
      <alignment horizontal="center"/>
    </xf>
    <xf numFmtId="0" fontId="0" fillId="0" borderId="31" xfId="0" applyFont="1" applyFill="1" applyBorder="1" applyAlignment="1">
      <alignment/>
    </xf>
    <xf numFmtId="0" fontId="0" fillId="0" borderId="2" xfId="0" applyFont="1" applyFill="1" applyBorder="1" applyAlignment="1">
      <alignment/>
    </xf>
    <xf numFmtId="0" fontId="0" fillId="0" borderId="15" xfId="0" applyFont="1" applyFill="1" applyBorder="1" applyAlignment="1">
      <alignment/>
    </xf>
    <xf numFmtId="3" fontId="1" fillId="0" borderId="8" xfId="0" applyNumberFormat="1" applyFont="1" applyBorder="1" applyAlignment="1">
      <alignment horizontal="center"/>
    </xf>
    <xf numFmtId="4" fontId="0" fillId="0" borderId="12" xfId="0" applyNumberFormat="1" applyBorder="1" applyAlignment="1">
      <alignment/>
    </xf>
    <xf numFmtId="3" fontId="1" fillId="0" borderId="5" xfId="0" applyNumberFormat="1" applyFont="1" applyBorder="1" applyAlignment="1">
      <alignment horizontal="center"/>
    </xf>
    <xf numFmtId="4" fontId="0" fillId="0" borderId="6" xfId="0" applyNumberFormat="1" applyBorder="1" applyAlignment="1">
      <alignment/>
    </xf>
    <xf numFmtId="0" fontId="0" fillId="0" borderId="32" xfId="0" applyFont="1" applyBorder="1" applyAlignment="1">
      <alignment/>
    </xf>
    <xf numFmtId="10" fontId="0" fillId="0" borderId="29" xfId="22" applyNumberFormat="1" applyFont="1" applyBorder="1" applyAlignment="1">
      <alignment/>
    </xf>
    <xf numFmtId="0" fontId="1" fillId="0" borderId="0" xfId="0" applyFont="1" applyAlignment="1">
      <alignment/>
    </xf>
    <xf numFmtId="10" fontId="1" fillId="0" borderId="19" xfId="22" applyNumberFormat="1" applyFont="1" applyBorder="1" applyAlignment="1">
      <alignment/>
    </xf>
    <xf numFmtId="4" fontId="1" fillId="0" borderId="22" xfId="0" applyNumberFormat="1" applyFont="1" applyFill="1" applyBorder="1" applyAlignment="1">
      <alignment/>
    </xf>
    <xf numFmtId="4" fontId="1" fillId="0" borderId="23" xfId="0" applyNumberFormat="1" applyFont="1" applyFill="1" applyBorder="1" applyAlignment="1">
      <alignment/>
    </xf>
    <xf numFmtId="0" fontId="0" fillId="0" borderId="32" xfId="0" applyFont="1" applyFill="1" applyBorder="1" applyAlignment="1">
      <alignment horizontal="left" indent="1"/>
    </xf>
    <xf numFmtId="0" fontId="9" fillId="0" borderId="1" xfId="0" applyFont="1" applyBorder="1" applyAlignment="1">
      <alignment/>
    </xf>
    <xf numFmtId="0" fontId="9" fillId="0" borderId="5" xfId="0" applyFont="1" applyBorder="1" applyAlignment="1">
      <alignment horizontal="center"/>
    </xf>
    <xf numFmtId="0" fontId="9" fillId="0" borderId="5" xfId="0" applyFont="1" applyFill="1" applyBorder="1" applyAlignment="1">
      <alignment horizontal="center"/>
    </xf>
    <xf numFmtId="0" fontId="9" fillId="0" borderId="11" xfId="0" applyFont="1" applyBorder="1" applyAlignment="1">
      <alignment horizontal="center"/>
    </xf>
    <xf numFmtId="0" fontId="9" fillId="0" borderId="6" xfId="0" applyFont="1" applyBorder="1" applyAlignment="1">
      <alignment/>
    </xf>
    <xf numFmtId="0" fontId="9" fillId="0" borderId="3" xfId="0" applyFont="1" applyBorder="1" applyAlignment="1">
      <alignment/>
    </xf>
    <xf numFmtId="0" fontId="9" fillId="0" borderId="25" xfId="0" applyFont="1" applyBorder="1" applyAlignment="1">
      <alignment horizontal="center"/>
    </xf>
    <xf numFmtId="10" fontId="9" fillId="0" borderId="25" xfId="0" applyNumberFormat="1" applyFont="1" applyBorder="1" applyAlignment="1">
      <alignment horizontal="center"/>
    </xf>
    <xf numFmtId="0" fontId="9" fillId="0" borderId="24" xfId="0" applyFont="1" applyBorder="1" applyAlignment="1">
      <alignment horizontal="center"/>
    </xf>
    <xf numFmtId="0" fontId="1" fillId="0" borderId="12" xfId="0" applyFont="1" applyFill="1" applyBorder="1" applyAlignment="1">
      <alignment horizontal="center" vertical="justify"/>
    </xf>
    <xf numFmtId="10" fontId="1" fillId="0" borderId="14" xfId="0" applyNumberFormat="1" applyFont="1" applyFill="1" applyBorder="1" applyAlignment="1">
      <alignment/>
    </xf>
    <xf numFmtId="0" fontId="1" fillId="0" borderId="1" xfId="0" applyFont="1" applyFill="1" applyBorder="1" applyAlignment="1">
      <alignment horizontal="center" vertical="justify"/>
    </xf>
    <xf numFmtId="0" fontId="1" fillId="0" borderId="5" xfId="0" applyFont="1" applyFill="1" applyBorder="1" applyAlignment="1">
      <alignment/>
    </xf>
    <xf numFmtId="10" fontId="1" fillId="0" borderId="5" xfId="0" applyNumberFormat="1" applyFont="1" applyFill="1" applyBorder="1" applyAlignment="1">
      <alignment/>
    </xf>
    <xf numFmtId="0" fontId="1" fillId="0" borderId="4" xfId="0" applyFont="1" applyFill="1" applyBorder="1" applyAlignment="1">
      <alignment horizontal="center"/>
    </xf>
    <xf numFmtId="2" fontId="1" fillId="0" borderId="6" xfId="0" applyNumberFormat="1" applyFont="1" applyFill="1" applyBorder="1" applyAlignment="1">
      <alignment/>
    </xf>
    <xf numFmtId="0" fontId="1" fillId="0" borderId="1" xfId="0" applyFont="1" applyFill="1" applyBorder="1" applyAlignment="1">
      <alignment horizontal="center"/>
    </xf>
    <xf numFmtId="0" fontId="1" fillId="0" borderId="5" xfId="0" applyFont="1" applyFill="1" applyBorder="1" applyAlignment="1">
      <alignment horizontal="center" vertical="justify"/>
    </xf>
    <xf numFmtId="4" fontId="1" fillId="0" borderId="5" xfId="0" applyNumberFormat="1" applyFont="1" applyFill="1" applyBorder="1" applyAlignment="1">
      <alignment horizontal="center"/>
    </xf>
    <xf numFmtId="2" fontId="1" fillId="0" borderId="5" xfId="0" applyNumberFormat="1" applyFont="1" applyFill="1" applyBorder="1" applyAlignment="1">
      <alignment horizontal="center"/>
    </xf>
    <xf numFmtId="0" fontId="1" fillId="0" borderId="5" xfId="0" applyFont="1" applyFill="1" applyBorder="1" applyAlignment="1">
      <alignment horizontal="center"/>
    </xf>
    <xf numFmtId="10" fontId="1" fillId="0" borderId="24" xfId="0" applyNumberFormat="1" applyFont="1" applyFill="1" applyBorder="1" applyAlignment="1">
      <alignment horizontal="center"/>
    </xf>
    <xf numFmtId="4" fontId="0" fillId="0" borderId="1" xfId="0" applyNumberFormat="1" applyFont="1" applyFill="1" applyBorder="1" applyAlignment="1">
      <alignment horizontal="left"/>
    </xf>
    <xf numFmtId="10" fontId="1" fillId="0" borderId="5" xfId="0" applyNumberFormat="1" applyFont="1" applyFill="1" applyBorder="1" applyAlignment="1">
      <alignment horizontal="center"/>
    </xf>
    <xf numFmtId="0" fontId="0" fillId="0" borderId="1" xfId="0" applyFont="1" applyFill="1" applyBorder="1" applyAlignment="1">
      <alignment horizontal="left"/>
    </xf>
    <xf numFmtId="10" fontId="1" fillId="0" borderId="10" xfId="0" applyNumberFormat="1" applyFont="1" applyFill="1" applyBorder="1" applyAlignment="1">
      <alignment/>
    </xf>
    <xf numFmtId="0" fontId="1" fillId="0" borderId="12" xfId="0" applyFont="1" applyFill="1" applyBorder="1" applyAlignment="1">
      <alignment/>
    </xf>
    <xf numFmtId="10" fontId="1" fillId="0" borderId="19" xfId="0" applyNumberFormat="1" applyFont="1" applyFill="1" applyBorder="1" applyAlignment="1">
      <alignment horizontal="center"/>
    </xf>
    <xf numFmtId="0" fontId="1" fillId="0" borderId="1" xfId="0" applyFont="1" applyFill="1" applyBorder="1" applyAlignment="1">
      <alignment/>
    </xf>
    <xf numFmtId="0" fontId="1" fillId="0" borderId="4" xfId="0" applyFont="1" applyFill="1" applyBorder="1" applyAlignment="1">
      <alignment/>
    </xf>
    <xf numFmtId="0" fontId="0" fillId="0" borderId="14" xfId="0" applyFont="1" applyFill="1" applyBorder="1" applyAlignment="1">
      <alignment/>
    </xf>
    <xf numFmtId="0" fontId="0" fillId="0" borderId="3" xfId="0" applyFont="1" applyFill="1" applyBorder="1" applyAlignment="1">
      <alignment horizontal="left" vertical="justify"/>
    </xf>
    <xf numFmtId="0" fontId="0" fillId="0" borderId="24" xfId="0" applyFont="1" applyFill="1" applyBorder="1" applyAlignment="1">
      <alignment/>
    </xf>
    <xf numFmtId="0" fontId="1" fillId="0" borderId="30" xfId="0" applyFont="1" applyFill="1" applyBorder="1" applyAlignment="1">
      <alignment horizontal="center"/>
    </xf>
    <xf numFmtId="2" fontId="1" fillId="0" borderId="33" xfId="0" applyNumberFormat="1" applyFont="1" applyFill="1" applyBorder="1" applyAlignment="1">
      <alignment/>
    </xf>
    <xf numFmtId="0" fontId="1" fillId="0" borderId="30" xfId="0" applyFont="1" applyFill="1" applyBorder="1" applyAlignment="1">
      <alignment/>
    </xf>
    <xf numFmtId="3" fontId="1" fillId="0" borderId="0"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0" fontId="0" fillId="0" borderId="28" xfId="0" applyFont="1" applyBorder="1" applyAlignment="1">
      <alignment/>
    </xf>
    <xf numFmtId="0" fontId="0" fillId="0" borderId="2" xfId="0" applyFont="1" applyBorder="1" applyAlignment="1">
      <alignment/>
    </xf>
    <xf numFmtId="0" fontId="1" fillId="0" borderId="2" xfId="0" applyFont="1" applyBorder="1" applyAlignment="1">
      <alignment/>
    </xf>
    <xf numFmtId="4" fontId="1" fillId="0" borderId="28" xfId="0" applyNumberFormat="1" applyFont="1" applyBorder="1" applyAlignment="1">
      <alignment/>
    </xf>
    <xf numFmtId="2" fontId="0" fillId="0" borderId="0" xfId="0" applyNumberFormat="1" applyFont="1" applyBorder="1" applyAlignment="1">
      <alignment/>
    </xf>
    <xf numFmtId="2" fontId="0" fillId="0" borderId="28" xfId="0" applyNumberFormat="1" applyFont="1" applyBorder="1" applyAlignment="1">
      <alignment horizontal="right"/>
    </xf>
    <xf numFmtId="0" fontId="1" fillId="0" borderId="2" xfId="0" applyFont="1" applyBorder="1" applyAlignment="1">
      <alignment wrapText="1"/>
    </xf>
    <xf numFmtId="0" fontId="0" fillId="0" borderId="34" xfId="0" applyFont="1" applyBorder="1" applyAlignment="1">
      <alignment/>
    </xf>
    <xf numFmtId="0" fontId="1" fillId="0" borderId="15" xfId="0" applyFont="1" applyFill="1" applyBorder="1" applyAlignment="1">
      <alignment horizontal="right"/>
    </xf>
    <xf numFmtId="4" fontId="1" fillId="0" borderId="34" xfId="0" applyNumberFormat="1" applyFont="1" applyBorder="1" applyAlignment="1">
      <alignment/>
    </xf>
    <xf numFmtId="0" fontId="1" fillId="0" borderId="31" xfId="0" applyFont="1" applyBorder="1" applyAlignment="1">
      <alignment/>
    </xf>
    <xf numFmtId="0" fontId="0" fillId="0" borderId="35" xfId="0" applyFont="1" applyBorder="1" applyAlignment="1">
      <alignment/>
    </xf>
    <xf numFmtId="0" fontId="0" fillId="0" borderId="36" xfId="0" applyFont="1" applyBorder="1" applyAlignment="1">
      <alignment/>
    </xf>
    <xf numFmtId="0" fontId="1" fillId="0" borderId="37" xfId="0" applyFont="1" applyFill="1" applyBorder="1" applyAlignment="1">
      <alignment horizontal="center"/>
    </xf>
    <xf numFmtId="4" fontId="0" fillId="0" borderId="25" xfId="0" applyNumberFormat="1" applyFont="1" applyBorder="1" applyAlignment="1">
      <alignment/>
    </xf>
    <xf numFmtId="0" fontId="1" fillId="0" borderId="31" xfId="0" applyFont="1" applyFill="1" applyBorder="1" applyAlignment="1">
      <alignment horizontal="center"/>
    </xf>
    <xf numFmtId="4" fontId="1" fillId="0" borderId="17" xfId="0" applyNumberFormat="1" applyFont="1" applyFill="1" applyBorder="1" applyAlignment="1">
      <alignment/>
    </xf>
    <xf numFmtId="0" fontId="1" fillId="4" borderId="15" xfId="0" applyFont="1" applyFill="1" applyBorder="1" applyAlignment="1">
      <alignment horizontal="right"/>
    </xf>
    <xf numFmtId="3" fontId="1" fillId="4" borderId="10" xfId="0" applyNumberFormat="1" applyFont="1" applyFill="1" applyBorder="1" applyAlignment="1">
      <alignment horizontal="right"/>
    </xf>
    <xf numFmtId="10" fontId="1" fillId="4" borderId="38" xfId="22" applyNumberFormat="1" applyFont="1" applyFill="1" applyBorder="1" applyAlignment="1">
      <alignment horizontal="right"/>
    </xf>
    <xf numFmtId="0" fontId="1" fillId="0" borderId="2" xfId="0" applyFont="1" applyBorder="1" applyAlignment="1">
      <alignment horizontal="right"/>
    </xf>
    <xf numFmtId="0" fontId="1" fillId="0" borderId="30" xfId="0" applyFont="1" applyBorder="1" applyAlignment="1">
      <alignment horizontal="right"/>
    </xf>
    <xf numFmtId="10" fontId="1" fillId="0" borderId="10" xfId="0" applyNumberFormat="1" applyFont="1" applyBorder="1" applyAlignment="1">
      <alignment horizontal="right"/>
    </xf>
    <xf numFmtId="10" fontId="1" fillId="0" borderId="9" xfId="0" applyNumberFormat="1" applyFont="1" applyBorder="1" applyAlignment="1">
      <alignment horizontal="right"/>
    </xf>
    <xf numFmtId="10" fontId="1" fillId="0" borderId="10" xfId="22" applyNumberFormat="1" applyFont="1" applyBorder="1" applyAlignment="1">
      <alignment horizontal="right"/>
    </xf>
    <xf numFmtId="0" fontId="0" fillId="0" borderId="8" xfId="0" applyFont="1" applyBorder="1" applyAlignment="1">
      <alignment/>
    </xf>
    <xf numFmtId="0" fontId="0" fillId="0" borderId="12" xfId="0" applyFont="1" applyFill="1" applyBorder="1" applyAlignment="1">
      <alignment/>
    </xf>
    <xf numFmtId="0" fontId="1" fillId="0" borderId="6" xfId="0" applyFont="1" applyBorder="1" applyAlignment="1">
      <alignment horizontal="center"/>
    </xf>
    <xf numFmtId="4" fontId="1" fillId="0" borderId="9" xfId="0" applyNumberFormat="1" applyFont="1" applyBorder="1" applyAlignment="1">
      <alignment horizontal="right"/>
    </xf>
    <xf numFmtId="4" fontId="0" fillId="0" borderId="9" xfId="0" applyNumberFormat="1" applyFont="1" applyBorder="1" applyAlignment="1">
      <alignment/>
    </xf>
    <xf numFmtId="4" fontId="0" fillId="0" borderId="9" xfId="0" applyNumberFormat="1" applyFont="1" applyFill="1" applyBorder="1" applyAlignment="1">
      <alignment/>
    </xf>
    <xf numFmtId="0" fontId="0" fillId="0" borderId="25" xfId="0" applyFont="1" applyBorder="1" applyAlignment="1">
      <alignment/>
    </xf>
    <xf numFmtId="0" fontId="1" fillId="0" borderId="39" xfId="0" applyFont="1" applyFill="1" applyBorder="1" applyAlignment="1">
      <alignment horizontal="center" vertical="center" wrapText="1"/>
    </xf>
    <xf numFmtId="0" fontId="0" fillId="0" borderId="8" xfId="0" applyFont="1" applyFill="1" applyBorder="1" applyAlignment="1">
      <alignment horizontal="justify" vertical="center" wrapText="1"/>
    </xf>
    <xf numFmtId="4" fontId="0" fillId="0" borderId="22" xfId="0" applyNumberFormat="1" applyFont="1" applyBorder="1" applyAlignment="1">
      <alignment/>
    </xf>
    <xf numFmtId="4" fontId="0" fillId="0" borderId="1" xfId="0" applyNumberFormat="1" applyFont="1" applyBorder="1" applyAlignment="1">
      <alignment/>
    </xf>
    <xf numFmtId="4" fontId="0" fillId="0" borderId="11" xfId="0" applyNumberFormat="1" applyFont="1" applyBorder="1" applyAlignment="1">
      <alignment/>
    </xf>
    <xf numFmtId="0" fontId="0" fillId="0" borderId="8" xfId="0" applyFont="1" applyBorder="1" applyAlignment="1">
      <alignment horizontal="center"/>
    </xf>
    <xf numFmtId="10" fontId="0" fillId="0" borderId="5" xfId="0" applyNumberFormat="1" applyFont="1" applyBorder="1" applyAlignment="1">
      <alignment/>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12" xfId="0" applyFont="1" applyBorder="1" applyAlignment="1">
      <alignment/>
    </xf>
    <xf numFmtId="0" fontId="1" fillId="0" borderId="5" xfId="0" applyFont="1" applyBorder="1" applyAlignment="1">
      <alignment horizontal="center"/>
    </xf>
    <xf numFmtId="4" fontId="1" fillId="0" borderId="1" xfId="0" applyNumberFormat="1" applyFont="1" applyBorder="1" applyAlignment="1">
      <alignment horizontal="left"/>
    </xf>
    <xf numFmtId="180" fontId="0" fillId="0" borderId="1" xfId="0" applyNumberFormat="1" applyFont="1" applyBorder="1" applyAlignment="1">
      <alignment horizontal="left"/>
    </xf>
    <xf numFmtId="4" fontId="0" fillId="0" borderId="1" xfId="0" applyNumberFormat="1" applyFont="1" applyBorder="1" applyAlignment="1">
      <alignment horizontal="left"/>
    </xf>
    <xf numFmtId="4" fontId="1" fillId="0" borderId="4" xfId="0" applyNumberFormat="1" applyFont="1" applyBorder="1" applyAlignment="1">
      <alignment horizontal="left"/>
    </xf>
    <xf numFmtId="4" fontId="0" fillId="0" borderId="12" xfId="0" applyNumberFormat="1" applyFont="1" applyBorder="1" applyAlignment="1">
      <alignment horizontal="left"/>
    </xf>
    <xf numFmtId="4" fontId="1" fillId="0" borderId="0" xfId="0" applyNumberFormat="1" applyFont="1" applyFill="1" applyBorder="1" applyAlignment="1">
      <alignment horizontal="left"/>
    </xf>
    <xf numFmtId="0" fontId="1" fillId="0" borderId="12" xfId="0" applyFont="1" applyBorder="1" applyAlignment="1">
      <alignment horizontal="center"/>
    </xf>
    <xf numFmtId="2" fontId="1" fillId="0" borderId="10" xfId="0" applyNumberFormat="1" applyFont="1" applyBorder="1" applyAlignment="1">
      <alignment horizontal="right"/>
    </xf>
    <xf numFmtId="0" fontId="0" fillId="0" borderId="12" xfId="0" applyFont="1" applyBorder="1" applyAlignment="1">
      <alignment/>
    </xf>
    <xf numFmtId="4" fontId="0" fillId="0" borderId="14" xfId="0" applyNumberFormat="1" applyFont="1" applyBorder="1" applyAlignment="1">
      <alignment/>
    </xf>
    <xf numFmtId="0" fontId="0" fillId="0" borderId="1" xfId="0" applyFont="1" applyBorder="1" applyAlignment="1">
      <alignment/>
    </xf>
    <xf numFmtId="0" fontId="0" fillId="0" borderId="4" xfId="0" applyFont="1" applyBorder="1" applyAlignment="1">
      <alignment/>
    </xf>
    <xf numFmtId="4" fontId="0" fillId="0" borderId="6" xfId="0" applyNumberFormat="1" applyFont="1" applyBorder="1" applyAlignment="1">
      <alignment/>
    </xf>
    <xf numFmtId="3" fontId="0" fillId="0" borderId="8" xfId="0" applyNumberFormat="1" applyBorder="1" applyAlignment="1">
      <alignment/>
    </xf>
    <xf numFmtId="4" fontId="0" fillId="5" borderId="8" xfId="0" applyNumberFormat="1" applyFont="1" applyFill="1" applyBorder="1" applyAlignment="1">
      <alignment/>
    </xf>
    <xf numFmtId="4" fontId="0" fillId="0" borderId="8" xfId="0" applyNumberFormat="1" applyFont="1" applyBorder="1" applyAlignment="1">
      <alignment/>
    </xf>
    <xf numFmtId="0" fontId="0" fillId="0" borderId="0" xfId="0" applyFont="1" applyAlignment="1">
      <alignment/>
    </xf>
    <xf numFmtId="4" fontId="0" fillId="0" borderId="0" xfId="0" applyNumberFormat="1" applyFont="1" applyAlignment="1">
      <alignment/>
    </xf>
    <xf numFmtId="181" fontId="0" fillId="0" borderId="8" xfId="0" applyNumberFormat="1" applyFont="1" applyFill="1" applyBorder="1" applyAlignment="1">
      <alignment/>
    </xf>
    <xf numFmtId="4" fontId="0" fillId="0" borderId="9" xfId="0" applyNumberFormat="1" applyFont="1" applyBorder="1" applyAlignment="1">
      <alignment/>
    </xf>
    <xf numFmtId="10" fontId="0" fillId="6" borderId="9" xfId="22" applyNumberFormat="1" applyFont="1" applyFill="1" applyBorder="1" applyAlignment="1">
      <alignment horizontal="right"/>
    </xf>
    <xf numFmtId="0" fontId="0" fillId="0" borderId="0" xfId="0" applyFont="1" applyBorder="1" applyAlignment="1">
      <alignment/>
    </xf>
    <xf numFmtId="0" fontId="0" fillId="0" borderId="1" xfId="0" applyFont="1" applyBorder="1" applyAlignment="1">
      <alignment/>
    </xf>
    <xf numFmtId="10" fontId="0" fillId="0" borderId="5" xfId="0" applyNumberFormat="1" applyFont="1" applyBorder="1" applyAlignment="1">
      <alignment/>
    </xf>
    <xf numFmtId="0" fontId="0" fillId="0" borderId="4" xfId="0" applyFont="1" applyBorder="1" applyAlignment="1">
      <alignment/>
    </xf>
    <xf numFmtId="10" fontId="0" fillId="0" borderId="6" xfId="0" applyNumberFormat="1" applyFont="1" applyBorder="1" applyAlignment="1">
      <alignment/>
    </xf>
    <xf numFmtId="0" fontId="0" fillId="0" borderId="0" xfId="0" applyFont="1" applyAlignment="1">
      <alignment/>
    </xf>
    <xf numFmtId="0" fontId="0" fillId="0" borderId="0" xfId="0" applyFont="1" applyAlignment="1">
      <alignment/>
    </xf>
    <xf numFmtId="4" fontId="0" fillId="0" borderId="1" xfId="0" applyNumberFormat="1" applyFont="1" applyBorder="1" applyAlignment="1">
      <alignment/>
    </xf>
    <xf numFmtId="10" fontId="0" fillId="0" borderId="5" xfId="22" applyNumberFormat="1" applyFont="1" applyBorder="1" applyAlignment="1">
      <alignment/>
    </xf>
    <xf numFmtId="10" fontId="0" fillId="0" borderId="0" xfId="22" applyNumberFormat="1" applyFont="1" applyAlignment="1">
      <alignment/>
    </xf>
    <xf numFmtId="176" fontId="0" fillId="0" borderId="0" xfId="22" applyNumberFormat="1" applyFont="1" applyAlignment="1">
      <alignment/>
    </xf>
    <xf numFmtId="4" fontId="0" fillId="0" borderId="2" xfId="0" applyNumberFormat="1" applyFont="1" applyBorder="1" applyAlignment="1">
      <alignment/>
    </xf>
    <xf numFmtId="4" fontId="0" fillId="0" borderId="0" xfId="0" applyNumberFormat="1" applyFont="1" applyBorder="1" applyAlignment="1">
      <alignment/>
    </xf>
    <xf numFmtId="4" fontId="0" fillId="0" borderId="1" xfId="0" applyNumberFormat="1" applyFont="1" applyFill="1" applyBorder="1" applyAlignment="1">
      <alignment/>
    </xf>
    <xf numFmtId="4" fontId="0" fillId="0" borderId="17" xfId="0" applyNumberFormat="1" applyFont="1" applyFill="1" applyBorder="1" applyAlignment="1">
      <alignment/>
    </xf>
    <xf numFmtId="2" fontId="0" fillId="0" borderId="0" xfId="0" applyNumberFormat="1" applyFont="1" applyAlignment="1">
      <alignment/>
    </xf>
    <xf numFmtId="2" fontId="0" fillId="0" borderId="0" xfId="0" applyNumberFormat="1" applyFont="1" applyBorder="1" applyAlignment="1">
      <alignment/>
    </xf>
    <xf numFmtId="0" fontId="0" fillId="0" borderId="3" xfId="0" applyFont="1" applyBorder="1" applyAlignment="1">
      <alignment/>
    </xf>
    <xf numFmtId="0" fontId="0" fillId="0" borderId="25" xfId="0" applyFont="1" applyBorder="1" applyAlignment="1">
      <alignment/>
    </xf>
    <xf numFmtId="10" fontId="0" fillId="0" borderId="25" xfId="0" applyNumberFormat="1" applyFont="1" applyBorder="1" applyAlignment="1">
      <alignment/>
    </xf>
    <xf numFmtId="10" fontId="0" fillId="0" borderId="24" xfId="0" applyNumberFormat="1" applyFont="1" applyBorder="1" applyAlignment="1">
      <alignment/>
    </xf>
    <xf numFmtId="4" fontId="0" fillId="0" borderId="5" xfId="0" applyNumberFormat="1" applyFont="1" applyBorder="1" applyAlignment="1">
      <alignment/>
    </xf>
    <xf numFmtId="0" fontId="0" fillId="0" borderId="17" xfId="0" applyFont="1" applyBorder="1" applyAlignment="1">
      <alignment/>
    </xf>
    <xf numFmtId="4" fontId="0" fillId="0" borderId="22" xfId="0" applyNumberFormat="1" applyFont="1" applyBorder="1" applyAlignment="1">
      <alignment/>
    </xf>
    <xf numFmtId="4" fontId="0" fillId="0" borderId="23" xfId="0" applyNumberFormat="1" applyFont="1" applyBorder="1" applyAlignment="1">
      <alignment/>
    </xf>
    <xf numFmtId="0" fontId="0" fillId="0" borderId="20" xfId="0" applyFont="1" applyBorder="1" applyAlignment="1">
      <alignment/>
    </xf>
    <xf numFmtId="4" fontId="0" fillId="0" borderId="18" xfId="0" applyNumberFormat="1" applyFont="1" applyBorder="1" applyAlignment="1">
      <alignment/>
    </xf>
    <xf numFmtId="4" fontId="0" fillId="0" borderId="19" xfId="0" applyNumberFormat="1" applyFont="1" applyBorder="1" applyAlignment="1">
      <alignment/>
    </xf>
    <xf numFmtId="4" fontId="0" fillId="0" borderId="25" xfId="0" applyNumberFormat="1" applyFont="1" applyBorder="1" applyAlignment="1">
      <alignment/>
    </xf>
    <xf numFmtId="4" fontId="0" fillId="0" borderId="40" xfId="0" applyNumberFormat="1" applyFont="1" applyBorder="1" applyAlignment="1">
      <alignment/>
    </xf>
    <xf numFmtId="4" fontId="0" fillId="0" borderId="6" xfId="0" applyNumberFormat="1" applyFont="1" applyBorder="1" applyAlignment="1">
      <alignment/>
    </xf>
    <xf numFmtId="4" fontId="0" fillId="0" borderId="12" xfId="0" applyNumberFormat="1" applyFont="1" applyBorder="1" applyAlignment="1">
      <alignment/>
    </xf>
    <xf numFmtId="0" fontId="0" fillId="0" borderId="28" xfId="0" applyFont="1" applyBorder="1" applyAlignment="1">
      <alignment/>
    </xf>
    <xf numFmtId="4" fontId="0" fillId="0" borderId="17" xfId="0" applyNumberFormat="1" applyFont="1" applyBorder="1" applyAlignment="1">
      <alignment/>
    </xf>
    <xf numFmtId="4" fontId="0" fillId="0" borderId="28" xfId="0" applyNumberFormat="1" applyFont="1" applyBorder="1" applyAlignment="1">
      <alignment/>
    </xf>
    <xf numFmtId="0" fontId="0" fillId="0" borderId="8" xfId="0" applyFont="1" applyBorder="1" applyAlignment="1">
      <alignment/>
    </xf>
    <xf numFmtId="3" fontId="0" fillId="0" borderId="8" xfId="0" applyNumberFormat="1" applyFont="1" applyBorder="1" applyAlignment="1">
      <alignment/>
    </xf>
    <xf numFmtId="10" fontId="0" fillId="0" borderId="8" xfId="0" applyNumberFormat="1" applyFont="1" applyBorder="1" applyAlignment="1">
      <alignment/>
    </xf>
    <xf numFmtId="0" fontId="0" fillId="0" borderId="5" xfId="0" applyFont="1" applyBorder="1" applyAlignment="1">
      <alignment/>
    </xf>
    <xf numFmtId="9" fontId="0" fillId="0" borderId="8" xfId="0" applyNumberFormat="1" applyFont="1" applyBorder="1" applyAlignment="1">
      <alignment/>
    </xf>
    <xf numFmtId="9" fontId="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Font="1" applyBorder="1" applyAlignment="1">
      <alignment/>
    </xf>
    <xf numFmtId="0" fontId="0" fillId="0" borderId="6" xfId="0" applyFont="1" applyBorder="1" applyAlignment="1">
      <alignment/>
    </xf>
    <xf numFmtId="4" fontId="0" fillId="0" borderId="0" xfId="0" applyNumberFormat="1" applyFont="1" applyFill="1" applyBorder="1" applyAlignment="1">
      <alignment vertical="center" wrapText="1"/>
    </xf>
    <xf numFmtId="4" fontId="0" fillId="0" borderId="3" xfId="0" applyNumberFormat="1" applyFont="1" applyBorder="1" applyAlignment="1">
      <alignment/>
    </xf>
    <xf numFmtId="4" fontId="0" fillId="0" borderId="24" xfId="0" applyNumberFormat="1" applyFont="1" applyBorder="1" applyAlignment="1">
      <alignment/>
    </xf>
    <xf numFmtId="4" fontId="0" fillId="0" borderId="4" xfId="0" applyNumberFormat="1" applyFont="1" applyBorder="1" applyAlignment="1">
      <alignment/>
    </xf>
    <xf numFmtId="4" fontId="0" fillId="0" borderId="11" xfId="0" applyNumberFormat="1" applyFont="1" applyBorder="1" applyAlignment="1">
      <alignment/>
    </xf>
    <xf numFmtId="0" fontId="0" fillId="0" borderId="30" xfId="0" applyFont="1" applyBorder="1" applyAlignment="1">
      <alignment/>
    </xf>
    <xf numFmtId="4" fontId="0" fillId="0" borderId="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3" xfId="0" applyFont="1" applyFill="1" applyBorder="1" applyAlignment="1">
      <alignment horizontal="center"/>
    </xf>
    <xf numFmtId="181" fontId="0" fillId="0" borderId="25" xfId="0" applyNumberFormat="1" applyFont="1" applyFill="1" applyBorder="1" applyAlignment="1">
      <alignment/>
    </xf>
    <xf numFmtId="181" fontId="0" fillId="0" borderId="24" xfId="0" applyNumberFormat="1" applyFont="1" applyFill="1" applyBorder="1" applyAlignment="1">
      <alignment/>
    </xf>
    <xf numFmtId="0" fontId="0" fillId="0" borderId="1" xfId="0" applyFont="1" applyFill="1" applyBorder="1" applyAlignment="1">
      <alignment horizontal="center"/>
    </xf>
    <xf numFmtId="0" fontId="0" fillId="0" borderId="17" xfId="0" applyFont="1" applyFill="1" applyBorder="1" applyAlignment="1">
      <alignment horizontal="center"/>
    </xf>
    <xf numFmtId="181" fontId="0" fillId="0" borderId="22" xfId="0" applyNumberFormat="1" applyFont="1" applyFill="1" applyBorder="1" applyAlignment="1">
      <alignment/>
    </xf>
    <xf numFmtId="181" fontId="1" fillId="0" borderId="18" xfId="0" applyNumberFormat="1" applyFont="1" applyFill="1" applyBorder="1" applyAlignment="1">
      <alignment/>
    </xf>
    <xf numFmtId="10" fontId="0" fillId="0" borderId="41" xfId="22" applyNumberFormat="1" applyFont="1" applyFill="1" applyBorder="1" applyAlignment="1">
      <alignment/>
    </xf>
    <xf numFmtId="0" fontId="0" fillId="0" borderId="0" xfId="0" applyFont="1" applyFill="1" applyAlignment="1">
      <alignment/>
    </xf>
    <xf numFmtId="0" fontId="1" fillId="0" borderId="8" xfId="0" applyFont="1" applyFill="1" applyBorder="1" applyAlignment="1">
      <alignment horizontal="center"/>
    </xf>
    <xf numFmtId="0" fontId="1" fillId="0" borderId="11" xfId="0" applyFont="1" applyFill="1" applyBorder="1" applyAlignment="1">
      <alignment horizontal="center"/>
    </xf>
    <xf numFmtId="0" fontId="0" fillId="0" borderId="6" xfId="0" applyFont="1" applyFill="1" applyBorder="1" applyAlignment="1">
      <alignment/>
    </xf>
    <xf numFmtId="0" fontId="0" fillId="0" borderId="2" xfId="0" applyFont="1" applyFill="1" applyBorder="1" applyAlignment="1">
      <alignment/>
    </xf>
    <xf numFmtId="181" fontId="0" fillId="0" borderId="0" xfId="0" applyNumberFormat="1" applyFont="1" applyFill="1" applyBorder="1" applyAlignment="1">
      <alignment/>
    </xf>
    <xf numFmtId="9" fontId="0" fillId="0" borderId="28" xfId="22" applyFont="1" applyFill="1" applyBorder="1" applyAlignment="1">
      <alignment/>
    </xf>
    <xf numFmtId="0" fontId="0" fillId="0" borderId="15" xfId="0" applyFont="1" applyFill="1" applyBorder="1" applyAlignment="1">
      <alignment/>
    </xf>
    <xf numFmtId="181" fontId="0" fillId="0" borderId="16" xfId="0" applyNumberFormat="1" applyFont="1" applyFill="1" applyBorder="1" applyAlignment="1">
      <alignment/>
    </xf>
    <xf numFmtId="9" fontId="0" fillId="0" borderId="34" xfId="22" applyFont="1" applyFill="1" applyBorder="1" applyAlignment="1">
      <alignment/>
    </xf>
    <xf numFmtId="181" fontId="1" fillId="0" borderId="19" xfId="0" applyNumberFormat="1" applyFont="1" applyFill="1" applyBorder="1" applyAlignment="1">
      <alignment/>
    </xf>
    <xf numFmtId="9" fontId="0" fillId="0" borderId="41" xfId="22" applyFont="1" applyFill="1" applyBorder="1" applyAlignment="1">
      <alignment/>
    </xf>
    <xf numFmtId="171" fontId="0" fillId="0" borderId="0" xfId="0" applyNumberFormat="1" applyFont="1" applyAlignment="1">
      <alignment/>
    </xf>
    <xf numFmtId="4" fontId="1" fillId="0" borderId="9" xfId="0" applyNumberFormat="1" applyFont="1" applyFill="1" applyBorder="1" applyAlignment="1">
      <alignment horizontal="left"/>
    </xf>
    <xf numFmtId="4" fontId="1" fillId="0" borderId="2" xfId="0" applyNumberFormat="1" applyFont="1" applyBorder="1" applyAlignment="1">
      <alignment horizontal="right"/>
    </xf>
    <xf numFmtId="4" fontId="1" fillId="0" borderId="0" xfId="0" applyNumberFormat="1" applyFont="1" applyBorder="1" applyAlignment="1">
      <alignment horizontal="right"/>
    </xf>
    <xf numFmtId="4" fontId="1" fillId="0" borderId="42" xfId="0" applyNumberFormat="1" applyFont="1" applyBorder="1" applyAlignment="1">
      <alignment horizontal="right"/>
    </xf>
    <xf numFmtId="4" fontId="1" fillId="0" borderId="2" xfId="0" applyNumberFormat="1" applyFont="1" applyBorder="1" applyAlignment="1">
      <alignment/>
    </xf>
    <xf numFmtId="4" fontId="0" fillId="0" borderId="9" xfId="0" applyNumberFormat="1" applyFont="1" applyFill="1" applyBorder="1" applyAlignment="1">
      <alignment horizontal="left" indent="2"/>
    </xf>
    <xf numFmtId="4" fontId="0" fillId="0" borderId="2" xfId="0" applyNumberFormat="1" applyFont="1" applyBorder="1" applyAlignment="1">
      <alignment/>
    </xf>
    <xf numFmtId="4" fontId="0" fillId="0" borderId="9" xfId="0" applyNumberFormat="1" applyFont="1" applyFill="1" applyBorder="1" applyAlignment="1">
      <alignment horizontal="left" indent="3"/>
    </xf>
    <xf numFmtId="4" fontId="0" fillId="0" borderId="9" xfId="0" applyNumberFormat="1" applyFont="1" applyFill="1" applyBorder="1" applyAlignment="1">
      <alignment horizontal="left" indent="4"/>
    </xf>
    <xf numFmtId="4" fontId="0" fillId="0" borderId="2" xfId="0" applyNumberFormat="1" applyFont="1" applyFill="1" applyBorder="1" applyAlignment="1">
      <alignment/>
    </xf>
    <xf numFmtId="4" fontId="0" fillId="0" borderId="9" xfId="0" applyNumberFormat="1" applyFont="1" applyBorder="1" applyAlignment="1">
      <alignment horizontal="left" indent="4"/>
    </xf>
    <xf numFmtId="4" fontId="1" fillId="0" borderId="9" xfId="0" applyNumberFormat="1" applyFont="1" applyBorder="1" applyAlignment="1">
      <alignment horizontal="left"/>
    </xf>
    <xf numFmtId="4" fontId="1" fillId="0" borderId="28" xfId="0" applyNumberFormat="1" applyFont="1" applyBorder="1" applyAlignment="1">
      <alignment horizontal="right"/>
    </xf>
    <xf numFmtId="4" fontId="0" fillId="0" borderId="9" xfId="0" applyNumberFormat="1" applyFont="1" applyBorder="1" applyAlignment="1">
      <alignment horizontal="left" indent="2"/>
    </xf>
    <xf numFmtId="4" fontId="0" fillId="0" borderId="9" xfId="0" applyNumberFormat="1" applyFont="1" applyBorder="1" applyAlignment="1">
      <alignment horizontal="left" indent="3"/>
    </xf>
    <xf numFmtId="4" fontId="0" fillId="0" borderId="38" xfId="0" applyNumberFormat="1" applyFont="1" applyBorder="1" applyAlignment="1">
      <alignment/>
    </xf>
    <xf numFmtId="4" fontId="1" fillId="0" borderId="30" xfId="0" applyNumberFormat="1" applyFont="1" applyBorder="1" applyAlignment="1">
      <alignment vertical="center" wrapText="1"/>
    </xf>
    <xf numFmtId="4" fontId="1" fillId="0" borderId="33" xfId="0" applyNumberFormat="1" applyFont="1" applyBorder="1" applyAlignment="1">
      <alignment/>
    </xf>
    <xf numFmtId="4" fontId="0" fillId="0" borderId="42" xfId="0" applyNumberFormat="1" applyFont="1" applyBorder="1" applyAlignment="1">
      <alignment/>
    </xf>
    <xf numFmtId="4" fontId="0" fillId="0" borderId="36" xfId="0" applyNumberFormat="1" applyFont="1" applyBorder="1" applyAlignment="1">
      <alignment/>
    </xf>
    <xf numFmtId="4" fontId="0" fillId="0" borderId="28" xfId="0" applyNumberFormat="1" applyFont="1" applyBorder="1" applyAlignment="1">
      <alignment/>
    </xf>
    <xf numFmtId="4" fontId="1" fillId="0" borderId="38" xfId="0" applyNumberFormat="1" applyFont="1" applyBorder="1" applyAlignment="1">
      <alignment/>
    </xf>
    <xf numFmtId="4" fontId="1" fillId="0" borderId="34" xfId="0" applyNumberFormat="1" applyFont="1" applyBorder="1" applyAlignment="1">
      <alignment/>
    </xf>
    <xf numFmtId="0" fontId="1" fillId="0" borderId="12" xfId="0" applyFont="1" applyBorder="1" applyAlignment="1">
      <alignment horizontal="right"/>
    </xf>
    <xf numFmtId="10" fontId="1" fillId="0" borderId="14" xfId="0" applyNumberFormat="1" applyFont="1" applyBorder="1" applyAlignment="1">
      <alignment horizontal="right"/>
    </xf>
    <xf numFmtId="0" fontId="1" fillId="0" borderId="1" xfId="0" applyFont="1" applyBorder="1" applyAlignment="1">
      <alignment horizontal="right"/>
    </xf>
    <xf numFmtId="10" fontId="1" fillId="0" borderId="5" xfId="0" applyNumberFormat="1" applyFont="1" applyBorder="1" applyAlignment="1">
      <alignment horizontal="right"/>
    </xf>
    <xf numFmtId="10" fontId="1" fillId="0" borderId="5" xfId="22" applyNumberFormat="1" applyFont="1" applyBorder="1" applyAlignment="1">
      <alignment horizontal="right"/>
    </xf>
    <xf numFmtId="4" fontId="1" fillId="0" borderId="0" xfId="0" applyNumberFormat="1" applyFont="1" applyAlignment="1">
      <alignment horizontal="right"/>
    </xf>
    <xf numFmtId="4" fontId="1" fillId="0" borderId="10" xfId="0" applyNumberFormat="1" applyFont="1" applyFill="1" applyBorder="1" applyAlignment="1">
      <alignment horizontal="left"/>
    </xf>
    <xf numFmtId="4" fontId="0" fillId="0" borderId="10" xfId="0" applyNumberFormat="1" applyFont="1" applyBorder="1" applyAlignment="1">
      <alignment horizontal="left"/>
    </xf>
    <xf numFmtId="4" fontId="0" fillId="0" borderId="33" xfId="0" applyNumberFormat="1" applyFont="1" applyBorder="1" applyAlignment="1">
      <alignment horizontal="left"/>
    </xf>
    <xf numFmtId="4" fontId="1" fillId="0" borderId="10" xfId="0" applyNumberFormat="1" applyFont="1" applyBorder="1" applyAlignment="1">
      <alignment horizontal="right"/>
    </xf>
    <xf numFmtId="4" fontId="0" fillId="0" borderId="0" xfId="0" applyNumberFormat="1" applyFont="1" applyAlignment="1">
      <alignment horizontal="right"/>
    </xf>
    <xf numFmtId="4" fontId="0" fillId="0" borderId="0" xfId="0" applyNumberFormat="1" applyFont="1" applyAlignment="1">
      <alignment horizontal="left"/>
    </xf>
    <xf numFmtId="4" fontId="1" fillId="0" borderId="28" xfId="0" applyNumberFormat="1" applyFont="1" applyBorder="1" applyAlignment="1">
      <alignment/>
    </xf>
    <xf numFmtId="10" fontId="0" fillId="0" borderId="9" xfId="22" applyNumberFormat="1" applyFont="1" applyBorder="1" applyAlignment="1">
      <alignment horizontal="right"/>
    </xf>
    <xf numFmtId="4" fontId="0" fillId="6" borderId="28" xfId="0" applyNumberFormat="1" applyFont="1" applyFill="1" applyBorder="1" applyAlignment="1">
      <alignment/>
    </xf>
    <xf numFmtId="10" fontId="0" fillId="0" borderId="9" xfId="22" applyNumberFormat="1" applyFont="1" applyFill="1" applyBorder="1" applyAlignment="1">
      <alignment horizontal="right"/>
    </xf>
    <xf numFmtId="4" fontId="0" fillId="6" borderId="9" xfId="0" applyNumberFormat="1" applyFont="1" applyFill="1" applyBorder="1" applyAlignment="1">
      <alignment/>
    </xf>
    <xf numFmtId="4" fontId="1" fillId="0" borderId="10" xfId="0" applyNumberFormat="1" applyFont="1" applyBorder="1" applyAlignment="1">
      <alignment horizontal="left"/>
    </xf>
    <xf numFmtId="4" fontId="0" fillId="0" borderId="9" xfId="0" applyNumberFormat="1" applyFont="1" applyBorder="1" applyAlignment="1">
      <alignment horizontal="left" indent="1"/>
    </xf>
    <xf numFmtId="4" fontId="0" fillId="0" borderId="28" xfId="0" applyNumberFormat="1" applyFont="1" applyBorder="1" applyAlignment="1">
      <alignment horizontal="left" indent="1"/>
    </xf>
    <xf numFmtId="4" fontId="0" fillId="0" borderId="38" xfId="0" applyNumberFormat="1" applyFont="1" applyBorder="1" applyAlignment="1">
      <alignment horizontal="left" indent="2"/>
    </xf>
    <xf numFmtId="4" fontId="0" fillId="0" borderId="38" xfId="0" applyNumberFormat="1" applyFont="1" applyBorder="1" applyAlignment="1">
      <alignment horizontal="left" indent="1"/>
    </xf>
    <xf numFmtId="4" fontId="0" fillId="0" borderId="34" xfId="0" applyNumberFormat="1" applyFont="1" applyBorder="1" applyAlignment="1">
      <alignment horizontal="left" indent="1"/>
    </xf>
    <xf numFmtId="4" fontId="0" fillId="6" borderId="34" xfId="0" applyNumberFormat="1" applyFont="1" applyFill="1" applyBorder="1" applyAlignment="1">
      <alignment/>
    </xf>
    <xf numFmtId="4" fontId="0" fillId="0" borderId="38" xfId="0" applyNumberFormat="1" applyFont="1" applyBorder="1" applyAlignment="1">
      <alignment/>
    </xf>
    <xf numFmtId="10" fontId="0" fillId="0" borderId="38" xfId="22" applyNumberFormat="1" applyFont="1" applyBorder="1" applyAlignment="1">
      <alignment horizontal="right"/>
    </xf>
    <xf numFmtId="4" fontId="0" fillId="0" borderId="31" xfId="0" applyNumberFormat="1" applyFont="1" applyBorder="1" applyAlignment="1">
      <alignment/>
    </xf>
    <xf numFmtId="4" fontId="0" fillId="0" borderId="35" xfId="0" applyNumberFormat="1" applyFont="1" applyBorder="1" applyAlignment="1">
      <alignment/>
    </xf>
    <xf numFmtId="4" fontId="1" fillId="0" borderId="42" xfId="0" applyNumberFormat="1" applyFont="1" applyFill="1" applyBorder="1" applyAlignment="1">
      <alignment/>
    </xf>
    <xf numFmtId="4" fontId="1" fillId="0" borderId="30" xfId="0" applyNumberFormat="1" applyFont="1" applyBorder="1" applyAlignment="1">
      <alignment/>
    </xf>
    <xf numFmtId="4" fontId="1" fillId="0" borderId="26" xfId="0" applyNumberFormat="1" applyFont="1" applyBorder="1" applyAlignment="1">
      <alignment/>
    </xf>
    <xf numFmtId="4" fontId="1" fillId="6" borderId="33" xfId="0" applyNumberFormat="1" applyFont="1" applyFill="1" applyBorder="1" applyAlignment="1">
      <alignment/>
    </xf>
    <xf numFmtId="10" fontId="0" fillId="0" borderId="0" xfId="0" applyNumberFormat="1" applyFont="1" applyFill="1" applyBorder="1" applyAlignment="1">
      <alignment horizontal="center"/>
    </xf>
    <xf numFmtId="4"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0" fillId="0" borderId="0" xfId="0" applyFont="1" applyAlignment="1">
      <alignment horizontal="left" wrapText="1"/>
    </xf>
    <xf numFmtId="4" fontId="0" fillId="0" borderId="0" xfId="0" applyNumberFormat="1" applyFont="1" applyFill="1" applyBorder="1" applyAlignment="1">
      <alignment/>
    </xf>
    <xf numFmtId="9" fontId="0" fillId="0" borderId="0" xfId="0" applyNumberFormat="1" applyFont="1" applyAlignment="1">
      <alignment/>
    </xf>
    <xf numFmtId="0" fontId="8" fillId="0" borderId="20"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9" fillId="0" borderId="1" xfId="0" applyFont="1" applyFill="1" applyBorder="1" applyAlignment="1">
      <alignment horizontal="left" wrapText="1"/>
    </xf>
    <xf numFmtId="0" fontId="8" fillId="0" borderId="4" xfId="0" applyFont="1" applyBorder="1" applyAlignment="1">
      <alignment/>
    </xf>
    <xf numFmtId="0" fontId="8" fillId="0" borderId="11" xfId="0" applyFont="1" applyBorder="1" applyAlignment="1">
      <alignment horizontal="center"/>
    </xf>
    <xf numFmtId="0" fontId="0" fillId="0" borderId="0" xfId="0" applyFont="1" applyFill="1" applyBorder="1" applyAlignment="1">
      <alignment/>
    </xf>
    <xf numFmtId="0" fontId="8" fillId="0" borderId="0" xfId="0" applyFont="1" applyAlignment="1">
      <alignment/>
    </xf>
    <xf numFmtId="0" fontId="9" fillId="0" borderId="0" xfId="0" applyFont="1" applyAlignment="1">
      <alignment horizontal="left" wrapText="1"/>
    </xf>
    <xf numFmtId="17" fontId="0" fillId="0" borderId="1" xfId="0" applyNumberFormat="1" applyFont="1" applyBorder="1" applyAlignment="1">
      <alignment horizontal="right"/>
    </xf>
    <xf numFmtId="0" fontId="0" fillId="0" borderId="1" xfId="0" applyFont="1" applyBorder="1" applyAlignment="1">
      <alignment horizontal="right"/>
    </xf>
    <xf numFmtId="17" fontId="0" fillId="0" borderId="4" xfId="0" applyNumberFormat="1" applyFont="1" applyBorder="1" applyAlignment="1">
      <alignment horizontal="right"/>
    </xf>
    <xf numFmtId="0" fontId="0" fillId="0" borderId="11" xfId="0" applyFont="1" applyBorder="1" applyAlignment="1">
      <alignment/>
    </xf>
    <xf numFmtId="4" fontId="0" fillId="0" borderId="16" xfId="0" applyNumberFormat="1" applyFont="1" applyBorder="1" applyAlignment="1">
      <alignment/>
    </xf>
    <xf numFmtId="4" fontId="1" fillId="0" borderId="31" xfId="0" applyNumberFormat="1" applyFont="1" applyBorder="1" applyAlignment="1">
      <alignment/>
    </xf>
    <xf numFmtId="4" fontId="0" fillId="0" borderId="35" xfId="0" applyNumberFormat="1" applyFont="1" applyBorder="1" applyAlignment="1">
      <alignment/>
    </xf>
    <xf numFmtId="4" fontId="0" fillId="0" borderId="36" xfId="0" applyNumberFormat="1" applyFont="1" applyBorder="1" applyAlignment="1">
      <alignment/>
    </xf>
    <xf numFmtId="0" fontId="1" fillId="0" borderId="14" xfId="0" applyFont="1" applyFill="1" applyBorder="1" applyAlignment="1">
      <alignment horizontal="center" vertical="center" wrapText="1"/>
    </xf>
    <xf numFmtId="4" fontId="0" fillId="0" borderId="0" xfId="0" applyNumberFormat="1" applyFont="1" applyBorder="1" applyAlignment="1">
      <alignment horizontal="right"/>
    </xf>
    <xf numFmtId="10" fontId="1" fillId="0" borderId="0" xfId="22" applyNumberFormat="1" applyFont="1" applyBorder="1" applyAlignment="1">
      <alignment/>
    </xf>
    <xf numFmtId="4" fontId="0" fillId="0" borderId="15" xfId="0" applyNumberFormat="1" applyFont="1" applyBorder="1" applyAlignment="1">
      <alignment/>
    </xf>
    <xf numFmtId="4" fontId="0" fillId="0" borderId="16" xfId="0" applyNumberFormat="1" applyFont="1" applyBorder="1" applyAlignment="1">
      <alignment/>
    </xf>
    <xf numFmtId="4" fontId="0" fillId="0" borderId="34" xfId="0" applyNumberFormat="1" applyFont="1" applyBorder="1" applyAlignment="1">
      <alignment/>
    </xf>
    <xf numFmtId="0" fontId="0" fillId="0" borderId="13" xfId="0" applyFont="1" applyFill="1" applyBorder="1" applyAlignment="1">
      <alignment horizontal="center" vertical="center" wrapText="1"/>
    </xf>
    <xf numFmtId="4" fontId="0" fillId="0" borderId="0" xfId="0" applyNumberFormat="1" applyFont="1" applyFill="1" applyAlignment="1">
      <alignment/>
    </xf>
    <xf numFmtId="4" fontId="1" fillId="0" borderId="31" xfId="0" applyNumberFormat="1" applyFont="1" applyFill="1" applyBorder="1" applyAlignment="1">
      <alignment/>
    </xf>
    <xf numFmtId="4" fontId="1" fillId="0" borderId="35" xfId="0" applyNumberFormat="1" applyFont="1" applyFill="1" applyBorder="1" applyAlignment="1">
      <alignment/>
    </xf>
    <xf numFmtId="3" fontId="1" fillId="0" borderId="35" xfId="0" applyNumberFormat="1" applyFont="1" applyFill="1" applyBorder="1" applyAlignment="1">
      <alignment horizontal="center"/>
    </xf>
    <xf numFmtId="3" fontId="1" fillId="0" borderId="36" xfId="0" applyNumberFormat="1" applyFont="1" applyFill="1" applyBorder="1" applyAlignment="1">
      <alignment horizontal="center"/>
    </xf>
    <xf numFmtId="4" fontId="0" fillId="0" borderId="0" xfId="0" applyNumberFormat="1" applyFont="1" applyFill="1" applyAlignment="1">
      <alignment/>
    </xf>
    <xf numFmtId="4" fontId="1" fillId="0" borderId="31" xfId="0" applyNumberFormat="1" applyFont="1" applyFill="1" applyBorder="1" applyAlignment="1">
      <alignment horizontal="center"/>
    </xf>
    <xf numFmtId="3" fontId="1" fillId="0" borderId="13" xfId="0" applyNumberFormat="1" applyFont="1" applyFill="1" applyBorder="1" applyAlignment="1">
      <alignment horizontal="center"/>
    </xf>
    <xf numFmtId="3" fontId="1" fillId="0" borderId="14" xfId="0" applyNumberFormat="1" applyFont="1" applyFill="1" applyBorder="1" applyAlignment="1">
      <alignment horizontal="center"/>
    </xf>
    <xf numFmtId="4" fontId="0" fillId="0" borderId="43" xfId="0" applyNumberFormat="1" applyFont="1" applyFill="1" applyBorder="1" applyAlignment="1">
      <alignment vertical="center" wrapText="1"/>
    </xf>
    <xf numFmtId="9" fontId="0" fillId="0" borderId="8" xfId="22" applyFont="1" applyFill="1" applyBorder="1" applyAlignment="1">
      <alignment horizontal="center"/>
    </xf>
    <xf numFmtId="9" fontId="0" fillId="0" borderId="5" xfId="22" applyFont="1" applyFill="1" applyBorder="1" applyAlignment="1">
      <alignment horizontal="center"/>
    </xf>
    <xf numFmtId="4" fontId="0" fillId="0" borderId="43" xfId="0" applyNumberFormat="1" applyFont="1" applyFill="1" applyBorder="1" applyAlignment="1">
      <alignment vertical="center" wrapText="1"/>
    </xf>
    <xf numFmtId="4" fontId="0" fillId="0" borderId="8" xfId="0" applyNumberFormat="1" applyFont="1" applyFill="1" applyBorder="1" applyAlignment="1">
      <alignment/>
    </xf>
    <xf numFmtId="4" fontId="0" fillId="0" borderId="5" xfId="0" applyNumberFormat="1" applyFont="1" applyFill="1" applyBorder="1" applyAlignment="1">
      <alignment/>
    </xf>
    <xf numFmtId="4" fontId="0" fillId="0" borderId="43" xfId="0" applyNumberFormat="1" applyFont="1" applyFill="1" applyBorder="1" applyAlignment="1">
      <alignment vertical="center" wrapText="1"/>
    </xf>
    <xf numFmtId="9" fontId="0" fillId="0" borderId="8" xfId="22" applyFont="1" applyFill="1" applyBorder="1" applyAlignment="1">
      <alignment/>
    </xf>
    <xf numFmtId="9" fontId="0" fillId="0" borderId="5" xfId="22" applyFont="1" applyFill="1" applyBorder="1" applyAlignment="1">
      <alignment/>
    </xf>
    <xf numFmtId="4" fontId="0" fillId="0" borderId="44" xfId="0" applyNumberFormat="1" applyFont="1" applyFill="1" applyBorder="1" applyAlignment="1">
      <alignment vertical="center" wrapText="1"/>
    </xf>
    <xf numFmtId="9" fontId="0" fillId="0" borderId="11" xfId="22" applyFont="1" applyFill="1" applyBorder="1" applyAlignment="1">
      <alignment/>
    </xf>
    <xf numFmtId="9" fontId="0" fillId="0" borderId="6" xfId="22" applyFont="1" applyFill="1" applyBorder="1" applyAlignment="1">
      <alignment/>
    </xf>
    <xf numFmtId="9" fontId="0" fillId="0" borderId="0" xfId="22" applyFont="1" applyFill="1" applyBorder="1" applyAlignment="1">
      <alignment/>
    </xf>
    <xf numFmtId="4" fontId="0" fillId="0" borderId="12" xfId="0" applyNumberFormat="1" applyFont="1" applyFill="1" applyBorder="1" applyAlignment="1">
      <alignment vertical="center" wrapText="1"/>
    </xf>
    <xf numFmtId="4" fontId="0" fillId="0" borderId="13" xfId="0" applyNumberFormat="1" applyFont="1" applyFill="1" applyBorder="1" applyAlignment="1">
      <alignment/>
    </xf>
    <xf numFmtId="4" fontId="0" fillId="0" borderId="14" xfId="0" applyNumberFormat="1" applyFont="1" applyFill="1" applyBorder="1" applyAlignment="1">
      <alignment/>
    </xf>
    <xf numFmtId="10" fontId="0" fillId="0" borderId="8" xfId="22" applyNumberFormat="1" applyFont="1" applyFill="1" applyBorder="1" applyAlignment="1">
      <alignment/>
    </xf>
    <xf numFmtId="10" fontId="0" fillId="0" borderId="5" xfId="22" applyNumberFormat="1" applyFont="1" applyFill="1" applyBorder="1" applyAlignment="1">
      <alignment/>
    </xf>
    <xf numFmtId="4" fontId="0" fillId="0" borderId="4" xfId="0" applyNumberFormat="1" applyFont="1" applyFill="1" applyBorder="1" applyAlignment="1">
      <alignment vertical="center" wrapText="1"/>
    </xf>
    <xf numFmtId="4" fontId="0" fillId="0" borderId="11" xfId="0" applyNumberFormat="1" applyFont="1" applyFill="1" applyBorder="1" applyAlignment="1">
      <alignment/>
    </xf>
    <xf numFmtId="4" fontId="0" fillId="0" borderId="6" xfId="0" applyNumberFormat="1" applyFont="1" applyFill="1" applyBorder="1" applyAlignment="1">
      <alignment/>
    </xf>
    <xf numFmtId="4" fontId="0" fillId="0" borderId="12" xfId="0" applyNumberFormat="1" applyFont="1" applyFill="1" applyBorder="1" applyAlignment="1">
      <alignment/>
    </xf>
    <xf numFmtId="4" fontId="0" fillId="0" borderId="1" xfId="0" applyNumberFormat="1" applyFont="1" applyFill="1" applyBorder="1" applyAlignment="1">
      <alignment/>
    </xf>
    <xf numFmtId="4" fontId="1" fillId="0" borderId="1" xfId="0" applyNumberFormat="1" applyFont="1" applyFill="1" applyBorder="1" applyAlignment="1">
      <alignment/>
    </xf>
    <xf numFmtId="4" fontId="1" fillId="0" borderId="4" xfId="0" applyNumberFormat="1" applyFont="1" applyFill="1" applyBorder="1" applyAlignment="1">
      <alignment/>
    </xf>
    <xf numFmtId="4" fontId="1" fillId="0" borderId="11" xfId="0" applyNumberFormat="1" applyFont="1" applyFill="1" applyBorder="1" applyAlignment="1">
      <alignment/>
    </xf>
    <xf numFmtId="4" fontId="1" fillId="0" borderId="6" xfId="0" applyNumberFormat="1" applyFont="1" applyFill="1" applyBorder="1" applyAlignment="1">
      <alignment/>
    </xf>
    <xf numFmtId="191" fontId="0" fillId="0" borderId="0" xfId="0" applyNumberFormat="1" applyFont="1" applyFill="1" applyAlignment="1">
      <alignment/>
    </xf>
    <xf numFmtId="0" fontId="0" fillId="0" borderId="14" xfId="0" applyFont="1" applyFill="1" applyBorder="1" applyAlignment="1">
      <alignment/>
    </xf>
    <xf numFmtId="4" fontId="1" fillId="0" borderId="45" xfId="0" applyNumberFormat="1" applyFont="1" applyFill="1" applyBorder="1" applyAlignment="1">
      <alignment/>
    </xf>
    <xf numFmtId="3" fontId="1" fillId="0" borderId="39" xfId="0" applyNumberFormat="1" applyFont="1" applyFill="1" applyBorder="1" applyAlignment="1">
      <alignment horizontal="center"/>
    </xf>
    <xf numFmtId="3" fontId="1" fillId="0" borderId="40" xfId="0" applyNumberFormat="1" applyFont="1" applyFill="1" applyBorder="1" applyAlignment="1">
      <alignment horizontal="center"/>
    </xf>
    <xf numFmtId="3" fontId="1" fillId="0" borderId="0" xfId="0" applyNumberFormat="1" applyFont="1" applyFill="1" applyBorder="1" applyAlignment="1">
      <alignment horizontal="center"/>
    </xf>
    <xf numFmtId="10" fontId="0" fillId="0" borderId="0" xfId="22" applyNumberFormat="1" applyFont="1" applyFill="1" applyAlignment="1">
      <alignment/>
    </xf>
    <xf numFmtId="4" fontId="1" fillId="0" borderId="12" xfId="0" applyNumberFormat="1" applyFont="1" applyFill="1" applyBorder="1" applyAlignment="1">
      <alignment horizontal="center"/>
    </xf>
    <xf numFmtId="4" fontId="0" fillId="0" borderId="1" xfId="0" applyNumberFormat="1" applyFont="1" applyFill="1" applyBorder="1" applyAlignment="1">
      <alignment vertical="center" wrapText="1"/>
    </xf>
    <xf numFmtId="4" fontId="0" fillId="0" borderId="8" xfId="22" applyNumberFormat="1" applyFont="1" applyFill="1" applyBorder="1" applyAlignment="1">
      <alignment horizontal="center"/>
    </xf>
    <xf numFmtId="4" fontId="0" fillId="0" borderId="5" xfId="22" applyNumberFormat="1" applyFont="1" applyFill="1" applyBorder="1" applyAlignment="1">
      <alignment horizontal="center"/>
    </xf>
    <xf numFmtId="4" fontId="0" fillId="0" borderId="0" xfId="22" applyNumberFormat="1" applyFont="1" applyFill="1" applyBorder="1" applyAlignment="1">
      <alignment horizontal="center"/>
    </xf>
    <xf numFmtId="10" fontId="0" fillId="0" borderId="0" xfId="22" applyNumberFormat="1" applyFont="1" applyFill="1" applyAlignment="1">
      <alignment/>
    </xf>
    <xf numFmtId="10" fontId="0" fillId="0" borderId="0" xfId="22" applyNumberFormat="1" applyFont="1" applyFill="1" applyBorder="1" applyAlignment="1">
      <alignment/>
    </xf>
    <xf numFmtId="4" fontId="1" fillId="0" borderId="1" xfId="0" applyNumberFormat="1" applyFont="1" applyFill="1" applyBorder="1" applyAlignment="1">
      <alignment horizontal="left"/>
    </xf>
    <xf numFmtId="4" fontId="0" fillId="0" borderId="8" xfId="0" applyNumberFormat="1" applyFont="1" applyFill="1" applyBorder="1" applyAlignment="1">
      <alignment horizontal="center"/>
    </xf>
    <xf numFmtId="4" fontId="0" fillId="0" borderId="5" xfId="0" applyNumberFormat="1" applyFont="1" applyFill="1" applyBorder="1" applyAlignment="1">
      <alignment horizontal="center"/>
    </xf>
    <xf numFmtId="4" fontId="0" fillId="0" borderId="0"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5" xfId="0" applyNumberFormat="1" applyFont="1" applyFill="1" applyBorder="1" applyAlignment="1">
      <alignment horizontal="center"/>
    </xf>
    <xf numFmtId="10" fontId="0" fillId="0" borderId="8" xfId="22" applyNumberFormat="1" applyFont="1" applyFill="1" applyBorder="1" applyAlignment="1">
      <alignment horizontal="center"/>
    </xf>
    <xf numFmtId="10" fontId="0" fillId="0" borderId="5" xfId="22" applyNumberFormat="1" applyFont="1" applyFill="1" applyBorder="1" applyAlignment="1">
      <alignment horizontal="center"/>
    </xf>
    <xf numFmtId="10" fontId="0" fillId="0" borderId="0" xfId="22" applyNumberFormat="1" applyFont="1" applyFill="1" applyBorder="1" applyAlignment="1">
      <alignment horizontal="center"/>
    </xf>
    <xf numFmtId="176" fontId="0" fillId="0" borderId="0" xfId="22" applyNumberFormat="1" applyFont="1" applyFill="1" applyAlignment="1">
      <alignment/>
    </xf>
    <xf numFmtId="4" fontId="1" fillId="0" borderId="1" xfId="0" applyNumberFormat="1" applyFont="1" applyFill="1" applyBorder="1" applyAlignment="1">
      <alignment vertical="center" wrapText="1"/>
    </xf>
    <xf numFmtId="4" fontId="1" fillId="0" borderId="0" xfId="0" applyNumberFormat="1" applyFont="1" applyFill="1" applyBorder="1" applyAlignment="1">
      <alignment/>
    </xf>
    <xf numFmtId="4" fontId="1" fillId="0" borderId="30" xfId="0" applyNumberFormat="1" applyFont="1" applyFill="1" applyBorder="1" applyAlignment="1">
      <alignment/>
    </xf>
    <xf numFmtId="4" fontId="1" fillId="0" borderId="33" xfId="0" applyNumberFormat="1" applyFont="1" applyFill="1" applyBorder="1" applyAlignment="1">
      <alignment/>
    </xf>
    <xf numFmtId="4" fontId="0" fillId="0" borderId="0" xfId="0" applyNumberFormat="1" applyFont="1" applyFill="1" applyAlignment="1">
      <alignment horizontal="right"/>
    </xf>
    <xf numFmtId="4" fontId="21" fillId="0" borderId="8" xfId="0" applyNumberFormat="1" applyFont="1" applyFill="1" applyBorder="1" applyAlignment="1">
      <alignment/>
    </xf>
    <xf numFmtId="4" fontId="21" fillId="0" borderId="5" xfId="0" applyNumberFormat="1" applyFont="1" applyFill="1" applyBorder="1" applyAlignment="1">
      <alignment/>
    </xf>
    <xf numFmtId="4" fontId="0" fillId="0" borderId="15" xfId="0" applyNumberFormat="1" applyFont="1" applyFill="1" applyBorder="1" applyAlignment="1">
      <alignment/>
    </xf>
    <xf numFmtId="4" fontId="0" fillId="0" borderId="16" xfId="0" applyNumberFormat="1" applyFont="1" applyFill="1" applyBorder="1" applyAlignment="1">
      <alignment/>
    </xf>
    <xf numFmtId="4" fontId="0" fillId="0" borderId="34" xfId="0" applyNumberFormat="1" applyFont="1" applyFill="1" applyBorder="1" applyAlignment="1">
      <alignment/>
    </xf>
    <xf numFmtId="3" fontId="1" fillId="0" borderId="20" xfId="0" applyNumberFormat="1" applyFont="1" applyFill="1" applyBorder="1" applyAlignment="1">
      <alignment horizontal="center"/>
    </xf>
    <xf numFmtId="3" fontId="1" fillId="0" borderId="18" xfId="0" applyNumberFormat="1" applyFont="1" applyFill="1" applyBorder="1" applyAlignment="1">
      <alignment horizontal="center"/>
    </xf>
    <xf numFmtId="3" fontId="1" fillId="0" borderId="19" xfId="0" applyNumberFormat="1" applyFont="1" applyFill="1" applyBorder="1" applyAlignment="1">
      <alignment horizontal="center"/>
    </xf>
    <xf numFmtId="4" fontId="0" fillId="0" borderId="1" xfId="0" applyNumberFormat="1" applyFont="1" applyFill="1" applyBorder="1" applyAlignment="1">
      <alignment/>
    </xf>
    <xf numFmtId="4" fontId="1" fillId="0" borderId="4" xfId="0" applyNumberFormat="1" applyFont="1" applyFill="1" applyBorder="1" applyAlignment="1">
      <alignment vertical="center" wrapText="1"/>
    </xf>
    <xf numFmtId="4" fontId="1" fillId="0" borderId="0" xfId="0" applyNumberFormat="1" applyFont="1" applyFill="1" applyBorder="1" applyAlignment="1">
      <alignment vertical="center" wrapText="1"/>
    </xf>
    <xf numFmtId="176" fontId="0" fillId="0" borderId="0" xfId="22" applyNumberFormat="1" applyFont="1" applyFill="1" applyAlignment="1">
      <alignment/>
    </xf>
    <xf numFmtId="0" fontId="1" fillId="0" borderId="2" xfId="0" applyFont="1" applyFill="1" applyBorder="1" applyAlignment="1">
      <alignment/>
    </xf>
    <xf numFmtId="4" fontId="1" fillId="0" borderId="20" xfId="0" applyNumberFormat="1" applyFont="1" applyFill="1" applyBorder="1" applyAlignment="1">
      <alignment/>
    </xf>
    <xf numFmtId="4" fontId="0" fillId="0" borderId="32" xfId="0" applyNumberFormat="1" applyFont="1" applyFill="1" applyBorder="1" applyAlignment="1">
      <alignment/>
    </xf>
    <xf numFmtId="0" fontId="0" fillId="0" borderId="32" xfId="0" applyFont="1" applyFill="1" applyBorder="1" applyAlignment="1">
      <alignment/>
    </xf>
    <xf numFmtId="0" fontId="0" fillId="0" borderId="2" xfId="0" applyFont="1" applyFill="1" applyBorder="1" applyAlignment="1">
      <alignment horizontal="left"/>
    </xf>
    <xf numFmtId="0" fontId="0" fillId="0" borderId="2" xfId="0" applyFont="1" applyFill="1" applyBorder="1" applyAlignment="1">
      <alignment horizontal="left" indent="1"/>
    </xf>
    <xf numFmtId="0" fontId="1" fillId="0" borderId="30" xfId="0" applyFont="1" applyFill="1" applyBorder="1" applyAlignment="1">
      <alignment horizontal="left"/>
    </xf>
    <xf numFmtId="4" fontId="0" fillId="0" borderId="46" xfId="0" applyNumberFormat="1" applyFont="1" applyFill="1" applyBorder="1" applyAlignment="1">
      <alignment/>
    </xf>
    <xf numFmtId="4" fontId="0" fillId="0" borderId="47" xfId="0" applyNumberFormat="1" applyFont="1" applyFill="1" applyBorder="1" applyAlignment="1">
      <alignment/>
    </xf>
    <xf numFmtId="4" fontId="0" fillId="0" borderId="41" xfId="0" applyNumberFormat="1" applyFont="1" applyFill="1" applyBorder="1" applyAlignment="1">
      <alignment/>
    </xf>
    <xf numFmtId="10" fontId="0" fillId="0" borderId="0" xfId="22" applyNumberFormat="1" applyFont="1" applyFill="1" applyAlignment="1">
      <alignment/>
    </xf>
    <xf numFmtId="181" fontId="0" fillId="0" borderId="0" xfId="0" applyNumberFormat="1" applyFont="1" applyAlignment="1">
      <alignment/>
    </xf>
    <xf numFmtId="4" fontId="0" fillId="0" borderId="0" xfId="0" applyNumberFormat="1" applyFont="1" applyFill="1" applyBorder="1" applyAlignment="1">
      <alignment vertical="center" wrapText="1"/>
    </xf>
    <xf numFmtId="4" fontId="0" fillId="0" borderId="17" xfId="0" applyNumberFormat="1" applyFont="1" applyFill="1" applyBorder="1" applyAlignment="1">
      <alignment/>
    </xf>
    <xf numFmtId="4" fontId="0" fillId="0" borderId="22" xfId="0" applyNumberFormat="1" applyFont="1" applyFill="1" applyBorder="1" applyAlignment="1">
      <alignment/>
    </xf>
    <xf numFmtId="4" fontId="0" fillId="0" borderId="23" xfId="0" applyNumberFormat="1" applyFont="1" applyFill="1" applyBorder="1" applyAlignment="1">
      <alignment/>
    </xf>
    <xf numFmtId="4" fontId="0" fillId="0" borderId="5" xfId="0" applyNumberFormat="1" applyFont="1" applyBorder="1" applyAlignment="1">
      <alignment/>
    </xf>
    <xf numFmtId="0" fontId="0" fillId="0" borderId="0" xfId="0" applyFont="1" applyFill="1" applyAlignment="1">
      <alignment horizontal="center" vertical="center"/>
    </xf>
    <xf numFmtId="0" fontId="0" fillId="0" borderId="0" xfId="0" applyFont="1" applyFill="1" applyAlignment="1">
      <alignment vertical="center" wrapText="1"/>
    </xf>
    <xf numFmtId="182" fontId="0" fillId="0" borderId="0" xfId="0" applyNumberFormat="1"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Font="1" applyFill="1" applyAlignment="1">
      <alignment horizontal="justify" vertical="center" wrapText="1"/>
    </xf>
    <xf numFmtId="0" fontId="1" fillId="0" borderId="45" xfId="0" applyFont="1" applyFill="1" applyBorder="1" applyAlignment="1">
      <alignment horizontal="left" vertical="center" wrapText="1"/>
    </xf>
    <xf numFmtId="182" fontId="1" fillId="0" borderId="39" xfId="0" applyNumberFormat="1" applyFont="1" applyFill="1" applyBorder="1" applyAlignment="1">
      <alignment horizontal="center" vertical="center" wrapText="1"/>
    </xf>
    <xf numFmtId="182" fontId="1" fillId="0" borderId="40" xfId="0" applyNumberFormat="1" applyFont="1" applyFill="1" applyBorder="1" applyAlignment="1">
      <alignment horizontal="center" vertical="center" wrapText="1"/>
    </xf>
    <xf numFmtId="0" fontId="0" fillId="0" borderId="1" xfId="0" applyFont="1" applyFill="1" applyBorder="1" applyAlignment="1">
      <alignment vertical="center"/>
    </xf>
    <xf numFmtId="0" fontId="0" fillId="0" borderId="8" xfId="0" applyFont="1" applyFill="1" applyBorder="1" applyAlignment="1">
      <alignment horizontal="center" vertical="center"/>
    </xf>
    <xf numFmtId="182" fontId="0" fillId="0" borderId="8" xfId="0" applyNumberFormat="1" applyFont="1" applyFill="1" applyBorder="1" applyAlignment="1">
      <alignment vertical="center"/>
    </xf>
    <xf numFmtId="182" fontId="0" fillId="0" borderId="5" xfId="0" applyNumberFormat="1" applyFont="1" applyFill="1" applyBorder="1" applyAlignment="1">
      <alignment vertical="center"/>
    </xf>
    <xf numFmtId="182" fontId="0" fillId="0" borderId="34" xfId="0" applyNumberFormat="1" applyFont="1" applyFill="1" applyBorder="1" applyAlignment="1">
      <alignment vertical="center"/>
    </xf>
    <xf numFmtId="0" fontId="0" fillId="0" borderId="12"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13" xfId="0" applyFont="1" applyFill="1" applyBorder="1" applyAlignment="1">
      <alignment horizontal="center" vertical="center"/>
    </xf>
    <xf numFmtId="182" fontId="0" fillId="0" borderId="13" xfId="0" applyNumberFormat="1" applyFont="1" applyFill="1" applyBorder="1" applyAlignment="1">
      <alignment vertical="center"/>
    </xf>
    <xf numFmtId="0" fontId="0" fillId="0" borderId="0" xfId="0" applyFont="1" applyFill="1" applyBorder="1" applyAlignment="1">
      <alignment horizontal="center" vertical="center"/>
    </xf>
    <xf numFmtId="182" fontId="0" fillId="0" borderId="0" xfId="0" applyNumberFormat="1" applyFont="1" applyFill="1" applyBorder="1" applyAlignment="1">
      <alignment vertical="center"/>
    </xf>
    <xf numFmtId="10" fontId="0" fillId="0" borderId="8" xfId="0" applyNumberFormat="1" applyFont="1" applyBorder="1" applyAlignment="1">
      <alignment horizontal="center"/>
    </xf>
    <xf numFmtId="0" fontId="1" fillId="0" borderId="8" xfId="0" applyFont="1" applyFill="1" applyBorder="1" applyAlignment="1">
      <alignment horizontal="center"/>
    </xf>
    <xf numFmtId="4" fontId="0" fillId="0" borderId="8" xfId="0" applyNumberFormat="1" applyFont="1" applyFill="1" applyBorder="1" applyAlignment="1">
      <alignment/>
    </xf>
    <xf numFmtId="4" fontId="0" fillId="0" borderId="12" xfId="0" applyNumberFormat="1" applyFont="1" applyFill="1" applyBorder="1" applyAlignment="1">
      <alignment horizontal="left"/>
    </xf>
    <xf numFmtId="4" fontId="0" fillId="0" borderId="1" xfId="0" applyNumberFormat="1" applyFont="1" applyFill="1" applyBorder="1" applyAlignment="1">
      <alignment horizontal="left" indent="2"/>
    </xf>
    <xf numFmtId="4" fontId="1" fillId="0" borderId="1" xfId="0" applyNumberFormat="1" applyFont="1" applyFill="1" applyBorder="1" applyAlignment="1">
      <alignment horizontal="left"/>
    </xf>
    <xf numFmtId="0" fontId="1" fillId="0" borderId="5" xfId="0" applyFont="1" applyFill="1" applyBorder="1" applyAlignment="1">
      <alignment horizontal="center"/>
    </xf>
    <xf numFmtId="4" fontId="0" fillId="0" borderId="1" xfId="0" applyNumberFormat="1" applyFont="1" applyFill="1" applyBorder="1" applyAlignment="1">
      <alignment horizontal="left"/>
    </xf>
    <xf numFmtId="4" fontId="0" fillId="0" borderId="5" xfId="0" applyNumberFormat="1" applyFont="1" applyFill="1" applyBorder="1" applyAlignment="1">
      <alignment/>
    </xf>
    <xf numFmtId="4" fontId="1" fillId="0" borderId="4" xfId="0" applyNumberFormat="1" applyFont="1" applyFill="1" applyBorder="1" applyAlignment="1">
      <alignment horizontal="left"/>
    </xf>
    <xf numFmtId="4" fontId="1" fillId="0" borderId="12" xfId="0" applyNumberFormat="1" applyFont="1" applyBorder="1" applyAlignment="1">
      <alignment horizontal="left"/>
    </xf>
    <xf numFmtId="4" fontId="0" fillId="0" borderId="1" xfId="0" applyNumberFormat="1" applyFont="1" applyBorder="1" applyAlignment="1">
      <alignment horizontal="left"/>
    </xf>
    <xf numFmtId="0" fontId="0" fillId="0" borderId="2" xfId="0" applyFont="1" applyBorder="1" applyAlignment="1">
      <alignment/>
    </xf>
    <xf numFmtId="4" fontId="0" fillId="0" borderId="1" xfId="0" applyNumberFormat="1" applyFont="1" applyBorder="1" applyAlignment="1">
      <alignment horizontal="left" indent="2"/>
    </xf>
    <xf numFmtId="0" fontId="0" fillId="0" borderId="5" xfId="0" applyFont="1" applyBorder="1" applyAlignment="1">
      <alignment/>
    </xf>
    <xf numFmtId="4" fontId="0" fillId="0" borderId="0" xfId="0" applyNumberFormat="1" applyFont="1" applyFill="1" applyBorder="1" applyAlignment="1">
      <alignment horizontal="left"/>
    </xf>
    <xf numFmtId="0" fontId="0" fillId="0" borderId="0" xfId="0" applyFont="1" applyFill="1" applyAlignment="1">
      <alignment/>
    </xf>
    <xf numFmtId="4" fontId="0" fillId="0" borderId="0" xfId="0" applyNumberFormat="1" applyFont="1" applyFill="1" applyBorder="1" applyAlignment="1">
      <alignment/>
    </xf>
    <xf numFmtId="4" fontId="1" fillId="0" borderId="20" xfId="0" applyNumberFormat="1" applyFont="1" applyFill="1" applyBorder="1" applyAlignment="1">
      <alignment horizontal="center"/>
    </xf>
    <xf numFmtId="4" fontId="0" fillId="0" borderId="3" xfId="0" applyNumberFormat="1" applyFont="1" applyFill="1" applyBorder="1" applyAlignment="1">
      <alignment/>
    </xf>
    <xf numFmtId="4" fontId="0" fillId="0" borderId="8" xfId="0" applyNumberFormat="1" applyFont="1" applyFill="1" applyBorder="1" applyAlignment="1">
      <alignment horizontal="right"/>
    </xf>
    <xf numFmtId="179" fontId="0" fillId="0" borderId="8" xfId="0" applyNumberFormat="1" applyFont="1" applyFill="1" applyBorder="1" applyAlignment="1">
      <alignment horizontal="right"/>
    </xf>
    <xf numFmtId="4" fontId="0" fillId="0" borderId="29" xfId="0" applyNumberFormat="1" applyFont="1" applyFill="1" applyBorder="1" applyAlignment="1">
      <alignment/>
    </xf>
    <xf numFmtId="4" fontId="0" fillId="0" borderId="24" xfId="0" applyNumberFormat="1" applyFont="1" applyFill="1" applyBorder="1" applyAlignment="1">
      <alignment/>
    </xf>
    <xf numFmtId="0" fontId="0" fillId="0" borderId="8" xfId="0" applyFont="1" applyFill="1" applyBorder="1" applyAlignment="1">
      <alignment horizontal="right"/>
    </xf>
    <xf numFmtId="177" fontId="0" fillId="0" borderId="8" xfId="0" applyNumberFormat="1" applyFont="1" applyFill="1" applyBorder="1" applyAlignment="1">
      <alignment horizontal="right"/>
    </xf>
    <xf numFmtId="4" fontId="0" fillId="0" borderId="5" xfId="0" applyNumberFormat="1" applyFont="1" applyFill="1" applyBorder="1" applyAlignment="1">
      <alignment/>
    </xf>
    <xf numFmtId="0" fontId="0" fillId="0" borderId="8" xfId="0" applyFont="1" applyFill="1" applyBorder="1" applyAlignment="1">
      <alignment/>
    </xf>
    <xf numFmtId="0" fontId="0" fillId="0" borderId="22" xfId="0" applyFont="1" applyFill="1" applyBorder="1" applyAlignment="1">
      <alignment/>
    </xf>
    <xf numFmtId="4" fontId="0" fillId="0" borderId="23" xfId="0" applyNumberFormat="1" applyFont="1" applyFill="1" applyBorder="1" applyAlignment="1">
      <alignment/>
    </xf>
    <xf numFmtId="0" fontId="0" fillId="0" borderId="4" xfId="0" applyFont="1" applyFill="1" applyBorder="1" applyAlignment="1">
      <alignment/>
    </xf>
    <xf numFmtId="0" fontId="0" fillId="0" borderId="11" xfId="0" applyFont="1" applyFill="1" applyBorder="1" applyAlignment="1">
      <alignment/>
    </xf>
    <xf numFmtId="4" fontId="0" fillId="0" borderId="11" xfId="0" applyNumberFormat="1" applyFont="1" applyFill="1" applyBorder="1" applyAlignment="1" applyProtection="1">
      <alignment/>
      <protection hidden="1"/>
    </xf>
    <xf numFmtId="4" fontId="0" fillId="0" borderId="11" xfId="0" applyNumberFormat="1" applyFont="1" applyFill="1" applyBorder="1" applyAlignment="1">
      <alignment/>
    </xf>
    <xf numFmtId="4" fontId="1" fillId="0" borderId="6" xfId="0" applyNumberFormat="1" applyFont="1" applyFill="1" applyBorder="1" applyAlignment="1">
      <alignment/>
    </xf>
    <xf numFmtId="4" fontId="0" fillId="0" borderId="0" xfId="0" applyNumberFormat="1" applyFont="1" applyFill="1" applyAlignment="1">
      <alignment/>
    </xf>
    <xf numFmtId="0" fontId="0" fillId="0" borderId="29" xfId="0" applyFont="1" applyFill="1" applyBorder="1" applyAlignment="1">
      <alignment/>
    </xf>
    <xf numFmtId="4" fontId="1" fillId="0" borderId="19" xfId="0" applyNumberFormat="1" applyFont="1" applyFill="1" applyBorder="1" applyAlignment="1">
      <alignment horizontal="center"/>
    </xf>
    <xf numFmtId="0" fontId="0" fillId="0" borderId="0" xfId="0" applyFont="1" applyFill="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20" xfId="0" applyNumberFormat="1" applyBorder="1" applyAlignment="1">
      <alignment/>
    </xf>
    <xf numFmtId="4" fontId="0" fillId="0" borderId="3" xfId="0" applyNumberFormat="1" applyBorder="1" applyAlignment="1">
      <alignment/>
    </xf>
    <xf numFmtId="4" fontId="0" fillId="0" borderId="25" xfId="0" applyNumberFormat="1" applyBorder="1" applyAlignment="1">
      <alignment/>
    </xf>
    <xf numFmtId="4" fontId="0" fillId="0" borderId="24" xfId="0" applyNumberFormat="1" applyBorder="1" applyAlignment="1">
      <alignment/>
    </xf>
    <xf numFmtId="4" fontId="1" fillId="0" borderId="12" xfId="0" applyNumberFormat="1" applyFont="1" applyBorder="1" applyAlignment="1">
      <alignment/>
    </xf>
    <xf numFmtId="4" fontId="0" fillId="0" borderId="13" xfId="0" applyNumberFormat="1" applyFont="1" applyBorder="1" applyAlignment="1">
      <alignment/>
    </xf>
    <xf numFmtId="4" fontId="1" fillId="0" borderId="13" xfId="0" applyNumberFormat="1" applyFont="1" applyBorder="1" applyAlignment="1">
      <alignment/>
    </xf>
    <xf numFmtId="4" fontId="1" fillId="0" borderId="14" xfId="0" applyNumberFormat="1" applyFont="1" applyBorder="1" applyAlignment="1">
      <alignment/>
    </xf>
    <xf numFmtId="4" fontId="14" fillId="0" borderId="0" xfId="0" applyNumberFormat="1" applyFont="1" applyBorder="1" applyAlignment="1">
      <alignment/>
    </xf>
    <xf numFmtId="3" fontId="1" fillId="0" borderId="18" xfId="0" applyNumberFormat="1" applyFont="1" applyBorder="1" applyAlignment="1">
      <alignment/>
    </xf>
    <xf numFmtId="3" fontId="1" fillId="0" borderId="19" xfId="0" applyNumberFormat="1" applyFont="1" applyBorder="1" applyAlignment="1">
      <alignment/>
    </xf>
    <xf numFmtId="3" fontId="1" fillId="0" borderId="11" xfId="0" applyNumberFormat="1" applyFont="1" applyBorder="1" applyAlignment="1">
      <alignment/>
    </xf>
    <xf numFmtId="3" fontId="1" fillId="0" borderId="6" xfId="0" applyNumberFormat="1" applyFont="1" applyBorder="1" applyAlignment="1">
      <alignment/>
    </xf>
    <xf numFmtId="3" fontId="14" fillId="7" borderId="0" xfId="0" applyNumberFormat="1" applyFont="1" applyFill="1" applyBorder="1" applyAlignment="1">
      <alignment/>
    </xf>
    <xf numFmtId="4" fontId="22" fillId="0" borderId="0" xfId="0" applyNumberFormat="1" applyFont="1" applyAlignment="1">
      <alignment/>
    </xf>
    <xf numFmtId="176" fontId="0" fillId="0" borderId="8" xfId="22" applyNumberFormat="1" applyBorder="1" applyAlignment="1">
      <alignment/>
    </xf>
    <xf numFmtId="176" fontId="0" fillId="0" borderId="5" xfId="22" applyNumberFormat="1" applyBorder="1" applyAlignment="1">
      <alignment/>
    </xf>
    <xf numFmtId="9" fontId="0" fillId="0" borderId="11" xfId="22" applyBorder="1" applyAlignment="1">
      <alignment/>
    </xf>
    <xf numFmtId="176" fontId="0" fillId="0" borderId="6" xfId="22" applyNumberFormat="1" applyBorder="1" applyAlignment="1">
      <alignment/>
    </xf>
    <xf numFmtId="10" fontId="0" fillId="0" borderId="0" xfId="0" applyNumberFormat="1" applyAlignment="1">
      <alignmen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9" fontId="0" fillId="0" borderId="8" xfId="22" applyBorder="1" applyAlignment="1">
      <alignment/>
    </xf>
    <xf numFmtId="9" fontId="0" fillId="0" borderId="8" xfId="22" applyNumberFormat="1" applyBorder="1" applyAlignment="1">
      <alignment/>
    </xf>
    <xf numFmtId="0" fontId="0" fillId="5" borderId="1" xfId="0" applyFill="1" applyBorder="1" applyAlignment="1">
      <alignment/>
    </xf>
    <xf numFmtId="4" fontId="0" fillId="5" borderId="8" xfId="0" applyNumberFormat="1" applyFill="1" applyBorder="1" applyAlignment="1">
      <alignment/>
    </xf>
    <xf numFmtId="9" fontId="0" fillId="5" borderId="8" xfId="22" applyFill="1" applyBorder="1" applyAlignment="1">
      <alignment/>
    </xf>
    <xf numFmtId="4" fontId="0" fillId="5" borderId="5" xfId="0" applyNumberFormat="1" applyFill="1" applyBorder="1" applyAlignment="1">
      <alignment/>
    </xf>
    <xf numFmtId="0" fontId="0" fillId="7" borderId="1" xfId="0" applyFill="1" applyBorder="1" applyAlignment="1">
      <alignment/>
    </xf>
    <xf numFmtId="4" fontId="0" fillId="7" borderId="8" xfId="0" applyNumberFormat="1" applyFill="1" applyBorder="1" applyAlignment="1">
      <alignment/>
    </xf>
    <xf numFmtId="9" fontId="0" fillId="7" borderId="8" xfId="22" applyFill="1" applyBorder="1" applyAlignment="1">
      <alignment/>
    </xf>
    <xf numFmtId="9" fontId="0" fillId="7" borderId="8" xfId="22" applyNumberFormat="1" applyFill="1" applyBorder="1" applyAlignment="1">
      <alignment/>
    </xf>
    <xf numFmtId="4" fontId="0" fillId="7" borderId="5" xfId="0" applyNumberFormat="1" applyFill="1" applyBorder="1" applyAlignment="1">
      <alignment/>
    </xf>
    <xf numFmtId="0" fontId="1" fillId="0" borderId="4" xfId="0" applyFont="1" applyBorder="1" applyAlignment="1">
      <alignment/>
    </xf>
    <xf numFmtId="9" fontId="1" fillId="0" borderId="11" xfId="22" applyFont="1" applyBorder="1" applyAlignment="1">
      <alignment/>
    </xf>
    <xf numFmtId="3" fontId="0" fillId="5" borderId="8" xfId="0" applyNumberFormat="1" applyFill="1" applyBorder="1" applyAlignment="1">
      <alignment/>
    </xf>
    <xf numFmtId="3" fontId="0" fillId="7" borderId="8" xfId="0" applyNumberFormat="1" applyFill="1" applyBorder="1" applyAlignment="1">
      <alignment/>
    </xf>
    <xf numFmtId="4" fontId="0" fillId="5" borderId="48" xfId="0" applyNumberFormat="1" applyFill="1" applyBorder="1" applyAlignment="1">
      <alignment/>
    </xf>
    <xf numFmtId="4" fontId="0" fillId="7" borderId="48" xfId="0" applyNumberFormat="1" applyFill="1" applyBorder="1" applyAlignment="1">
      <alignment/>
    </xf>
    <xf numFmtId="0" fontId="0" fillId="5" borderId="3" xfId="0" applyFill="1" applyBorder="1" applyAlignment="1">
      <alignment/>
    </xf>
    <xf numFmtId="4" fontId="0" fillId="5" borderId="25" xfId="0" applyNumberFormat="1" applyFill="1" applyBorder="1" applyAlignment="1">
      <alignment/>
    </xf>
    <xf numFmtId="9" fontId="0" fillId="5" borderId="25" xfId="22" applyFill="1" applyBorder="1" applyAlignment="1">
      <alignment/>
    </xf>
    <xf numFmtId="4" fontId="0" fillId="5" borderId="25" xfId="0" applyNumberFormat="1" applyFont="1" applyFill="1" applyBorder="1" applyAlignment="1">
      <alignment/>
    </xf>
    <xf numFmtId="4" fontId="0" fillId="5" borderId="49" xfId="0" applyNumberFormat="1" applyFill="1" applyBorder="1" applyAlignment="1">
      <alignment/>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0" fillId="5" borderId="17" xfId="0" applyFill="1" applyBorder="1" applyAlignment="1">
      <alignment/>
    </xf>
    <xf numFmtId="4" fontId="0" fillId="5" borderId="22" xfId="0" applyNumberFormat="1" applyFill="1" applyBorder="1" applyAlignment="1">
      <alignment/>
    </xf>
    <xf numFmtId="9" fontId="0" fillId="5" borderId="22" xfId="22" applyFill="1" applyBorder="1" applyAlignment="1">
      <alignment/>
    </xf>
    <xf numFmtId="4" fontId="0" fillId="5" borderId="22" xfId="0" applyNumberFormat="1" applyFont="1" applyFill="1" applyBorder="1" applyAlignment="1">
      <alignment/>
    </xf>
    <xf numFmtId="4" fontId="0" fillId="5" borderId="50" xfId="0" applyNumberFormat="1" applyFill="1" applyBorder="1" applyAlignment="1">
      <alignment/>
    </xf>
    <xf numFmtId="9" fontId="1" fillId="0" borderId="18" xfId="22" applyFont="1" applyBorder="1" applyAlignment="1">
      <alignment/>
    </xf>
    <xf numFmtId="3" fontId="0" fillId="5" borderId="25" xfId="0" applyNumberFormat="1" applyFill="1" applyBorder="1" applyAlignment="1">
      <alignment/>
    </xf>
    <xf numFmtId="4" fontId="0" fillId="5" borderId="24" xfId="0" applyNumberFormat="1" applyFill="1" applyBorder="1" applyAlignment="1">
      <alignment/>
    </xf>
    <xf numFmtId="0" fontId="0" fillId="7" borderId="17" xfId="0" applyFill="1" applyBorder="1" applyAlignment="1">
      <alignment/>
    </xf>
    <xf numFmtId="3" fontId="0" fillId="7" borderId="22" xfId="0" applyNumberFormat="1" applyFill="1" applyBorder="1" applyAlignment="1">
      <alignment/>
    </xf>
    <xf numFmtId="9" fontId="0" fillId="7" borderId="22" xfId="22" applyFill="1" applyBorder="1" applyAlignment="1">
      <alignment/>
    </xf>
    <xf numFmtId="4" fontId="0" fillId="7" borderId="22" xfId="0" applyNumberFormat="1" applyFill="1" applyBorder="1" applyAlignment="1">
      <alignment/>
    </xf>
    <xf numFmtId="4" fontId="0" fillId="7" borderId="23" xfId="0" applyNumberFormat="1" applyFill="1" applyBorder="1" applyAlignment="1">
      <alignment/>
    </xf>
    <xf numFmtId="176" fontId="0" fillId="7" borderId="8" xfId="22" applyNumberFormat="1" applyFill="1" applyBorder="1" applyAlignment="1">
      <alignment/>
    </xf>
    <xf numFmtId="176" fontId="0" fillId="7" borderId="5" xfId="22" applyNumberFormat="1" applyFill="1" applyBorder="1" applyAlignment="1">
      <alignment/>
    </xf>
    <xf numFmtId="0" fontId="0" fillId="3" borderId="7" xfId="0" applyFill="1" applyBorder="1" applyAlignment="1">
      <alignment/>
    </xf>
    <xf numFmtId="0" fontId="0" fillId="0" borderId="0" xfId="0" applyFill="1" applyBorder="1" applyAlignment="1">
      <alignment/>
    </xf>
    <xf numFmtId="3" fontId="0" fillId="0" borderId="22" xfId="0" applyNumberFormat="1" applyBorder="1" applyAlignment="1">
      <alignment/>
    </xf>
    <xf numFmtId="9" fontId="0" fillId="0" borderId="22" xfId="22" applyBorder="1" applyAlignment="1">
      <alignment/>
    </xf>
    <xf numFmtId="0" fontId="0" fillId="3" borderId="0" xfId="0" applyFill="1" applyBorder="1" applyAlignment="1">
      <alignment/>
    </xf>
    <xf numFmtId="0" fontId="0" fillId="3" borderId="0" xfId="0" applyFill="1" applyBorder="1" applyAlignment="1">
      <alignment horizontal="center"/>
    </xf>
    <xf numFmtId="43" fontId="0" fillId="3" borderId="0" xfId="19" applyFill="1" applyBorder="1" applyAlignment="1">
      <alignment/>
    </xf>
    <xf numFmtId="0" fontId="0" fillId="3" borderId="8" xfId="0" applyFill="1" applyBorder="1" applyAlignment="1">
      <alignment/>
    </xf>
    <xf numFmtId="0" fontId="1" fillId="3" borderId="8" xfId="0" applyFont="1" applyFill="1" applyBorder="1" applyAlignment="1">
      <alignment/>
    </xf>
    <xf numFmtId="43" fontId="0" fillId="3" borderId="8" xfId="0" applyNumberFormat="1" applyFont="1" applyFill="1" applyBorder="1" applyAlignment="1">
      <alignment/>
    </xf>
    <xf numFmtId="43" fontId="16" fillId="3" borderId="8" xfId="19" applyFont="1" applyFill="1" applyBorder="1" applyAlignment="1">
      <alignment/>
    </xf>
    <xf numFmtId="43" fontId="0" fillId="3" borderId="0" xfId="19" applyFont="1" applyFill="1" applyBorder="1" applyAlignment="1">
      <alignment/>
    </xf>
    <xf numFmtId="10" fontId="0" fillId="3" borderId="0" xfId="19" applyNumberFormat="1" applyFill="1" applyBorder="1" applyAlignment="1">
      <alignment/>
    </xf>
    <xf numFmtId="194" fontId="0" fillId="3" borderId="0" xfId="19" applyNumberFormat="1" applyFill="1" applyBorder="1" applyAlignment="1">
      <alignment/>
    </xf>
    <xf numFmtId="0" fontId="0" fillId="3" borderId="0" xfId="19" applyNumberFormat="1" applyFont="1" applyFill="1" applyBorder="1" applyAlignment="1">
      <alignment horizontal="center"/>
    </xf>
    <xf numFmtId="43" fontId="0" fillId="3" borderId="0" xfId="0" applyNumberFormat="1" applyFill="1" applyBorder="1" applyAlignment="1">
      <alignment/>
    </xf>
    <xf numFmtId="0" fontId="16" fillId="3" borderId="0" xfId="0" applyFont="1" applyFill="1" applyBorder="1" applyAlignment="1">
      <alignment/>
    </xf>
    <xf numFmtId="196" fontId="0" fillId="3" borderId="0" xfId="22" applyNumberFormat="1" applyFont="1" applyFill="1" applyBorder="1" applyAlignment="1">
      <alignment/>
    </xf>
    <xf numFmtId="10" fontId="0" fillId="3" borderId="8" xfId="19" applyNumberFormat="1" applyFill="1" applyBorder="1" applyAlignment="1">
      <alignment/>
    </xf>
    <xf numFmtId="194" fontId="0" fillId="3" borderId="0" xfId="19" applyNumberFormat="1" applyFont="1" applyFill="1" applyBorder="1" applyAlignment="1">
      <alignment/>
    </xf>
    <xf numFmtId="0" fontId="1" fillId="3" borderId="8" xfId="0" applyFont="1" applyFill="1" applyBorder="1" applyAlignment="1">
      <alignment/>
    </xf>
    <xf numFmtId="0" fontId="0" fillId="3" borderId="8" xfId="0" applyFont="1" applyFill="1" applyBorder="1" applyAlignment="1">
      <alignment/>
    </xf>
    <xf numFmtId="0" fontId="1" fillId="0" borderId="45" xfId="0" applyFont="1" applyFill="1" applyBorder="1" applyAlignment="1">
      <alignment/>
    </xf>
    <xf numFmtId="4" fontId="1" fillId="0" borderId="39" xfId="0" applyNumberFormat="1" applyFont="1" applyFill="1" applyBorder="1" applyAlignment="1">
      <alignment/>
    </xf>
    <xf numFmtId="4" fontId="1" fillId="0" borderId="40" xfId="0" applyNumberFormat="1" applyFont="1" applyFill="1" applyBorder="1" applyAlignment="1">
      <alignment/>
    </xf>
    <xf numFmtId="4" fontId="0" fillId="0" borderId="13" xfId="0" applyNumberFormat="1" applyFont="1" applyFill="1" applyBorder="1" applyAlignment="1">
      <alignment/>
    </xf>
    <xf numFmtId="4" fontId="0" fillId="0" borderId="14" xfId="0" applyNumberFormat="1" applyFont="1" applyFill="1" applyBorder="1" applyAlignment="1">
      <alignment/>
    </xf>
    <xf numFmtId="0" fontId="0" fillId="0" borderId="11" xfId="0" applyFont="1" applyFill="1" applyBorder="1" applyAlignment="1">
      <alignment/>
    </xf>
    <xf numFmtId="0" fontId="0" fillId="0" borderId="6" xfId="0" applyFont="1" applyFill="1" applyBorder="1" applyAlignment="1">
      <alignment/>
    </xf>
    <xf numFmtId="176" fontId="0" fillId="0" borderId="25" xfId="22" applyNumberFormat="1" applyBorder="1" applyAlignment="1">
      <alignment/>
    </xf>
    <xf numFmtId="176" fontId="0" fillId="0" borderId="24" xfId="22" applyNumberFormat="1" applyBorder="1" applyAlignment="1">
      <alignment/>
    </xf>
    <xf numFmtId="176" fontId="0" fillId="0" borderId="11" xfId="22" applyNumberFormat="1" applyBorder="1" applyAlignment="1">
      <alignment/>
    </xf>
    <xf numFmtId="0" fontId="23" fillId="0" borderId="0" xfId="0" applyFont="1" applyAlignment="1">
      <alignment/>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 xfId="0" applyFont="1" applyBorder="1" applyAlignment="1">
      <alignment/>
    </xf>
    <xf numFmtId="9" fontId="24" fillId="0" borderId="8" xfId="0" applyNumberFormat="1" applyFont="1" applyBorder="1" applyAlignment="1">
      <alignment horizontal="center"/>
    </xf>
    <xf numFmtId="0" fontId="23" fillId="0" borderId="8" xfId="0" applyFont="1" applyBorder="1" applyAlignment="1">
      <alignment/>
    </xf>
    <xf numFmtId="0" fontId="23" fillId="0" borderId="5" xfId="0" applyFont="1" applyBorder="1" applyAlignment="1">
      <alignment/>
    </xf>
    <xf numFmtId="0" fontId="23" fillId="0" borderId="1" xfId="0" applyFont="1" applyBorder="1" applyAlignment="1">
      <alignment/>
    </xf>
    <xf numFmtId="9" fontId="23" fillId="0" borderId="8" xfId="0" applyNumberFormat="1" applyFont="1" applyBorder="1" applyAlignment="1">
      <alignment horizontal="center"/>
    </xf>
    <xf numFmtId="0" fontId="23" fillId="0" borderId="4" xfId="0" applyFont="1" applyFill="1" applyBorder="1" applyAlignment="1">
      <alignment/>
    </xf>
    <xf numFmtId="0" fontId="24" fillId="0" borderId="6" xfId="0" applyFont="1" applyFill="1" applyBorder="1" applyAlignment="1">
      <alignment horizontal="center"/>
    </xf>
    <xf numFmtId="0" fontId="24" fillId="0" borderId="0" xfId="0" applyFont="1" applyAlignment="1">
      <alignment/>
    </xf>
    <xf numFmtId="4" fontId="0" fillId="0" borderId="3" xfId="0" applyNumberFormat="1" applyFont="1" applyBorder="1" applyAlignment="1">
      <alignment/>
    </xf>
    <xf numFmtId="4" fontId="0" fillId="0" borderId="25" xfId="0" applyNumberFormat="1" applyFont="1" applyBorder="1" applyAlignment="1">
      <alignment/>
    </xf>
    <xf numFmtId="4" fontId="0" fillId="0" borderId="24" xfId="0" applyNumberFormat="1" applyFont="1" applyBorder="1" applyAlignment="1">
      <alignment/>
    </xf>
    <xf numFmtId="4" fontId="0" fillId="0" borderId="4" xfId="0" applyNumberFormat="1" applyFont="1" applyBorder="1" applyAlignment="1">
      <alignment/>
    </xf>
    <xf numFmtId="4" fontId="0" fillId="0" borderId="11" xfId="0" applyNumberFormat="1" applyFont="1" applyBorder="1" applyAlignment="1">
      <alignment/>
    </xf>
    <xf numFmtId="4" fontId="0" fillId="0" borderId="6" xfId="0" applyNumberFormat="1" applyFont="1" applyBorder="1" applyAlignment="1">
      <alignment/>
    </xf>
    <xf numFmtId="0" fontId="0" fillId="0" borderId="30" xfId="0" applyFont="1" applyBorder="1" applyAlignment="1">
      <alignment/>
    </xf>
    <xf numFmtId="10" fontId="1" fillId="0" borderId="32" xfId="22" applyNumberFormat="1" applyFont="1" applyFill="1" applyBorder="1" applyAlignment="1">
      <alignment/>
    </xf>
    <xf numFmtId="10" fontId="0" fillId="0" borderId="20" xfId="22" applyNumberFormat="1" applyFont="1" applyFill="1" applyBorder="1" applyAlignment="1">
      <alignment/>
    </xf>
    <xf numFmtId="10" fontId="0" fillId="0" borderId="10" xfId="22" applyNumberFormat="1" applyFont="1" applyFill="1" applyBorder="1" applyAlignment="1">
      <alignment/>
    </xf>
    <xf numFmtId="0" fontId="9" fillId="5" borderId="1" xfId="0" applyFont="1" applyFill="1" applyBorder="1" applyAlignment="1">
      <alignment/>
    </xf>
    <xf numFmtId="0" fontId="9" fillId="5" borderId="8" xfId="0" applyFont="1" applyFill="1" applyBorder="1" applyAlignment="1">
      <alignment horizontal="center"/>
    </xf>
    <xf numFmtId="10" fontId="9" fillId="5" borderId="8" xfId="0" applyNumberFormat="1" applyFont="1" applyFill="1" applyBorder="1" applyAlignment="1">
      <alignment horizontal="center"/>
    </xf>
    <xf numFmtId="0" fontId="9" fillId="5" borderId="5" xfId="0" applyFont="1" applyFill="1" applyBorder="1" applyAlignment="1">
      <alignment horizontal="center"/>
    </xf>
    <xf numFmtId="0" fontId="1" fillId="0" borderId="0" xfId="0" applyFont="1" applyFill="1" applyAlignment="1">
      <alignment/>
    </xf>
    <xf numFmtId="198" fontId="22" fillId="0" borderId="0" xfId="0" applyNumberFormat="1" applyFont="1" applyAlignment="1">
      <alignment/>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0" xfId="0" applyFont="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0" xfId="0" applyFont="1" applyFill="1" applyBorder="1" applyAlignment="1">
      <alignment horizontal="justify" vertical="center"/>
    </xf>
    <xf numFmtId="4" fontId="0" fillId="0" borderId="51" xfId="0" applyNumberFormat="1" applyFont="1" applyBorder="1" applyAlignment="1">
      <alignment horizontal="center"/>
    </xf>
    <xf numFmtId="4" fontId="0" fillId="0" borderId="52" xfId="0" applyNumberFormat="1" applyFont="1" applyBorder="1" applyAlignment="1">
      <alignment horizontal="center"/>
    </xf>
    <xf numFmtId="4" fontId="0" fillId="0" borderId="50" xfId="0" applyNumberFormat="1" applyFont="1" applyBorder="1" applyAlignment="1">
      <alignment horizontal="center"/>
    </xf>
    <xf numFmtId="4" fontId="0" fillId="0" borderId="53" xfId="0" applyNumberFormat="1" applyFont="1" applyBorder="1" applyAlignment="1">
      <alignment horizontal="center"/>
    </xf>
    <xf numFmtId="4" fontId="0" fillId="0" borderId="0" xfId="0" applyNumberFormat="1" applyFont="1" applyBorder="1" applyAlignment="1">
      <alignment horizontal="center"/>
    </xf>
    <xf numFmtId="4" fontId="0" fillId="0" borderId="28" xfId="0" applyNumberFormat="1" applyFont="1" applyBorder="1" applyAlignment="1">
      <alignment horizontal="center"/>
    </xf>
    <xf numFmtId="4" fontId="0" fillId="0" borderId="54" xfId="0" applyNumberFormat="1" applyFont="1" applyBorder="1" applyAlignment="1">
      <alignment horizontal="center"/>
    </xf>
    <xf numFmtId="0" fontId="1"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6" xfId="0" applyFont="1" applyFill="1" applyBorder="1" applyAlignment="1">
      <alignment horizontal="center"/>
    </xf>
    <xf numFmtId="0" fontId="1" fillId="0" borderId="47" xfId="0" applyFont="1" applyFill="1" applyBorder="1" applyAlignment="1">
      <alignment horizontal="center"/>
    </xf>
    <xf numFmtId="4" fontId="1" fillId="0" borderId="16"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Fill="1" applyBorder="1" applyAlignment="1">
      <alignment horizontal="center"/>
    </xf>
    <xf numFmtId="0" fontId="0" fillId="0" borderId="10" xfId="0" applyFont="1" applyBorder="1" applyAlignment="1">
      <alignment/>
    </xf>
    <xf numFmtId="0" fontId="0" fillId="0" borderId="10" xfId="0" applyFont="1" applyBorder="1" applyAlignment="1">
      <alignment/>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43" fontId="0" fillId="3" borderId="8" xfId="19" applyFont="1" applyFill="1" applyBorder="1" applyAlignment="1">
      <alignment/>
    </xf>
    <xf numFmtId="194" fontId="0" fillId="3" borderId="8" xfId="19" applyNumberFormat="1" applyFont="1" applyFill="1" applyBorder="1" applyAlignment="1">
      <alignment/>
    </xf>
    <xf numFmtId="43" fontId="0" fillId="3" borderId="8" xfId="0" applyNumberFormat="1" applyFont="1" applyFill="1" applyBorder="1" applyAlignment="1">
      <alignment/>
    </xf>
    <xf numFmtId="0" fontId="1" fillId="0" borderId="0" xfId="0" applyFont="1" applyAlignment="1">
      <alignment horizontal="center"/>
    </xf>
    <xf numFmtId="0" fontId="8" fillId="0" borderId="0" xfId="0" applyFont="1" applyAlignment="1">
      <alignment horizontal="center" wrapText="1"/>
    </xf>
    <xf numFmtId="0" fontId="1" fillId="0" borderId="12" xfId="0"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9" fillId="0" borderId="0" xfId="0" applyFont="1" applyAlignment="1">
      <alignment horizontal="left" wrapText="1"/>
    </xf>
    <xf numFmtId="0" fontId="8" fillId="0" borderId="0" xfId="0" applyFont="1" applyAlignment="1">
      <alignment horizontal="center"/>
    </xf>
    <xf numFmtId="0" fontId="0" fillId="0" borderId="0" xfId="0" applyAlignment="1">
      <alignment/>
    </xf>
    <xf numFmtId="0" fontId="1" fillId="0" borderId="20" xfId="0" applyFont="1" applyFill="1" applyBorder="1" applyAlignment="1">
      <alignment horizontal="center"/>
    </xf>
    <xf numFmtId="0" fontId="1" fillId="0" borderId="19" xfId="0" applyFont="1" applyFill="1" applyBorder="1" applyAlignment="1">
      <alignment horizontal="center"/>
    </xf>
    <xf numFmtId="0" fontId="1" fillId="0" borderId="43" xfId="0" applyFont="1" applyFill="1" applyBorder="1" applyAlignment="1">
      <alignment horizontal="center"/>
    </xf>
    <xf numFmtId="0" fontId="1" fillId="0" borderId="48" xfId="0" applyFont="1" applyFill="1" applyBorder="1" applyAlignment="1">
      <alignment horizontal="center"/>
    </xf>
    <xf numFmtId="0" fontId="1" fillId="0" borderId="44" xfId="0" applyFont="1" applyFill="1" applyBorder="1" applyAlignment="1">
      <alignment horizontal="center"/>
    </xf>
    <xf numFmtId="0" fontId="1" fillId="0" borderId="55" xfId="0" applyFont="1" applyFill="1" applyBorder="1" applyAlignment="1">
      <alignment horizontal="center"/>
    </xf>
    <xf numFmtId="0" fontId="1" fillId="0" borderId="0" xfId="0" applyFont="1" applyFill="1" applyAlignment="1">
      <alignment horizontal="center"/>
    </xf>
    <xf numFmtId="4" fontId="14" fillId="0" borderId="0" xfId="0" applyNumberFormat="1" applyFont="1" applyFill="1" applyAlignment="1">
      <alignment horizontal="center"/>
    </xf>
    <xf numFmtId="4" fontId="0" fillId="0" borderId="2" xfId="0" applyNumberFormat="1" applyFont="1" applyBorder="1" applyAlignment="1">
      <alignment horizontal="left" vertical="center" wrapText="1"/>
    </xf>
    <xf numFmtId="4" fontId="0" fillId="0" borderId="0" xfId="0" applyNumberFormat="1" applyFont="1" applyBorder="1" applyAlignment="1">
      <alignment horizontal="left" vertical="center" wrapText="1"/>
    </xf>
    <xf numFmtId="4" fontId="0" fillId="0" borderId="28" xfId="0" applyNumberFormat="1" applyFont="1" applyBorder="1" applyAlignment="1">
      <alignment horizontal="left" vertical="center" wrapText="1"/>
    </xf>
    <xf numFmtId="4" fontId="1" fillId="0" borderId="0" xfId="0" applyNumberFormat="1" applyFont="1" applyAlignment="1">
      <alignment horizontal="center"/>
    </xf>
    <xf numFmtId="4" fontId="1" fillId="0" borderId="30" xfId="0" applyNumberFormat="1" applyFont="1" applyBorder="1" applyAlignment="1">
      <alignment horizontal="left" vertical="center" wrapText="1"/>
    </xf>
    <xf numFmtId="4" fontId="0" fillId="0" borderId="26" xfId="0" applyNumberFormat="1" applyFont="1" applyBorder="1" applyAlignment="1">
      <alignment horizontal="left"/>
    </xf>
    <xf numFmtId="4" fontId="14" fillId="0" borderId="0" xfId="0" applyNumberFormat="1" applyFont="1" applyAlignment="1">
      <alignment horizontal="center"/>
    </xf>
    <xf numFmtId="4" fontId="1" fillId="0" borderId="45" xfId="0" applyNumberFormat="1" applyFont="1" applyBorder="1" applyAlignment="1">
      <alignment horizontal="center" vertical="center" wrapText="1"/>
    </xf>
    <xf numFmtId="4" fontId="1" fillId="0" borderId="46" xfId="0" applyNumberFormat="1" applyFont="1" applyBorder="1" applyAlignment="1">
      <alignment horizontal="center" vertical="center" wrapText="1"/>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2" xfId="0" applyFont="1" applyFill="1" applyBorder="1" applyAlignment="1">
      <alignment horizontal="center" vertical="center" wrapText="1"/>
    </xf>
    <xf numFmtId="4" fontId="0" fillId="0" borderId="21" xfId="0" applyNumberFormat="1" applyFont="1" applyBorder="1" applyAlignment="1">
      <alignment horizontal="center"/>
    </xf>
    <xf numFmtId="4" fontId="0" fillId="0" borderId="49" xfId="0" applyNumberFormat="1" applyFont="1" applyBorder="1" applyAlignment="1">
      <alignment horizontal="center"/>
    </xf>
    <xf numFmtId="4" fontId="1" fillId="0" borderId="0" xfId="0" applyNumberFormat="1" applyFont="1" applyBorder="1" applyAlignment="1">
      <alignment horizontal="center"/>
    </xf>
    <xf numFmtId="0" fontId="1"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0" applyFont="1" applyBorder="1" applyAlignment="1">
      <alignment horizontal="center" wrapText="1"/>
    </xf>
    <xf numFmtId="0" fontId="1" fillId="0" borderId="16" xfId="0" applyFont="1" applyBorder="1" applyAlignment="1">
      <alignment horizont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7" xfId="0" applyFont="1" applyFill="1" applyBorder="1" applyAlignment="1">
      <alignment horizontal="center"/>
    </xf>
    <xf numFmtId="0" fontId="1" fillId="0" borderId="22" xfId="0" applyFont="1" applyFill="1" applyBorder="1" applyAlignment="1">
      <alignment horizontal="center"/>
    </xf>
    <xf numFmtId="4" fontId="1" fillId="0" borderId="30" xfId="0" applyNumberFormat="1" applyFont="1" applyBorder="1" applyAlignment="1">
      <alignment horizontal="center"/>
    </xf>
    <xf numFmtId="4" fontId="1" fillId="0" borderId="26" xfId="0" applyNumberFormat="1" applyFont="1" applyBorder="1" applyAlignment="1">
      <alignment horizontal="center"/>
    </xf>
    <xf numFmtId="4" fontId="1" fillId="0" borderId="33" xfId="0" applyNumberFormat="1" applyFont="1" applyBorder="1" applyAlignment="1">
      <alignment horizontal="center"/>
    </xf>
    <xf numFmtId="4" fontId="1" fillId="0" borderId="2" xfId="0" applyNumberFormat="1" applyFont="1" applyBorder="1" applyAlignment="1">
      <alignment horizontal="center"/>
    </xf>
    <xf numFmtId="4" fontId="1" fillId="0" borderId="0" xfId="0" applyNumberFormat="1" applyFont="1" applyBorder="1" applyAlignment="1">
      <alignment horizontal="center"/>
    </xf>
    <xf numFmtId="4" fontId="1" fillId="0" borderId="28" xfId="0" applyNumberFormat="1" applyFont="1" applyBorder="1" applyAlignment="1">
      <alignment horizontal="center"/>
    </xf>
    <xf numFmtId="4" fontId="1" fillId="0" borderId="2" xfId="0" applyNumberFormat="1" applyFont="1" applyBorder="1" applyAlignment="1">
      <alignment horizontal="center"/>
    </xf>
    <xf numFmtId="4" fontId="1" fillId="0" borderId="28" xfId="0" applyNumberFormat="1" applyFont="1" applyBorder="1" applyAlignment="1">
      <alignment horizontal="center"/>
    </xf>
    <xf numFmtId="0" fontId="1" fillId="0" borderId="13" xfId="0" applyFont="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4" fontId="0" fillId="0" borderId="25" xfId="0" applyNumberFormat="1" applyFont="1" applyFill="1" applyBorder="1" applyAlignment="1">
      <alignment horizontal="right"/>
    </xf>
    <xf numFmtId="4" fontId="0" fillId="0" borderId="8" xfId="0" applyNumberFormat="1" applyFont="1" applyFill="1" applyBorder="1" applyAlignment="1">
      <alignment horizontal="right"/>
    </xf>
    <xf numFmtId="179" fontId="0" fillId="0" borderId="25" xfId="0" applyNumberFormat="1" applyFont="1" applyFill="1" applyBorder="1" applyAlignment="1">
      <alignment horizontal="right"/>
    </xf>
    <xf numFmtId="179" fontId="0" fillId="0" borderId="8" xfId="0" applyNumberFormat="1" applyFont="1" applyFill="1" applyBorder="1" applyAlignment="1">
      <alignment horizontal="right"/>
    </xf>
    <xf numFmtId="4" fontId="0" fillId="0" borderId="53" xfId="0" applyNumberFormat="1" applyFont="1" applyFill="1" applyBorder="1" applyAlignment="1">
      <alignment horizontal="right"/>
    </xf>
    <xf numFmtId="0" fontId="0" fillId="0" borderId="53" xfId="0" applyFont="1" applyFill="1" applyBorder="1" applyAlignment="1">
      <alignment/>
    </xf>
    <xf numFmtId="0" fontId="0" fillId="0" borderId="54" xfId="0" applyFont="1" applyFill="1" applyBorder="1" applyAlignment="1">
      <alignment/>
    </xf>
    <xf numFmtId="4" fontId="1" fillId="0" borderId="30" xfId="0" applyNumberFormat="1" applyFont="1" applyBorder="1" applyAlignment="1">
      <alignment horizontal="center"/>
    </xf>
    <xf numFmtId="4" fontId="1" fillId="0" borderId="26" xfId="0" applyNumberFormat="1" applyFont="1" applyBorder="1" applyAlignment="1">
      <alignment horizontal="center"/>
    </xf>
    <xf numFmtId="4" fontId="1" fillId="0" borderId="33" xfId="0" applyNumberFormat="1" applyFont="1" applyBorder="1" applyAlignment="1">
      <alignment horizontal="center"/>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4" fontId="1" fillId="0" borderId="34" xfId="0" applyNumberFormat="1" applyFont="1" applyBorder="1" applyAlignment="1">
      <alignment horizontal="center"/>
    </xf>
    <xf numFmtId="4" fontId="1" fillId="0" borderId="1" xfId="0" applyNumberFormat="1" applyFont="1" applyBorder="1" applyAlignment="1">
      <alignment horizontal="right"/>
    </xf>
    <xf numFmtId="4" fontId="1" fillId="0" borderId="8" xfId="0" applyNumberFormat="1" applyFont="1" applyBorder="1" applyAlignment="1">
      <alignment horizontal="right"/>
    </xf>
    <xf numFmtId="4" fontId="1" fillId="0" borderId="4" xfId="0" applyNumberFormat="1" applyFont="1" applyBorder="1" applyAlignment="1">
      <alignment horizontal="right"/>
    </xf>
    <xf numFmtId="4" fontId="1" fillId="0" borderId="11" xfId="0" applyNumberFormat="1" applyFont="1" applyBorder="1" applyAlignment="1">
      <alignment horizontal="right"/>
    </xf>
    <xf numFmtId="4" fontId="1" fillId="0" borderId="43" xfId="0" applyNumberFormat="1" applyFont="1" applyBorder="1" applyAlignment="1">
      <alignment horizontal="center"/>
    </xf>
    <xf numFmtId="4" fontId="1" fillId="0" borderId="56" xfId="0" applyNumberFormat="1" applyFont="1" applyBorder="1" applyAlignment="1">
      <alignment horizontal="center"/>
    </xf>
    <xf numFmtId="4" fontId="1" fillId="0" borderId="48" xfId="0" applyNumberFormat="1" applyFont="1" applyBorder="1" applyAlignment="1">
      <alignment horizontal="center"/>
    </xf>
    <xf numFmtId="4" fontId="1" fillId="0" borderId="1" xfId="0" applyNumberFormat="1" applyFont="1" applyBorder="1" applyAlignment="1">
      <alignment horizontal="center"/>
    </xf>
    <xf numFmtId="4" fontId="1" fillId="0" borderId="8" xfId="0" applyNumberFormat="1" applyFont="1" applyBorder="1" applyAlignment="1">
      <alignment horizontal="center"/>
    </xf>
    <xf numFmtId="4" fontId="1" fillId="0" borderId="5" xfId="0" applyNumberFormat="1" applyFont="1" applyBorder="1" applyAlignment="1">
      <alignment horizontal="center"/>
    </xf>
    <xf numFmtId="0" fontId="1" fillId="3" borderId="0" xfId="0" applyFont="1" applyFill="1" applyBorder="1" applyAlignment="1">
      <alignment horizontal="center"/>
    </xf>
    <xf numFmtId="0" fontId="24" fillId="0" borderId="11" xfId="0" applyFont="1" applyBorder="1" applyAlignment="1">
      <alignment horizontal="right"/>
    </xf>
    <xf numFmtId="0" fontId="24" fillId="0" borderId="0" xfId="0" applyFont="1" applyAlignment="1">
      <alignment horizontal="center"/>
    </xf>
  </cellXfs>
  <cellStyles count="9">
    <cellStyle name="Normal" xfId="0"/>
    <cellStyle name="Hyperlink" xfId="15"/>
    <cellStyle name="Followed Hyperlink" xfId="16"/>
    <cellStyle name="Comma" xfId="17"/>
    <cellStyle name="Comma [0]" xfId="18"/>
    <cellStyle name="Millares_ej emision oblig ejemplo amazonas"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PROYECCIÓN DE VENTAS DE CAFÉ CONVENCIONAL Y CERTIFICADO</a:t>
            </a:r>
          </a:p>
        </c:rich>
      </c:tx>
      <c:layout/>
      <c:spPr>
        <a:noFill/>
        <a:ln>
          <a:noFill/>
        </a:ln>
      </c:spPr>
    </c:title>
    <c:plotArea>
      <c:layout>
        <c:manualLayout>
          <c:xMode val="edge"/>
          <c:yMode val="edge"/>
          <c:x val="0.04175"/>
          <c:y val="0.118"/>
          <c:w val="0.90175"/>
          <c:h val="0.8145"/>
        </c:manualLayout>
      </c:layout>
      <c:lineChart>
        <c:grouping val="standard"/>
        <c:varyColors val="0"/>
        <c:ser>
          <c:idx val="0"/>
          <c:order val="0"/>
          <c:tx>
            <c:strRef>
              <c:f>'COSTO COMPRA DE PRODUCTO'!$C$7</c:f>
              <c:strCache>
                <c:ptCount val="1"/>
                <c:pt idx="0">
                  <c:v>Café Convencional qq</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'COSTO COMPRA DE PRODUCTO'!$D$4:$I$4</c:f>
              <c:numCache>
                <c:ptCount val="6"/>
                <c:pt idx="0">
                  <c:v>2008</c:v>
                </c:pt>
                <c:pt idx="1">
                  <c:v>2009</c:v>
                </c:pt>
                <c:pt idx="2">
                  <c:v>2010</c:v>
                </c:pt>
                <c:pt idx="3">
                  <c:v>2011</c:v>
                </c:pt>
                <c:pt idx="4">
                  <c:v>2012</c:v>
                </c:pt>
                <c:pt idx="5">
                  <c:v>2013</c:v>
                </c:pt>
              </c:numCache>
            </c:numRef>
          </c:cat>
          <c:val>
            <c:numRef>
              <c:f>'COSTO COMPRA DE PRODUCTO'!$D$7:$I$7</c:f>
              <c:numCache>
                <c:ptCount val="6"/>
                <c:pt idx="0">
                  <c:v>44945</c:v>
                </c:pt>
                <c:pt idx="1">
                  <c:v>60600</c:v>
                </c:pt>
                <c:pt idx="2">
                  <c:v>52267.5</c:v>
                </c:pt>
                <c:pt idx="3">
                  <c:v>43120.6875</c:v>
                </c:pt>
                <c:pt idx="4">
                  <c:v>26351.531250000007</c:v>
                </c:pt>
                <c:pt idx="5">
                  <c:v>23189.347500000003</c:v>
                </c:pt>
              </c:numCache>
            </c:numRef>
          </c:val>
          <c:smooth val="0"/>
        </c:ser>
        <c:ser>
          <c:idx val="1"/>
          <c:order val="1"/>
          <c:tx>
            <c:strRef>
              <c:f>'COSTO COMPRA DE PRODUCTO'!$C$8</c:f>
              <c:strCache>
                <c:ptCount val="1"/>
                <c:pt idx="0">
                  <c:v>Café Certificado qq</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'COSTO COMPRA DE PRODUCTO'!$D$4:$I$4</c:f>
              <c:numCache>
                <c:ptCount val="6"/>
                <c:pt idx="0">
                  <c:v>2008</c:v>
                </c:pt>
                <c:pt idx="1">
                  <c:v>2009</c:v>
                </c:pt>
                <c:pt idx="2">
                  <c:v>2010</c:v>
                </c:pt>
                <c:pt idx="3">
                  <c:v>2011</c:v>
                </c:pt>
                <c:pt idx="4">
                  <c:v>2012</c:v>
                </c:pt>
                <c:pt idx="5">
                  <c:v>2013</c:v>
                </c:pt>
              </c:numCache>
            </c:numRef>
          </c:cat>
          <c:val>
            <c:numRef>
              <c:f>'COSTO COMPRA DE PRODUCTO'!$D$8:$I$8</c:f>
              <c:numCache>
                <c:ptCount val="6"/>
                <c:pt idx="0">
                  <c:v>5555</c:v>
                </c:pt>
                <c:pt idx="1">
                  <c:v>15150</c:v>
                </c:pt>
                <c:pt idx="2">
                  <c:v>34845</c:v>
                </c:pt>
                <c:pt idx="3">
                  <c:v>52703.062500000015</c:v>
                </c:pt>
                <c:pt idx="4">
                  <c:v>79054.59375000003</c:v>
                </c:pt>
                <c:pt idx="5">
                  <c:v>92757.39000000004</c:v>
                </c:pt>
              </c:numCache>
            </c:numRef>
          </c:val>
          <c:smooth val="0"/>
        </c:ser>
        <c:marker val="1"/>
        <c:axId val="43530835"/>
        <c:axId val="56233196"/>
      </c:lineChart>
      <c:catAx>
        <c:axId val="43530835"/>
        <c:scaling>
          <c:orientation val="minMax"/>
        </c:scaling>
        <c:axPos val="b"/>
        <c:title>
          <c:tx>
            <c:rich>
              <a:bodyPr vert="horz" rot="0" anchor="ctr"/>
              <a:lstStyle/>
              <a:p>
                <a:pPr algn="ctr">
                  <a:defRPr/>
                </a:pPr>
                <a:r>
                  <a:rPr lang="en-US" cap="none" sz="1150" b="1" i="0" u="none" baseline="0">
                    <a:latin typeface="Arial"/>
                    <a:ea typeface="Arial"/>
                    <a:cs typeface="Arial"/>
                  </a:rPr>
                  <a:t>CAMPAÑA</a:t>
                </a:r>
              </a:p>
            </c:rich>
          </c:tx>
          <c:layout/>
          <c:overlay val="0"/>
          <c:spPr>
            <a:noFill/>
            <a:ln>
              <a:noFill/>
            </a:ln>
          </c:spPr>
        </c:title>
        <c:delete val="0"/>
        <c:numFmt formatCode="General" sourceLinked="1"/>
        <c:majorTickMark val="out"/>
        <c:minorTickMark val="none"/>
        <c:tickLblPos val="nextTo"/>
        <c:txPr>
          <a:bodyPr/>
          <a:lstStyle/>
          <a:p>
            <a:pPr>
              <a:defRPr lang="en-US" cap="none" sz="1150" b="1" i="0" u="none" baseline="0">
                <a:latin typeface="Arial"/>
                <a:ea typeface="Arial"/>
                <a:cs typeface="Arial"/>
              </a:defRPr>
            </a:pPr>
          </a:p>
        </c:txPr>
        <c:crossAx val="56233196"/>
        <c:crosses val="autoZero"/>
        <c:auto val="1"/>
        <c:lblOffset val="100"/>
        <c:noMultiLvlLbl val="0"/>
      </c:catAx>
      <c:valAx>
        <c:axId val="56233196"/>
        <c:scaling>
          <c:orientation val="minMax"/>
        </c:scaling>
        <c:axPos val="l"/>
        <c:title>
          <c:tx>
            <c:rich>
              <a:bodyPr vert="horz" rot="-5400000" anchor="ctr"/>
              <a:lstStyle/>
              <a:p>
                <a:pPr algn="ctr">
                  <a:defRPr/>
                </a:pPr>
                <a:r>
                  <a:rPr lang="en-US" cap="none" sz="1150" b="1" i="0" u="none" baseline="0">
                    <a:latin typeface="Arial"/>
                    <a:ea typeface="Arial"/>
                    <a:cs typeface="Arial"/>
                  </a:rPr>
                  <a:t>QQ</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50" b="1" i="0" u="none" baseline="0">
                <a:latin typeface="Arial"/>
                <a:ea typeface="Arial"/>
                <a:cs typeface="Arial"/>
              </a:defRPr>
            </a:pPr>
          </a:p>
        </c:txPr>
        <c:crossAx val="43530835"/>
        <c:crossesAt val="1"/>
        <c:crossBetween val="between"/>
        <c:dispUnits/>
      </c:valAx>
      <c:spPr>
        <a:solidFill>
          <a:srgbClr val="C0C0C0"/>
        </a:solidFill>
        <a:ln w="12700">
          <a:solidFill>
            <a:srgbClr val="808080"/>
          </a:solidFill>
        </a:ln>
      </c:spPr>
    </c:plotArea>
    <c:legend>
      <c:legendPos val="r"/>
      <c:layout>
        <c:manualLayout>
          <c:xMode val="edge"/>
          <c:yMode val="edge"/>
          <c:x val="0.42925"/>
          <c:y val="0.196"/>
          <c:w val="0.211"/>
          <c:h val="0.1012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400050</xdr:colOff>
      <xdr:row>2</xdr:row>
      <xdr:rowOff>38100</xdr:rowOff>
    </xdr:from>
    <xdr:to>
      <xdr:col>11</xdr:col>
      <xdr:colOff>409575</xdr:colOff>
      <xdr:row>15</xdr:row>
      <xdr:rowOff>57150</xdr:rowOff>
    </xdr:to>
    <xdr:pic>
      <xdr:nvPicPr>
        <xdr:cNvPr id="1" name="Picture 1"/>
        <xdr:cNvPicPr preferRelativeResize="1">
          <a:picLocks noChangeAspect="1"/>
        </xdr:cNvPicPr>
      </xdr:nvPicPr>
      <xdr:blipFill>
        <a:blip r:embed="rId1"/>
        <a:stretch>
          <a:fillRect/>
        </a:stretch>
      </xdr:blipFill>
      <xdr:spPr>
        <a:xfrm>
          <a:off x="7038975" y="361950"/>
          <a:ext cx="3429000" cy="2143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942975</xdr:colOff>
      <xdr:row>51</xdr:row>
      <xdr:rowOff>85725</xdr:rowOff>
    </xdr:from>
    <xdr:to>
      <xdr:col>7</xdr:col>
      <xdr:colOff>495300</xdr:colOff>
      <xdr:row>72</xdr:row>
      <xdr:rowOff>133350</xdr:rowOff>
    </xdr:to>
    <xdr:pic>
      <xdr:nvPicPr>
        <xdr:cNvPr id="1" name="Picture 88"/>
        <xdr:cNvPicPr preferRelativeResize="1">
          <a:picLocks noChangeAspect="1"/>
        </xdr:cNvPicPr>
      </xdr:nvPicPr>
      <xdr:blipFill>
        <a:blip r:embed="rId1"/>
        <a:stretch>
          <a:fillRect/>
        </a:stretch>
      </xdr:blipFill>
      <xdr:spPr>
        <a:xfrm>
          <a:off x="1447800" y="8905875"/>
          <a:ext cx="5886450" cy="3448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704850</xdr:colOff>
      <xdr:row>36</xdr:row>
      <xdr:rowOff>76200</xdr:rowOff>
    </xdr:from>
    <xdr:to>
      <xdr:col>15</xdr:col>
      <xdr:colOff>752475</xdr:colOff>
      <xdr:row>72</xdr:row>
      <xdr:rowOff>123825</xdr:rowOff>
    </xdr:to>
    <xdr:pic>
      <xdr:nvPicPr>
        <xdr:cNvPr id="1" name="Picture 6"/>
        <xdr:cNvPicPr preferRelativeResize="1">
          <a:picLocks noChangeAspect="1"/>
        </xdr:cNvPicPr>
      </xdr:nvPicPr>
      <xdr:blipFill>
        <a:blip r:embed="rId1"/>
        <a:stretch>
          <a:fillRect/>
        </a:stretch>
      </xdr:blipFill>
      <xdr:spPr>
        <a:xfrm>
          <a:off x="7896225" y="4638675"/>
          <a:ext cx="8753475" cy="5876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1076325</xdr:colOff>
      <xdr:row>6</xdr:row>
      <xdr:rowOff>152400</xdr:rowOff>
    </xdr:from>
    <xdr:to>
      <xdr:col>3</xdr:col>
      <xdr:colOff>1095375</xdr:colOff>
      <xdr:row>8</xdr:row>
      <xdr:rowOff>9525</xdr:rowOff>
    </xdr:to>
    <xdr:sp>
      <xdr:nvSpPr>
        <xdr:cNvPr id="1" name="Line 1"/>
        <xdr:cNvSpPr>
          <a:spLocks/>
        </xdr:cNvSpPr>
      </xdr:nvSpPr>
      <xdr:spPr>
        <a:xfrm>
          <a:off x="5867400" y="1714500"/>
          <a:ext cx="190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1095375</xdr:colOff>
      <xdr:row>8</xdr:row>
      <xdr:rowOff>0</xdr:rowOff>
    </xdr:from>
    <xdr:to>
      <xdr:col>4</xdr:col>
      <xdr:colOff>1095375</xdr:colOff>
      <xdr:row>8</xdr:row>
      <xdr:rowOff>85725</xdr:rowOff>
    </xdr:to>
    <xdr:sp>
      <xdr:nvSpPr>
        <xdr:cNvPr id="2" name="Line 2"/>
        <xdr:cNvSpPr>
          <a:spLocks/>
        </xdr:cNvSpPr>
      </xdr:nvSpPr>
      <xdr:spPr>
        <a:xfrm>
          <a:off x="5886450" y="1952625"/>
          <a:ext cx="11715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1104900</xdr:colOff>
      <xdr:row>8</xdr:row>
      <xdr:rowOff>85725</xdr:rowOff>
    </xdr:from>
    <xdr:to>
      <xdr:col>4</xdr:col>
      <xdr:colOff>1104900</xdr:colOff>
      <xdr:row>11</xdr:row>
      <xdr:rowOff>161925</xdr:rowOff>
    </xdr:to>
    <xdr:sp>
      <xdr:nvSpPr>
        <xdr:cNvPr id="3" name="Line 3"/>
        <xdr:cNvSpPr>
          <a:spLocks/>
        </xdr:cNvSpPr>
      </xdr:nvSpPr>
      <xdr:spPr>
        <a:xfrm>
          <a:off x="7067550" y="203835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1076325</xdr:colOff>
      <xdr:row>11</xdr:row>
      <xdr:rowOff>180975</xdr:rowOff>
    </xdr:from>
    <xdr:to>
      <xdr:col>4</xdr:col>
      <xdr:colOff>1104900</xdr:colOff>
      <xdr:row>12</xdr:row>
      <xdr:rowOff>85725</xdr:rowOff>
    </xdr:to>
    <xdr:sp>
      <xdr:nvSpPr>
        <xdr:cNvPr id="4" name="Line 4"/>
        <xdr:cNvSpPr>
          <a:spLocks/>
        </xdr:cNvSpPr>
      </xdr:nvSpPr>
      <xdr:spPr>
        <a:xfrm flipH="1">
          <a:off x="5867400" y="2705100"/>
          <a:ext cx="12001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1095375</xdr:colOff>
      <xdr:row>12</xdr:row>
      <xdr:rowOff>76200</xdr:rowOff>
    </xdr:from>
    <xdr:to>
      <xdr:col>3</xdr:col>
      <xdr:colOff>1095375</xdr:colOff>
      <xdr:row>17</xdr:row>
      <xdr:rowOff>66675</xdr:rowOff>
    </xdr:to>
    <xdr:sp>
      <xdr:nvSpPr>
        <xdr:cNvPr id="5" name="Line 5"/>
        <xdr:cNvSpPr>
          <a:spLocks/>
        </xdr:cNvSpPr>
      </xdr:nvSpPr>
      <xdr:spPr>
        <a:xfrm>
          <a:off x="5886450" y="2790825"/>
          <a:ext cx="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1104900</xdr:colOff>
      <xdr:row>17</xdr:row>
      <xdr:rowOff>9525</xdr:rowOff>
    </xdr:from>
    <xdr:to>
      <xdr:col>4</xdr:col>
      <xdr:colOff>1019175</xdr:colOff>
      <xdr:row>17</xdr:row>
      <xdr:rowOff>76200</xdr:rowOff>
    </xdr:to>
    <xdr:sp>
      <xdr:nvSpPr>
        <xdr:cNvPr id="6" name="Line 6"/>
        <xdr:cNvSpPr>
          <a:spLocks/>
        </xdr:cNvSpPr>
      </xdr:nvSpPr>
      <xdr:spPr>
        <a:xfrm>
          <a:off x="5895975" y="3686175"/>
          <a:ext cx="10858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790575</xdr:colOff>
      <xdr:row>4</xdr:row>
      <xdr:rowOff>28575</xdr:rowOff>
    </xdr:from>
    <xdr:to>
      <xdr:col>4</xdr:col>
      <xdr:colOff>571500</xdr:colOff>
      <xdr:row>19</xdr:row>
      <xdr:rowOff>123825</xdr:rowOff>
    </xdr:to>
    <xdr:sp>
      <xdr:nvSpPr>
        <xdr:cNvPr id="7" name="Oval 7"/>
        <xdr:cNvSpPr>
          <a:spLocks/>
        </xdr:cNvSpPr>
      </xdr:nvSpPr>
      <xdr:spPr>
        <a:xfrm>
          <a:off x="5581650" y="781050"/>
          <a:ext cx="952500" cy="34290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alvaro\Escritorio\CAF&#201;%20MANABI%20Infor.%20para%20P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imacion de Produccion 20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7"/>
  <sheetViews>
    <sheetView zoomScale="95" zoomScaleNormal="95" workbookViewId="0" topLeftCell="A9">
      <selection activeCell="H25" sqref="H25"/>
    </sheetView>
  </sheetViews>
  <sheetFormatPr defaultColWidth="11.421875" defaultRowHeight="12.75"/>
  <cols>
    <col min="1" max="2" width="11.421875" style="265" customWidth="1"/>
    <col min="3" max="3" width="31.00390625" style="265" bestFit="1" customWidth="1"/>
    <col min="4" max="7" width="11.421875" style="265" customWidth="1"/>
    <col min="8" max="8" width="17.00390625" style="265" customWidth="1"/>
    <col min="9" max="16384" width="11.421875" style="265" customWidth="1"/>
  </cols>
  <sheetData>
    <row r="1" spans="2:12" ht="12.75">
      <c r="B1" s="734" t="s">
        <v>695</v>
      </c>
      <c r="C1" s="734"/>
      <c r="D1" s="734"/>
      <c r="E1" s="734"/>
      <c r="H1" s="734" t="s">
        <v>697</v>
      </c>
      <c r="I1" s="734"/>
      <c r="J1" s="734"/>
      <c r="K1" s="734"/>
      <c r="L1" s="734"/>
    </row>
    <row r="2" spans="1:12" ht="12.75">
      <c r="A2" s="734" t="s">
        <v>701</v>
      </c>
      <c r="B2" s="734"/>
      <c r="C2" s="734"/>
      <c r="D2" s="734"/>
      <c r="E2" s="734"/>
      <c r="F2" s="734"/>
      <c r="G2" s="8"/>
      <c r="H2" s="734" t="s">
        <v>698</v>
      </c>
      <c r="I2" s="734"/>
      <c r="J2" s="734"/>
      <c r="K2" s="734"/>
      <c r="L2" s="734"/>
    </row>
    <row r="3" ht="13.5" thickBot="1">
      <c r="C3" s="265" t="s">
        <v>5</v>
      </c>
    </row>
    <row r="4" spans="3:4" ht="12.75">
      <c r="C4" s="736" t="s">
        <v>38</v>
      </c>
      <c r="D4" s="737"/>
    </row>
    <row r="5" spans="3:4" ht="12.75">
      <c r="C5" s="271" t="s">
        <v>39</v>
      </c>
      <c r="D5" s="272">
        <v>0.0542</v>
      </c>
    </row>
    <row r="6" spans="3:4" ht="12.75">
      <c r="C6" s="271" t="s">
        <v>40</v>
      </c>
      <c r="D6" s="272">
        <v>0.05554</v>
      </c>
    </row>
    <row r="7" spans="3:4" ht="12.75">
      <c r="C7" s="271" t="s">
        <v>41</v>
      </c>
      <c r="D7" s="242">
        <v>0.056</v>
      </c>
    </row>
    <row r="8" spans="3:4" ht="12.75">
      <c r="C8" s="271" t="s">
        <v>42</v>
      </c>
      <c r="D8" s="242">
        <v>0.05587</v>
      </c>
    </row>
    <row r="9" spans="3:4" ht="12.75">
      <c r="C9" s="271" t="s">
        <v>43</v>
      </c>
      <c r="D9" s="272">
        <v>0.05845</v>
      </c>
    </row>
    <row r="10" spans="3:4" ht="12.75">
      <c r="C10" s="738" t="s">
        <v>44</v>
      </c>
      <c r="D10" s="739"/>
    </row>
    <row r="11" spans="3:4" ht="13.5" thickBot="1">
      <c r="C11" s="273" t="s">
        <v>45</v>
      </c>
      <c r="D11" s="274">
        <f>D27/10000</f>
        <v>0.0547</v>
      </c>
    </row>
    <row r="12" spans="2:4" ht="12.75">
      <c r="B12" s="270"/>
      <c r="C12" s="410" t="s">
        <v>46</v>
      </c>
      <c r="D12" s="270"/>
    </row>
    <row r="13" ht="12.75"/>
    <row r="14" ht="12.75"/>
    <row r="15" ht="12.75"/>
    <row r="16" ht="12.75"/>
    <row r="17" ht="12.75">
      <c r="H17" s="265" t="s">
        <v>696</v>
      </c>
    </row>
    <row r="18" ht="8.25" customHeight="1"/>
    <row r="19" ht="12.75" hidden="1"/>
    <row r="20" spans="3:7" s="275" customFormat="1" ht="15" customHeight="1">
      <c r="C20" s="411" t="s">
        <v>47</v>
      </c>
      <c r="D20" s="265"/>
      <c r="E20" s="265"/>
      <c r="F20" s="265"/>
      <c r="G20" s="265"/>
    </row>
    <row r="21" spans="3:7" s="276" customFormat="1" ht="140.25" customHeight="1">
      <c r="C21" s="740" t="s">
        <v>48</v>
      </c>
      <c r="D21" s="740"/>
      <c r="E21" s="740"/>
      <c r="F21" s="740"/>
      <c r="G21" s="412"/>
    </row>
    <row r="22" spans="3:7" s="276" customFormat="1" ht="12.75">
      <c r="C22" s="412"/>
      <c r="D22" s="412"/>
      <c r="E22" s="412"/>
      <c r="F22" s="412"/>
      <c r="G22" s="412"/>
    </row>
    <row r="23" spans="3:7" s="276" customFormat="1" ht="12.75">
      <c r="C23" s="735" t="s">
        <v>699</v>
      </c>
      <c r="D23" s="735"/>
      <c r="E23" s="412"/>
      <c r="F23" s="412"/>
      <c r="G23" s="412"/>
    </row>
    <row r="24" spans="3:7" s="276" customFormat="1" ht="12.75">
      <c r="C24" s="735" t="s">
        <v>700</v>
      </c>
      <c r="D24" s="735"/>
      <c r="E24" s="412"/>
      <c r="F24" s="412"/>
      <c r="G24" s="412"/>
    </row>
    <row r="26" spans="3:4" ht="12.75">
      <c r="C26" s="20" t="s">
        <v>49</v>
      </c>
      <c r="D26" s="21" t="s">
        <v>37</v>
      </c>
    </row>
    <row r="27" spans="3:4" ht="12.75">
      <c r="C27" s="22" t="s">
        <v>50</v>
      </c>
      <c r="D27" s="23">
        <v>547</v>
      </c>
    </row>
    <row r="28" spans="3:4" ht="12.75">
      <c r="C28" s="22" t="s">
        <v>51</v>
      </c>
      <c r="D28" s="23">
        <v>561</v>
      </c>
    </row>
    <row r="29" spans="3:5" ht="12.75">
      <c r="C29" s="22" t="s">
        <v>52</v>
      </c>
      <c r="D29" s="23">
        <v>565</v>
      </c>
      <c r="E29" s="16"/>
    </row>
    <row r="30" spans="3:4" ht="12.75">
      <c r="C30" s="22" t="s">
        <v>53</v>
      </c>
      <c r="D30" s="23">
        <v>564</v>
      </c>
    </row>
    <row r="31" spans="3:4" ht="12.75">
      <c r="C31" s="22" t="s">
        <v>54</v>
      </c>
      <c r="D31" s="23">
        <v>565</v>
      </c>
    </row>
    <row r="32" spans="3:4" ht="12.75">
      <c r="C32" s="22" t="s">
        <v>55</v>
      </c>
      <c r="D32" s="23">
        <v>569</v>
      </c>
    </row>
    <row r="33" spans="3:4" ht="12.75">
      <c r="C33" s="22" t="s">
        <v>56</v>
      </c>
      <c r="D33" s="23">
        <v>558</v>
      </c>
    </row>
    <row r="34" spans="3:4" ht="12.75">
      <c r="C34" s="22" t="s">
        <v>57</v>
      </c>
      <c r="D34" s="23">
        <v>565</v>
      </c>
    </row>
    <row r="35" spans="3:4" ht="12.75">
      <c r="C35" s="22" t="s">
        <v>58</v>
      </c>
      <c r="D35" s="23">
        <v>580</v>
      </c>
    </row>
    <row r="36" spans="3:4" ht="12.75">
      <c r="C36" s="22" t="s">
        <v>59</v>
      </c>
      <c r="D36" s="23">
        <v>581</v>
      </c>
    </row>
    <row r="37" spans="3:4" ht="12.75">
      <c r="C37" s="22" t="s">
        <v>60</v>
      </c>
      <c r="D37" s="23">
        <v>576</v>
      </c>
    </row>
    <row r="38" spans="3:4" ht="12.75">
      <c r="C38" s="22" t="s">
        <v>61</v>
      </c>
      <c r="D38" s="23">
        <v>567</v>
      </c>
    </row>
    <row r="39" spans="3:4" ht="12.75">
      <c r="C39" s="22" t="s">
        <v>62</v>
      </c>
      <c r="D39" s="23">
        <v>564</v>
      </c>
    </row>
    <row r="40" spans="3:4" ht="12.75">
      <c r="C40" s="22" t="s">
        <v>63</v>
      </c>
      <c r="D40" s="23">
        <v>569</v>
      </c>
    </row>
    <row r="41" spans="3:4" ht="12.75">
      <c r="C41" s="22" t="s">
        <v>64</v>
      </c>
      <c r="D41" s="23">
        <v>571</v>
      </c>
    </row>
    <row r="42" spans="3:4" ht="12.75">
      <c r="C42" s="22" t="s">
        <v>65</v>
      </c>
      <c r="D42" s="23">
        <v>580</v>
      </c>
    </row>
    <row r="43" spans="3:4" ht="12.75">
      <c r="C43" s="22" t="s">
        <v>66</v>
      </c>
      <c r="D43" s="23">
        <v>574</v>
      </c>
    </row>
    <row r="44" spans="3:4" ht="12.75">
      <c r="C44" s="22" t="s">
        <v>67</v>
      </c>
      <c r="D44" s="23">
        <v>577</v>
      </c>
    </row>
    <row r="45" spans="3:4" ht="12.75">
      <c r="C45" s="22" t="s">
        <v>68</v>
      </c>
      <c r="D45" s="23">
        <v>578</v>
      </c>
    </row>
    <row r="46" spans="3:4" ht="12.75">
      <c r="C46" s="22" t="s">
        <v>69</v>
      </c>
      <c r="D46" s="23">
        <v>574</v>
      </c>
    </row>
    <row r="47" spans="3:4" ht="12.75">
      <c r="C47" s="22" t="s">
        <v>70</v>
      </c>
      <c r="D47" s="23">
        <v>580</v>
      </c>
    </row>
    <row r="48" spans="3:4" ht="12.75">
      <c r="C48" s="22" t="s">
        <v>71</v>
      </c>
      <c r="D48" s="23">
        <v>590</v>
      </c>
    </row>
    <row r="49" spans="3:4" ht="12.75">
      <c r="C49" s="22" t="s">
        <v>72</v>
      </c>
      <c r="D49" s="23">
        <v>593</v>
      </c>
    </row>
    <row r="50" spans="3:4" ht="12.75">
      <c r="C50" s="22" t="s">
        <v>73</v>
      </c>
      <c r="D50" s="23">
        <v>591</v>
      </c>
    </row>
    <row r="51" spans="3:4" ht="12.75">
      <c r="C51" s="22" t="s">
        <v>74</v>
      </c>
      <c r="D51" s="23">
        <v>587</v>
      </c>
    </row>
    <row r="52" spans="3:4" ht="12.75">
      <c r="C52" s="22" t="s">
        <v>75</v>
      </c>
      <c r="D52" s="23">
        <v>597</v>
      </c>
    </row>
    <row r="53" spans="3:4" ht="12.75">
      <c r="C53" s="22" t="s">
        <v>76</v>
      </c>
      <c r="D53" s="23">
        <v>588</v>
      </c>
    </row>
    <row r="54" spans="3:4" ht="12.75">
      <c r="C54" s="22" t="s">
        <v>77</v>
      </c>
      <c r="D54" s="23">
        <v>602</v>
      </c>
    </row>
    <row r="55" spans="3:4" ht="12.75">
      <c r="C55" s="22" t="s">
        <v>78</v>
      </c>
      <c r="D55" s="23">
        <v>611</v>
      </c>
    </row>
    <row r="56" spans="3:4" ht="12.75">
      <c r="C56" s="22" t="s">
        <v>79</v>
      </c>
      <c r="D56" s="23">
        <v>613</v>
      </c>
    </row>
    <row r="57" ht="12.75">
      <c r="C57" s="265" t="s">
        <v>696</v>
      </c>
    </row>
  </sheetData>
  <sheetProtection/>
  <mergeCells count="9">
    <mergeCell ref="H1:L1"/>
    <mergeCell ref="H2:L2"/>
    <mergeCell ref="C23:D23"/>
    <mergeCell ref="C24:D24"/>
    <mergeCell ref="A2:F2"/>
    <mergeCell ref="C4:D4"/>
    <mergeCell ref="C10:D10"/>
    <mergeCell ref="C21:F21"/>
    <mergeCell ref="B1:E1"/>
  </mergeCells>
  <printOptions horizontalCentered="1" verticalCentered="1"/>
  <pageMargins left="0.7874015748031497" right="0.7874015748031497" top="0.5905511811023623" bottom="0.5118110236220472" header="0" footer="0"/>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M45"/>
  <sheetViews>
    <sheetView zoomScale="95" zoomScaleNormal="95" workbookViewId="0" topLeftCell="C7">
      <selection activeCell="H25" sqref="H25"/>
    </sheetView>
  </sheetViews>
  <sheetFormatPr defaultColWidth="11.421875" defaultRowHeight="12.75"/>
  <cols>
    <col min="1" max="1" width="0" style="428" hidden="1" customWidth="1"/>
    <col min="2" max="2" width="7.57421875" style="428" customWidth="1"/>
    <col min="3" max="3" width="45.7109375" style="428" customWidth="1"/>
    <col min="4" max="4" width="12.421875" style="428" bestFit="1" customWidth="1"/>
    <col min="5" max="9" width="12.28125" style="428" bestFit="1" customWidth="1"/>
    <col min="10" max="10" width="10.140625" style="428" customWidth="1"/>
    <col min="11" max="16384" width="11.421875" style="428" customWidth="1"/>
  </cols>
  <sheetData>
    <row r="1" spans="3:9" ht="12.75">
      <c r="C1" s="724" t="s">
        <v>712</v>
      </c>
      <c r="D1" s="724"/>
      <c r="E1" s="724"/>
      <c r="F1" s="724"/>
      <c r="G1" s="724"/>
      <c r="H1" s="724"/>
      <c r="I1" s="724"/>
    </row>
    <row r="2" spans="3:9" ht="13.5" thickBot="1">
      <c r="C2" s="723" t="s">
        <v>628</v>
      </c>
      <c r="D2" s="723"/>
      <c r="E2" s="723"/>
      <c r="F2" s="723"/>
      <c r="G2" s="723"/>
      <c r="H2" s="723"/>
      <c r="I2" s="723"/>
    </row>
    <row r="3" spans="3:9" s="433" customFormat="1" ht="13.5" thickBot="1">
      <c r="C3" s="429" t="s">
        <v>367</v>
      </c>
      <c r="D3" s="430"/>
      <c r="E3" s="431">
        <v>1</v>
      </c>
      <c r="F3" s="431">
        <v>2</v>
      </c>
      <c r="G3" s="431">
        <v>3</v>
      </c>
      <c r="H3" s="431">
        <v>4</v>
      </c>
      <c r="I3" s="432">
        <v>5</v>
      </c>
    </row>
    <row r="4" spans="3:9" s="433" customFormat="1" ht="15" customHeight="1">
      <c r="C4" s="434" t="s">
        <v>26</v>
      </c>
      <c r="D4" s="435">
        <v>2008</v>
      </c>
      <c r="E4" s="435">
        <v>2009</v>
      </c>
      <c r="F4" s="435">
        <v>2010</v>
      </c>
      <c r="G4" s="435">
        <v>2011</v>
      </c>
      <c r="H4" s="435">
        <v>2012</v>
      </c>
      <c r="I4" s="436">
        <v>2013</v>
      </c>
    </row>
    <row r="5" spans="3:9" ht="12.75">
      <c r="C5" s="437" t="s">
        <v>383</v>
      </c>
      <c r="D5" s="438">
        <f>(D6/23675.42)-1</f>
        <v>1.1330139021820944</v>
      </c>
      <c r="E5" s="438">
        <v>0.5</v>
      </c>
      <c r="F5" s="438">
        <v>0.15</v>
      </c>
      <c r="G5" s="438">
        <v>0.1</v>
      </c>
      <c r="H5" s="438">
        <v>0.1</v>
      </c>
      <c r="I5" s="439">
        <v>0.1</v>
      </c>
    </row>
    <row r="6" spans="3:9" ht="12.75">
      <c r="C6" s="440" t="s">
        <v>384</v>
      </c>
      <c r="D6" s="441">
        <f>'ESTIMACIÓN PRODUCCIÓN 2008'!J24</f>
        <v>50500</v>
      </c>
      <c r="E6" s="441">
        <f>D6*(1+E5)</f>
        <v>75750</v>
      </c>
      <c r="F6" s="441">
        <f>E6*(1+F5)</f>
        <v>87112.5</v>
      </c>
      <c r="G6" s="441">
        <f>F6*(1+G5)</f>
        <v>95823.75000000001</v>
      </c>
      <c r="H6" s="441">
        <f>G6*(1+H5)</f>
        <v>105406.12500000003</v>
      </c>
      <c r="I6" s="442">
        <f>H6*(1+I5)</f>
        <v>115946.73750000005</v>
      </c>
    </row>
    <row r="7" spans="3:9" ht="12.75">
      <c r="C7" s="443" t="s">
        <v>385</v>
      </c>
      <c r="D7" s="441">
        <f>'ESTIMACIÓN PRODUCCIÓN 2008'!D35</f>
        <v>44945</v>
      </c>
      <c r="E7" s="441">
        <f>E6*E9</f>
        <v>60600</v>
      </c>
      <c r="F7" s="441">
        <f>F6*F9</f>
        <v>52267.5</v>
      </c>
      <c r="G7" s="441">
        <f>G6*G9</f>
        <v>43120.6875</v>
      </c>
      <c r="H7" s="441">
        <f>H6*H9</f>
        <v>26351.531250000007</v>
      </c>
      <c r="I7" s="442">
        <f>I6*I9</f>
        <v>23189.347500000003</v>
      </c>
    </row>
    <row r="8" spans="3:9" ht="12.75">
      <c r="C8" s="443" t="s">
        <v>386</v>
      </c>
      <c r="D8" s="441">
        <f>'ESTIMACIÓN PRODUCCIÓN 2008'!D36</f>
        <v>5555</v>
      </c>
      <c r="E8" s="441">
        <f>E6-E7</f>
        <v>15150</v>
      </c>
      <c r="F8" s="441">
        <f>F6-F7</f>
        <v>34845</v>
      </c>
      <c r="G8" s="441">
        <f>G6-G7</f>
        <v>52703.062500000015</v>
      </c>
      <c r="H8" s="441">
        <f>H6-H7</f>
        <v>79054.59375000003</v>
      </c>
      <c r="I8" s="442">
        <f>I6-I7</f>
        <v>92757.39000000004</v>
      </c>
    </row>
    <row r="9" spans="3:9" ht="12.75">
      <c r="C9" s="440" t="s">
        <v>373</v>
      </c>
      <c r="D9" s="444">
        <f>D7/D6</f>
        <v>0.89</v>
      </c>
      <c r="E9" s="444">
        <f>1-E10</f>
        <v>0.8</v>
      </c>
      <c r="F9" s="444">
        <f>1-F10</f>
        <v>0.6</v>
      </c>
      <c r="G9" s="444">
        <f>1-G10</f>
        <v>0.44999999999999996</v>
      </c>
      <c r="H9" s="444">
        <f>1-H10</f>
        <v>0.25</v>
      </c>
      <c r="I9" s="445">
        <f>1-I10</f>
        <v>0.19999999999999996</v>
      </c>
    </row>
    <row r="10" spans="3:9" ht="13.5" thickBot="1">
      <c r="C10" s="446" t="s">
        <v>715</v>
      </c>
      <c r="D10" s="447">
        <f>D8/D6</f>
        <v>0.11</v>
      </c>
      <c r="E10" s="447">
        <v>0.2</v>
      </c>
      <c r="F10" s="447">
        <v>0.4</v>
      </c>
      <c r="G10" s="447">
        <v>0.55</v>
      </c>
      <c r="H10" s="447">
        <v>0.75</v>
      </c>
      <c r="I10" s="448">
        <v>0.8</v>
      </c>
    </row>
    <row r="11" spans="3:9" ht="13.5" thickBot="1">
      <c r="C11" s="402"/>
      <c r="D11" s="449"/>
      <c r="E11" s="449"/>
      <c r="F11" s="449"/>
      <c r="G11" s="449"/>
      <c r="H11" s="449"/>
      <c r="I11" s="449"/>
    </row>
    <row r="12" spans="3:9" ht="28.5" customHeight="1">
      <c r="C12" s="450" t="s">
        <v>716</v>
      </c>
      <c r="D12" s="451">
        <v>139</v>
      </c>
      <c r="E12" s="451">
        <v>150.65</v>
      </c>
      <c r="F12" s="451">
        <v>160.4</v>
      </c>
      <c r="G12" s="451">
        <v>166.3</v>
      </c>
      <c r="H12" s="451">
        <v>168.4</v>
      </c>
      <c r="I12" s="452">
        <v>165.2</v>
      </c>
    </row>
    <row r="13" spans="3:9" ht="28.5" customHeight="1">
      <c r="C13" s="320" t="s">
        <v>378</v>
      </c>
      <c r="D13" s="453"/>
      <c r="E13" s="453">
        <f>(E12/D12)-1</f>
        <v>0.08381294964028774</v>
      </c>
      <c r="F13" s="453">
        <f>(F12/E12)-1</f>
        <v>0.06471954862263529</v>
      </c>
      <c r="G13" s="453">
        <f>(G12/F12)-1</f>
        <v>0.036783042394014975</v>
      </c>
      <c r="H13" s="453">
        <f>(H12/G12)-1</f>
        <v>0.012627781118460524</v>
      </c>
      <c r="I13" s="454">
        <f>(I12/H12)-1</f>
        <v>-0.019002375296912177</v>
      </c>
    </row>
    <row r="14" spans="3:9" ht="12.75">
      <c r="C14" s="320" t="s">
        <v>377</v>
      </c>
      <c r="D14" s="453">
        <f>1-(D15/D12)</f>
        <v>0.12230215827338131</v>
      </c>
      <c r="E14" s="453">
        <f>D14</f>
        <v>0.12230215827338131</v>
      </c>
      <c r="F14" s="453">
        <f>E14</f>
        <v>0.12230215827338131</v>
      </c>
      <c r="G14" s="453">
        <f>F14</f>
        <v>0.12230215827338131</v>
      </c>
      <c r="H14" s="453">
        <f>G14</f>
        <v>0.12230215827338131</v>
      </c>
      <c r="I14" s="454">
        <f>H14</f>
        <v>0.12230215827338131</v>
      </c>
    </row>
    <row r="15" spans="3:9" ht="12.75">
      <c r="C15" s="320" t="s">
        <v>717</v>
      </c>
      <c r="D15" s="441">
        <v>122</v>
      </c>
      <c r="E15" s="441">
        <f>E12*(1-E14)</f>
        <v>132.22517985611512</v>
      </c>
      <c r="F15" s="441">
        <f>F12*(1-F14)</f>
        <v>140.78273381294963</v>
      </c>
      <c r="G15" s="441">
        <f>G12*(1-G14)</f>
        <v>145.9611510791367</v>
      </c>
      <c r="H15" s="441">
        <f>H12*(1-H14)</f>
        <v>147.80431654676258</v>
      </c>
      <c r="I15" s="442">
        <f>I12*(1-I14)</f>
        <v>144.9956834532374</v>
      </c>
    </row>
    <row r="16" spans="3:9" ht="16.5" customHeight="1">
      <c r="C16" s="320" t="s">
        <v>718</v>
      </c>
      <c r="D16" s="441">
        <f aca="true" t="shared" si="0" ref="D16:I16">D15*(1+D18)</f>
        <v>146.4</v>
      </c>
      <c r="E16" s="441">
        <f t="shared" si="0"/>
        <v>158.67021582733813</v>
      </c>
      <c r="F16" s="441">
        <f t="shared" si="0"/>
        <v>166.12362589928054</v>
      </c>
      <c r="G16" s="441">
        <f t="shared" si="0"/>
        <v>167.8553237410072</v>
      </c>
      <c r="H16" s="441">
        <f t="shared" si="0"/>
        <v>169.97496402877695</v>
      </c>
      <c r="I16" s="442">
        <f t="shared" si="0"/>
        <v>166.745035971223</v>
      </c>
    </row>
    <row r="17" spans="3:9" ht="12.75">
      <c r="C17" s="320" t="s">
        <v>375</v>
      </c>
      <c r="D17" s="441">
        <v>15.5</v>
      </c>
      <c r="E17" s="441">
        <f>D17*(1+E13)</f>
        <v>16.79910071942446</v>
      </c>
      <c r="F17" s="441">
        <f>E17*(1+F13)</f>
        <v>17.8863309352518</v>
      </c>
      <c r="G17" s="441">
        <f>F17*(1+G13)</f>
        <v>18.544244604316546</v>
      </c>
      <c r="H17" s="441">
        <f>G17*(1+H13)</f>
        <v>18.77841726618705</v>
      </c>
      <c r="I17" s="442">
        <f>H17*(1+I13)</f>
        <v>18.421582733812947</v>
      </c>
    </row>
    <row r="18" spans="3:9" ht="12.75">
      <c r="C18" s="320" t="s">
        <v>379</v>
      </c>
      <c r="D18" s="453">
        <v>0.2</v>
      </c>
      <c r="E18" s="453">
        <v>0.2</v>
      </c>
      <c r="F18" s="453">
        <v>0.18</v>
      </c>
      <c r="G18" s="453">
        <v>0.15</v>
      </c>
      <c r="H18" s="453">
        <v>0.15</v>
      </c>
      <c r="I18" s="454">
        <v>0.15</v>
      </c>
    </row>
    <row r="19" spans="3:9" ht="13.5" thickBot="1">
      <c r="C19" s="455" t="s">
        <v>376</v>
      </c>
      <c r="D19" s="456">
        <f aca="true" t="shared" si="1" ref="D19:I19">D17*(1+D18)</f>
        <v>18.599999999999998</v>
      </c>
      <c r="E19" s="456">
        <f t="shared" si="1"/>
        <v>20.15892086330935</v>
      </c>
      <c r="F19" s="456">
        <f t="shared" si="1"/>
        <v>21.10587050359712</v>
      </c>
      <c r="G19" s="456">
        <f t="shared" si="1"/>
        <v>21.325881294964027</v>
      </c>
      <c r="H19" s="456">
        <f t="shared" si="1"/>
        <v>21.595179856115106</v>
      </c>
      <c r="I19" s="457">
        <f t="shared" si="1"/>
        <v>21.184820143884888</v>
      </c>
    </row>
    <row r="20" ht="13.5" thickBot="1">
      <c r="M20" s="428" t="s">
        <v>5</v>
      </c>
    </row>
    <row r="21" spans="3:13" ht="12.75">
      <c r="C21" s="450" t="s">
        <v>380</v>
      </c>
      <c r="D21" s="451">
        <f aca="true" t="shared" si="2" ref="D21:I21">D17*D7</f>
        <v>696647.5</v>
      </c>
      <c r="E21" s="451">
        <f t="shared" si="2"/>
        <v>1018025.5035971222</v>
      </c>
      <c r="F21" s="451">
        <f t="shared" si="2"/>
        <v>934873.8021582734</v>
      </c>
      <c r="G21" s="451">
        <f t="shared" si="2"/>
        <v>799640.5765062949</v>
      </c>
      <c r="H21" s="451">
        <f t="shared" si="2"/>
        <v>494840.0494154677</v>
      </c>
      <c r="I21" s="452">
        <f t="shared" si="2"/>
        <v>427184.4835143885</v>
      </c>
      <c r="M21" s="428" t="s">
        <v>5</v>
      </c>
    </row>
    <row r="22" spans="3:9" ht="12.75">
      <c r="C22" s="320" t="s">
        <v>381</v>
      </c>
      <c r="D22" s="441">
        <f aca="true" t="shared" si="3" ref="D22:I22">D19*D8</f>
        <v>103322.99999999999</v>
      </c>
      <c r="E22" s="441">
        <f t="shared" si="3"/>
        <v>305407.65107913665</v>
      </c>
      <c r="F22" s="441">
        <f t="shared" si="3"/>
        <v>735434.0576978417</v>
      </c>
      <c r="G22" s="441">
        <f t="shared" si="3"/>
        <v>1123939.2547560704</v>
      </c>
      <c r="H22" s="441">
        <f t="shared" si="3"/>
        <v>1707198.1704833638</v>
      </c>
      <c r="I22" s="442">
        <f t="shared" si="3"/>
        <v>1965048.6241661876</v>
      </c>
    </row>
    <row r="23" spans="3:9" ht="13.5" thickBot="1">
      <c r="C23" s="455" t="s">
        <v>382</v>
      </c>
      <c r="D23" s="456">
        <f aca="true" t="shared" si="4" ref="D23:I23">D21+D22</f>
        <v>799970.5</v>
      </c>
      <c r="E23" s="456">
        <f t="shared" si="4"/>
        <v>1323433.1546762588</v>
      </c>
      <c r="F23" s="456">
        <f t="shared" si="4"/>
        <v>1670307.8598561152</v>
      </c>
      <c r="G23" s="456">
        <f t="shared" si="4"/>
        <v>1923579.8312623654</v>
      </c>
      <c r="H23" s="456">
        <f t="shared" si="4"/>
        <v>2202038.2198988316</v>
      </c>
      <c r="I23" s="457">
        <f t="shared" si="4"/>
        <v>2392233.107680576</v>
      </c>
    </row>
    <row r="25" spans="1:4" ht="13.5" thickBot="1">
      <c r="A25" s="428">
        <v>0.05</v>
      </c>
      <c r="C25" s="428" t="s">
        <v>387</v>
      </c>
      <c r="D25" s="428" t="s">
        <v>9</v>
      </c>
    </row>
    <row r="26" spans="3:9" ht="12.75">
      <c r="C26" s="458" t="s">
        <v>388</v>
      </c>
      <c r="D26" s="451">
        <v>15000</v>
      </c>
      <c r="E26" s="451">
        <f aca="true" t="shared" si="5" ref="E26:I27">D26*(1+$A$25)</f>
        <v>15750</v>
      </c>
      <c r="F26" s="451">
        <f t="shared" si="5"/>
        <v>16537.5</v>
      </c>
      <c r="G26" s="451">
        <f t="shared" si="5"/>
        <v>17364.375</v>
      </c>
      <c r="H26" s="451">
        <f t="shared" si="5"/>
        <v>18232.59375</v>
      </c>
      <c r="I26" s="452">
        <f t="shared" si="5"/>
        <v>19144.2234375</v>
      </c>
    </row>
    <row r="27" spans="3:9" ht="12.75">
      <c r="C27" s="459" t="s">
        <v>389</v>
      </c>
      <c r="D27" s="441">
        <v>1000</v>
      </c>
      <c r="E27" s="441">
        <f t="shared" si="5"/>
        <v>1050</v>
      </c>
      <c r="F27" s="441">
        <f t="shared" si="5"/>
        <v>1102.5</v>
      </c>
      <c r="G27" s="441">
        <f t="shared" si="5"/>
        <v>1157.625</v>
      </c>
      <c r="H27" s="441">
        <f t="shared" si="5"/>
        <v>1215.5062500000001</v>
      </c>
      <c r="I27" s="442">
        <f t="shared" si="5"/>
        <v>1276.2815625000003</v>
      </c>
    </row>
    <row r="28" spans="3:9" ht="12.75">
      <c r="C28" s="459" t="s">
        <v>390</v>
      </c>
      <c r="D28" s="441">
        <v>12000</v>
      </c>
      <c r="E28" s="441">
        <f>D28*(1+E5)</f>
        <v>18000</v>
      </c>
      <c r="F28" s="441">
        <f>E28*(1+F5)</f>
        <v>20700</v>
      </c>
      <c r="G28" s="441">
        <f>F28*(1+G5)</f>
        <v>22770.000000000004</v>
      </c>
      <c r="H28" s="441">
        <f>G28*(1+H5)</f>
        <v>25047.000000000007</v>
      </c>
      <c r="I28" s="442">
        <f>H28*(1+I5)</f>
        <v>27551.70000000001</v>
      </c>
    </row>
    <row r="29" spans="3:9" ht="12.75">
      <c r="C29" s="459" t="s">
        <v>391</v>
      </c>
      <c r="D29" s="441">
        <v>3000</v>
      </c>
      <c r="E29" s="103">
        <f>D29*(1+$A$25)</f>
        <v>3150</v>
      </c>
      <c r="F29" s="441">
        <f>E29*(1+$A$25)</f>
        <v>3307.5</v>
      </c>
      <c r="G29" s="441">
        <f>F29*(1+$A$25)</f>
        <v>3472.875</v>
      </c>
      <c r="H29" s="441">
        <f>G29*(1+$A$25)</f>
        <v>3646.51875</v>
      </c>
      <c r="I29" s="442">
        <f>H29*(1+$A$25)</f>
        <v>3828.8446875000004</v>
      </c>
    </row>
    <row r="30" spans="3:9" ht="12.75">
      <c r="C30" s="460" t="s">
        <v>392</v>
      </c>
      <c r="D30" s="147">
        <f aca="true" t="shared" si="6" ref="D30:I30">SUM(D26:D29)</f>
        <v>31000</v>
      </c>
      <c r="E30" s="147">
        <f t="shared" si="6"/>
        <v>37950</v>
      </c>
      <c r="F30" s="147">
        <f t="shared" si="6"/>
        <v>41647.5</v>
      </c>
      <c r="G30" s="147">
        <f t="shared" si="6"/>
        <v>44764.875</v>
      </c>
      <c r="H30" s="147">
        <f t="shared" si="6"/>
        <v>48141.61875000001</v>
      </c>
      <c r="I30" s="148">
        <f t="shared" si="6"/>
        <v>51801.04968750002</v>
      </c>
    </row>
    <row r="31" spans="3:9" ht="12.75">
      <c r="C31" s="460" t="s">
        <v>403</v>
      </c>
      <c r="D31" s="147">
        <f aca="true" t="shared" si="7" ref="D31:I31">(D23+D30)*$D$41</f>
        <v>830970.5</v>
      </c>
      <c r="E31" s="147">
        <f t="shared" si="7"/>
        <v>1361383.1546762588</v>
      </c>
      <c r="F31" s="147">
        <f t="shared" si="7"/>
        <v>1711955.3598561152</v>
      </c>
      <c r="G31" s="147">
        <f t="shared" si="7"/>
        <v>1968344.7062623654</v>
      </c>
      <c r="H31" s="147">
        <f t="shared" si="7"/>
        <v>2250179.8386488315</v>
      </c>
      <c r="I31" s="147">
        <f t="shared" si="7"/>
        <v>2444034.157368076</v>
      </c>
    </row>
    <row r="32" spans="3:9" ht="13.5" thickBot="1">
      <c r="C32" s="461" t="s">
        <v>509</v>
      </c>
      <c r="D32" s="462">
        <f aca="true" t="shared" si="8" ref="D32:I32">D31/D6</f>
        <v>16.454861386138614</v>
      </c>
      <c r="E32" s="462">
        <f t="shared" si="8"/>
        <v>17.972054847211336</v>
      </c>
      <c r="F32" s="462">
        <f t="shared" si="8"/>
        <v>19.652235441022988</v>
      </c>
      <c r="G32" s="462">
        <f t="shared" si="8"/>
        <v>20.541303239148593</v>
      </c>
      <c r="H32" s="462">
        <f t="shared" si="8"/>
        <v>21.347714268490858</v>
      </c>
      <c r="I32" s="463">
        <f t="shared" si="8"/>
        <v>21.07893857184274</v>
      </c>
    </row>
    <row r="33" ht="12.75">
      <c r="C33" s="428" t="s">
        <v>996</v>
      </c>
    </row>
    <row r="34" ht="12.75">
      <c r="C34" s="428" t="s">
        <v>1059</v>
      </c>
    </row>
    <row r="35" ht="12.75">
      <c r="C35" s="428" t="s">
        <v>719</v>
      </c>
    </row>
    <row r="36" ht="12.75">
      <c r="C36" s="428" t="s">
        <v>720</v>
      </c>
    </row>
    <row r="37" ht="12.75">
      <c r="C37" s="428" t="s">
        <v>714</v>
      </c>
    </row>
    <row r="40" ht="12.75">
      <c r="D40" s="428" t="s">
        <v>5</v>
      </c>
    </row>
    <row r="41" ht="12.75">
      <c r="D41" s="464">
        <v>1</v>
      </c>
    </row>
    <row r="43" ht="12.75">
      <c r="D43" s="428">
        <v>23675</v>
      </c>
    </row>
    <row r="44" ht="12.75">
      <c r="D44" s="428">
        <v>3912.18</v>
      </c>
    </row>
    <row r="45" ht="12.75">
      <c r="D45" s="428">
        <f>D43/D44</f>
        <v>6.051613167083314</v>
      </c>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sheetData>
  <sheetProtection/>
  <mergeCells count="2">
    <mergeCell ref="C2:I2"/>
    <mergeCell ref="C1:I1"/>
  </mergeCells>
  <printOptions horizontalCentered="1" verticalCentered="1"/>
  <pageMargins left="0.7874015748031497" right="0.7874015748031497" top="0.984251968503937" bottom="0.984251968503937" header="0" footer="0"/>
  <pageSetup horizontalDpi="300" verticalDpi="300" orientation="landscape" paperSize="9" r:id="rId2"/>
  <ignoredErrors>
    <ignoredError sqref="E28:F28 G28:I28" formula="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B2:P70"/>
  <sheetViews>
    <sheetView zoomScale="95" zoomScaleNormal="95" workbookViewId="0" topLeftCell="A14">
      <selection activeCell="H25" sqref="H25"/>
    </sheetView>
  </sheetViews>
  <sheetFormatPr defaultColWidth="11.421875" defaultRowHeight="12.75"/>
  <cols>
    <col min="1" max="1" width="11.421875" style="428" customWidth="1"/>
    <col min="2" max="2" width="9.7109375" style="428" hidden="1" customWidth="1"/>
    <col min="3" max="3" width="11.57421875" style="428" bestFit="1" customWidth="1"/>
    <col min="4" max="4" width="48.8515625" style="428" customWidth="1"/>
    <col min="5" max="5" width="12.8515625" style="428" bestFit="1" customWidth="1"/>
    <col min="6" max="6" width="12.8515625" style="428" customWidth="1"/>
    <col min="7" max="7" width="17.00390625" style="428" customWidth="1"/>
    <col min="8" max="9" width="12.8515625" style="428" customWidth="1"/>
    <col min="10" max="10" width="14.140625" style="428" customWidth="1"/>
    <col min="11" max="12" width="11.57421875" style="428" customWidth="1"/>
    <col min="13" max="13" width="11.421875" style="428" customWidth="1"/>
    <col min="14" max="15" width="11.57421875" style="428" customWidth="1"/>
    <col min="16" max="16384" width="11.421875" style="428" customWidth="1"/>
  </cols>
  <sheetData>
    <row r="1" ht="12.75"/>
    <row r="2" ht="12.75">
      <c r="O2" s="428">
        <v>23675.42</v>
      </c>
    </row>
    <row r="3" spans="4:15" ht="12.75">
      <c r="D3" s="724" t="s">
        <v>1065</v>
      </c>
      <c r="E3" s="724"/>
      <c r="F3" s="724"/>
      <c r="G3" s="724"/>
      <c r="H3" s="724"/>
      <c r="I3" s="724"/>
      <c r="J3" s="724"/>
      <c r="O3" s="428">
        <v>3912.18</v>
      </c>
    </row>
    <row r="4" spans="4:15" ht="12.75">
      <c r="D4" s="725" t="s">
        <v>629</v>
      </c>
      <c r="E4" s="725"/>
      <c r="F4" s="725"/>
      <c r="G4" s="725"/>
      <c r="H4" s="725"/>
      <c r="I4" s="725"/>
      <c r="J4" s="725"/>
      <c r="K4" s="7"/>
      <c r="L4" s="7"/>
      <c r="O4" s="428">
        <f>O2/O3</f>
        <v>6.051720524106764</v>
      </c>
    </row>
    <row r="5" spans="4:12" ht="13.5" thickBot="1">
      <c r="D5" s="7"/>
      <c r="E5" s="7"/>
      <c r="F5" s="7"/>
      <c r="G5" s="7"/>
      <c r="H5" s="7"/>
      <c r="I5" s="7"/>
      <c r="J5" s="7"/>
      <c r="K5" s="7"/>
      <c r="L5" s="7"/>
    </row>
    <row r="6" spans="4:16" s="433" customFormat="1" ht="13.5" thickBot="1">
      <c r="D6" s="466" t="s">
        <v>393</v>
      </c>
      <c r="E6" s="467" t="s">
        <v>35</v>
      </c>
      <c r="F6" s="467">
        <v>1</v>
      </c>
      <c r="G6" s="467">
        <v>2</v>
      </c>
      <c r="H6" s="467">
        <v>3</v>
      </c>
      <c r="I6" s="467">
        <v>4</v>
      </c>
      <c r="J6" s="468">
        <v>5</v>
      </c>
      <c r="K6" s="469"/>
      <c r="L6" s="469"/>
      <c r="N6" s="433" t="s">
        <v>435</v>
      </c>
      <c r="O6" s="433">
        <v>3712.27</v>
      </c>
      <c r="P6" s="470">
        <f>O6/$O$3</f>
        <v>0.9489006129574815</v>
      </c>
    </row>
    <row r="7" spans="4:16" s="433" customFormat="1" ht="12.75">
      <c r="D7" s="471" t="s">
        <v>26</v>
      </c>
      <c r="E7" s="435">
        <v>2008</v>
      </c>
      <c r="F7" s="435">
        <v>2009</v>
      </c>
      <c r="G7" s="435">
        <v>2010</v>
      </c>
      <c r="H7" s="435">
        <v>2011</v>
      </c>
      <c r="I7" s="435">
        <v>2012</v>
      </c>
      <c r="J7" s="436">
        <v>2013</v>
      </c>
      <c r="K7" s="469"/>
      <c r="L7" s="469"/>
      <c r="N7" s="433" t="s">
        <v>436</v>
      </c>
      <c r="O7" s="433">
        <v>171</v>
      </c>
      <c r="P7" s="470">
        <f>O7/$O$3</f>
        <v>0.04370964526172109</v>
      </c>
    </row>
    <row r="8" spans="4:16" ht="12.75">
      <c r="D8" s="472" t="s">
        <v>383</v>
      </c>
      <c r="E8" s="473">
        <f>(E9/23675.42)-1</f>
        <v>1.1330139021820944</v>
      </c>
      <c r="F8" s="473">
        <v>0.5</v>
      </c>
      <c r="G8" s="473">
        <v>0.15</v>
      </c>
      <c r="H8" s="473">
        <v>0.1</v>
      </c>
      <c r="I8" s="473">
        <v>0.1</v>
      </c>
      <c r="J8" s="474">
        <v>0.1</v>
      </c>
      <c r="K8" s="475"/>
      <c r="L8" s="475"/>
      <c r="N8" s="428" t="s">
        <v>437</v>
      </c>
      <c r="O8" s="428">
        <v>28.91</v>
      </c>
      <c r="P8" s="476">
        <f>O8/$O$3</f>
        <v>0.007389741780797408</v>
      </c>
    </row>
    <row r="9" spans="4:12" ht="12.75">
      <c r="D9" s="472" t="s">
        <v>384</v>
      </c>
      <c r="E9" s="441">
        <f>'COSTO COMPRA DE PRODUCTO'!D6</f>
        <v>50500</v>
      </c>
      <c r="F9" s="441">
        <f>'COSTO COMPRA DE PRODUCTO'!E6</f>
        <v>75750</v>
      </c>
      <c r="G9" s="441">
        <f>'COSTO COMPRA DE PRODUCTO'!F6</f>
        <v>87112.5</v>
      </c>
      <c r="H9" s="441">
        <f>'COSTO COMPRA DE PRODUCTO'!G6</f>
        <v>95823.75000000001</v>
      </c>
      <c r="I9" s="441">
        <f>'COSTO COMPRA DE PRODUCTO'!H6</f>
        <v>105406.12500000003</v>
      </c>
      <c r="J9" s="442">
        <f>'COSTO COMPRA DE PRODUCTO'!I6</f>
        <v>115946.73750000005</v>
      </c>
      <c r="K9" s="402"/>
      <c r="L9" s="402"/>
    </row>
    <row r="10" spans="4:12" ht="12.75">
      <c r="D10" s="320" t="s">
        <v>385</v>
      </c>
      <c r="E10" s="441">
        <f>'COSTO COMPRA DE PRODUCTO'!D7</f>
        <v>44945</v>
      </c>
      <c r="F10" s="441">
        <f>'COSTO COMPRA DE PRODUCTO'!E7</f>
        <v>60600</v>
      </c>
      <c r="G10" s="441">
        <f>'COSTO COMPRA DE PRODUCTO'!F7</f>
        <v>52267.5</v>
      </c>
      <c r="H10" s="441">
        <f>'COSTO COMPRA DE PRODUCTO'!G7</f>
        <v>43120.6875</v>
      </c>
      <c r="I10" s="441">
        <f>'COSTO COMPRA DE PRODUCTO'!H7</f>
        <v>26351.531250000007</v>
      </c>
      <c r="J10" s="442">
        <f>'COSTO COMPRA DE PRODUCTO'!I7</f>
        <v>23189.347500000003</v>
      </c>
      <c r="K10" s="402"/>
      <c r="L10" s="402"/>
    </row>
    <row r="11" spans="4:12" ht="12.75">
      <c r="D11" s="320" t="s">
        <v>386</v>
      </c>
      <c r="E11" s="441">
        <f>'COSTO COMPRA DE PRODUCTO'!D8</f>
        <v>5555</v>
      </c>
      <c r="F11" s="441">
        <f>'COSTO COMPRA DE PRODUCTO'!E8</f>
        <v>15150</v>
      </c>
      <c r="G11" s="441">
        <f>'COSTO COMPRA DE PRODUCTO'!F8</f>
        <v>34845</v>
      </c>
      <c r="H11" s="441">
        <f>'COSTO COMPRA DE PRODUCTO'!G8</f>
        <v>52703.062500000015</v>
      </c>
      <c r="I11" s="441">
        <f>'COSTO COMPRA DE PRODUCTO'!H8</f>
        <v>79054.59375000003</v>
      </c>
      <c r="J11" s="442">
        <f>'COSTO COMPRA DE PRODUCTO'!I8</f>
        <v>92757.39000000004</v>
      </c>
      <c r="K11" s="402"/>
      <c r="L11" s="402"/>
    </row>
    <row r="12" spans="4:16" ht="12.75">
      <c r="D12" s="320" t="s">
        <v>373</v>
      </c>
      <c r="E12" s="453">
        <f>E10/E9</f>
        <v>0.89</v>
      </c>
      <c r="F12" s="453">
        <f>1-F13</f>
        <v>0.8</v>
      </c>
      <c r="G12" s="453">
        <f>1-G13</f>
        <v>0.6</v>
      </c>
      <c r="H12" s="453">
        <f>1-H13</f>
        <v>0.44999999999999996</v>
      </c>
      <c r="I12" s="453">
        <f>1-I13</f>
        <v>0.25</v>
      </c>
      <c r="J12" s="454">
        <f>1-J13</f>
        <v>0.19999999999999996</v>
      </c>
      <c r="K12" s="477"/>
      <c r="L12" s="477"/>
      <c r="O12" s="428" t="s">
        <v>429</v>
      </c>
      <c r="P12" s="428">
        <f>P13*(1+P15)^(P16)</f>
        <v>5.399194477945737</v>
      </c>
    </row>
    <row r="13" spans="4:16" ht="12.75">
      <c r="D13" s="320" t="s">
        <v>374</v>
      </c>
      <c r="E13" s="453">
        <f>E11/E9</f>
        <v>0.11</v>
      </c>
      <c r="F13" s="453">
        <f>'COSTO COMPRA DE PRODUCTO'!E10</f>
        <v>0.2</v>
      </c>
      <c r="G13" s="453">
        <f>'COSTO COMPRA DE PRODUCTO'!F10</f>
        <v>0.4</v>
      </c>
      <c r="H13" s="453">
        <f>'COSTO COMPRA DE PRODUCTO'!G10</f>
        <v>0.55</v>
      </c>
      <c r="I13" s="453">
        <f>'COSTO COMPRA DE PRODUCTO'!H10</f>
        <v>0.75</v>
      </c>
      <c r="J13" s="454">
        <f>'COSTO COMPRA DE PRODUCTO'!I10</f>
        <v>0.8</v>
      </c>
      <c r="K13" s="477"/>
      <c r="L13" s="477"/>
      <c r="O13" s="428" t="s">
        <v>430</v>
      </c>
      <c r="P13" s="428">
        <f>E15</f>
        <v>6.051720524106764</v>
      </c>
    </row>
    <row r="14" spans="4:12" ht="12.75">
      <c r="D14" s="320"/>
      <c r="E14" s="453"/>
      <c r="F14" s="453"/>
      <c r="G14" s="453"/>
      <c r="H14" s="453"/>
      <c r="I14" s="453"/>
      <c r="J14" s="454"/>
      <c r="K14" s="477"/>
      <c r="L14" s="477"/>
    </row>
    <row r="15" spans="4:16" ht="12.75">
      <c r="D15" s="478" t="s">
        <v>428</v>
      </c>
      <c r="E15" s="479">
        <f>O4</f>
        <v>6.051720524106764</v>
      </c>
      <c r="F15" s="479">
        <v>5.8</v>
      </c>
      <c r="G15" s="479">
        <v>5.5</v>
      </c>
      <c r="H15" s="479">
        <v>5.3</v>
      </c>
      <c r="I15" s="479">
        <v>5.2</v>
      </c>
      <c r="J15" s="480">
        <v>5</v>
      </c>
      <c r="K15" s="481"/>
      <c r="L15" s="481"/>
      <c r="O15" s="428" t="s">
        <v>4</v>
      </c>
      <c r="P15" s="428">
        <v>-0.02256019425002233</v>
      </c>
    </row>
    <row r="16" spans="4:16" ht="12.75">
      <c r="D16" s="320" t="s">
        <v>394</v>
      </c>
      <c r="E16" s="482">
        <f aca="true" t="shared" si="0" ref="E16:J16">E9/E15</f>
        <v>8344.734327838747</v>
      </c>
      <c r="F16" s="482">
        <f t="shared" si="0"/>
        <v>13060.344827586207</v>
      </c>
      <c r="G16" s="482">
        <f t="shared" si="0"/>
        <v>15838.636363636364</v>
      </c>
      <c r="H16" s="482">
        <f t="shared" si="0"/>
        <v>18079.952830188682</v>
      </c>
      <c r="I16" s="482">
        <f t="shared" si="0"/>
        <v>20270.40865384616</v>
      </c>
      <c r="J16" s="483">
        <f t="shared" si="0"/>
        <v>23189.34750000001</v>
      </c>
      <c r="K16" s="402"/>
      <c r="L16" s="402"/>
      <c r="O16" s="428" t="s">
        <v>431</v>
      </c>
      <c r="P16" s="428">
        <v>5</v>
      </c>
    </row>
    <row r="17" spans="4:12" ht="12.75">
      <c r="D17" s="187" t="s">
        <v>432</v>
      </c>
      <c r="E17" s="484">
        <f>P6</f>
        <v>0.9489006129574815</v>
      </c>
      <c r="F17" s="484">
        <f>E17</f>
        <v>0.9489006129574815</v>
      </c>
      <c r="G17" s="484">
        <f>F17</f>
        <v>0.9489006129574815</v>
      </c>
      <c r="H17" s="484">
        <f>G17</f>
        <v>0.9489006129574815</v>
      </c>
      <c r="I17" s="484">
        <f>H17</f>
        <v>0.9489006129574815</v>
      </c>
      <c r="J17" s="485">
        <f>I17</f>
        <v>0.9489006129574815</v>
      </c>
      <c r="K17" s="486"/>
      <c r="L17" s="486"/>
    </row>
    <row r="18" spans="4:12" ht="12.75">
      <c r="D18" s="187" t="s">
        <v>433</v>
      </c>
      <c r="E18" s="484">
        <f>P7</f>
        <v>0.04370964526172109</v>
      </c>
      <c r="F18" s="484">
        <f aca="true" t="shared" si="1" ref="F18:J19">E18</f>
        <v>0.04370964526172109</v>
      </c>
      <c r="G18" s="484">
        <f t="shared" si="1"/>
        <v>0.04370964526172109</v>
      </c>
      <c r="H18" s="484">
        <f t="shared" si="1"/>
        <v>0.04370964526172109</v>
      </c>
      <c r="I18" s="484">
        <f t="shared" si="1"/>
        <v>0.04370964526172109</v>
      </c>
      <c r="J18" s="485">
        <f t="shared" si="1"/>
        <v>0.04370964526172109</v>
      </c>
      <c r="K18" s="486"/>
      <c r="L18" s="486"/>
    </row>
    <row r="19" spans="4:16" ht="12.75">
      <c r="D19" s="459" t="s">
        <v>434</v>
      </c>
      <c r="E19" s="484">
        <f>P8</f>
        <v>0.007389741780797408</v>
      </c>
      <c r="F19" s="484">
        <f t="shared" si="1"/>
        <v>0.007389741780797408</v>
      </c>
      <c r="G19" s="484">
        <f t="shared" si="1"/>
        <v>0.007389741780797408</v>
      </c>
      <c r="H19" s="484">
        <f t="shared" si="1"/>
        <v>0.007389741780797408</v>
      </c>
      <c r="I19" s="484">
        <f t="shared" si="1"/>
        <v>0.007389741780797408</v>
      </c>
      <c r="J19" s="485">
        <f t="shared" si="1"/>
        <v>0.007389741780797408</v>
      </c>
      <c r="K19" s="486"/>
      <c r="L19" s="486"/>
      <c r="O19" s="428" t="s">
        <v>446</v>
      </c>
      <c r="P19" s="476">
        <v>0.2</v>
      </c>
    </row>
    <row r="20" spans="4:16" ht="12.75">
      <c r="D20" s="459"/>
      <c r="E20" s="484"/>
      <c r="F20" s="484"/>
      <c r="G20" s="484"/>
      <c r="H20" s="484"/>
      <c r="I20" s="484"/>
      <c r="J20" s="485"/>
      <c r="K20" s="486"/>
      <c r="L20" s="486"/>
      <c r="P20" s="476"/>
    </row>
    <row r="21" spans="4:16" ht="12.75">
      <c r="D21" s="460" t="s">
        <v>447</v>
      </c>
      <c r="E21" s="484"/>
      <c r="F21" s="484"/>
      <c r="G21" s="484"/>
      <c r="H21" s="484"/>
      <c r="I21" s="484"/>
      <c r="J21" s="485"/>
      <c r="K21" s="486"/>
      <c r="L21" s="486"/>
      <c r="O21" s="428" t="s">
        <v>445</v>
      </c>
      <c r="P21" s="476">
        <f>E18+E19</f>
        <v>0.0510993870425185</v>
      </c>
    </row>
    <row r="22" spans="4:16" ht="12.75">
      <c r="D22" s="187" t="s">
        <v>438</v>
      </c>
      <c r="E22" s="441">
        <f>E16*E17</f>
        <v>7918.323518653525</v>
      </c>
      <c r="F22" s="441">
        <f>F16*F$17</f>
        <v>12392.969212332624</v>
      </c>
      <c r="G22" s="441">
        <f>G16*G$17</f>
        <v>15029.291753865202</v>
      </c>
      <c r="H22" s="441">
        <f>H16*H$17</f>
        <v>17156.078322808393</v>
      </c>
      <c r="I22" s="441">
        <f>I16*I$17</f>
        <v>19234.60319653326</v>
      </c>
      <c r="J22" s="442">
        <f>J16*J$17</f>
        <v>22004.386056834053</v>
      </c>
      <c r="K22" s="402"/>
      <c r="L22" s="402"/>
      <c r="P22" s="487">
        <f>P19-P21</f>
        <v>0.14890061295748153</v>
      </c>
    </row>
    <row r="23" spans="4:12" ht="12.75">
      <c r="D23" s="187" t="s">
        <v>439</v>
      </c>
      <c r="E23" s="441">
        <f aca="true" t="shared" si="2" ref="E23:J23">E16*E18</f>
        <v>364.7453772731382</v>
      </c>
      <c r="F23" s="441">
        <f t="shared" si="2"/>
        <v>570.8630394095469</v>
      </c>
      <c r="G23" s="441">
        <f t="shared" si="2"/>
        <v>692.3011768839415</v>
      </c>
      <c r="H23" s="441">
        <f t="shared" si="2"/>
        <v>790.2683245561975</v>
      </c>
      <c r="I23" s="441">
        <f t="shared" si="2"/>
        <v>886.012371569737</v>
      </c>
      <c r="J23" s="442">
        <f t="shared" si="2"/>
        <v>1013.5981530757792</v>
      </c>
      <c r="K23" s="402"/>
      <c r="L23" s="402"/>
    </row>
    <row r="24" spans="4:12" ht="12.75">
      <c r="D24" s="459" t="s">
        <v>440</v>
      </c>
      <c r="E24" s="441">
        <f aca="true" t="shared" si="3" ref="E24:J24">E16*E19</f>
        <v>61.66543191208436</v>
      </c>
      <c r="F24" s="441">
        <f t="shared" si="3"/>
        <v>96.51257584403511</v>
      </c>
      <c r="G24" s="441">
        <f t="shared" si="3"/>
        <v>117.04343288722076</v>
      </c>
      <c r="H24" s="441">
        <f t="shared" si="3"/>
        <v>133.60618282409163</v>
      </c>
      <c r="I24" s="441">
        <f t="shared" si="3"/>
        <v>149.7930857431643</v>
      </c>
      <c r="J24" s="442">
        <f t="shared" si="3"/>
        <v>171.36329009018</v>
      </c>
      <c r="K24" s="402"/>
      <c r="L24" s="402"/>
    </row>
    <row r="25" spans="2:14" ht="12.75">
      <c r="B25" s="428">
        <v>8181.490632431364</v>
      </c>
      <c r="D25" s="459"/>
      <c r="E25" s="493">
        <f aca="true" t="shared" si="4" ref="E25:J25">SUM(E22:E24)</f>
        <v>8344.734327838747</v>
      </c>
      <c r="F25" s="493">
        <f t="shared" si="4"/>
        <v>13060.344827586207</v>
      </c>
      <c r="G25" s="493">
        <f t="shared" si="4"/>
        <v>15838.636363636364</v>
      </c>
      <c r="H25" s="493">
        <f t="shared" si="4"/>
        <v>18079.952830188682</v>
      </c>
      <c r="I25" s="493">
        <f t="shared" si="4"/>
        <v>20270.40865384616</v>
      </c>
      <c r="J25" s="494">
        <f t="shared" si="4"/>
        <v>23189.34750000001</v>
      </c>
      <c r="K25" s="402"/>
      <c r="L25" s="402"/>
      <c r="N25" s="428">
        <f>E11</f>
        <v>5555</v>
      </c>
    </row>
    <row r="26" spans="4:14" ht="12.75">
      <c r="D26" s="460" t="s">
        <v>448</v>
      </c>
      <c r="E26" s="441"/>
      <c r="F26" s="441"/>
      <c r="G26" s="441"/>
      <c r="H26" s="441"/>
      <c r="I26" s="441"/>
      <c r="J26" s="442"/>
      <c r="K26" s="402"/>
      <c r="L26" s="402"/>
      <c r="N26" s="428">
        <f>N25*0.8</f>
        <v>4444</v>
      </c>
    </row>
    <row r="27" spans="4:14" ht="12.75">
      <c r="D27" s="320" t="s">
        <v>444</v>
      </c>
      <c r="E27" s="441">
        <f aca="true" t="shared" si="5" ref="E27:J27">E22*E52</f>
        <v>5637.846345281309</v>
      </c>
      <c r="F27" s="441">
        <f t="shared" si="5"/>
        <v>7931.50029589288</v>
      </c>
      <c r="G27" s="441">
        <f t="shared" si="5"/>
        <v>7214.060041855297</v>
      </c>
      <c r="H27" s="441">
        <f t="shared" si="5"/>
        <v>6176.188196211021</v>
      </c>
      <c r="I27" s="441">
        <f t="shared" si="5"/>
        <v>3846.920639306652</v>
      </c>
      <c r="J27" s="442">
        <f t="shared" si="5"/>
        <v>3520.701769093448</v>
      </c>
      <c r="K27" s="402"/>
      <c r="L27" s="402"/>
      <c r="N27" s="428">
        <f>N26/E15</f>
        <v>734.3366208498097</v>
      </c>
    </row>
    <row r="28" spans="4:12" ht="12.75">
      <c r="D28" s="320" t="s">
        <v>451</v>
      </c>
      <c r="E28" s="441">
        <f aca="true" t="shared" si="6" ref="E28:J28">E25-(E27+E29+E30+E31+E32)</f>
        <v>1409.461586320328</v>
      </c>
      <c r="F28" s="441">
        <f t="shared" si="6"/>
        <v>1982.8750739732204</v>
      </c>
      <c r="G28" s="441">
        <f t="shared" si="6"/>
        <v>1803.5150104638233</v>
      </c>
      <c r="H28" s="441">
        <f t="shared" si="6"/>
        <v>1544.047049052755</v>
      </c>
      <c r="I28" s="441">
        <f t="shared" si="6"/>
        <v>961.730159826664</v>
      </c>
      <c r="J28" s="442">
        <f t="shared" si="6"/>
        <v>880.1754422733611</v>
      </c>
      <c r="K28" s="402"/>
      <c r="L28" s="402"/>
    </row>
    <row r="29" spans="4:12" ht="12.75">
      <c r="D29" s="320" t="s">
        <v>443</v>
      </c>
      <c r="E29" s="103">
        <f aca="true" t="shared" si="7" ref="E29:J29">E22*E58</f>
        <v>696.8124696415101</v>
      </c>
      <c r="F29" s="441">
        <f t="shared" si="7"/>
        <v>2032.4469508225504</v>
      </c>
      <c r="G29" s="441">
        <f t="shared" si="7"/>
        <v>5109.959196314169</v>
      </c>
      <c r="H29" s="441">
        <f t="shared" si="7"/>
        <v>8020.466615912924</v>
      </c>
      <c r="I29" s="441">
        <f t="shared" si="7"/>
        <v>12262.059537789952</v>
      </c>
      <c r="J29" s="442">
        <f t="shared" si="7"/>
        <v>14962.982518647157</v>
      </c>
      <c r="K29" s="402"/>
      <c r="L29" s="402"/>
    </row>
    <row r="30" spans="4:12" ht="12.75">
      <c r="D30" s="320" t="s">
        <v>441</v>
      </c>
      <c r="E30" s="441">
        <f aca="true" t="shared" si="8" ref="E30:J30">E22*E57</f>
        <v>174.20311741037756</v>
      </c>
      <c r="F30" s="441">
        <f t="shared" si="8"/>
        <v>446.1468916439744</v>
      </c>
      <c r="G30" s="441">
        <f t="shared" si="8"/>
        <v>901.7575052319121</v>
      </c>
      <c r="H30" s="441">
        <f t="shared" si="8"/>
        <v>1415.3764616316926</v>
      </c>
      <c r="I30" s="441">
        <f t="shared" si="8"/>
        <v>2163.8928596099913</v>
      </c>
      <c r="J30" s="442">
        <f t="shared" si="8"/>
        <v>2640.5263268200865</v>
      </c>
      <c r="K30" s="402"/>
      <c r="L30" s="402"/>
    </row>
    <row r="31" spans="4:14" ht="12.75">
      <c r="D31" s="320" t="s">
        <v>442</v>
      </c>
      <c r="E31" s="441">
        <f aca="true" t="shared" si="9" ref="E31:J32">E23</f>
        <v>364.7453772731382</v>
      </c>
      <c r="F31" s="441">
        <f t="shared" si="9"/>
        <v>570.8630394095469</v>
      </c>
      <c r="G31" s="441">
        <f t="shared" si="9"/>
        <v>692.3011768839415</v>
      </c>
      <c r="H31" s="441">
        <f t="shared" si="9"/>
        <v>790.2683245561975</v>
      </c>
      <c r="I31" s="441">
        <f t="shared" si="9"/>
        <v>886.012371569737</v>
      </c>
      <c r="J31" s="442">
        <f t="shared" si="9"/>
        <v>1013.5981530757792</v>
      </c>
      <c r="K31" s="402"/>
      <c r="L31" s="402"/>
      <c r="N31" s="428">
        <f>E11/E15</f>
        <v>917.9207760622621</v>
      </c>
    </row>
    <row r="32" spans="4:12" ht="12.75">
      <c r="D32" s="320" t="s">
        <v>449</v>
      </c>
      <c r="E32" s="441">
        <f t="shared" si="9"/>
        <v>61.66543191208436</v>
      </c>
      <c r="F32" s="441">
        <f t="shared" si="9"/>
        <v>96.51257584403511</v>
      </c>
      <c r="G32" s="441">
        <f t="shared" si="9"/>
        <v>117.04343288722076</v>
      </c>
      <c r="H32" s="441">
        <f t="shared" si="9"/>
        <v>133.60618282409163</v>
      </c>
      <c r="I32" s="441">
        <f t="shared" si="9"/>
        <v>149.7930857431643</v>
      </c>
      <c r="J32" s="442">
        <f t="shared" si="9"/>
        <v>171.36329009018</v>
      </c>
      <c r="K32" s="402"/>
      <c r="L32" s="402"/>
    </row>
    <row r="33" spans="4:12" ht="12.75">
      <c r="D33" s="320"/>
      <c r="E33" s="441"/>
      <c r="F33" s="441"/>
      <c r="G33" s="441"/>
      <c r="H33" s="441"/>
      <c r="I33" s="441"/>
      <c r="J33" s="442"/>
      <c r="K33" s="402"/>
      <c r="L33" s="402"/>
    </row>
    <row r="34" spans="4:12" ht="12.75">
      <c r="D34" s="488" t="s">
        <v>395</v>
      </c>
      <c r="E34" s="441"/>
      <c r="F34" s="441"/>
      <c r="G34" s="441"/>
      <c r="H34" s="441"/>
      <c r="I34" s="441"/>
      <c r="J34" s="442"/>
      <c r="K34" s="402"/>
      <c r="L34" s="402"/>
    </row>
    <row r="35" spans="4:12" ht="12.75">
      <c r="D35" s="320" t="s">
        <v>396</v>
      </c>
      <c r="E35" s="441">
        <v>4</v>
      </c>
      <c r="F35" s="441">
        <f>E35*(1+$B$70)</f>
        <v>4.08</v>
      </c>
      <c r="G35" s="441">
        <f>F35*(1+$B$70)</f>
        <v>4.1616</v>
      </c>
      <c r="H35" s="441">
        <f>G35*(1+$B$70)</f>
        <v>4.244832</v>
      </c>
      <c r="I35" s="441">
        <f>H35*(1+$B$70)</f>
        <v>4.32972864</v>
      </c>
      <c r="J35" s="442">
        <f>I35*(1+$B$70)</f>
        <v>4.4163232128</v>
      </c>
      <c r="K35" s="402"/>
      <c r="L35" s="402"/>
    </row>
    <row r="36" spans="4:12" ht="12.75">
      <c r="D36" s="320" t="s">
        <v>397</v>
      </c>
      <c r="E36" s="441">
        <f aca="true" t="shared" si="10" ref="E36:J36">E35*E16</f>
        <v>33378.93731135499</v>
      </c>
      <c r="F36" s="441">
        <f t="shared" si="10"/>
        <v>53286.206896551725</v>
      </c>
      <c r="G36" s="441">
        <f t="shared" si="10"/>
        <v>65914.06909090909</v>
      </c>
      <c r="H36" s="441">
        <f t="shared" si="10"/>
        <v>76746.36233207549</v>
      </c>
      <c r="I36" s="441">
        <f t="shared" si="10"/>
        <v>87765.36889306156</v>
      </c>
      <c r="J36" s="442">
        <f t="shared" si="10"/>
        <v>102411.6536539357</v>
      </c>
      <c r="K36" s="402"/>
      <c r="L36" s="402"/>
    </row>
    <row r="37" spans="4:12" ht="12.75">
      <c r="D37" s="459"/>
      <c r="E37" s="441"/>
      <c r="F37" s="441"/>
      <c r="G37" s="441"/>
      <c r="H37" s="441"/>
      <c r="I37" s="441"/>
      <c r="J37" s="442"/>
      <c r="K37" s="402"/>
      <c r="L37" s="402"/>
    </row>
    <row r="38" spans="2:12" ht="12.75">
      <c r="B38" s="428" t="s">
        <v>5</v>
      </c>
      <c r="D38" s="460" t="s">
        <v>400</v>
      </c>
      <c r="E38" s="441"/>
      <c r="F38" s="441"/>
      <c r="G38" s="441"/>
      <c r="H38" s="441"/>
      <c r="I38" s="441"/>
      <c r="J38" s="442"/>
      <c r="K38" s="402"/>
      <c r="L38" s="402"/>
    </row>
    <row r="39" spans="4:12" ht="12.75">
      <c r="D39" s="459" t="s">
        <v>399</v>
      </c>
      <c r="E39" s="441">
        <f>3246.97*(1+E8)</f>
        <v>6925.832149968194</v>
      </c>
      <c r="F39" s="441">
        <f>E39*(1+(F8*0.7))</f>
        <v>9349.873402457062</v>
      </c>
      <c r="G39" s="441">
        <f>F39*(1+(G8*0.7))</f>
        <v>10331.610109715053</v>
      </c>
      <c r="H39" s="441">
        <f>G39*(1+(H8*0.7))</f>
        <v>11054.822817395108</v>
      </c>
      <c r="I39" s="441">
        <f>H39*(1+(I8*0.7))</f>
        <v>11828.660414612767</v>
      </c>
      <c r="J39" s="442">
        <f>I39*(1+(J8*0.7))</f>
        <v>12656.66664363566</v>
      </c>
      <c r="K39" s="402"/>
      <c r="L39" s="402"/>
    </row>
    <row r="40" spans="4:12" ht="13.5" thickBot="1">
      <c r="D40" s="518" t="s">
        <v>401</v>
      </c>
      <c r="E40" s="519">
        <v>5000</v>
      </c>
      <c r="F40" s="519">
        <f>E40*(1+(F8*0.5))</f>
        <v>6250</v>
      </c>
      <c r="G40" s="519">
        <f>F40*(1+(G8*0.5))</f>
        <v>6718.75</v>
      </c>
      <c r="H40" s="519">
        <f>G40*(1+(H8*0.5))</f>
        <v>7054.6875</v>
      </c>
      <c r="I40" s="519">
        <f>H40*(1+(I8*0.5))</f>
        <v>7407.421875</v>
      </c>
      <c r="J40" s="520">
        <f>I40*(1+(J8*0.5))</f>
        <v>7777.79296875</v>
      </c>
      <c r="K40" s="402"/>
      <c r="L40" s="402"/>
    </row>
    <row r="41" spans="4:12" ht="13.5" thickBot="1">
      <c r="D41" s="490" t="s">
        <v>402</v>
      </c>
      <c r="E41" s="130">
        <f aca="true" t="shared" si="11" ref="E41:J41">(E36+E39+E40)*$E$46</f>
        <v>45304.76946132318</v>
      </c>
      <c r="F41" s="130">
        <f t="shared" si="11"/>
        <v>68886.08029900878</v>
      </c>
      <c r="G41" s="130">
        <f t="shared" si="11"/>
        <v>82964.42920062414</v>
      </c>
      <c r="H41" s="130">
        <f t="shared" si="11"/>
        <v>94855.87264947059</v>
      </c>
      <c r="I41" s="130">
        <f t="shared" si="11"/>
        <v>107001.45118267433</v>
      </c>
      <c r="J41" s="491">
        <f t="shared" si="11"/>
        <v>122846.11326632136</v>
      </c>
      <c r="K41" s="489"/>
      <c r="L41" s="489"/>
    </row>
    <row r="42" spans="4:10" ht="13.5" thickBot="1">
      <c r="D42" s="495" t="s">
        <v>510</v>
      </c>
      <c r="E42" s="496">
        <f aca="true" t="shared" si="12" ref="E42:J42">E41/E16</f>
        <v>5.429144617604253</v>
      </c>
      <c r="F42" s="496">
        <f t="shared" si="12"/>
        <v>5.274445752267339</v>
      </c>
      <c r="G42" s="496">
        <f t="shared" si="12"/>
        <v>5.238104297356094</v>
      </c>
      <c r="H42" s="496">
        <f t="shared" si="12"/>
        <v>5.246466821035432</v>
      </c>
      <c r="I42" s="496">
        <f t="shared" si="12"/>
        <v>5.278702221051256</v>
      </c>
      <c r="J42" s="497">
        <f t="shared" si="12"/>
        <v>5.297523497214456</v>
      </c>
    </row>
    <row r="43" ht="12.75">
      <c r="D43" s="428" t="s">
        <v>996</v>
      </c>
    </row>
    <row r="46" spans="2:5" ht="12.75" hidden="1">
      <c r="B46" s="428">
        <f>E16/2</f>
        <v>4172.3671639193735</v>
      </c>
      <c r="E46" s="428">
        <v>1</v>
      </c>
    </row>
    <row r="47" ht="12.75" hidden="1">
      <c r="E47" s="476">
        <f>E46-1</f>
        <v>0</v>
      </c>
    </row>
    <row r="48" ht="12.75" hidden="1"/>
    <row r="49" ht="12.75" hidden="1"/>
    <row r="50" spans="5:10" ht="12.75" hidden="1">
      <c r="E50" s="428">
        <f>'COSTO COMPRA DE PRODUCTO'!D9</f>
        <v>0.89</v>
      </c>
      <c r="F50" s="428">
        <f>'COSTO COMPRA DE PRODUCTO'!E9</f>
        <v>0.8</v>
      </c>
      <c r="G50" s="428">
        <f>'COSTO COMPRA DE PRODUCTO'!F9</f>
        <v>0.6</v>
      </c>
      <c r="H50" s="428">
        <f>'COSTO COMPRA DE PRODUCTO'!G9</f>
        <v>0.44999999999999996</v>
      </c>
      <c r="I50" s="428">
        <f>'COSTO COMPRA DE PRODUCTO'!H9</f>
        <v>0.25</v>
      </c>
      <c r="J50" s="428">
        <f>'COSTO COMPRA DE PRODUCTO'!I9</f>
        <v>0.19999999999999996</v>
      </c>
    </row>
    <row r="51" spans="4:10" ht="12.75" hidden="1">
      <c r="D51" s="428" t="s">
        <v>727</v>
      </c>
      <c r="E51" s="428">
        <f aca="true" t="shared" si="13" ref="E51:J51">E50*0.2</f>
        <v>0.17800000000000002</v>
      </c>
      <c r="F51" s="428">
        <f t="shared" si="13"/>
        <v>0.16000000000000003</v>
      </c>
      <c r="G51" s="428">
        <f t="shared" si="13"/>
        <v>0.12</v>
      </c>
      <c r="H51" s="428">
        <f t="shared" si="13"/>
        <v>0.09</v>
      </c>
      <c r="I51" s="428">
        <f t="shared" si="13"/>
        <v>0.05</v>
      </c>
      <c r="J51" s="428">
        <f t="shared" si="13"/>
        <v>0.039999999999999994</v>
      </c>
    </row>
    <row r="52" spans="4:10" ht="12.75" hidden="1">
      <c r="D52" s="428" t="s">
        <v>724</v>
      </c>
      <c r="E52" s="428">
        <f aca="true" t="shared" si="14" ref="E52:J52">E50-E51</f>
        <v>0.712</v>
      </c>
      <c r="F52" s="428">
        <f t="shared" si="14"/>
        <v>0.64</v>
      </c>
      <c r="G52" s="428">
        <f t="shared" si="14"/>
        <v>0.48</v>
      </c>
      <c r="H52" s="428">
        <f t="shared" si="14"/>
        <v>0.36</v>
      </c>
      <c r="I52" s="428">
        <f t="shared" si="14"/>
        <v>0.2</v>
      </c>
      <c r="J52" s="428">
        <f t="shared" si="14"/>
        <v>0.15999999999999998</v>
      </c>
    </row>
    <row r="53" ht="12.75" hidden="1"/>
    <row r="54" ht="12.75" hidden="1"/>
    <row r="55" ht="12.75" hidden="1"/>
    <row r="56" spans="4:10" ht="12.75" hidden="1">
      <c r="D56" s="492" t="s">
        <v>726</v>
      </c>
      <c r="E56" s="428">
        <f>'COSTO COMPRA DE PRODUCTO'!D10</f>
        <v>0.11</v>
      </c>
      <c r="F56" s="428">
        <f>'COSTO COMPRA DE PRODUCTO'!E10</f>
        <v>0.2</v>
      </c>
      <c r="G56" s="428">
        <f>'COSTO COMPRA DE PRODUCTO'!F10</f>
        <v>0.4</v>
      </c>
      <c r="H56" s="428">
        <f>'COSTO COMPRA DE PRODUCTO'!G10</f>
        <v>0.55</v>
      </c>
      <c r="I56" s="428">
        <f>'COSTO COMPRA DE PRODUCTO'!H10</f>
        <v>0.75</v>
      </c>
      <c r="J56" s="428">
        <f>'COSTO COMPRA DE PRODUCTO'!I10</f>
        <v>0.8</v>
      </c>
    </row>
    <row r="57" spans="4:10" ht="12.75" hidden="1">
      <c r="D57" s="492" t="s">
        <v>725</v>
      </c>
      <c r="E57" s="428">
        <f>E56*0.2</f>
        <v>0.022000000000000002</v>
      </c>
      <c r="F57" s="428">
        <f>F56*0.18</f>
        <v>0.036</v>
      </c>
      <c r="G57" s="428">
        <f>G56*0.15</f>
        <v>0.06</v>
      </c>
      <c r="H57" s="428">
        <f>H56*0.15</f>
        <v>0.0825</v>
      </c>
      <c r="I57" s="428">
        <f>I56*0.15</f>
        <v>0.11249999999999999</v>
      </c>
      <c r="J57" s="428">
        <f>J56*0.15</f>
        <v>0.12</v>
      </c>
    </row>
    <row r="58" spans="4:10" ht="12.75" hidden="1">
      <c r="D58" s="492" t="s">
        <v>724</v>
      </c>
      <c r="E58" s="428">
        <f aca="true" t="shared" si="15" ref="E58:J58">E56-E57</f>
        <v>0.088</v>
      </c>
      <c r="F58" s="428">
        <f t="shared" si="15"/>
        <v>0.164</v>
      </c>
      <c r="G58" s="428">
        <f t="shared" si="15"/>
        <v>0.34</v>
      </c>
      <c r="H58" s="428">
        <f t="shared" si="15"/>
        <v>0.4675</v>
      </c>
      <c r="I58" s="428">
        <f t="shared" si="15"/>
        <v>0.6375</v>
      </c>
      <c r="J58" s="428">
        <f t="shared" si="15"/>
        <v>0.68</v>
      </c>
    </row>
    <row r="70" ht="12.75">
      <c r="B70" s="476">
        <v>0.02</v>
      </c>
    </row>
  </sheetData>
  <sheetProtection/>
  <mergeCells count="2">
    <mergeCell ref="D4:J4"/>
    <mergeCell ref="D3:J3"/>
  </mergeCells>
  <printOptions horizontalCentered="1" verticalCentered="1"/>
  <pageMargins left="0.7874015748031497" right="0.7874015748031497" top="0.59" bottom="0.62" header="0" footer="0"/>
  <pageSetup fitToHeight="1" fitToWidth="1" horizontalDpi="300" verticalDpi="300" orientation="landscape" paperSize="9" scale="98"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S82"/>
  <sheetViews>
    <sheetView zoomScale="95" zoomScaleNormal="95" workbookViewId="0" topLeftCell="B10">
      <selection activeCell="H25" sqref="H25"/>
    </sheetView>
  </sheetViews>
  <sheetFormatPr defaultColWidth="11.421875" defaultRowHeight="12.75"/>
  <cols>
    <col min="1" max="1" width="11.421875" style="428" hidden="1" customWidth="1"/>
    <col min="2" max="2" width="11.7109375" style="428" bestFit="1" customWidth="1"/>
    <col min="3" max="3" width="37.28125" style="428" customWidth="1"/>
    <col min="4" max="7" width="12.8515625" style="428" bestFit="1" customWidth="1"/>
    <col min="8" max="8" width="12.57421875" style="428" bestFit="1" customWidth="1"/>
    <col min="9" max="9" width="13.7109375" style="428" bestFit="1" customWidth="1"/>
    <col min="10" max="11" width="14.28125" style="428" customWidth="1"/>
    <col min="12" max="13" width="11.57421875" style="428" hidden="1" customWidth="1"/>
    <col min="14" max="17" width="0" style="428" hidden="1" customWidth="1"/>
    <col min="18" max="16384" width="11.421875" style="428" customWidth="1"/>
  </cols>
  <sheetData>
    <row r="2" ht="12.75">
      <c r="N2" s="428">
        <v>23675.42</v>
      </c>
    </row>
    <row r="3" spans="3:14" ht="12.75">
      <c r="C3" s="724" t="s">
        <v>1066</v>
      </c>
      <c r="D3" s="724"/>
      <c r="E3" s="724"/>
      <c r="F3" s="724"/>
      <c r="G3" s="724"/>
      <c r="H3" s="724"/>
      <c r="I3" s="724"/>
      <c r="N3" s="428">
        <v>3912.18</v>
      </c>
    </row>
    <row r="4" spans="3:9" ht="12.75">
      <c r="C4" s="725" t="s">
        <v>635</v>
      </c>
      <c r="D4" s="725"/>
      <c r="E4" s="725"/>
      <c r="F4" s="725"/>
      <c r="G4" s="725"/>
      <c r="H4" s="725"/>
      <c r="I4" s="725"/>
    </row>
    <row r="5" spans="1:14" ht="13.5" thickBot="1">
      <c r="A5" s="476">
        <v>0.02</v>
      </c>
      <c r="J5" s="7"/>
      <c r="K5" s="7"/>
      <c r="N5" s="428">
        <f>N2/N3</f>
        <v>6.051720524106764</v>
      </c>
    </row>
    <row r="6" spans="1:15" s="433" customFormat="1" ht="13.5" thickBot="1">
      <c r="A6" s="428"/>
      <c r="B6" s="428"/>
      <c r="C6" s="498" t="s">
        <v>35</v>
      </c>
      <c r="D6" s="499">
        <v>0</v>
      </c>
      <c r="E6" s="499">
        <v>1</v>
      </c>
      <c r="F6" s="499">
        <v>2</v>
      </c>
      <c r="G6" s="499">
        <v>3</v>
      </c>
      <c r="H6" s="499">
        <v>4</v>
      </c>
      <c r="I6" s="500">
        <v>5</v>
      </c>
      <c r="J6" s="469"/>
      <c r="K6" s="469"/>
      <c r="M6" s="433" t="s">
        <v>435</v>
      </c>
      <c r="N6" s="433">
        <v>3712.27</v>
      </c>
      <c r="O6" s="470">
        <f>N6/$N$3</f>
        <v>0.9489006129574815</v>
      </c>
    </row>
    <row r="7" spans="3:15" s="433" customFormat="1" ht="12.75">
      <c r="C7" s="466" t="s">
        <v>393</v>
      </c>
      <c r="D7" s="435">
        <v>2008</v>
      </c>
      <c r="E7" s="435">
        <v>2009</v>
      </c>
      <c r="F7" s="435">
        <v>2010</v>
      </c>
      <c r="G7" s="435">
        <v>2011</v>
      </c>
      <c r="H7" s="435">
        <v>2012</v>
      </c>
      <c r="I7" s="436">
        <v>2013</v>
      </c>
      <c r="J7" s="469"/>
      <c r="K7" s="469"/>
      <c r="M7" s="433" t="s">
        <v>436</v>
      </c>
      <c r="N7" s="433">
        <v>171</v>
      </c>
      <c r="O7" s="470">
        <f>N7/$N$3</f>
        <v>0.04370964526172109</v>
      </c>
    </row>
    <row r="8" spans="1:11" ht="12.75">
      <c r="A8" s="433"/>
      <c r="B8" s="433"/>
      <c r="C8" s="501"/>
      <c r="D8" s="441"/>
      <c r="E8" s="441"/>
      <c r="F8" s="441"/>
      <c r="G8" s="441"/>
      <c r="H8" s="441"/>
      <c r="I8" s="442"/>
      <c r="J8" s="402"/>
      <c r="K8" s="402"/>
    </row>
    <row r="9" spans="1:11" ht="12.75">
      <c r="A9" s="428" t="s">
        <v>5</v>
      </c>
      <c r="C9" s="460" t="s">
        <v>448</v>
      </c>
      <c r="D9" s="441"/>
      <c r="E9" s="441"/>
      <c r="F9" s="441"/>
      <c r="G9" s="441"/>
      <c r="H9" s="441"/>
      <c r="I9" s="442"/>
      <c r="J9" s="402"/>
      <c r="K9" s="402"/>
    </row>
    <row r="10" spans="3:17" ht="12.75">
      <c r="C10" s="320" t="s">
        <v>444</v>
      </c>
      <c r="D10" s="441">
        <f>'COSTO BENEFICIO'!E27</f>
        <v>5637.846345281309</v>
      </c>
      <c r="E10" s="441">
        <f>'COSTO BENEFICIO'!F27</f>
        <v>7931.50029589288</v>
      </c>
      <c r="F10" s="441">
        <f>'COSTO BENEFICIO'!G27</f>
        <v>7214.060041855297</v>
      </c>
      <c r="G10" s="441">
        <f>'COSTO BENEFICIO'!H27</f>
        <v>6176.188196211021</v>
      </c>
      <c r="H10" s="441">
        <f>'COSTO BENEFICIO'!I27</f>
        <v>3846.920639306652</v>
      </c>
      <c r="I10" s="442">
        <f>'COSTO BENEFICIO'!J27</f>
        <v>3520.701769093448</v>
      </c>
      <c r="J10" s="402"/>
      <c r="K10" s="402"/>
      <c r="L10" s="428">
        <f aca="true" t="shared" si="0" ref="L10:Q10">D10/D16</f>
        <v>0.6756172364257268</v>
      </c>
      <c r="M10" s="428">
        <f t="shared" si="0"/>
        <v>0.6072963922927882</v>
      </c>
      <c r="N10" s="428">
        <f t="shared" si="0"/>
        <v>0.4554722942195911</v>
      </c>
      <c r="O10" s="428">
        <f t="shared" si="0"/>
        <v>0.3416042206646933</v>
      </c>
      <c r="P10" s="428">
        <f t="shared" si="0"/>
        <v>0.18978012259149632</v>
      </c>
      <c r="Q10" s="428">
        <f t="shared" si="0"/>
        <v>0.15182409807319702</v>
      </c>
    </row>
    <row r="11" spans="3:11" ht="12.75">
      <c r="C11" s="320" t="s">
        <v>452</v>
      </c>
      <c r="D11" s="441">
        <f>'COSTO BENEFICIO'!E28</f>
        <v>1409.461586320328</v>
      </c>
      <c r="E11" s="441">
        <f>'COSTO BENEFICIO'!F28</f>
        <v>1982.8750739732204</v>
      </c>
      <c r="F11" s="441">
        <f>'COSTO BENEFICIO'!G28</f>
        <v>1803.5150104638233</v>
      </c>
      <c r="G11" s="441">
        <f>'COSTO BENEFICIO'!H28</f>
        <v>1544.047049052755</v>
      </c>
      <c r="H11" s="441">
        <f>'COSTO BENEFICIO'!I28</f>
        <v>961.730159826664</v>
      </c>
      <c r="I11" s="442">
        <f>'COSTO BENEFICIO'!J28</f>
        <v>880.1754422733611</v>
      </c>
      <c r="J11" s="402"/>
      <c r="K11" s="402"/>
    </row>
    <row r="12" spans="3:17" ht="12.75">
      <c r="C12" s="320" t="s">
        <v>443</v>
      </c>
      <c r="D12" s="441">
        <f>'COSTO BENEFICIO'!E29</f>
        <v>696.8124696415101</v>
      </c>
      <c r="E12" s="441">
        <f>'COSTO BENEFICIO'!F29</f>
        <v>2032.4469508225504</v>
      </c>
      <c r="F12" s="441">
        <f>'COSTO BENEFICIO'!G29</f>
        <v>5109.959196314169</v>
      </c>
      <c r="G12" s="441">
        <f>'COSTO BENEFICIO'!H29</f>
        <v>8020.466615912924</v>
      </c>
      <c r="H12" s="441">
        <f>'COSTO BENEFICIO'!I29</f>
        <v>12262.059537789952</v>
      </c>
      <c r="I12" s="442">
        <f>'COSTO BENEFICIO'!J29</f>
        <v>14962.982518647157</v>
      </c>
      <c r="J12" s="402"/>
      <c r="K12" s="402"/>
      <c r="L12" s="428">
        <f aca="true" t="shared" si="1" ref="L12:Q12">D12/D16</f>
        <v>0.08350325394025837</v>
      </c>
      <c r="M12" s="428">
        <f t="shared" si="1"/>
        <v>0.15561970052502697</v>
      </c>
      <c r="N12" s="428">
        <f t="shared" si="1"/>
        <v>0.32262620840554374</v>
      </c>
      <c r="O12" s="428">
        <f t="shared" si="1"/>
        <v>0.44361103655762263</v>
      </c>
      <c r="P12" s="428">
        <f t="shared" si="1"/>
        <v>0.6049241407603945</v>
      </c>
      <c r="Q12" s="428">
        <f t="shared" si="1"/>
        <v>0.6452524168110875</v>
      </c>
    </row>
    <row r="13" spans="3:18" ht="25.5">
      <c r="C13" s="320" t="s">
        <v>441</v>
      </c>
      <c r="D13" s="441">
        <f>'COSTO BENEFICIO'!E30</f>
        <v>174.20311741037756</v>
      </c>
      <c r="E13" s="441">
        <f>'COSTO BENEFICIO'!F30</f>
        <v>446.1468916439744</v>
      </c>
      <c r="F13" s="441">
        <f>'COSTO BENEFICIO'!G30</f>
        <v>901.7575052319121</v>
      </c>
      <c r="G13" s="441">
        <f>'COSTO BENEFICIO'!H30</f>
        <v>1415.3764616316926</v>
      </c>
      <c r="H13" s="441">
        <f>'COSTO BENEFICIO'!I30</f>
        <v>2163.8928596099913</v>
      </c>
      <c r="I13" s="442">
        <f>'COSTO BENEFICIO'!J30</f>
        <v>2640.5263268200865</v>
      </c>
      <c r="J13" s="402"/>
      <c r="K13" s="402"/>
      <c r="L13" s="428">
        <f aca="true" t="shared" si="2" ref="L13:Q13">D13/D16</f>
        <v>0.020875813485064596</v>
      </c>
      <c r="M13" s="428">
        <f t="shared" si="2"/>
        <v>0.034160422066469326</v>
      </c>
      <c r="N13" s="428">
        <f t="shared" si="2"/>
        <v>0.05693403677744889</v>
      </c>
      <c r="O13" s="428">
        <f t="shared" si="2"/>
        <v>0.07828430056899223</v>
      </c>
      <c r="P13" s="428">
        <f t="shared" si="2"/>
        <v>0.10675131895771665</v>
      </c>
      <c r="Q13" s="428">
        <f t="shared" si="2"/>
        <v>0.1138680735548978</v>
      </c>
      <c r="R13" s="476"/>
    </row>
    <row r="14" spans="3:19" ht="12.75">
      <c r="C14" s="320" t="s">
        <v>442</v>
      </c>
      <c r="D14" s="441">
        <f>'COSTO BENEFICIO'!E31</f>
        <v>364.7453772731382</v>
      </c>
      <c r="E14" s="441">
        <f>'COSTO BENEFICIO'!F31</f>
        <v>570.8630394095469</v>
      </c>
      <c r="F14" s="441">
        <f>'COSTO BENEFICIO'!G31</f>
        <v>692.3011768839415</v>
      </c>
      <c r="G14" s="441">
        <f>'COSTO BENEFICIO'!H31</f>
        <v>790.2683245561975</v>
      </c>
      <c r="H14" s="441">
        <f>'COSTO BENEFICIO'!I31</f>
        <v>886.012371569737</v>
      </c>
      <c r="I14" s="442">
        <f>'COSTO BENEFICIO'!J31</f>
        <v>1013.5981530757792</v>
      </c>
      <c r="J14" s="402"/>
      <c r="K14" s="402"/>
      <c r="L14" s="428">
        <f aca="true" t="shared" si="3" ref="L14:Q14">D14/D16</f>
        <v>0.04370964526172109</v>
      </c>
      <c r="M14" s="428">
        <f t="shared" si="3"/>
        <v>0.04370964526172108</v>
      </c>
      <c r="N14" s="428">
        <f t="shared" si="3"/>
        <v>0.04370964526172109</v>
      </c>
      <c r="O14" s="428">
        <f t="shared" si="3"/>
        <v>0.04370964526172109</v>
      </c>
      <c r="P14" s="428">
        <f t="shared" si="3"/>
        <v>0.04370964526172109</v>
      </c>
      <c r="Q14" s="428">
        <f t="shared" si="3"/>
        <v>0.04370964526172109</v>
      </c>
      <c r="R14" s="476"/>
      <c r="S14" s="476" t="s">
        <v>5</v>
      </c>
    </row>
    <row r="15" spans="3:17" ht="12.75">
      <c r="C15" s="320" t="s">
        <v>449</v>
      </c>
      <c r="D15" s="441">
        <f>'COSTO BENEFICIO'!E32</f>
        <v>61.66543191208436</v>
      </c>
      <c r="E15" s="441">
        <f>'COSTO BENEFICIO'!F32</f>
        <v>96.51257584403511</v>
      </c>
      <c r="F15" s="441">
        <f>'COSTO BENEFICIO'!G32</f>
        <v>117.04343288722076</v>
      </c>
      <c r="G15" s="441">
        <f>'COSTO BENEFICIO'!H32</f>
        <v>133.60618282409163</v>
      </c>
      <c r="H15" s="441">
        <f>'COSTO BENEFICIO'!I32</f>
        <v>149.7930857431643</v>
      </c>
      <c r="I15" s="442">
        <f>'COSTO BENEFICIO'!J32</f>
        <v>171.36329009018</v>
      </c>
      <c r="J15" s="402"/>
      <c r="K15" s="402"/>
      <c r="L15" s="428">
        <f aca="true" t="shared" si="4" ref="L15:Q15">D15/D16</f>
        <v>0.007389741780797408</v>
      </c>
      <c r="M15" s="428">
        <f t="shared" si="4"/>
        <v>0.0073897417807974085</v>
      </c>
      <c r="N15" s="428">
        <f t="shared" si="4"/>
        <v>0.007389741780797408</v>
      </c>
      <c r="O15" s="428">
        <f t="shared" si="4"/>
        <v>0.007389741780797407</v>
      </c>
      <c r="P15" s="428">
        <f t="shared" si="4"/>
        <v>0.007389741780797408</v>
      </c>
      <c r="Q15" s="428">
        <f t="shared" si="4"/>
        <v>0.007389741780797408</v>
      </c>
    </row>
    <row r="16" spans="3:17" ht="12.75">
      <c r="C16" s="488" t="s">
        <v>450</v>
      </c>
      <c r="D16" s="147">
        <f aca="true" t="shared" si="5" ref="D16:I16">SUM(D10:D15)</f>
        <v>8344.734327838747</v>
      </c>
      <c r="E16" s="147">
        <f t="shared" si="5"/>
        <v>13060.344827586207</v>
      </c>
      <c r="F16" s="147">
        <f t="shared" si="5"/>
        <v>15838.636363636364</v>
      </c>
      <c r="G16" s="147">
        <f t="shared" si="5"/>
        <v>18079.952830188682</v>
      </c>
      <c r="H16" s="147">
        <f t="shared" si="5"/>
        <v>20270.40865384616</v>
      </c>
      <c r="I16" s="148">
        <f t="shared" si="5"/>
        <v>23189.34750000001</v>
      </c>
      <c r="J16" s="402"/>
      <c r="K16" s="402"/>
      <c r="L16" s="428">
        <f aca="true" t="shared" si="6" ref="L16:Q16">+SUM(L10:L15)</f>
        <v>0.8310956908935683</v>
      </c>
      <c r="M16" s="428">
        <f t="shared" si="6"/>
        <v>0.8481759019268029</v>
      </c>
      <c r="N16" s="428">
        <f t="shared" si="6"/>
        <v>0.8861319264451022</v>
      </c>
      <c r="O16" s="428">
        <f t="shared" si="6"/>
        <v>0.9145989448338266</v>
      </c>
      <c r="P16" s="428">
        <f t="shared" si="6"/>
        <v>0.9525549693521259</v>
      </c>
      <c r="Q16" s="428">
        <f t="shared" si="6"/>
        <v>0.9620439754817007</v>
      </c>
    </row>
    <row r="17" spans="3:11" ht="12.75">
      <c r="C17" s="320"/>
      <c r="D17" s="441"/>
      <c r="E17" s="441"/>
      <c r="F17" s="441"/>
      <c r="G17" s="441"/>
      <c r="H17" s="441"/>
      <c r="I17" s="442"/>
      <c r="J17" s="402"/>
      <c r="K17" s="402"/>
    </row>
    <row r="18" spans="3:11" ht="25.5">
      <c r="C18" s="488" t="s">
        <v>455</v>
      </c>
      <c r="D18" s="441"/>
      <c r="E18" s="441"/>
      <c r="F18" s="441"/>
      <c r="G18" s="441"/>
      <c r="H18" s="441"/>
      <c r="I18" s="442"/>
      <c r="J18" s="402"/>
      <c r="K18" s="402"/>
    </row>
    <row r="19" spans="1:11" ht="12.75">
      <c r="A19" s="428">
        <f>'COSTO COMPRA DE PRODUCTO'!D15</f>
        <v>122</v>
      </c>
      <c r="C19" s="320" t="s">
        <v>444</v>
      </c>
      <c r="D19" s="441">
        <f>'COSTO COMPRA DE PRODUCTO'!D15</f>
        <v>122</v>
      </c>
      <c r="E19" s="441">
        <f>'COSTO COMPRA DE PRODUCTO'!E15</f>
        <v>132.22517985611512</v>
      </c>
      <c r="F19" s="441">
        <f>'COSTO COMPRA DE PRODUCTO'!F15</f>
        <v>140.78273381294963</v>
      </c>
      <c r="G19" s="441">
        <f>'COSTO COMPRA DE PRODUCTO'!G15</f>
        <v>145.9611510791367</v>
      </c>
      <c r="H19" s="441">
        <f>'COSTO COMPRA DE PRODUCTO'!H15</f>
        <v>147.80431654676258</v>
      </c>
      <c r="I19" s="442">
        <f>'COSTO COMPRA DE PRODUCTO'!I15</f>
        <v>144.9956834532374</v>
      </c>
      <c r="J19" s="402"/>
      <c r="K19" s="402"/>
    </row>
    <row r="20" spans="3:11" ht="12.75">
      <c r="C20" s="320" t="s">
        <v>454</v>
      </c>
      <c r="D20" s="441">
        <f aca="true" t="shared" si="7" ref="D20:I20">D10*D19</f>
        <v>687817.2541243198</v>
      </c>
      <c r="E20" s="441">
        <f t="shared" si="7"/>
        <v>1048744.0531532664</v>
      </c>
      <c r="F20" s="441">
        <f t="shared" si="7"/>
        <v>1015615.0945831505</v>
      </c>
      <c r="G20" s="441">
        <f t="shared" si="7"/>
        <v>901483.5384003376</v>
      </c>
      <c r="H20" s="441">
        <f t="shared" si="7"/>
        <v>568591.4759023547</v>
      </c>
      <c r="I20" s="442">
        <f t="shared" si="7"/>
        <v>510486.55924472655</v>
      </c>
      <c r="J20" s="402"/>
      <c r="K20" s="402"/>
    </row>
    <row r="21" spans="1:11" ht="12.75">
      <c r="A21" s="428">
        <f>A19*(106.42/116)</f>
        <v>111.92448275862068</v>
      </c>
      <c r="C21" s="320" t="s">
        <v>451</v>
      </c>
      <c r="D21" s="441">
        <f aca="true" t="shared" si="8" ref="D21:I21">D19*$B$40</f>
        <v>111.92448275862068</v>
      </c>
      <c r="E21" s="441">
        <f t="shared" si="8"/>
        <v>121.30520379558423</v>
      </c>
      <c r="F21" s="441">
        <f t="shared" si="8"/>
        <v>129.1560218308112</v>
      </c>
      <c r="G21" s="441">
        <f t="shared" si="8"/>
        <v>133.90677325725628</v>
      </c>
      <c r="H21" s="441">
        <f t="shared" si="8"/>
        <v>135.5977186802282</v>
      </c>
      <c r="I21" s="442">
        <f t="shared" si="8"/>
        <v>133.0210399404614</v>
      </c>
      <c r="J21" s="402"/>
      <c r="K21" s="402"/>
    </row>
    <row r="22" spans="3:11" ht="12.75">
      <c r="C22" s="320" t="s">
        <v>454</v>
      </c>
      <c r="D22" s="441">
        <f aca="true" t="shared" si="9" ref="D22:I22">D11*D21</f>
        <v>157753.2590170477</v>
      </c>
      <c r="E22" s="441">
        <f t="shared" si="9"/>
        <v>240533.06494950567</v>
      </c>
      <c r="F22" s="441">
        <f t="shared" si="9"/>
        <v>232934.82406366125</v>
      </c>
      <c r="G22" s="441">
        <f t="shared" si="9"/>
        <v>206758.35809604294</v>
      </c>
      <c r="H22" s="441">
        <f t="shared" si="9"/>
        <v>130408.41565846691</v>
      </c>
      <c r="I22" s="442">
        <f t="shared" si="9"/>
        <v>117081.85266125805</v>
      </c>
      <c r="J22" s="402"/>
      <c r="K22" s="402"/>
    </row>
    <row r="23" spans="1:11" ht="12.75">
      <c r="A23" s="428">
        <f>'COSTO COMPRA DE PRODUCTO'!D16</f>
        <v>146.4</v>
      </c>
      <c r="C23" s="320" t="s">
        <v>443</v>
      </c>
      <c r="D23" s="441">
        <f>'COSTO COMPRA DE PRODUCTO'!D16</f>
        <v>146.4</v>
      </c>
      <c r="E23" s="441">
        <f>'COSTO COMPRA DE PRODUCTO'!E16</f>
        <v>158.67021582733813</v>
      </c>
      <c r="F23" s="441">
        <f>'COSTO COMPRA DE PRODUCTO'!F16</f>
        <v>166.12362589928054</v>
      </c>
      <c r="G23" s="441">
        <f>'COSTO COMPRA DE PRODUCTO'!G16</f>
        <v>167.8553237410072</v>
      </c>
      <c r="H23" s="441">
        <f>'COSTO COMPRA DE PRODUCTO'!H16</f>
        <v>169.97496402877695</v>
      </c>
      <c r="I23" s="442">
        <f>'COSTO COMPRA DE PRODUCTO'!I16</f>
        <v>166.745035971223</v>
      </c>
      <c r="J23" s="402"/>
      <c r="K23" s="402"/>
    </row>
    <row r="24" spans="3:11" ht="12.75">
      <c r="C24" s="320" t="s">
        <v>454</v>
      </c>
      <c r="D24" s="441">
        <f aca="true" t="shared" si="10" ref="D24:I24">D12*D23</f>
        <v>102013.34555551708</v>
      </c>
      <c r="E24" s="441">
        <f t="shared" si="10"/>
        <v>322488.7963446294</v>
      </c>
      <c r="F24" s="441">
        <f t="shared" si="10"/>
        <v>848884.9498890833</v>
      </c>
      <c r="G24" s="441">
        <f t="shared" si="10"/>
        <v>1346278.0203680042</v>
      </c>
      <c r="H24" s="441">
        <f t="shared" si="10"/>
        <v>2084243.1288545683</v>
      </c>
      <c r="I24" s="442">
        <f t="shared" si="10"/>
        <v>2495003.058308601</v>
      </c>
      <c r="J24" s="402"/>
      <c r="K24" s="402"/>
    </row>
    <row r="25" spans="1:11" ht="25.5">
      <c r="A25" s="428">
        <f>'COSTO COMPRA DE PRODUCTO'!D15</f>
        <v>122</v>
      </c>
      <c r="C25" s="320" t="s">
        <v>441</v>
      </c>
      <c r="D25" s="441">
        <f aca="true" t="shared" si="11" ref="D25:I25">D21</f>
        <v>111.92448275862068</v>
      </c>
      <c r="E25" s="441">
        <f t="shared" si="11"/>
        <v>121.30520379558423</v>
      </c>
      <c r="F25" s="441">
        <f t="shared" si="11"/>
        <v>129.1560218308112</v>
      </c>
      <c r="G25" s="441">
        <f t="shared" si="11"/>
        <v>133.90677325725628</v>
      </c>
      <c r="H25" s="441">
        <f t="shared" si="11"/>
        <v>135.5977186802282</v>
      </c>
      <c r="I25" s="442">
        <f t="shared" si="11"/>
        <v>133.0210399404614</v>
      </c>
      <c r="J25" s="402"/>
      <c r="K25" s="402"/>
    </row>
    <row r="26" spans="3:11" ht="12.75">
      <c r="C26" s="320" t="s">
        <v>454</v>
      </c>
      <c r="D26" s="441">
        <f aca="true" t="shared" si="12" ref="D26:I26">D25*D13</f>
        <v>19497.593811095776</v>
      </c>
      <c r="E26" s="441">
        <f t="shared" si="12"/>
        <v>54119.93961363875</v>
      </c>
      <c r="F26" s="441">
        <f t="shared" si="12"/>
        <v>116467.41203183068</v>
      </c>
      <c r="G26" s="441">
        <f t="shared" si="12"/>
        <v>189528.49492137274</v>
      </c>
      <c r="H26" s="441">
        <f t="shared" si="12"/>
        <v>293418.9352315502</v>
      </c>
      <c r="I26" s="442">
        <f t="shared" si="12"/>
        <v>351245.5579837746</v>
      </c>
      <c r="J26" s="402"/>
      <c r="K26" s="402"/>
    </row>
    <row r="27" spans="1:11" ht="12.75">
      <c r="A27" s="428">
        <f>A19*(108/114.18)</f>
        <v>115.39674198633736</v>
      </c>
      <c r="C27" s="320" t="s">
        <v>442</v>
      </c>
      <c r="D27" s="441">
        <f aca="true" t="shared" si="13" ref="D27:I27">$B$46*D19</f>
        <v>115.39674198633736</v>
      </c>
      <c r="E27" s="441">
        <f t="shared" si="13"/>
        <v>125.06848331109154</v>
      </c>
      <c r="F27" s="441">
        <f t="shared" si="13"/>
        <v>133.16285909790295</v>
      </c>
      <c r="G27" s="441">
        <f t="shared" si="13"/>
        <v>138.06099418940937</v>
      </c>
      <c r="H27" s="441">
        <f t="shared" si="13"/>
        <v>139.80439820503028</v>
      </c>
      <c r="I27" s="442">
        <f t="shared" si="13"/>
        <v>137.14778256217934</v>
      </c>
      <c r="J27" s="402"/>
      <c r="K27" s="402"/>
    </row>
    <row r="28" spans="3:11" ht="12.75">
      <c r="C28" s="320" t="s">
        <v>454</v>
      </c>
      <c r="D28" s="441">
        <f aca="true" t="shared" si="14" ref="D28:I28">D27*D14</f>
        <v>42090.42819189761</v>
      </c>
      <c r="E28" s="441">
        <f t="shared" si="14"/>
        <v>71396.97451731192</v>
      </c>
      <c r="F28" s="441">
        <f t="shared" si="14"/>
        <v>92188.80407070869</v>
      </c>
      <c r="G28" s="441">
        <f t="shared" si="14"/>
        <v>109105.23056462746</v>
      </c>
      <c r="H28" s="441">
        <f t="shared" si="14"/>
        <v>123868.42640951875</v>
      </c>
      <c r="I28" s="442">
        <f t="shared" si="14"/>
        <v>139012.73910346354</v>
      </c>
      <c r="J28" s="402"/>
      <c r="K28" s="402"/>
    </row>
    <row r="29" spans="1:11" ht="12.75">
      <c r="A29" s="428">
        <f>75</f>
        <v>75</v>
      </c>
      <c r="C29" s="320" t="s">
        <v>449</v>
      </c>
      <c r="D29" s="441">
        <f>A29</f>
        <v>75</v>
      </c>
      <c r="E29" s="103">
        <f>$B$48*E19</f>
        <v>81.28597122302159</v>
      </c>
      <c r="F29" s="441">
        <f>$B$48*F19</f>
        <v>86.54676258992805</v>
      </c>
      <c r="G29" s="441">
        <f>$B$48*G19</f>
        <v>89.73021582733814</v>
      </c>
      <c r="H29" s="441">
        <f>$B$48*H19</f>
        <v>90.86330935251799</v>
      </c>
      <c r="I29" s="442">
        <f>$B$48*I19</f>
        <v>89.13669064748201</v>
      </c>
      <c r="J29" s="402"/>
      <c r="K29" s="402"/>
    </row>
    <row r="30" spans="3:11" ht="12.75">
      <c r="C30" s="320" t="s">
        <v>454</v>
      </c>
      <c r="D30" s="441">
        <f aca="true" t="shared" si="15" ref="D30:I30">D29*D15</f>
        <v>4624.907393406327</v>
      </c>
      <c r="E30" s="441">
        <f t="shared" si="15"/>
        <v>7845.118462717926</v>
      </c>
      <c r="F30" s="441">
        <f t="shared" si="15"/>
        <v>10129.730198800473</v>
      </c>
      <c r="G30" s="441">
        <f t="shared" si="15"/>
        <v>11988.51162067254</v>
      </c>
      <c r="H30" s="441">
        <f t="shared" si="15"/>
        <v>13610.69548874939</v>
      </c>
      <c r="I30" s="442">
        <f t="shared" si="15"/>
        <v>15274.756577103093</v>
      </c>
      <c r="J30" s="402"/>
      <c r="K30" s="402"/>
    </row>
    <row r="31" spans="3:11" ht="12.75">
      <c r="C31" s="488"/>
      <c r="D31" s="441"/>
      <c r="E31" s="441"/>
      <c r="F31" s="441"/>
      <c r="G31" s="441"/>
      <c r="H31" s="441"/>
      <c r="I31" s="442"/>
      <c r="J31" s="402"/>
      <c r="K31" s="402"/>
    </row>
    <row r="32" spans="3:11" ht="26.25" thickBot="1">
      <c r="C32" s="502" t="s">
        <v>453</v>
      </c>
      <c r="D32" s="462">
        <f aca="true" t="shared" si="16" ref="D32:I32">(D20+D22+D24+D26+D28+D30)*$D$82</f>
        <v>1013796.7880932844</v>
      </c>
      <c r="E32" s="462">
        <f t="shared" si="16"/>
        <v>1745127.94704107</v>
      </c>
      <c r="F32" s="462">
        <f t="shared" si="16"/>
        <v>2316220.814837235</v>
      </c>
      <c r="G32" s="462">
        <f t="shared" si="16"/>
        <v>2765142.1539710574</v>
      </c>
      <c r="H32" s="462">
        <f t="shared" si="16"/>
        <v>3214141.0775452084</v>
      </c>
      <c r="I32" s="463">
        <f t="shared" si="16"/>
        <v>3628104.523878927</v>
      </c>
      <c r="J32" s="489"/>
      <c r="K32" s="489"/>
    </row>
    <row r="33" spans="3:11" ht="12.75">
      <c r="C33" s="517" t="s">
        <v>996</v>
      </c>
      <c r="D33" s="489"/>
      <c r="E33" s="489"/>
      <c r="F33" s="489"/>
      <c r="G33" s="489"/>
      <c r="H33" s="489"/>
      <c r="I33" s="489"/>
      <c r="J33" s="489"/>
      <c r="K33" s="489"/>
    </row>
    <row r="34" spans="3:11" ht="12.75">
      <c r="C34" s="503"/>
      <c r="D34" s="489"/>
      <c r="E34" s="489"/>
      <c r="F34" s="489"/>
      <c r="G34" s="489"/>
      <c r="H34" s="489"/>
      <c r="I34" s="489"/>
      <c r="J34" s="489"/>
      <c r="K34" s="489"/>
    </row>
    <row r="35" spans="3:11" ht="12.75">
      <c r="C35" s="503"/>
      <c r="E35" s="489"/>
      <c r="F35" s="489"/>
      <c r="G35" s="489"/>
      <c r="H35" s="489"/>
      <c r="I35" s="489"/>
      <c r="J35" s="489"/>
      <c r="K35" s="489"/>
    </row>
    <row r="36" spans="3:11" ht="12.75">
      <c r="C36" s="503"/>
      <c r="D36" s="489"/>
      <c r="E36" s="489"/>
      <c r="F36" s="489"/>
      <c r="G36" s="489"/>
      <c r="H36" s="489"/>
      <c r="I36" s="489"/>
      <c r="J36" s="489"/>
      <c r="K36" s="489"/>
    </row>
    <row r="37" spans="3:11" ht="12.75">
      <c r="C37" s="503"/>
      <c r="D37" s="489"/>
      <c r="E37" s="489"/>
      <c r="F37" s="489"/>
      <c r="G37" s="489"/>
      <c r="H37" s="489"/>
      <c r="I37" s="489"/>
      <c r="J37" s="489"/>
      <c r="K37" s="489"/>
    </row>
    <row r="38" spans="3:11" ht="12.75">
      <c r="C38" s="503"/>
      <c r="D38" s="489"/>
      <c r="E38" s="489"/>
      <c r="F38" s="489"/>
      <c r="G38" s="489"/>
      <c r="H38" s="489"/>
      <c r="I38" s="489"/>
      <c r="J38" s="489"/>
      <c r="K38" s="489"/>
    </row>
    <row r="39" spans="3:11" ht="12.75">
      <c r="C39" s="503"/>
      <c r="D39" s="402"/>
      <c r="E39" s="402"/>
      <c r="F39" s="402"/>
      <c r="G39" s="402"/>
      <c r="H39" s="402"/>
      <c r="I39" s="402"/>
      <c r="J39" s="402"/>
      <c r="K39" s="402"/>
    </row>
    <row r="40" spans="2:11" ht="12.75" hidden="1">
      <c r="B40" s="428">
        <f>A21/A19</f>
        <v>0.9174137931034483</v>
      </c>
      <c r="C40" s="503"/>
      <c r="D40" s="402" t="s">
        <v>5</v>
      </c>
      <c r="E40" s="477">
        <f>(E32/D32)-1</f>
        <v>0.7213784532926459</v>
      </c>
      <c r="F40" s="477">
        <f>(F32/E32)-1</f>
        <v>0.3272498550977161</v>
      </c>
      <c r="G40" s="477">
        <f>(G32/F32)-1</f>
        <v>0.19381629603625194</v>
      </c>
      <c r="H40" s="477">
        <f>(H32/G32)-1</f>
        <v>0.16237824262645506</v>
      </c>
      <c r="I40" s="477">
        <f>(I32/H32)-1</f>
        <v>0.12879442325222445</v>
      </c>
      <c r="J40" s="477"/>
      <c r="K40" s="477"/>
    </row>
    <row r="41" spans="3:11" ht="12.75" hidden="1">
      <c r="C41" s="503"/>
      <c r="D41" s="402"/>
      <c r="E41" s="477"/>
      <c r="F41" s="477"/>
      <c r="G41" s="477"/>
      <c r="H41" s="477"/>
      <c r="I41" s="477"/>
      <c r="J41" s="477"/>
      <c r="K41" s="477"/>
    </row>
    <row r="42" spans="2:11" ht="12.75" hidden="1">
      <c r="B42" s="428">
        <f>A23/$A$19</f>
        <v>1.2</v>
      </c>
      <c r="C42" s="503"/>
      <c r="D42" s="402"/>
      <c r="E42" s="477"/>
      <c r="F42" s="477"/>
      <c r="G42" s="477"/>
      <c r="H42" s="477"/>
      <c r="I42" s="477"/>
      <c r="J42" s="477"/>
      <c r="K42" s="477"/>
    </row>
    <row r="43" spans="3:11" ht="12.75" hidden="1">
      <c r="C43" s="503"/>
      <c r="D43" s="402"/>
      <c r="E43" s="477"/>
      <c r="F43" s="477"/>
      <c r="G43" s="477"/>
      <c r="H43" s="477"/>
      <c r="I43" s="477"/>
      <c r="J43" s="477"/>
      <c r="K43" s="477"/>
    </row>
    <row r="44" spans="2:11" ht="12.75" hidden="1">
      <c r="B44" s="428">
        <f>A25/$A$19</f>
        <v>1</v>
      </c>
      <c r="C44" s="503"/>
      <c r="D44" s="402"/>
      <c r="E44" s="477"/>
      <c r="F44" s="477"/>
      <c r="G44" s="477"/>
      <c r="H44" s="477"/>
      <c r="I44" s="477"/>
      <c r="J44" s="477"/>
      <c r="K44" s="477"/>
    </row>
    <row r="45" spans="3:11" ht="12.75" hidden="1">
      <c r="C45" s="503"/>
      <c r="D45" s="402"/>
      <c r="E45" s="477"/>
      <c r="F45" s="477"/>
      <c r="G45" s="477"/>
      <c r="H45" s="477"/>
      <c r="I45" s="442">
        <f>(I19+I21+I23+I25+I27+I29)/6</f>
        <v>134.01121208584078</v>
      </c>
      <c r="J45" s="402"/>
      <c r="K45" s="402"/>
    </row>
    <row r="46" spans="2:11" ht="12.75" hidden="1">
      <c r="B46" s="428">
        <f>A27/$A$19</f>
        <v>0.9458749343142406</v>
      </c>
      <c r="C46" s="503"/>
      <c r="D46" s="402"/>
      <c r="E46" s="477"/>
      <c r="F46" s="477"/>
      <c r="G46" s="477"/>
      <c r="H46" s="477"/>
      <c r="I46" s="442">
        <f>I45*I16</f>
        <v>3107632.565954763</v>
      </c>
      <c r="J46" s="402"/>
      <c r="K46" s="402"/>
    </row>
    <row r="47" spans="3:11" ht="12.75" hidden="1">
      <c r="C47" s="503"/>
      <c r="D47" s="402"/>
      <c r="E47" s="477"/>
      <c r="F47" s="477"/>
      <c r="G47" s="477"/>
      <c r="H47" s="477"/>
      <c r="I47" s="477"/>
      <c r="J47" s="477"/>
      <c r="K47" s="477"/>
    </row>
    <row r="48" spans="2:11" ht="12.75" hidden="1">
      <c r="B48" s="428">
        <f>A29/$A$19</f>
        <v>0.6147540983606558</v>
      </c>
      <c r="C48" s="503"/>
      <c r="D48" s="402"/>
      <c r="E48" s="477"/>
      <c r="F48" s="477"/>
      <c r="G48" s="477"/>
      <c r="H48" s="477"/>
      <c r="I48" s="477"/>
      <c r="J48" s="477"/>
      <c r="K48" s="477"/>
    </row>
    <row r="49" spans="3:11" ht="12.75">
      <c r="C49" s="503"/>
      <c r="D49" s="402"/>
      <c r="E49" s="477"/>
      <c r="F49" s="477"/>
      <c r="G49" s="477"/>
      <c r="H49" s="477"/>
      <c r="I49" s="477"/>
      <c r="J49" s="477"/>
      <c r="K49" s="477"/>
    </row>
    <row r="50" spans="3:11" ht="12.75">
      <c r="C50" s="503"/>
      <c r="D50" s="402"/>
      <c r="E50" s="477"/>
      <c r="F50" s="477"/>
      <c r="G50" s="477"/>
      <c r="H50" s="477"/>
      <c r="I50" s="477"/>
      <c r="J50" s="477"/>
      <c r="K50" s="477"/>
    </row>
    <row r="51" spans="3:11" ht="12.75">
      <c r="C51" s="503"/>
      <c r="D51" s="402"/>
      <c r="E51" s="477"/>
      <c r="F51" s="477"/>
      <c r="G51" s="477"/>
      <c r="H51" s="477"/>
      <c r="I51" s="477"/>
      <c r="J51" s="477"/>
      <c r="K51" s="477"/>
    </row>
    <row r="52" spans="3:11" ht="12.75">
      <c r="C52" s="503"/>
      <c r="D52" s="402"/>
      <c r="E52" s="477"/>
      <c r="F52" s="477"/>
      <c r="G52" s="477"/>
      <c r="H52" s="477"/>
      <c r="I52" s="477"/>
      <c r="J52" s="477"/>
      <c r="K52" s="477"/>
    </row>
    <row r="53" spans="3:11" ht="12.75">
      <c r="C53" s="503"/>
      <c r="D53" s="402"/>
      <c r="E53" s="477"/>
      <c r="F53" s="477"/>
      <c r="G53" s="477"/>
      <c r="H53" s="477"/>
      <c r="I53" s="477"/>
      <c r="J53" s="477"/>
      <c r="K53" s="477"/>
    </row>
    <row r="54" spans="3:11" ht="12.75">
      <c r="C54" s="503"/>
      <c r="D54" s="402"/>
      <c r="E54" s="477"/>
      <c r="F54" s="477"/>
      <c r="G54" s="477"/>
      <c r="H54" s="477"/>
      <c r="I54" s="477"/>
      <c r="J54" s="477"/>
      <c r="K54" s="477"/>
    </row>
    <row r="55" spans="3:11" ht="12.75">
      <c r="C55" s="503"/>
      <c r="D55" s="402"/>
      <c r="E55" s="477"/>
      <c r="F55" s="477"/>
      <c r="G55" s="477"/>
      <c r="H55" s="477"/>
      <c r="I55" s="477"/>
      <c r="J55" s="477"/>
      <c r="K55" s="477"/>
    </row>
    <row r="56" spans="3:11" ht="12.75">
      <c r="C56" s="503"/>
      <c r="D56" s="402"/>
      <c r="E56" s="402"/>
      <c r="F56" s="402"/>
      <c r="G56" s="402"/>
      <c r="H56" s="402"/>
      <c r="I56" s="402"/>
      <c r="J56" s="402"/>
      <c r="K56" s="402"/>
    </row>
    <row r="57" spans="3:15" ht="12.75">
      <c r="C57" s="503" t="s">
        <v>462</v>
      </c>
      <c r="D57" s="402"/>
      <c r="E57" s="402"/>
      <c r="F57" s="402"/>
      <c r="G57" s="402"/>
      <c r="H57" s="402"/>
      <c r="I57" s="402"/>
      <c r="J57" s="402"/>
      <c r="K57" s="402"/>
      <c r="N57" s="428">
        <v>2007</v>
      </c>
      <c r="O57" s="428">
        <v>2006</v>
      </c>
    </row>
    <row r="58" spans="3:15" ht="12.75">
      <c r="C58" s="314" t="s">
        <v>456</v>
      </c>
      <c r="D58" s="402">
        <f aca="true" t="shared" si="17" ref="D58:I58">D32*$M$63</f>
        <v>5495.055732350247</v>
      </c>
      <c r="E58" s="402">
        <f t="shared" si="17"/>
        <v>9459.070537309955</v>
      </c>
      <c r="F58" s="402">
        <f t="shared" si="17"/>
        <v>12554.550000003715</v>
      </c>
      <c r="G58" s="402">
        <f t="shared" si="17"/>
        <v>14987.826379406362</v>
      </c>
      <c r="H58" s="402">
        <f t="shared" si="17"/>
        <v>17421.52328768479</v>
      </c>
      <c r="I58" s="402">
        <f t="shared" si="17"/>
        <v>19665.318331697352</v>
      </c>
      <c r="J58" s="402"/>
      <c r="K58" s="402"/>
      <c r="N58" s="428">
        <v>2923.03</v>
      </c>
      <c r="O58" s="428">
        <v>2556.08</v>
      </c>
    </row>
    <row r="59" spans="3:15" ht="13.5" customHeight="1">
      <c r="C59" s="314" t="s">
        <v>457</v>
      </c>
      <c r="D59" s="402">
        <f>'COSTO COMPRA DE PRODUCTO'!D23*1%</f>
        <v>7999.705</v>
      </c>
      <c r="E59" s="402">
        <f>'COSTO COMPRA DE PRODUCTO'!E23*1%</f>
        <v>13234.331546762589</v>
      </c>
      <c r="F59" s="402">
        <f>'COSTO COMPRA DE PRODUCTO'!F23*1%</f>
        <v>16703.07859856115</v>
      </c>
      <c r="G59" s="402">
        <f>'COSTO COMPRA DE PRODUCTO'!G23*1%</f>
        <v>19235.798312623654</v>
      </c>
      <c r="H59" s="402">
        <f>'COSTO COMPRA DE PRODUCTO'!H23*1%</f>
        <v>22020.382198988314</v>
      </c>
      <c r="I59" s="402">
        <f>'COSTO COMPRA DE PRODUCTO'!I23*1%</f>
        <v>23922.33107680576</v>
      </c>
      <c r="J59" s="402"/>
      <c r="K59" s="402"/>
      <c r="N59" s="428">
        <f>'VENTAS 2006 - 2007'!F33</f>
        <v>444251.195</v>
      </c>
      <c r="O59" s="428">
        <f>'VENTAS 2006 - 2007'!F19</f>
        <v>599896.5018</v>
      </c>
    </row>
    <row r="60" spans="3:11" ht="13.5" customHeight="1">
      <c r="C60" s="314" t="s">
        <v>460</v>
      </c>
      <c r="D60" s="402">
        <f aca="true" t="shared" si="18" ref="D60:I60">+(1.5/1000)*(D20+D23)</f>
        <v>1031.9454811864798</v>
      </c>
      <c r="E60" s="402">
        <f t="shared" si="18"/>
        <v>1573.3540850536408</v>
      </c>
      <c r="F60" s="402">
        <f t="shared" si="18"/>
        <v>1523.6718273135748</v>
      </c>
      <c r="G60" s="402">
        <f t="shared" si="18"/>
        <v>1352.4770905861178</v>
      </c>
      <c r="H60" s="402">
        <f t="shared" si="18"/>
        <v>853.1421762995752</v>
      </c>
      <c r="I60" s="402">
        <f t="shared" si="18"/>
        <v>765.9799564210467</v>
      </c>
      <c r="J60" s="402"/>
      <c r="K60" s="402"/>
    </row>
    <row r="61" spans="3:11" ht="13.5" customHeight="1">
      <c r="C61" s="314" t="s">
        <v>461</v>
      </c>
      <c r="D61" s="402">
        <f aca="true" t="shared" si="19" ref="D61:I61">(D10+D12)*(0.08/100)</f>
        <v>5.067727051938255</v>
      </c>
      <c r="E61" s="402">
        <f t="shared" si="19"/>
        <v>7.971157797372345</v>
      </c>
      <c r="F61" s="402">
        <f t="shared" si="19"/>
        <v>9.859215390535573</v>
      </c>
      <c r="G61" s="402">
        <f t="shared" si="19"/>
        <v>11.357323849699156</v>
      </c>
      <c r="H61" s="402">
        <f t="shared" si="19"/>
        <v>12.887184141677285</v>
      </c>
      <c r="I61" s="402">
        <f t="shared" si="19"/>
        <v>14.786947430192486</v>
      </c>
      <c r="J61" s="402"/>
      <c r="K61" s="402"/>
    </row>
    <row r="62" spans="1:11" ht="13.5" customHeight="1">
      <c r="A62" s="476">
        <f>A!D83/'VENTAS 2006 - 2007'!F33</f>
        <v>0.00853388813056541</v>
      </c>
      <c r="C62" s="314" t="s">
        <v>304</v>
      </c>
      <c r="D62" s="402">
        <f>$A$62*D32</f>
        <v>8651.628376714616</v>
      </c>
      <c r="E62" s="402">
        <f aca="true" t="shared" si="20" ref="D62:I62">$A$62*E32</f>
        <v>14892.726673571771</v>
      </c>
      <c r="F62" s="402">
        <f t="shared" si="20"/>
        <v>19766.369319508023</v>
      </c>
      <c r="G62" s="402">
        <f t="shared" si="20"/>
        <v>23597.41380709968</v>
      </c>
      <c r="H62" s="402">
        <f t="shared" si="20"/>
        <v>27429.120391625773</v>
      </c>
      <c r="I62" s="402">
        <f t="shared" si="20"/>
        <v>30961.838132781046</v>
      </c>
      <c r="J62" s="402"/>
      <c r="K62" s="402"/>
    </row>
    <row r="63" spans="3:15" ht="12.75">
      <c r="C63" s="402" t="s">
        <v>458</v>
      </c>
      <c r="D63" s="402">
        <v>2</v>
      </c>
      <c r="E63" s="402">
        <v>2</v>
      </c>
      <c r="F63" s="402">
        <v>2</v>
      </c>
      <c r="G63" s="402">
        <v>2</v>
      </c>
      <c r="H63" s="402">
        <v>2</v>
      </c>
      <c r="I63" s="402">
        <v>2</v>
      </c>
      <c r="J63" s="402"/>
      <c r="K63" s="402"/>
      <c r="M63" s="476">
        <f>AVERAGE(N63:O63)</f>
        <v>0.005420273369266801</v>
      </c>
      <c r="N63" s="487">
        <f>N58/N59</f>
        <v>0.006579678418197615</v>
      </c>
      <c r="O63" s="487">
        <f>O58/O59</f>
        <v>0.004260868320335986</v>
      </c>
    </row>
    <row r="64" spans="1:11" ht="12.75">
      <c r="A64" s="428" t="s">
        <v>5</v>
      </c>
      <c r="C64" s="402" t="s">
        <v>398</v>
      </c>
      <c r="D64" s="402">
        <f aca="true" t="shared" si="21" ref="D64:I64">D63*(D10+D12)</f>
        <v>12669.317629845638</v>
      </c>
      <c r="E64" s="402">
        <f t="shared" si="21"/>
        <v>19927.89449343086</v>
      </c>
      <c r="F64" s="402">
        <f t="shared" si="21"/>
        <v>24648.03847633893</v>
      </c>
      <c r="G64" s="402">
        <f t="shared" si="21"/>
        <v>28393.30962424789</v>
      </c>
      <c r="H64" s="402">
        <f t="shared" si="21"/>
        <v>32217.96035419321</v>
      </c>
      <c r="I64" s="402">
        <f t="shared" si="21"/>
        <v>36967.36857548121</v>
      </c>
      <c r="J64" s="402"/>
      <c r="K64" s="402"/>
    </row>
    <row r="65" spans="3:11" ht="12.75">
      <c r="C65" s="402" t="s">
        <v>459</v>
      </c>
      <c r="D65" s="402">
        <v>1</v>
      </c>
      <c r="E65" s="402">
        <v>1</v>
      </c>
      <c r="F65" s="402">
        <v>1</v>
      </c>
      <c r="G65" s="402">
        <v>1</v>
      </c>
      <c r="H65" s="402">
        <v>1</v>
      </c>
      <c r="I65" s="402">
        <v>1</v>
      </c>
      <c r="J65" s="402"/>
      <c r="K65" s="402"/>
    </row>
    <row r="66" spans="3:11" ht="12.75">
      <c r="C66" s="402" t="s">
        <v>398</v>
      </c>
      <c r="D66" s="402">
        <f aca="true" t="shared" si="22" ref="D66:I66">D65*(D11+D13+D14+D15)</f>
        <v>2010.0755129159284</v>
      </c>
      <c r="E66" s="402">
        <f t="shared" si="22"/>
        <v>3096.397580870777</v>
      </c>
      <c r="F66" s="402">
        <f t="shared" si="22"/>
        <v>3514.6171254668975</v>
      </c>
      <c r="G66" s="402">
        <f t="shared" si="22"/>
        <v>3883.298018064737</v>
      </c>
      <c r="H66" s="402">
        <f t="shared" si="22"/>
        <v>4161.4284767495565</v>
      </c>
      <c r="I66" s="402">
        <f t="shared" si="22"/>
        <v>4705.663212259407</v>
      </c>
      <c r="J66" s="402"/>
      <c r="K66" s="402"/>
    </row>
    <row r="67" spans="3:11" ht="12.75">
      <c r="C67" s="402"/>
      <c r="D67" s="402"/>
      <c r="E67" s="402"/>
      <c r="F67" s="402"/>
      <c r="G67" s="402"/>
      <c r="H67" s="402"/>
      <c r="I67" s="402"/>
      <c r="J67" s="402"/>
      <c r="K67" s="402"/>
    </row>
    <row r="68" spans="3:11" ht="12.75">
      <c r="C68" s="489" t="s">
        <v>465</v>
      </c>
      <c r="D68" s="489">
        <f aca="true" t="shared" si="23" ref="D68:I68">D58+D59+D60+D61+D64+D66+D62</f>
        <v>37862.79546006485</v>
      </c>
      <c r="E68" s="489">
        <f t="shared" si="23"/>
        <v>62191.74607479696</v>
      </c>
      <c r="F68" s="489">
        <f t="shared" si="23"/>
        <v>78720.18456258281</v>
      </c>
      <c r="G68" s="489">
        <f t="shared" si="23"/>
        <v>91461.48055587815</v>
      </c>
      <c r="H68" s="489">
        <f t="shared" si="23"/>
        <v>104116.44406968288</v>
      </c>
      <c r="I68" s="489">
        <f t="shared" si="23"/>
        <v>117003.28623287601</v>
      </c>
      <c r="J68" s="489"/>
      <c r="K68" s="489"/>
    </row>
    <row r="69" spans="3:11" ht="12.75">
      <c r="C69" s="402"/>
      <c r="D69" s="402"/>
      <c r="E69" s="402"/>
      <c r="F69" s="402"/>
      <c r="G69" s="402"/>
      <c r="H69" s="402"/>
      <c r="I69" s="402"/>
      <c r="J69" s="402"/>
      <c r="K69" s="402"/>
    </row>
    <row r="73" ht="12.75">
      <c r="D73" s="428">
        <v>6118.22</v>
      </c>
    </row>
    <row r="74" ht="12.75">
      <c r="D74" s="428">
        <f>D73*50</f>
        <v>305911</v>
      </c>
    </row>
    <row r="82" ht="12.75">
      <c r="D82" s="489">
        <v>1</v>
      </c>
    </row>
  </sheetData>
  <sheetProtection/>
  <mergeCells count="2">
    <mergeCell ref="C4:I4"/>
    <mergeCell ref="C3:I3"/>
  </mergeCells>
  <printOptions horizontalCentered="1" verticalCentered="1"/>
  <pageMargins left="0.7874015748031497" right="0.7874015748031497" top="0.984251968503937" bottom="0.984251968503937" header="0" footer="0"/>
  <pageSetup fitToHeight="1" fitToWidth="1"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C4:J29"/>
  <sheetViews>
    <sheetView zoomScale="95" zoomScaleNormal="95" workbookViewId="0" topLeftCell="B1">
      <selection activeCell="H25" sqref="H25"/>
    </sheetView>
  </sheetViews>
  <sheetFormatPr defaultColWidth="11.421875" defaultRowHeight="12.75"/>
  <cols>
    <col min="1" max="2" width="11.421875" style="265" customWidth="1"/>
    <col min="3" max="3" width="47.140625" style="265" bestFit="1" customWidth="1"/>
    <col min="4" max="5" width="11.421875" style="265" customWidth="1"/>
    <col min="6" max="6" width="10.421875" style="265" customWidth="1"/>
    <col min="7" max="16384" width="11.421875" style="265" customWidth="1"/>
  </cols>
  <sheetData>
    <row r="4" spans="3:9" ht="12.75">
      <c r="C4" s="734" t="s">
        <v>722</v>
      </c>
      <c r="D4" s="734"/>
      <c r="E4" s="734"/>
      <c r="F4" s="734"/>
      <c r="G4" s="734"/>
      <c r="H4" s="734"/>
      <c r="I4" s="734"/>
    </row>
    <row r="5" spans="3:9" ht="12.75">
      <c r="C5" s="708" t="s">
        <v>636</v>
      </c>
      <c r="D5" s="708"/>
      <c r="E5" s="708"/>
      <c r="F5" s="708"/>
      <c r="G5" s="708"/>
      <c r="H5" s="708"/>
      <c r="I5" s="708"/>
    </row>
    <row r="6" ht="13.5" thickBot="1"/>
    <row r="7" spans="3:9" ht="12.75">
      <c r="C7" s="706" t="s">
        <v>464</v>
      </c>
      <c r="D7" s="59">
        <v>0</v>
      </c>
      <c r="E7" s="59">
        <v>1</v>
      </c>
      <c r="F7" s="59">
        <v>2</v>
      </c>
      <c r="G7" s="59">
        <v>3</v>
      </c>
      <c r="H7" s="59">
        <v>4</v>
      </c>
      <c r="I7" s="58">
        <v>5</v>
      </c>
    </row>
    <row r="8" spans="3:9" ht="13.5" thickBot="1">
      <c r="C8" s="707"/>
      <c r="D8" s="68">
        <f>'INGRESO POR VENTAS'!D7</f>
        <v>2008</v>
      </c>
      <c r="E8" s="68">
        <f>'INGRESO POR VENTAS'!E7</f>
        <v>2009</v>
      </c>
      <c r="F8" s="68">
        <f>'INGRESO POR VENTAS'!F7</f>
        <v>2010</v>
      </c>
      <c r="G8" s="68">
        <f>'INGRESO POR VENTAS'!G7</f>
        <v>2011</v>
      </c>
      <c r="H8" s="68">
        <f>'INGRESO POR VENTAS'!H7</f>
        <v>2012</v>
      </c>
      <c r="I8" s="69">
        <f>'INGRESO POR VENTAS'!I7</f>
        <v>2013</v>
      </c>
    </row>
    <row r="9" spans="3:10" ht="12.75">
      <c r="C9" s="281" t="str">
        <f>'INGRESO POR VENTAS'!C57</f>
        <v>COSTOS DIRECTOS DE VENTAS</v>
      </c>
      <c r="D9" s="282" t="s">
        <v>5</v>
      </c>
      <c r="E9" s="282" t="s">
        <v>5</v>
      </c>
      <c r="F9" s="282" t="s">
        <v>5</v>
      </c>
      <c r="G9" s="282" t="s">
        <v>5</v>
      </c>
      <c r="H9" s="282" t="s">
        <v>5</v>
      </c>
      <c r="I9" s="302"/>
      <c r="J9" s="266" t="s">
        <v>5</v>
      </c>
    </row>
    <row r="10" spans="3:10" ht="12.75">
      <c r="C10" s="277" t="str">
        <f>'INGRESO POR VENTAS'!C58</f>
        <v>COSTO POR TRANSPORTE A CLIENTES</v>
      </c>
      <c r="D10" s="264">
        <f>'INGRESO POR VENTAS'!D58</f>
        <v>5495.055732350247</v>
      </c>
      <c r="E10" s="264">
        <f>'INGRESO POR VENTAS'!E58</f>
        <v>9459.070537309955</v>
      </c>
      <c r="F10" s="264">
        <f>'INGRESO POR VENTAS'!F58</f>
        <v>12554.550000003715</v>
      </c>
      <c r="G10" s="264">
        <f>'INGRESO POR VENTAS'!G58</f>
        <v>14987.826379406362</v>
      </c>
      <c r="H10" s="264">
        <f>'INGRESO POR VENTAS'!H58</f>
        <v>17421.52328768479</v>
      </c>
      <c r="I10" s="291">
        <f>'INGRESO POR VENTAS'!I58</f>
        <v>19665.318331697352</v>
      </c>
      <c r="J10" s="266" t="s">
        <v>5</v>
      </c>
    </row>
    <row r="11" spans="3:10" ht="12.75">
      <c r="C11" s="277" t="str">
        <f>'INGRESO POR VENTAS'!C59</f>
        <v>CORECAF SERV GREMIALES 1%</v>
      </c>
      <c r="D11" s="264">
        <f>'INGRESO POR VENTAS'!D59</f>
        <v>7999.705</v>
      </c>
      <c r="E11" s="264">
        <f>'INGRESO POR VENTAS'!E59</f>
        <v>13234.331546762589</v>
      </c>
      <c r="F11" s="264">
        <f>'INGRESO POR VENTAS'!F59</f>
        <v>16703.07859856115</v>
      </c>
      <c r="G11" s="264">
        <f>'INGRESO POR VENTAS'!G59</f>
        <v>19235.798312623654</v>
      </c>
      <c r="H11" s="264">
        <f>'INGRESO POR VENTAS'!H59</f>
        <v>22020.382198988314</v>
      </c>
      <c r="I11" s="291">
        <f>'INGRESO POR VENTAS'!I59</f>
        <v>23922.33107680576</v>
      </c>
      <c r="J11" s="266" t="s">
        <v>5</v>
      </c>
    </row>
    <row r="12" spans="3:10" ht="12.75">
      <c r="C12" s="277" t="str">
        <f>'INGRESO POR VENTAS'!C60</f>
        <v>CORPEI 1,5 X 1000</v>
      </c>
      <c r="D12" s="264">
        <f>'INGRESO POR VENTAS'!D60</f>
        <v>1031.9454811864798</v>
      </c>
      <c r="E12" s="264">
        <f>'INGRESO POR VENTAS'!E60</f>
        <v>1573.3540850536408</v>
      </c>
      <c r="F12" s="264">
        <f>'INGRESO POR VENTAS'!F60</f>
        <v>1523.6718273135748</v>
      </c>
      <c r="G12" s="264">
        <f>'INGRESO POR VENTAS'!G60</f>
        <v>1352.4770905861178</v>
      </c>
      <c r="H12" s="264">
        <f>'INGRESO POR VENTAS'!H60</f>
        <v>853.1421762995752</v>
      </c>
      <c r="I12" s="291">
        <f>'INGRESO POR VENTAS'!I60</f>
        <v>765.9799564210467</v>
      </c>
      <c r="J12" s="266" t="s">
        <v>5</v>
      </c>
    </row>
    <row r="13" spans="3:10" ht="12.75">
      <c r="C13" s="277" t="str">
        <f>'INGRESO POR VENTAS'!C61</f>
        <v>ANECAFÉ 0,08 CTVS X QQ</v>
      </c>
      <c r="D13" s="264">
        <f>'INGRESO POR VENTAS'!D61</f>
        <v>5.067727051938255</v>
      </c>
      <c r="E13" s="264">
        <f>'INGRESO POR VENTAS'!E61</f>
        <v>7.971157797372345</v>
      </c>
      <c r="F13" s="264">
        <f>'INGRESO POR VENTAS'!F61</f>
        <v>9.859215390535573</v>
      </c>
      <c r="G13" s="264">
        <f>'INGRESO POR VENTAS'!G61</f>
        <v>11.357323849699156</v>
      </c>
      <c r="H13" s="264">
        <f>'INGRESO POR VENTAS'!H61</f>
        <v>12.887184141677285</v>
      </c>
      <c r="I13" s="291">
        <f>'INGRESO POR VENTAS'!I61</f>
        <v>14.786947430192486</v>
      </c>
      <c r="J13" s="266" t="s">
        <v>5</v>
      </c>
    </row>
    <row r="14" spans="3:10" ht="12.75">
      <c r="C14" s="277" t="str">
        <f>'INGRESO POR VENTAS'!C62</f>
        <v>COFENAC</v>
      </c>
      <c r="D14" s="264">
        <f>'INGRESO POR VENTAS'!D62</f>
        <v>8651.628376714616</v>
      </c>
      <c r="E14" s="264">
        <f>'INGRESO POR VENTAS'!E62</f>
        <v>14892.726673571771</v>
      </c>
      <c r="F14" s="264">
        <f>'INGRESO POR VENTAS'!F62</f>
        <v>19766.369319508023</v>
      </c>
      <c r="G14" s="264">
        <f>'INGRESO POR VENTAS'!G62</f>
        <v>23597.41380709968</v>
      </c>
      <c r="H14" s="264">
        <f>'INGRESO POR VENTAS'!H62</f>
        <v>27429.120391625773</v>
      </c>
      <c r="I14" s="291">
        <f>'INGRESO POR VENTAS'!I62</f>
        <v>30961.838132781046</v>
      </c>
      <c r="J14" s="266" t="s">
        <v>5</v>
      </c>
    </row>
    <row r="15" spans="3:10" ht="12.75">
      <c r="C15" s="277" t="str">
        <f>'INGRESO POR VENTAS'!C63</f>
        <v>COSTO UNITARIOS SACOS DE YUTE EXPORTABLE</v>
      </c>
      <c r="D15" s="264">
        <f>'INGRESO POR VENTAS'!D63</f>
        <v>2</v>
      </c>
      <c r="E15" s="264">
        <f>'INGRESO POR VENTAS'!E63</f>
        <v>2</v>
      </c>
      <c r="F15" s="264">
        <f>'INGRESO POR VENTAS'!F63</f>
        <v>2</v>
      </c>
      <c r="G15" s="264">
        <f>'INGRESO POR VENTAS'!G63</f>
        <v>2</v>
      </c>
      <c r="H15" s="264"/>
      <c r="I15" s="291">
        <f>'INGRESO POR VENTAS'!I63</f>
        <v>2</v>
      </c>
      <c r="J15" s="266" t="s">
        <v>5</v>
      </c>
    </row>
    <row r="16" spans="3:10" ht="12.75">
      <c r="C16" s="277" t="str">
        <f>'INGRESO POR VENTAS'!C64</f>
        <v>COSTOS TOTALES SACOS DE YUTE</v>
      </c>
      <c r="D16" s="264">
        <f>'INGRESO POR VENTAS'!D64</f>
        <v>12669.317629845638</v>
      </c>
      <c r="E16" s="264">
        <f>'INGRESO POR VENTAS'!E64</f>
        <v>19927.89449343086</v>
      </c>
      <c r="F16" s="264">
        <f>'INGRESO POR VENTAS'!F64</f>
        <v>24648.03847633893</v>
      </c>
      <c r="G16" s="264">
        <f>'INGRESO POR VENTAS'!G64</f>
        <v>28393.30962424789</v>
      </c>
      <c r="H16" s="264">
        <f>'INGRESO POR VENTAS'!H64</f>
        <v>32217.96035419321</v>
      </c>
      <c r="I16" s="291">
        <f>'INGRESO POR VENTAS'!I64</f>
        <v>36967.36857548121</v>
      </c>
      <c r="J16" s="266" t="s">
        <v>5</v>
      </c>
    </row>
    <row r="17" spans="3:10" ht="12.75">
      <c r="C17" s="277" t="str">
        <f>'INGRESO POR VENTAS'!C65</f>
        <v>COSTO UNITARIOS SACOS DE YUTE NACIONAL</v>
      </c>
      <c r="D17" s="264">
        <f>'INGRESO POR VENTAS'!D65</f>
        <v>1</v>
      </c>
      <c r="E17" s="264">
        <f>'INGRESO POR VENTAS'!E65</f>
        <v>1</v>
      </c>
      <c r="F17" s="264">
        <f>'INGRESO POR VENTAS'!F65</f>
        <v>1</v>
      </c>
      <c r="G17" s="264">
        <f>'INGRESO POR VENTAS'!G65</f>
        <v>1</v>
      </c>
      <c r="H17" s="264">
        <f>'INGRESO POR VENTAS'!H65</f>
        <v>1</v>
      </c>
      <c r="I17" s="291">
        <f>'INGRESO POR VENTAS'!I65</f>
        <v>1</v>
      </c>
      <c r="J17" s="266" t="s">
        <v>5</v>
      </c>
    </row>
    <row r="18" spans="3:10" ht="12.75">
      <c r="C18" s="277" t="str">
        <f>'INGRESO POR VENTAS'!C66</f>
        <v>COSTOS TOTALES SACOS DE YUTE</v>
      </c>
      <c r="D18" s="264">
        <f>'INGRESO POR VENTAS'!D66</f>
        <v>2010.0755129159284</v>
      </c>
      <c r="E18" s="264">
        <f>'INGRESO POR VENTAS'!E66</f>
        <v>3096.397580870777</v>
      </c>
      <c r="F18" s="264">
        <f>'INGRESO POR VENTAS'!F66</f>
        <v>3514.6171254668975</v>
      </c>
      <c r="G18" s="264">
        <f>'INGRESO POR VENTAS'!G66</f>
        <v>3883.298018064737</v>
      </c>
      <c r="H18" s="264">
        <f>'INGRESO POR VENTAS'!H66</f>
        <v>4161.4284767495565</v>
      </c>
      <c r="I18" s="291">
        <f>'INGRESO POR VENTAS'!I66</f>
        <v>4705.663212259407</v>
      </c>
      <c r="J18" s="266" t="s">
        <v>5</v>
      </c>
    </row>
    <row r="19" spans="3:10" ht="13.5" thickBot="1">
      <c r="C19" s="303" t="s">
        <v>5</v>
      </c>
      <c r="D19" s="282"/>
      <c r="E19" s="282"/>
      <c r="F19" s="282"/>
      <c r="G19" s="282"/>
      <c r="H19" s="282"/>
      <c r="I19" s="304"/>
      <c r="J19" s="265" t="s">
        <v>5</v>
      </c>
    </row>
    <row r="20" spans="3:10" ht="13.5" thickBot="1">
      <c r="C20" s="73" t="str">
        <f>'INGRESO POR VENTAS'!C68</f>
        <v>TOTAL</v>
      </c>
      <c r="D20" s="71">
        <f aca="true" t="shared" si="0" ref="D20:I20">SUM(D10+D11+D12+D13+D14+D16+D18)</f>
        <v>37862.79546006485</v>
      </c>
      <c r="E20" s="71">
        <f t="shared" si="0"/>
        <v>62191.74607479697</v>
      </c>
      <c r="F20" s="71">
        <f t="shared" si="0"/>
        <v>78720.18456258283</v>
      </c>
      <c r="G20" s="71">
        <f t="shared" si="0"/>
        <v>91461.48055587815</v>
      </c>
      <c r="H20" s="71">
        <f t="shared" si="0"/>
        <v>104116.4440696829</v>
      </c>
      <c r="I20" s="72">
        <f t="shared" si="0"/>
        <v>117003.28623287602</v>
      </c>
      <c r="J20" s="266" t="s">
        <v>5</v>
      </c>
    </row>
    <row r="21" ht="12.75">
      <c r="C21" s="266" t="s">
        <v>996</v>
      </c>
    </row>
    <row r="22" ht="12.75">
      <c r="C22" s="266" t="s">
        <v>5</v>
      </c>
    </row>
    <row r="23" ht="12.75">
      <c r="C23" s="266" t="s">
        <v>463</v>
      </c>
    </row>
    <row r="24" ht="12.75">
      <c r="C24" s="266" t="s">
        <v>463</v>
      </c>
    </row>
    <row r="25" ht="12.75">
      <c r="C25" s="266" t="s">
        <v>5</v>
      </c>
    </row>
    <row r="26" ht="12.75">
      <c r="C26" s="266" t="s">
        <v>5</v>
      </c>
    </row>
    <row r="29" ht="12.75">
      <c r="E29" s="16"/>
    </row>
  </sheetData>
  <sheetProtection/>
  <mergeCells count="3">
    <mergeCell ref="C7:C8"/>
    <mergeCell ref="C5:I5"/>
    <mergeCell ref="C4:I4"/>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B1:L47"/>
  <sheetViews>
    <sheetView zoomScale="95" zoomScaleNormal="95" workbookViewId="0" topLeftCell="A2">
      <selection activeCell="H25" sqref="H25"/>
    </sheetView>
  </sheetViews>
  <sheetFormatPr defaultColWidth="11.421875" defaultRowHeight="12.75"/>
  <cols>
    <col min="1" max="1" width="11.421875" style="100" customWidth="1"/>
    <col min="2" max="2" width="33.7109375" style="100" bestFit="1" customWidth="1"/>
    <col min="3" max="3" width="12.421875" style="100" bestFit="1" customWidth="1"/>
    <col min="4" max="5" width="13.00390625" style="100" bestFit="1" customWidth="1"/>
    <col min="6" max="6" width="17.00390625" style="100" customWidth="1"/>
    <col min="7" max="8" width="13.00390625" style="100" bestFit="1" customWidth="1"/>
    <col min="9" max="9" width="14.421875" style="100" customWidth="1"/>
    <col min="10" max="10" width="11.57421875" style="100" hidden="1" customWidth="1"/>
    <col min="11" max="16384" width="11.421875" style="100" customWidth="1"/>
  </cols>
  <sheetData>
    <row r="1" spans="3:8" ht="12.75">
      <c r="C1" s="515"/>
      <c r="D1" s="515"/>
      <c r="E1" s="515"/>
      <c r="F1" s="515"/>
      <c r="G1" s="515"/>
      <c r="H1" s="515"/>
    </row>
    <row r="2" spans="2:8" ht="12.75">
      <c r="B2" s="749" t="s">
        <v>723</v>
      </c>
      <c r="C2" s="749"/>
      <c r="D2" s="749"/>
      <c r="E2" s="749"/>
      <c r="F2" s="749"/>
      <c r="G2" s="749"/>
      <c r="H2" s="749"/>
    </row>
    <row r="3" spans="2:8" ht="12.75">
      <c r="B3" s="760" t="s">
        <v>482</v>
      </c>
      <c r="C3" s="760"/>
      <c r="D3" s="760"/>
      <c r="E3" s="760"/>
      <c r="F3" s="760"/>
      <c r="G3" s="760"/>
      <c r="H3" s="760"/>
    </row>
    <row r="4" ht="13.5" thickBot="1">
      <c r="I4" s="61"/>
    </row>
    <row r="5" spans="2:9" ht="13.5" thickBot="1">
      <c r="B5" s="198" t="s">
        <v>483</v>
      </c>
      <c r="C5" s="219">
        <v>2008</v>
      </c>
      <c r="D5" s="123">
        <v>2009</v>
      </c>
      <c r="E5" s="217">
        <v>2010</v>
      </c>
      <c r="F5" s="123">
        <v>2011</v>
      </c>
      <c r="G5" s="217">
        <v>2012</v>
      </c>
      <c r="H5" s="135">
        <v>2013</v>
      </c>
      <c r="I5" s="61"/>
    </row>
    <row r="6" spans="2:10" ht="13.5" thickBot="1">
      <c r="B6" s="200" t="s">
        <v>490</v>
      </c>
      <c r="C6" s="220">
        <f>'INGRESO POR VENTAS'!D32</f>
        <v>1013796.7880932844</v>
      </c>
      <c r="D6" s="162">
        <f>'INGRESO POR VENTAS'!E32</f>
        <v>1745127.94704107</v>
      </c>
      <c r="E6" s="162">
        <f>'INGRESO POR VENTAS'!F32</f>
        <v>2316220.814837235</v>
      </c>
      <c r="F6" s="162">
        <f>'INGRESO POR VENTAS'!G32</f>
        <v>2765142.1539710574</v>
      </c>
      <c r="G6" s="162">
        <f>'INGRESO POR VENTAS'!H32</f>
        <v>3214141.0775452084</v>
      </c>
      <c r="H6" s="163">
        <f>'INGRESO POR VENTAS'!I32</f>
        <v>3628104.523878927</v>
      </c>
      <c r="I6" s="489"/>
      <c r="J6" s="504">
        <f>D6/$D$6</f>
        <v>1</v>
      </c>
    </row>
    <row r="7" spans="2:10" ht="13.5" thickBot="1">
      <c r="B7" s="505"/>
      <c r="C7" s="697" t="s">
        <v>5</v>
      </c>
      <c r="D7" s="697" t="s">
        <v>5</v>
      </c>
      <c r="E7" s="697" t="s">
        <v>5</v>
      </c>
      <c r="F7" s="697" t="s">
        <v>5</v>
      </c>
      <c r="G7" s="697" t="s">
        <v>5</v>
      </c>
      <c r="H7" s="697" t="s">
        <v>5</v>
      </c>
      <c r="I7" s="489"/>
      <c r="J7" s="504" t="e">
        <f aca="true" t="shared" si="0" ref="J7:J28">D7/$D$6</f>
        <v>#VALUE!</v>
      </c>
    </row>
    <row r="8" spans="2:10" ht="13.5" thickBot="1">
      <c r="B8" s="200" t="s">
        <v>514</v>
      </c>
      <c r="C8" s="506">
        <f aca="true" t="shared" si="1" ref="C8:H8">SUM(C9:C11)</f>
        <v>914138.064921388</v>
      </c>
      <c r="D8" s="129">
        <f t="shared" si="1"/>
        <v>1492460.9810500646</v>
      </c>
      <c r="E8" s="129">
        <f t="shared" si="1"/>
        <v>1873639.973619322</v>
      </c>
      <c r="F8" s="129">
        <f t="shared" si="1"/>
        <v>2154662.0594677143</v>
      </c>
      <c r="G8" s="129">
        <f t="shared" si="1"/>
        <v>2461297.7339011887</v>
      </c>
      <c r="H8" s="133">
        <f t="shared" si="1"/>
        <v>2683883.5568672735</v>
      </c>
      <c r="I8" s="489"/>
      <c r="J8" s="504">
        <f t="shared" si="0"/>
        <v>0.8552157929626811</v>
      </c>
    </row>
    <row r="9" spans="2:10" ht="12.75">
      <c r="B9" s="505" t="s">
        <v>500</v>
      </c>
      <c r="C9" s="507">
        <f>'COSTO COMPRA DE PRODUCTO'!D31</f>
        <v>830970.5</v>
      </c>
      <c r="D9" s="131">
        <f>'COSTO COMPRA DE PRODUCTO'!E31</f>
        <v>1361383.1546762588</v>
      </c>
      <c r="E9" s="131">
        <f>'COSTO COMPRA DE PRODUCTO'!F31</f>
        <v>1711955.3598561152</v>
      </c>
      <c r="F9" s="131">
        <f>'COSTO COMPRA DE PRODUCTO'!G31</f>
        <v>1968344.7062623654</v>
      </c>
      <c r="G9" s="131">
        <f>'COSTO COMPRA DE PRODUCTO'!H31</f>
        <v>2250179.8386488315</v>
      </c>
      <c r="H9" s="134">
        <f>'COSTO COMPRA DE PRODUCTO'!I31</f>
        <v>2444034.157368076</v>
      </c>
      <c r="I9" s="117"/>
      <c r="J9" s="504">
        <f t="shared" si="0"/>
        <v>0.7801050673588347</v>
      </c>
    </row>
    <row r="10" spans="2:10" ht="12.75">
      <c r="B10" s="505" t="s">
        <v>501</v>
      </c>
      <c r="C10" s="507">
        <f>'COSTO BENEFICIO'!E41</f>
        <v>45304.76946132318</v>
      </c>
      <c r="D10" s="131">
        <f>'COSTO BENEFICIO'!F41</f>
        <v>68886.08029900878</v>
      </c>
      <c r="E10" s="131">
        <f>'COSTO BENEFICIO'!G41</f>
        <v>82964.42920062414</v>
      </c>
      <c r="F10" s="131">
        <f>'COSTO BENEFICIO'!H41</f>
        <v>94855.87264947059</v>
      </c>
      <c r="G10" s="131">
        <f>'COSTO BENEFICIO'!I41</f>
        <v>107001.45118267433</v>
      </c>
      <c r="H10" s="134">
        <f>'COSTO BENEFICIO'!J41</f>
        <v>122846.11326632136</v>
      </c>
      <c r="I10" s="117"/>
      <c r="J10" s="504">
        <f t="shared" si="0"/>
        <v>0.039473369511850244</v>
      </c>
    </row>
    <row r="11" spans="2:10" ht="12.75">
      <c r="B11" s="505" t="s">
        <v>502</v>
      </c>
      <c r="C11" s="507">
        <f>'COSTO DE VENTAS'!D20</f>
        <v>37862.79546006485</v>
      </c>
      <c r="D11" s="131">
        <f>'COSTO DE VENTAS'!E20</f>
        <v>62191.74607479697</v>
      </c>
      <c r="E11" s="131">
        <f>'COSTO DE VENTAS'!F20</f>
        <v>78720.18456258283</v>
      </c>
      <c r="F11" s="131">
        <f>'COSTO DE VENTAS'!G20</f>
        <v>91461.48055587815</v>
      </c>
      <c r="G11" s="131">
        <f>'COSTO DE VENTAS'!H20</f>
        <v>104116.4440696829</v>
      </c>
      <c r="H11" s="134">
        <f>'COSTO DE VENTAS'!I20</f>
        <v>117003.28623287602</v>
      </c>
      <c r="I11" s="117"/>
      <c r="J11" s="504">
        <f t="shared" si="0"/>
        <v>0.03563735609199624</v>
      </c>
    </row>
    <row r="12" spans="2:10" ht="13.5" thickBot="1">
      <c r="B12" s="505"/>
      <c r="C12" s="507" t="s">
        <v>5</v>
      </c>
      <c r="D12" s="131"/>
      <c r="E12" s="131"/>
      <c r="F12" s="131"/>
      <c r="G12" s="131"/>
      <c r="H12" s="134"/>
      <c r="I12" s="117"/>
      <c r="J12" s="504">
        <f t="shared" si="0"/>
        <v>0</v>
      </c>
    </row>
    <row r="13" spans="2:10" ht="13.5" thickBot="1">
      <c r="B13" s="200" t="s">
        <v>513</v>
      </c>
      <c r="C13" s="506">
        <f aca="true" t="shared" si="2" ref="C13:H13">C6-C8</f>
        <v>99658.7231718963</v>
      </c>
      <c r="D13" s="129">
        <f t="shared" si="2"/>
        <v>252666.96599100553</v>
      </c>
      <c r="E13" s="129">
        <f t="shared" si="2"/>
        <v>442580.84121791297</v>
      </c>
      <c r="F13" s="129">
        <f t="shared" si="2"/>
        <v>610480.0945033431</v>
      </c>
      <c r="G13" s="129">
        <f t="shared" si="2"/>
        <v>752843.3436440197</v>
      </c>
      <c r="H13" s="133">
        <f t="shared" si="2"/>
        <v>944220.9670116534</v>
      </c>
      <c r="I13" s="489"/>
      <c r="J13" s="504">
        <f t="shared" si="0"/>
        <v>0.14478420703731887</v>
      </c>
    </row>
    <row r="14" spans="2:10" ht="13.5" thickBot="1">
      <c r="B14" s="219" t="s">
        <v>4</v>
      </c>
      <c r="C14" s="698">
        <f aca="true" t="shared" si="3" ref="C14:H14">C13/C6</f>
        <v>0.09830246489469664</v>
      </c>
      <c r="D14" s="698">
        <f t="shared" si="3"/>
        <v>0.14478420703731887</v>
      </c>
      <c r="E14" s="698">
        <f t="shared" si="3"/>
        <v>0.19107886363114904</v>
      </c>
      <c r="F14" s="698">
        <f t="shared" si="3"/>
        <v>0.22077711036541992</v>
      </c>
      <c r="G14" s="698">
        <f t="shared" si="3"/>
        <v>0.23422846896907268</v>
      </c>
      <c r="H14" s="699">
        <f t="shared" si="3"/>
        <v>0.26025186451964605</v>
      </c>
      <c r="I14" s="92"/>
      <c r="J14" s="504">
        <f t="shared" si="0"/>
        <v>8.296480913207878E-08</v>
      </c>
    </row>
    <row r="15" spans="2:10" ht="13.5" thickBot="1">
      <c r="B15" s="505" t="s">
        <v>36</v>
      </c>
      <c r="C15" s="506">
        <f aca="true" t="shared" si="4" ref="C15:H15">SUM(C16:C21)</f>
        <v>61086.53410156701</v>
      </c>
      <c r="D15" s="129">
        <f t="shared" si="4"/>
        <v>99306.81216759144</v>
      </c>
      <c r="E15" s="129">
        <f t="shared" si="4"/>
        <v>108868.01947486056</v>
      </c>
      <c r="F15" s="129">
        <f t="shared" si="4"/>
        <v>115364.56421922756</v>
      </c>
      <c r="G15" s="129">
        <f t="shared" si="4"/>
        <v>123728.14838846502</v>
      </c>
      <c r="H15" s="133">
        <f t="shared" si="4"/>
        <v>121465.50098136417</v>
      </c>
      <c r="I15" s="489"/>
      <c r="J15" s="504">
        <f t="shared" si="0"/>
        <v>0.05690517554083634</v>
      </c>
    </row>
    <row r="16" spans="2:10" ht="12.75">
      <c r="B16" s="509" t="s">
        <v>491</v>
      </c>
      <c r="C16" s="507">
        <f>'GASTOS GENERALES'!E18</f>
        <v>25380.602937142856</v>
      </c>
      <c r="D16" s="131">
        <f>'GASTOS GENERALES'!F18</f>
        <v>52344.762050514284</v>
      </c>
      <c r="E16" s="131">
        <f>'GASTOS GENERALES'!G18</f>
        <v>54064.14491202971</v>
      </c>
      <c r="F16" s="131">
        <f>'GASTOS GENERALES'!H18</f>
        <v>55379.5112593906</v>
      </c>
      <c r="G16" s="131">
        <f>'GASTOS GENERALES'!I18</f>
        <v>57195.95219717232</v>
      </c>
      <c r="H16" s="134">
        <f>'GASTOS GENERALES'!J18</f>
        <v>59074.639143087494</v>
      </c>
      <c r="I16" s="117"/>
      <c r="J16" s="504">
        <f t="shared" si="0"/>
        <v>0.029994799028499195</v>
      </c>
    </row>
    <row r="17" spans="2:10" ht="12.75">
      <c r="B17" s="509" t="s">
        <v>505</v>
      </c>
      <c r="C17" s="507">
        <f>'GASTOS GENERALES'!E34</f>
        <v>5340</v>
      </c>
      <c r="D17" s="131">
        <f>'GASTOS GENERALES'!F34</f>
        <v>6177</v>
      </c>
      <c r="E17" s="131">
        <f>'GASTOS GENERALES'!G34</f>
        <v>6425.85</v>
      </c>
      <c r="F17" s="131">
        <f>'GASTOS GENERALES'!H34</f>
        <v>6687.1425</v>
      </c>
      <c r="G17" s="131">
        <f>'GASTOS GENERALES'!I34</f>
        <v>6961.4996249999995</v>
      </c>
      <c r="H17" s="134">
        <f>'GASTOS GENERALES'!J34</f>
        <v>7249.57460625</v>
      </c>
      <c r="I17" s="117"/>
      <c r="J17" s="504">
        <f t="shared" si="0"/>
        <v>0.003539568551677449</v>
      </c>
    </row>
    <row r="18" spans="2:10" ht="12.75">
      <c r="B18" s="152" t="s">
        <v>492</v>
      </c>
      <c r="C18" s="507">
        <f>'GASTOS GENERALES'!E49</f>
        <v>14937.914497757492</v>
      </c>
      <c r="D18" s="131">
        <f>'GASTOS GENERALES'!F49</f>
        <v>23845.533450410505</v>
      </c>
      <c r="E18" s="131">
        <f>'GASTOS GENERALES'!G49</f>
        <v>31426.43289616419</v>
      </c>
      <c r="F18" s="131">
        <f>'GASTOS GENERALES'!H49</f>
        <v>37350.30670983694</v>
      </c>
      <c r="G18" s="131">
        <f>'GASTOS GENERALES'!I49</f>
        <v>43609.780128792685</v>
      </c>
      <c r="H18" s="134">
        <f>'GASTOS GENERALES'!J49</f>
        <v>49083.19247265167</v>
      </c>
      <c r="I18" s="117"/>
      <c r="J18" s="504">
        <f t="shared" si="0"/>
        <v>0.01366406027182219</v>
      </c>
    </row>
    <row r="19" spans="2:10" ht="12.75">
      <c r="B19" s="509" t="s">
        <v>516</v>
      </c>
      <c r="C19" s="507">
        <f>'GASTOS GENERALES'!E57</f>
        <v>230</v>
      </c>
      <c r="D19" s="131">
        <f>'GASTOS GENERALES'!F57</f>
        <v>241.5</v>
      </c>
      <c r="E19" s="131">
        <f>'GASTOS GENERALES'!G57</f>
        <v>253.575</v>
      </c>
      <c r="F19" s="131">
        <f>'GASTOS GENERALES'!H57</f>
        <v>266.25375</v>
      </c>
      <c r="G19" s="131">
        <f>'GASTOS GENERALES'!I57</f>
        <v>279.5664375</v>
      </c>
      <c r="H19" s="134">
        <f>'GASTOS GENERALES'!J57</f>
        <v>293.544759375</v>
      </c>
      <c r="I19" s="117"/>
      <c r="J19" s="504">
        <f t="shared" si="0"/>
        <v>0.00013838526877612173</v>
      </c>
    </row>
    <row r="20" spans="2:10" ht="12.75">
      <c r="B20" s="509" t="s">
        <v>622</v>
      </c>
      <c r="C20" s="507">
        <f>'INVERSIÓN PLAN'!$C$17*'COSTO FIDECOMICIO'!C13</f>
        <v>1500</v>
      </c>
      <c r="D20" s="131">
        <f>'INVERSIÓN PLAN'!$C$17*'COSTO FIDECOMICIO'!D13</f>
        <v>3000</v>
      </c>
      <c r="E20" s="131">
        <f>'INVERSIÓN PLAN'!$C$17*'COSTO FIDECOMICIO'!E13</f>
        <v>3000</v>
      </c>
      <c r="F20" s="131">
        <f>'INVERSIÓN PLAN'!$C$17*'COSTO FIDECOMICIO'!F13</f>
        <v>3000</v>
      </c>
      <c r="G20" s="131">
        <f>'INVERSIÓN PLAN'!$C$17*'COSTO FIDECOMICIO'!G13</f>
        <v>3000</v>
      </c>
      <c r="H20" s="134">
        <f>'INVERSIÓN PLAN'!$C$17*'COSTO FIDECOMICIO'!H13</f>
        <v>3000</v>
      </c>
      <c r="I20" s="117"/>
      <c r="J20" s="504"/>
    </row>
    <row r="21" spans="2:10" ht="12.75">
      <c r="B21" s="509" t="s">
        <v>507</v>
      </c>
      <c r="C21" s="507">
        <f>'GASTOS GENERALES'!E41</f>
        <v>13698.016666666666</v>
      </c>
      <c r="D21" s="131">
        <f>'GASTOS GENERALES'!F41</f>
        <v>13698.016666666666</v>
      </c>
      <c r="E21" s="131">
        <f>'GASTOS GENERALES'!G41</f>
        <v>13698.016666666666</v>
      </c>
      <c r="F21" s="131">
        <f>'GASTOS GENERALES'!H41</f>
        <v>12681.349999999999</v>
      </c>
      <c r="G21" s="131">
        <f>'GASTOS GENERALES'!I41</f>
        <v>12681.349999999999</v>
      </c>
      <c r="H21" s="134">
        <f>'GASTOS GENERALES'!J41</f>
        <v>2764.55</v>
      </c>
      <c r="I21" s="117"/>
      <c r="J21" s="504"/>
    </row>
    <row r="22" spans="2:10" ht="13.5" thickBot="1">
      <c r="B22" s="509"/>
      <c r="C22" s="507"/>
      <c r="D22" s="131"/>
      <c r="E22" s="131"/>
      <c r="F22" s="131"/>
      <c r="G22" s="131"/>
      <c r="H22" s="134"/>
      <c r="I22" s="117"/>
      <c r="J22" s="504"/>
    </row>
    <row r="23" spans="2:10" ht="13.5" thickBot="1">
      <c r="B23" s="200" t="s">
        <v>493</v>
      </c>
      <c r="C23" s="506">
        <f aca="true" t="shared" si="5" ref="C23:H23">C13-C15</f>
        <v>38572.18907032929</v>
      </c>
      <c r="D23" s="129">
        <f t="shared" si="5"/>
        <v>153360.1538234141</v>
      </c>
      <c r="E23" s="129">
        <f t="shared" si="5"/>
        <v>333712.8217430524</v>
      </c>
      <c r="F23" s="129">
        <f t="shared" si="5"/>
        <v>495115.5302841156</v>
      </c>
      <c r="G23" s="129">
        <f t="shared" si="5"/>
        <v>629115.1952555546</v>
      </c>
      <c r="H23" s="133">
        <f t="shared" si="5"/>
        <v>822755.4660302892</v>
      </c>
      <c r="I23" s="489"/>
      <c r="J23" s="504">
        <f t="shared" si="0"/>
        <v>0.08787903149648253</v>
      </c>
    </row>
    <row r="24" spans="2:10" ht="12.75">
      <c r="B24" s="510" t="s">
        <v>495</v>
      </c>
      <c r="C24" s="507">
        <f aca="true" t="shared" si="6" ref="C24:H24">IF(C23&gt;0,C23*0.15,0)</f>
        <v>5785.828360549393</v>
      </c>
      <c r="D24" s="131">
        <f t="shared" si="6"/>
        <v>23004.02307351211</v>
      </c>
      <c r="E24" s="131">
        <f t="shared" si="6"/>
        <v>50056.92326145786</v>
      </c>
      <c r="F24" s="131">
        <f t="shared" si="6"/>
        <v>74267.32954261733</v>
      </c>
      <c r="G24" s="131">
        <f t="shared" si="6"/>
        <v>94367.27928833319</v>
      </c>
      <c r="H24" s="134">
        <f t="shared" si="6"/>
        <v>123413.31990454337</v>
      </c>
      <c r="I24" s="117"/>
      <c r="J24" s="504">
        <f t="shared" si="0"/>
        <v>0.013181854724472378</v>
      </c>
    </row>
    <row r="25" spans="2:10" ht="13.5" thickBot="1">
      <c r="B25" s="510" t="s">
        <v>496</v>
      </c>
      <c r="C25" s="507">
        <f aca="true" t="shared" si="7" ref="C25:H25">IF(C23&gt;0,C23*0.25,0)</f>
        <v>9643.047267582322</v>
      </c>
      <c r="D25" s="131">
        <f t="shared" si="7"/>
        <v>38340.03845585352</v>
      </c>
      <c r="E25" s="131">
        <f t="shared" si="7"/>
        <v>83428.2054357631</v>
      </c>
      <c r="F25" s="131">
        <f t="shared" si="7"/>
        <v>123778.8825710289</v>
      </c>
      <c r="G25" s="131">
        <f t="shared" si="7"/>
        <v>157278.79881388866</v>
      </c>
      <c r="H25" s="134">
        <f t="shared" si="7"/>
        <v>205688.8665075723</v>
      </c>
      <c r="I25" s="117"/>
      <c r="J25" s="504">
        <f t="shared" si="0"/>
        <v>0.021969757874120633</v>
      </c>
    </row>
    <row r="26" spans="2:10" ht="13.5" thickBot="1">
      <c r="B26" s="511" t="s">
        <v>511</v>
      </c>
      <c r="C26" s="506">
        <f aca="true" t="shared" si="8" ref="C26:H26">C23-C24-C25</f>
        <v>23143.313442197574</v>
      </c>
      <c r="D26" s="129">
        <f t="shared" si="8"/>
        <v>92016.09229404846</v>
      </c>
      <c r="E26" s="129">
        <f t="shared" si="8"/>
        <v>200227.6930458314</v>
      </c>
      <c r="F26" s="129">
        <f t="shared" si="8"/>
        <v>297069.31817046937</v>
      </c>
      <c r="G26" s="129">
        <f t="shared" si="8"/>
        <v>377469.1171533328</v>
      </c>
      <c r="H26" s="133">
        <f t="shared" si="8"/>
        <v>493653.27961817355</v>
      </c>
      <c r="I26" s="489"/>
      <c r="J26" s="504">
        <f t="shared" si="0"/>
        <v>0.05272741889788952</v>
      </c>
    </row>
    <row r="27" spans="2:10" ht="13.5" thickBot="1">
      <c r="B27" s="152" t="s">
        <v>498</v>
      </c>
      <c r="C27" s="508">
        <v>0</v>
      </c>
      <c r="D27" s="513">
        <f>+C28</f>
        <v>23143.313442197574</v>
      </c>
      <c r="E27" s="131">
        <f>+D28</f>
        <v>115159.40573624603</v>
      </c>
      <c r="F27" s="131">
        <f>+E28</f>
        <v>315387.09878207743</v>
      </c>
      <c r="G27" s="131">
        <f>+F28</f>
        <v>612456.4169525468</v>
      </c>
      <c r="H27" s="134">
        <f>+G28</f>
        <v>989925.5341058796</v>
      </c>
      <c r="I27" s="117"/>
      <c r="J27" s="504">
        <f t="shared" si="0"/>
        <v>0.013261671432996034</v>
      </c>
    </row>
    <row r="28" spans="2:10" ht="13.5" thickBot="1">
      <c r="B28" s="153" t="s">
        <v>499</v>
      </c>
      <c r="C28" s="512">
        <f>+C26+C27</f>
        <v>23143.313442197574</v>
      </c>
      <c r="D28" s="513">
        <f>+D27+D26</f>
        <v>115159.40573624603</v>
      </c>
      <c r="E28" s="513">
        <f>+E27+E26</f>
        <v>315387.09878207743</v>
      </c>
      <c r="F28" s="513">
        <f>+F27+F26</f>
        <v>612456.4169525468</v>
      </c>
      <c r="G28" s="513">
        <f>+G27+G26</f>
        <v>989925.5341058796</v>
      </c>
      <c r="H28" s="514">
        <f>+H27+H26</f>
        <v>1483578.813724053</v>
      </c>
      <c r="I28" s="117"/>
      <c r="J28" s="504">
        <f t="shared" si="0"/>
        <v>0.06598909033088556</v>
      </c>
    </row>
    <row r="29" spans="2:10" ht="12.75">
      <c r="B29" s="92" t="s">
        <v>996</v>
      </c>
      <c r="C29" s="117"/>
      <c r="D29" s="117"/>
      <c r="E29" s="117"/>
      <c r="F29" s="117"/>
      <c r="G29" s="117"/>
      <c r="H29" s="117"/>
      <c r="I29" s="117"/>
      <c r="J29" s="504"/>
    </row>
    <row r="30" spans="2:10" ht="12.75">
      <c r="B30" s="92"/>
      <c r="C30" s="117"/>
      <c r="D30" s="117"/>
      <c r="E30" s="117"/>
      <c r="F30" s="117"/>
      <c r="G30" s="117"/>
      <c r="H30" s="117"/>
      <c r="I30" s="117"/>
      <c r="J30" s="504"/>
    </row>
    <row r="31" spans="2:10" ht="12.75">
      <c r="B31" s="92"/>
      <c r="C31" s="117"/>
      <c r="D31" s="117"/>
      <c r="E31" s="117"/>
      <c r="F31" s="117"/>
      <c r="G31" s="117"/>
      <c r="H31" s="117"/>
      <c r="I31" s="117"/>
      <c r="J31" s="504"/>
    </row>
    <row r="32" spans="4:10" ht="12.75">
      <c r="D32" s="117"/>
      <c r="E32" s="117"/>
      <c r="F32" s="117"/>
      <c r="G32" s="117"/>
      <c r="H32" s="117"/>
      <c r="I32" s="117"/>
      <c r="J32" s="504"/>
    </row>
    <row r="33" spans="4:10" ht="12.75">
      <c r="D33" s="117"/>
      <c r="E33" s="117"/>
      <c r="F33" s="117"/>
      <c r="G33" s="117"/>
      <c r="H33" s="117"/>
      <c r="I33" s="117"/>
      <c r="J33" s="504"/>
    </row>
    <row r="34" spans="4:10" ht="12.75">
      <c r="D34" s="117"/>
      <c r="E34" s="117"/>
      <c r="F34" s="117"/>
      <c r="G34" s="117"/>
      <c r="H34" s="117"/>
      <c r="I34" s="117"/>
      <c r="J34" s="504"/>
    </row>
    <row r="35" spans="2:3" ht="12.75">
      <c r="B35" s="101" t="s">
        <v>5</v>
      </c>
      <c r="C35" s="116"/>
    </row>
    <row r="36" spans="2:9" ht="12.75" hidden="1">
      <c r="B36" s="101"/>
      <c r="C36" s="116">
        <f aca="true" t="shared" si="9" ref="C36:H36">C26+C21</f>
        <v>36841.33010886424</v>
      </c>
      <c r="D36" s="116">
        <f t="shared" si="9"/>
        <v>105714.10896071512</v>
      </c>
      <c r="E36" s="116">
        <f t="shared" si="9"/>
        <v>213925.70971249806</v>
      </c>
      <c r="F36" s="116">
        <f t="shared" si="9"/>
        <v>309750.66817046935</v>
      </c>
      <c r="G36" s="116">
        <f t="shared" si="9"/>
        <v>390150.4671533328</v>
      </c>
      <c r="H36" s="116">
        <f t="shared" si="9"/>
        <v>496417.82961817353</v>
      </c>
      <c r="I36" s="116"/>
    </row>
    <row r="37" spans="2:3" ht="12.75" hidden="1">
      <c r="B37" s="101"/>
      <c r="C37" s="116"/>
    </row>
    <row r="38" spans="2:3" ht="12.75" hidden="1">
      <c r="B38" s="101"/>
      <c r="C38" s="116">
        <f>NPV('Ke &amp; WACC'!B31,C36:H36)</f>
        <v>972040.022733257</v>
      </c>
    </row>
    <row r="39" spans="2:3" ht="12.75" hidden="1">
      <c r="B39" s="101"/>
      <c r="C39" s="116"/>
    </row>
    <row r="40" spans="2:3" ht="12.75" hidden="1">
      <c r="B40" s="101"/>
      <c r="C40" s="116"/>
    </row>
    <row r="41" spans="2:12" ht="12.75" hidden="1">
      <c r="B41" s="101"/>
      <c r="C41" s="116"/>
      <c r="L41" s="100" t="s">
        <v>5</v>
      </c>
    </row>
    <row r="42" spans="2:3" ht="12.75" hidden="1">
      <c r="B42" s="101"/>
      <c r="C42" s="116"/>
    </row>
    <row r="43" spans="4:9" ht="12.75" hidden="1">
      <c r="D43" s="515">
        <f aca="true" t="shared" si="10" ref="D43:H45">(D9/C9)-1</f>
        <v>0.6383050357097619</v>
      </c>
      <c r="E43" s="515">
        <f t="shared" si="10"/>
        <v>0.2575117842289032</v>
      </c>
      <c r="F43" s="515">
        <f t="shared" si="10"/>
        <v>0.1497640373215099</v>
      </c>
      <c r="G43" s="515">
        <f t="shared" si="10"/>
        <v>0.1431838292804084</v>
      </c>
      <c r="H43" s="515">
        <f t="shared" si="10"/>
        <v>0.08615058911720075</v>
      </c>
      <c r="I43" s="515"/>
    </row>
    <row r="44" spans="4:9" ht="12.75" hidden="1">
      <c r="D44" s="515">
        <f t="shared" si="10"/>
        <v>0.5205039362978559</v>
      </c>
      <c r="E44" s="515">
        <f t="shared" si="10"/>
        <v>0.20437146141145646</v>
      </c>
      <c r="F44" s="515">
        <f t="shared" si="10"/>
        <v>0.14333182983867254</v>
      </c>
      <c r="G44" s="515">
        <f t="shared" si="10"/>
        <v>0.12804245213247234</v>
      </c>
      <c r="H44" s="515">
        <f t="shared" si="10"/>
        <v>0.1480789457387528</v>
      </c>
      <c r="I44" s="515"/>
    </row>
    <row r="45" spans="2:9" ht="12.75" hidden="1">
      <c r="B45" s="100" t="s">
        <v>5</v>
      </c>
      <c r="D45" s="515">
        <f t="shared" si="10"/>
        <v>0.6425555831024856</v>
      </c>
      <c r="E45" s="515">
        <f t="shared" si="10"/>
        <v>0.2657657893686951</v>
      </c>
      <c r="F45" s="515">
        <f t="shared" si="10"/>
        <v>0.16185551474623328</v>
      </c>
      <c r="G45" s="515">
        <f t="shared" si="10"/>
        <v>0.13836386024905023</v>
      </c>
      <c r="H45" s="515">
        <f t="shared" si="10"/>
        <v>0.12377336047481835</v>
      </c>
      <c r="I45" s="515"/>
    </row>
    <row r="46" ht="12.75" hidden="1"/>
    <row r="47" spans="4:8" ht="12.75" hidden="1">
      <c r="D47" s="100">
        <f>(D6/C6)-1</f>
        <v>0.7213784532926459</v>
      </c>
      <c r="E47" s="100">
        <f>(E6/D6)-1</f>
        <v>0.3272498550977161</v>
      </c>
      <c r="F47" s="100">
        <f>(F6/E6)-1</f>
        <v>0.19381629603625194</v>
      </c>
      <c r="G47" s="100">
        <f>(G6/F6)-1</f>
        <v>0.16237824262645506</v>
      </c>
      <c r="H47" s="100">
        <f>(H6/G6)-1</f>
        <v>0.12879442325222445</v>
      </c>
    </row>
  </sheetData>
  <sheetProtection/>
  <mergeCells count="2">
    <mergeCell ref="B3:H3"/>
    <mergeCell ref="B2:H2"/>
  </mergeCells>
  <printOptions horizontalCentered="1" verticalCentered="1"/>
  <pageMargins left="0.7874015748031497" right="0.7874015748031497" top="0.984251968503937" bottom="0.984251968503937" header="0" footer="0"/>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C10:F29"/>
  <sheetViews>
    <sheetView zoomScale="95" zoomScaleNormal="95" workbookViewId="0" topLeftCell="A1">
      <selection activeCell="H25" sqref="H25"/>
    </sheetView>
  </sheetViews>
  <sheetFormatPr defaultColWidth="11.421875" defaultRowHeight="12.75"/>
  <cols>
    <col min="1" max="3" width="11.421875" style="265" customWidth="1"/>
    <col min="4" max="4" width="37.140625" style="265" bestFit="1" customWidth="1"/>
    <col min="5" max="5" width="10.7109375" style="265" bestFit="1" customWidth="1"/>
    <col min="6" max="16384" width="11.421875" style="265" customWidth="1"/>
  </cols>
  <sheetData>
    <row r="10" spans="4:5" ht="12.75">
      <c r="D10" s="734" t="s">
        <v>1067</v>
      </c>
      <c r="E10" s="734"/>
    </row>
    <row r="11" spans="3:6" ht="12.75">
      <c r="C11" s="734" t="s">
        <v>683</v>
      </c>
      <c r="D11" s="734"/>
      <c r="E11" s="734"/>
      <c r="F11" s="734"/>
    </row>
    <row r="12" spans="3:6" ht="13.5" thickBot="1">
      <c r="C12" s="8"/>
      <c r="D12" s="8"/>
      <c r="E12" s="8"/>
      <c r="F12" s="8"/>
    </row>
    <row r="13" spans="4:5" ht="12.75">
      <c r="D13" s="257" t="s">
        <v>682</v>
      </c>
      <c r="E13" s="258">
        <v>980916.5576997285</v>
      </c>
    </row>
    <row r="14" spans="4:5" ht="12.75">
      <c r="D14" s="259" t="s">
        <v>681</v>
      </c>
      <c r="E14" s="521">
        <v>48720.25108281966</v>
      </c>
    </row>
    <row r="15" spans="4:5" ht="13.5" thickBot="1">
      <c r="D15" s="260" t="s">
        <v>680</v>
      </c>
      <c r="E15" s="261">
        <v>8050.644587558972</v>
      </c>
    </row>
    <row r="16" ht="12.75">
      <c r="D16" s="92" t="s">
        <v>996</v>
      </c>
    </row>
    <row r="21" ht="12.75">
      <c r="E21" s="265" t="s">
        <v>463</v>
      </c>
    </row>
    <row r="29" ht="12.75">
      <c r="E29" s="16"/>
    </row>
  </sheetData>
  <mergeCells count="2">
    <mergeCell ref="C11:F11"/>
    <mergeCell ref="D10:E10"/>
  </mergeCells>
  <printOptions horizontalCentered="1" verticalCentered="1"/>
  <pageMargins left="0.7874015748031497" right="0.7874015748031497" top="0.984251968503937" bottom="0.984251968503937" header="0" footer="0"/>
  <pageSetup fitToHeight="1" fitToWidth="1" horizontalDpi="300" verticalDpi="300" orientation="landscape" paperSize="11" r:id="rId1"/>
</worksheet>
</file>

<file path=xl/worksheets/sheet16.xml><?xml version="1.0" encoding="utf-8"?>
<worksheet xmlns="http://schemas.openxmlformats.org/spreadsheetml/2006/main" xmlns:r="http://schemas.openxmlformats.org/officeDocument/2006/relationships">
  <sheetPr>
    <pageSetUpPr fitToPage="1"/>
  </sheetPr>
  <dimension ref="A1:BO103"/>
  <sheetViews>
    <sheetView zoomScale="95" zoomScaleNormal="95" workbookViewId="0" topLeftCell="A1">
      <selection activeCell="A32" sqref="A32"/>
    </sheetView>
  </sheetViews>
  <sheetFormatPr defaultColWidth="11.421875" defaultRowHeight="12.75"/>
  <cols>
    <col min="1" max="1" width="39.421875" style="100" bestFit="1" customWidth="1"/>
    <col min="2" max="2" width="16.8515625" style="100" bestFit="1" customWidth="1"/>
    <col min="3" max="4" width="12.28125" style="100" bestFit="1" customWidth="1"/>
    <col min="5" max="5" width="12.140625" style="100" customWidth="1"/>
    <col min="6" max="8" width="12.28125" style="100" bestFit="1" customWidth="1"/>
    <col min="9" max="16384" width="11.421875" style="100" customWidth="1"/>
  </cols>
  <sheetData>
    <row r="1" spans="1:8" ht="12.75">
      <c r="A1" s="749" t="s">
        <v>1068</v>
      </c>
      <c r="B1" s="749"/>
      <c r="C1" s="749"/>
      <c r="D1" s="749"/>
      <c r="E1" s="749"/>
      <c r="F1" s="749"/>
      <c r="G1" s="749"/>
      <c r="H1" s="749"/>
    </row>
    <row r="2" spans="1:8" ht="12.75">
      <c r="A2" s="760" t="s">
        <v>593</v>
      </c>
      <c r="B2" s="760"/>
      <c r="C2" s="760"/>
      <c r="D2" s="760"/>
      <c r="E2" s="760"/>
      <c r="F2" s="760"/>
      <c r="G2" s="760"/>
      <c r="H2" s="760"/>
    </row>
    <row r="3" spans="3:5" ht="13.5" thickBot="1">
      <c r="C3" s="100" t="s">
        <v>5</v>
      </c>
      <c r="D3" s="100" t="s">
        <v>5</v>
      </c>
      <c r="E3" s="100" t="s">
        <v>5</v>
      </c>
    </row>
    <row r="4" spans="1:8" s="127" customFormat="1" ht="12.75">
      <c r="A4" s="137" t="s">
        <v>483</v>
      </c>
      <c r="B4" s="115" t="s">
        <v>594</v>
      </c>
      <c r="C4" s="115">
        <v>2008</v>
      </c>
      <c r="D4" s="115">
        <v>2009</v>
      </c>
      <c r="E4" s="115">
        <v>2010</v>
      </c>
      <c r="F4" s="115">
        <v>2011</v>
      </c>
      <c r="G4" s="115">
        <v>2012</v>
      </c>
      <c r="H4" s="138">
        <v>2013</v>
      </c>
    </row>
    <row r="5" spans="1:8" ht="14.25" customHeight="1">
      <c r="A5" s="139" t="s">
        <v>8</v>
      </c>
      <c r="B5" s="93"/>
      <c r="C5" s="709"/>
      <c r="D5" s="709"/>
      <c r="E5" s="709"/>
      <c r="F5" s="709"/>
      <c r="G5" s="709"/>
      <c r="H5" s="710"/>
    </row>
    <row r="6" spans="1:8" ht="13.5" customHeight="1">
      <c r="A6" s="140" t="s">
        <v>543</v>
      </c>
      <c r="B6" s="103">
        <f>'INVERSIÓN PLAN'!C5</f>
        <v>52634</v>
      </c>
      <c r="C6" s="709"/>
      <c r="D6" s="709"/>
      <c r="E6" s="709"/>
      <c r="F6" s="709"/>
      <c r="G6" s="709"/>
      <c r="H6" s="710"/>
    </row>
    <row r="7" spans="1:8" ht="13.5" customHeight="1">
      <c r="A7" s="140" t="s">
        <v>581</v>
      </c>
      <c r="B7" s="103">
        <f>'INVERSIÓN PLAN'!C6</f>
        <v>379013.71826441336</v>
      </c>
      <c r="C7" s="709"/>
      <c r="D7" s="709"/>
      <c r="E7" s="709"/>
      <c r="F7" s="709"/>
      <c r="G7" s="709"/>
      <c r="H7" s="710"/>
    </row>
    <row r="8" spans="1:8" ht="15" customHeight="1">
      <c r="A8" s="139"/>
      <c r="B8" s="103">
        <f>SUM(B6:B7)</f>
        <v>431647.71826441336</v>
      </c>
      <c r="C8" s="709"/>
      <c r="D8" s="709"/>
      <c r="E8" s="709"/>
      <c r="F8" s="709"/>
      <c r="G8" s="709"/>
      <c r="H8" s="710"/>
    </row>
    <row r="9" spans="1:8" ht="12.75">
      <c r="A9" s="139" t="s">
        <v>595</v>
      </c>
      <c r="B9" s="93"/>
      <c r="C9" s="103">
        <f>'P&amp;G PROYECTADO '!C6</f>
        <v>1013796.7880932844</v>
      </c>
      <c r="D9" s="103">
        <f>'P&amp;G PROYECTADO '!D6</f>
        <v>1745127.94704107</v>
      </c>
      <c r="E9" s="103">
        <f>'P&amp;G PROYECTADO '!E6</f>
        <v>2316220.814837235</v>
      </c>
      <c r="F9" s="103">
        <f>'P&amp;G PROYECTADO '!F6</f>
        <v>2765142.1539710574</v>
      </c>
      <c r="G9" s="103">
        <f>'P&amp;G PROYECTADO '!G6</f>
        <v>3214141.0775452084</v>
      </c>
      <c r="H9" s="118">
        <f>'P&amp;G PROYECTADO '!H6</f>
        <v>3628104.523878927</v>
      </c>
    </row>
    <row r="10" spans="1:8" ht="12.75">
      <c r="A10" s="139" t="s">
        <v>596</v>
      </c>
      <c r="B10" s="93"/>
      <c r="C10" s="103">
        <f>'P&amp;G PROYECTADO '!C8+'P&amp;G PROYECTADO '!C15</f>
        <v>975224.599022955</v>
      </c>
      <c r="D10" s="103">
        <f>'P&amp;G PROYECTADO '!D8+'P&amp;G PROYECTADO '!D15</f>
        <v>1591767.793217656</v>
      </c>
      <c r="E10" s="103">
        <f>'P&amp;G PROYECTADO '!E8+'P&amp;G PROYECTADO '!E15</f>
        <v>1982507.9930941826</v>
      </c>
      <c r="F10" s="103">
        <f>'P&amp;G PROYECTADO '!F8+'P&amp;G PROYECTADO '!F15</f>
        <v>2270026.623686942</v>
      </c>
      <c r="G10" s="103">
        <f>'P&amp;G PROYECTADO '!G8+'P&amp;G PROYECTADO '!G15</f>
        <v>2585025.8822896536</v>
      </c>
      <c r="H10" s="118">
        <f>'P&amp;G PROYECTADO '!H8+'P&amp;G PROYECTADO '!H15</f>
        <v>2805349.057848638</v>
      </c>
    </row>
    <row r="11" spans="1:67" ht="12.75">
      <c r="A11" s="146" t="s">
        <v>494</v>
      </c>
      <c r="B11" s="147"/>
      <c r="C11" s="147">
        <f aca="true" t="shared" si="0" ref="C11:H11">C9-C10</f>
        <v>38572.1890703293</v>
      </c>
      <c r="D11" s="147">
        <f t="shared" si="0"/>
        <v>153360.15382341412</v>
      </c>
      <c r="E11" s="147">
        <f t="shared" si="0"/>
        <v>333712.82174305245</v>
      </c>
      <c r="F11" s="147">
        <f t="shared" si="0"/>
        <v>495115.5302841156</v>
      </c>
      <c r="G11" s="147">
        <f t="shared" si="0"/>
        <v>629115.1952555547</v>
      </c>
      <c r="H11" s="148">
        <f t="shared" si="0"/>
        <v>822755.466030289</v>
      </c>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row>
    <row r="12" spans="1:67" ht="12.75">
      <c r="A12" s="140" t="s">
        <v>495</v>
      </c>
      <c r="B12" s="103"/>
      <c r="C12" s="103">
        <f aca="true" t="shared" si="1" ref="C12:H12">+C11*0.15</f>
        <v>5785.828360549395</v>
      </c>
      <c r="D12" s="103">
        <f t="shared" si="1"/>
        <v>23004.02307351212</v>
      </c>
      <c r="E12" s="103">
        <f t="shared" si="1"/>
        <v>50056.923261457865</v>
      </c>
      <c r="F12" s="103">
        <f t="shared" si="1"/>
        <v>74267.32954261733</v>
      </c>
      <c r="G12" s="103">
        <f t="shared" si="1"/>
        <v>94367.27928833321</v>
      </c>
      <c r="H12" s="118">
        <f t="shared" si="1"/>
        <v>123413.31990454334</v>
      </c>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row>
    <row r="13" spans="1:67" ht="12.75">
      <c r="A13" s="140" t="s">
        <v>496</v>
      </c>
      <c r="B13" s="103"/>
      <c r="C13" s="103">
        <f aca="true" t="shared" si="2" ref="C13:H13">+C11*0.25</f>
        <v>9643.047267582326</v>
      </c>
      <c r="D13" s="103">
        <f t="shared" si="2"/>
        <v>38340.03845585353</v>
      </c>
      <c r="E13" s="103">
        <f t="shared" si="2"/>
        <v>83428.20543576311</v>
      </c>
      <c r="F13" s="103">
        <f t="shared" si="2"/>
        <v>123778.8825710289</v>
      </c>
      <c r="G13" s="103">
        <f t="shared" si="2"/>
        <v>157278.7988138887</v>
      </c>
      <c r="H13" s="118">
        <f t="shared" si="2"/>
        <v>205688.86650757224</v>
      </c>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row>
    <row r="14" spans="1:67" ht="12.75">
      <c r="A14" s="146" t="s">
        <v>497</v>
      </c>
      <c r="B14" s="147"/>
      <c r="C14" s="147">
        <f aca="true" t="shared" si="3" ref="C14:H14">+C11-C12-C13</f>
        <v>23143.313442197585</v>
      </c>
      <c r="D14" s="147">
        <f t="shared" si="3"/>
        <v>92016.09229404847</v>
      </c>
      <c r="E14" s="147">
        <f t="shared" si="3"/>
        <v>200227.69304583146</v>
      </c>
      <c r="F14" s="147">
        <f t="shared" si="3"/>
        <v>297069.31817046937</v>
      </c>
      <c r="G14" s="147">
        <f t="shared" si="3"/>
        <v>377469.1171533328</v>
      </c>
      <c r="H14" s="148">
        <f t="shared" si="3"/>
        <v>493653.2796181734</v>
      </c>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row>
    <row r="15" spans="1:67" ht="12.75">
      <c r="A15" s="142" t="s">
        <v>597</v>
      </c>
      <c r="B15" s="143"/>
      <c r="C15" s="143">
        <f>'P&amp;G PROYECTADO '!C21</f>
        <v>13698.016666666666</v>
      </c>
      <c r="D15" s="143">
        <f>'P&amp;G PROYECTADO '!D21</f>
        <v>13698.016666666666</v>
      </c>
      <c r="E15" s="143">
        <f>'P&amp;G PROYECTADO '!E21</f>
        <v>13698.016666666666</v>
      </c>
      <c r="F15" s="143">
        <f>'P&amp;G PROYECTADO '!F21</f>
        <v>12681.349999999999</v>
      </c>
      <c r="G15" s="143">
        <f>'P&amp;G PROYECTADO '!G21</f>
        <v>12681.349999999999</v>
      </c>
      <c r="H15" s="144">
        <f>'P&amp;G PROYECTADO '!H21</f>
        <v>2764.55</v>
      </c>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row>
    <row r="16" spans="1:67" ht="12.75">
      <c r="A16" s="164" t="s">
        <v>624</v>
      </c>
      <c r="B16" s="131"/>
      <c r="C16" s="131"/>
      <c r="D16" s="131"/>
      <c r="E16" s="131"/>
      <c r="F16" s="131"/>
      <c r="G16" s="131"/>
      <c r="H16" s="134">
        <f>+'NUEVAS DEPRECIACIONES'!N11</f>
        <v>3921.3</v>
      </c>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row>
    <row r="17" spans="1:67" ht="13.5" thickBot="1">
      <c r="A17" s="164" t="s">
        <v>623</v>
      </c>
      <c r="B17" s="131"/>
      <c r="C17" s="131"/>
      <c r="D17" s="131"/>
      <c r="E17" s="131"/>
      <c r="F17" s="131"/>
      <c r="G17" s="131"/>
      <c r="H17" s="134">
        <f>'CAPITAL DE TRABAJO'!B13</f>
        <v>379013.71826441336</v>
      </c>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row>
    <row r="18" spans="1:67" ht="13.5" thickBot="1">
      <c r="A18" s="667" t="s">
        <v>598</v>
      </c>
      <c r="B18" s="668">
        <f>-B8</f>
        <v>-431647.71826441336</v>
      </c>
      <c r="C18" s="668">
        <f aca="true" t="shared" si="4" ref="C18:H18">SUM(C14:C17)</f>
        <v>36841.33010886425</v>
      </c>
      <c r="D18" s="668">
        <f t="shared" si="4"/>
        <v>105714.10896071514</v>
      </c>
      <c r="E18" s="668">
        <f t="shared" si="4"/>
        <v>213925.70971249812</v>
      </c>
      <c r="F18" s="668">
        <f t="shared" si="4"/>
        <v>309750.66817046935</v>
      </c>
      <c r="G18" s="668">
        <f t="shared" si="4"/>
        <v>390150.4671533328</v>
      </c>
      <c r="H18" s="669">
        <f t="shared" si="4"/>
        <v>879352.8478825868</v>
      </c>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row>
    <row r="19" spans="1:67" ht="12.75">
      <c r="A19" s="230" t="s">
        <v>599</v>
      </c>
      <c r="B19" s="670"/>
      <c r="C19" s="670">
        <v>0</v>
      </c>
      <c r="D19" s="670">
        <f>+C20</f>
        <v>36841.33010886425</v>
      </c>
      <c r="E19" s="670">
        <f>+D20</f>
        <v>142555.43906957938</v>
      </c>
      <c r="F19" s="670">
        <f>+E20</f>
        <v>356481.1487820775</v>
      </c>
      <c r="G19" s="670">
        <f>+F20</f>
        <v>666231.8169525468</v>
      </c>
      <c r="H19" s="671">
        <f>+G20</f>
        <v>1056382.2841058797</v>
      </c>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row>
    <row r="20" spans="1:67" ht="12.75">
      <c r="A20" s="139" t="s">
        <v>600</v>
      </c>
      <c r="B20" s="103"/>
      <c r="C20" s="103">
        <f>+C18</f>
        <v>36841.33010886425</v>
      </c>
      <c r="D20" s="103">
        <f>+D19+D18</f>
        <v>142555.43906957938</v>
      </c>
      <c r="E20" s="103">
        <f>+E19+E18</f>
        <v>356481.1487820775</v>
      </c>
      <c r="F20" s="103">
        <f>+F19+F18</f>
        <v>666231.8169525468</v>
      </c>
      <c r="G20" s="103">
        <f>+G19+G18</f>
        <v>1056382.2841058797</v>
      </c>
      <c r="H20" s="118">
        <f>+H19+H18</f>
        <v>1935735.1319884665</v>
      </c>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row>
    <row r="21" spans="1:67" ht="13.5" thickBot="1">
      <c r="A21" s="141" t="s">
        <v>1022</v>
      </c>
      <c r="B21" s="107">
        <f>+B18</f>
        <v>-431647.71826441336</v>
      </c>
      <c r="C21" s="107">
        <f>B21+C20</f>
        <v>-394806.3881555491</v>
      </c>
      <c r="D21" s="107">
        <f>C21+D20</f>
        <v>-252250.94908596974</v>
      </c>
      <c r="E21" s="462">
        <f>D21+E20</f>
        <v>104230.19969610774</v>
      </c>
      <c r="F21" s="672"/>
      <c r="G21" s="672"/>
      <c r="H21" s="673"/>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row>
    <row r="22" spans="1:67" ht="12.75">
      <c r="A22" s="711" t="s">
        <v>996</v>
      </c>
      <c r="B22" s="711"/>
      <c r="C22" s="711"/>
      <c r="D22" s="711"/>
      <c r="E22" s="711"/>
      <c r="F22" s="711"/>
      <c r="G22" s="711"/>
      <c r="H22" s="711"/>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row>
    <row r="23" spans="2:67" ht="12.7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row>
    <row r="24" spans="2:67" ht="12.7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row>
    <row r="25" spans="2:67" ht="12.7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row>
    <row r="26" spans="1:67" ht="12.75">
      <c r="A26" s="100" t="s">
        <v>678</v>
      </c>
      <c r="B26" s="116">
        <f>NPV('TIR Y VAN'!B13,C9:H9)+H17</f>
        <v>10032691.269994901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row>
    <row r="27" spans="1:67" ht="12.75">
      <c r="A27" s="100" t="s">
        <v>679</v>
      </c>
      <c r="B27" s="116">
        <f>NPV('TIR Y VAN'!B13,C10:H10)+(-B18)</f>
        <v>8549730.152514009</v>
      </c>
      <c r="C27" s="116"/>
      <c r="D27" s="116"/>
      <c r="E27" s="116"/>
      <c r="F27" s="116"/>
      <c r="G27" s="116"/>
      <c r="H27" s="116"/>
      <c r="I27" s="116"/>
      <c r="J27" s="116" t="s">
        <v>5</v>
      </c>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row>
    <row r="28" spans="1:67" ht="12.75">
      <c r="A28" s="100" t="s">
        <v>1045</v>
      </c>
      <c r="B28" s="116" t="s">
        <v>1046</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row>
    <row r="29" spans="2:67" ht="12.7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row>
    <row r="30" spans="2:67" ht="12.7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row>
    <row r="31" spans="2:67" ht="12.75">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row>
    <row r="32" spans="2:67" ht="12.7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row>
    <row r="33" spans="2:67" ht="12.75">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row>
    <row r="34" spans="2:67" ht="12.7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row>
    <row r="35" spans="2:67" ht="12.7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row>
    <row r="36" spans="2:67" ht="12.75">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row>
    <row r="37" spans="2:67" ht="12.7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row>
    <row r="38" spans="2:67" ht="12.7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row>
    <row r="39" spans="2:67" ht="12.7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row>
    <row r="40" spans="2:67" ht="12.7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row>
    <row r="41" spans="2:67" ht="12.7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row>
    <row r="42" spans="2:67" ht="12.7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row>
    <row r="43" spans="2:67" ht="12.7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row>
    <row r="44" spans="2:67" ht="12.7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row>
    <row r="45" spans="2:67" ht="12.7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row>
    <row r="46" spans="2:67" ht="12.7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row>
    <row r="47" spans="2:67" ht="12.75">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row>
    <row r="48" spans="2:67" ht="12.7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row>
    <row r="49" spans="2:67" ht="12.7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row>
    <row r="50" spans="2:67" ht="12.7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row>
    <row r="51" spans="2:67" ht="12.7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row>
    <row r="52" spans="2:67" ht="12.7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row>
    <row r="53" spans="2:67" ht="12.7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row>
    <row r="54" spans="2:67" ht="12.7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row>
    <row r="55" spans="2:67" ht="12.7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row>
    <row r="56" spans="2:67" ht="12.7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row>
    <row r="57" spans="2:67" ht="12.75">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row>
    <row r="58" spans="2:67" ht="12.75">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row>
    <row r="59" spans="2:67" ht="12.7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row>
    <row r="60" spans="2:67" ht="12.7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row>
    <row r="61" spans="2:67" ht="12.7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row>
    <row r="62" spans="2:67" ht="12.7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row>
    <row r="63" spans="2:67" ht="12.75">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row>
    <row r="64" spans="2:67" ht="12.75">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row>
    <row r="65" spans="2:67" ht="12.75">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row>
    <row r="66" spans="2:67" ht="12.75">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row>
    <row r="67" spans="2:67" ht="12.75">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row>
    <row r="68" spans="2:67" ht="12.75">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row>
    <row r="69" spans="2:67" ht="12.75">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row>
    <row r="70" spans="2:67" ht="12.7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row>
    <row r="71" spans="2:67" ht="12.7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row>
    <row r="72" spans="2:67" ht="12.7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row>
    <row r="73" spans="2:67" ht="12.7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row>
    <row r="74" spans="2:67" ht="12.75">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row>
    <row r="75" spans="2:67" ht="12.7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row>
    <row r="76" spans="2:67" ht="12.7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row>
    <row r="77" spans="2:67" ht="12.7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row>
    <row r="78" spans="2:67" ht="12.7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row>
    <row r="79" spans="2:67" ht="12.75">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row>
    <row r="80" spans="2:67" ht="12.75">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row>
    <row r="81" spans="2:67" ht="12.75">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row>
    <row r="82" spans="2:67" ht="12.7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row>
    <row r="83" spans="2:67" ht="12.7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row>
    <row r="84" spans="2:67" ht="12.7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row>
    <row r="85" spans="2:67" ht="12.7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row>
    <row r="86" spans="2:67" ht="12.75">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row>
    <row r="87" spans="2:67" ht="12.75">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row>
    <row r="88" spans="2:67" ht="12.7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row>
    <row r="89" spans="2:67" ht="12.7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row>
    <row r="90" spans="2:67" ht="12.7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row>
    <row r="91" spans="2:67" ht="12.7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row>
    <row r="92" spans="2:67" ht="12.7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row>
    <row r="93" spans="2:67" ht="12.7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row>
    <row r="94" spans="2:67" ht="12.7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row>
    <row r="95" spans="2:67" ht="12.75">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row>
    <row r="96" spans="2:67" ht="12.7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row>
    <row r="97" spans="2:67" ht="12.7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row>
    <row r="98" spans="2:67" ht="12.7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row>
    <row r="99" spans="2:67" ht="12.75">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row>
    <row r="100" spans="2:67" ht="12.75">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row>
    <row r="101" spans="2:67" ht="12.75">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row>
    <row r="102" spans="2:67" ht="12.7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row>
    <row r="103" spans="2:67" ht="12.7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row>
  </sheetData>
  <sheetProtection/>
  <mergeCells count="4">
    <mergeCell ref="C5:H8"/>
    <mergeCell ref="A2:H2"/>
    <mergeCell ref="A22:H22"/>
    <mergeCell ref="A1:H1"/>
  </mergeCells>
  <printOptions horizontalCentered="1" verticalCentered="1"/>
  <pageMargins left="0.7874015748031497" right="0.7874015748031497" top="0.984251968503937" bottom="0.984251968503937" header="0" footer="0"/>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2:GH377"/>
  <sheetViews>
    <sheetView zoomScale="95" zoomScaleNormal="95" workbookViewId="0" topLeftCell="A1">
      <selection activeCell="E25" sqref="E25"/>
    </sheetView>
  </sheetViews>
  <sheetFormatPr defaultColWidth="11.421875" defaultRowHeight="12.75"/>
  <cols>
    <col min="1" max="1" width="32.28125" style="100" bestFit="1" customWidth="1"/>
    <col min="2" max="2" width="13.28125" style="100" bestFit="1" customWidth="1"/>
    <col min="3" max="3" width="11.140625" style="100" bestFit="1" customWidth="1"/>
    <col min="4" max="4" width="11.8515625" style="100" bestFit="1" customWidth="1"/>
    <col min="5" max="5" width="12.28125" style="100" bestFit="1" customWidth="1"/>
    <col min="6" max="6" width="17.00390625" style="100" customWidth="1"/>
    <col min="7" max="7" width="13.8515625" style="100" bestFit="1" customWidth="1"/>
    <col min="8" max="8" width="12.57421875" style="100" bestFit="1" customWidth="1"/>
    <col min="9" max="16384" width="11.421875" style="100" customWidth="1"/>
  </cols>
  <sheetData>
    <row r="2" spans="1:8" ht="12.75">
      <c r="A2" s="749" t="s">
        <v>1069</v>
      </c>
      <c r="B2" s="749"/>
      <c r="C2" s="749"/>
      <c r="D2" s="749"/>
      <c r="E2" s="749"/>
      <c r="F2" s="749"/>
      <c r="G2" s="749"/>
      <c r="H2" s="749"/>
    </row>
    <row r="3" spans="1:8" ht="12.75">
      <c r="A3" s="760" t="s">
        <v>601</v>
      </c>
      <c r="B3" s="760"/>
      <c r="C3" s="760"/>
      <c r="D3" s="760"/>
      <c r="E3" s="760"/>
      <c r="F3" s="760"/>
      <c r="G3" s="760"/>
      <c r="H3" s="760"/>
    </row>
    <row r="4" ht="13.5" thickBot="1"/>
    <row r="5" spans="1:8" ht="13.5" thickBot="1">
      <c r="A5" s="128" t="s">
        <v>544</v>
      </c>
      <c r="B5" s="114" t="s">
        <v>594</v>
      </c>
      <c r="C5" s="123">
        <f>'FLUJO DE CAJA'!C4</f>
        <v>2008</v>
      </c>
      <c r="D5" s="123">
        <f>'FLUJO DE CAJA'!D4</f>
        <v>2009</v>
      </c>
      <c r="E5" s="123">
        <f>'FLUJO DE CAJA'!E4</f>
        <v>2010</v>
      </c>
      <c r="F5" s="123">
        <f>'FLUJO DE CAJA'!F4</f>
        <v>2011</v>
      </c>
      <c r="G5" s="123">
        <f>'FLUJO DE CAJA'!G4</f>
        <v>2012</v>
      </c>
      <c r="H5" s="135">
        <f>'FLUJO DE CAJA'!H4</f>
        <v>2013</v>
      </c>
    </row>
    <row r="6" spans="1:190" ht="12.75">
      <c r="A6" s="99" t="s">
        <v>602</v>
      </c>
      <c r="B6" s="117">
        <f>'FLUJO DE CAJA'!B6</f>
        <v>52634</v>
      </c>
      <c r="C6" s="131"/>
      <c r="D6" s="117"/>
      <c r="E6" s="131"/>
      <c r="F6" s="117"/>
      <c r="G6" s="131"/>
      <c r="H6" s="132"/>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row>
    <row r="7" spans="1:190" ht="12.75">
      <c r="A7" s="99" t="s">
        <v>581</v>
      </c>
      <c r="B7" s="117">
        <f>'FLUJO DE CAJA'!B7</f>
        <v>379013.71826441336</v>
      </c>
      <c r="C7" s="131"/>
      <c r="D7" s="117"/>
      <c r="E7" s="131"/>
      <c r="F7" s="117"/>
      <c r="G7" s="131"/>
      <c r="H7" s="132"/>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row>
    <row r="8" spans="1:190" ht="13.5" thickBot="1">
      <c r="A8" s="99" t="s">
        <v>603</v>
      </c>
      <c r="B8" s="117"/>
      <c r="C8" s="131">
        <f>'FLUJO DE CAJA'!C18</f>
        <v>36841.33010886425</v>
      </c>
      <c r="D8" s="131">
        <f>'FLUJO DE CAJA'!D18</f>
        <v>105714.10896071514</v>
      </c>
      <c r="E8" s="131">
        <f>'FLUJO DE CAJA'!E18</f>
        <v>213925.70971249812</v>
      </c>
      <c r="F8" s="131">
        <f>'FLUJO DE CAJA'!F18</f>
        <v>309750.66817046935</v>
      </c>
      <c r="G8" s="131">
        <f>'FLUJO DE CAJA'!G18</f>
        <v>390150.4671533328</v>
      </c>
      <c r="H8" s="134">
        <f>'FLUJO DE CAJA'!H18</f>
        <v>879352.8478825868</v>
      </c>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row>
    <row r="9" spans="1:190" ht="13.5" thickBot="1">
      <c r="A9" s="128" t="s">
        <v>604</v>
      </c>
      <c r="B9" s="130">
        <f>-SUM(B6:B8)</f>
        <v>-431647.71826441336</v>
      </c>
      <c r="C9" s="129">
        <f aca="true" t="shared" si="0" ref="C9:H9">SUM(C6:C8)</f>
        <v>36841.33010886425</v>
      </c>
      <c r="D9" s="129">
        <f t="shared" si="0"/>
        <v>105714.10896071514</v>
      </c>
      <c r="E9" s="129">
        <f t="shared" si="0"/>
        <v>213925.70971249812</v>
      </c>
      <c r="F9" s="129">
        <f t="shared" si="0"/>
        <v>309750.66817046935</v>
      </c>
      <c r="G9" s="129">
        <f t="shared" si="0"/>
        <v>390150.4671533328</v>
      </c>
      <c r="H9" s="133">
        <f t="shared" si="0"/>
        <v>879352.8478825868</v>
      </c>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row>
    <row r="10" spans="1:190" ht="13.5" thickBot="1">
      <c r="A10" s="136" t="s">
        <v>606</v>
      </c>
      <c r="B10" s="222">
        <f>NPV(B12,C9:H9)+B9</f>
        <v>680850.0055316687</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row>
    <row r="11" spans="1:190" ht="13.5" thickBot="1">
      <c r="A11" s="221" t="s">
        <v>605</v>
      </c>
      <c r="B11" s="223">
        <f>IRR(B9:H9)</f>
        <v>0.39724173278277847</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row>
    <row r="12" spans="1:190" ht="13.5" thickBot="1">
      <c r="A12" s="225" t="s">
        <v>24</v>
      </c>
      <c r="B12" s="226">
        <f>'Ke &amp; WACC'!B26</f>
        <v>0.12448641133240652</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row>
    <row r="13" spans="1:190" ht="13.5" thickBot="1">
      <c r="A13" s="224" t="s">
        <v>34</v>
      </c>
      <c r="B13" s="227">
        <f>'Ke &amp; WACC'!B31</f>
        <v>0.11114312961798863</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row>
    <row r="14" spans="1:190" ht="13.5" thickBot="1">
      <c r="A14" s="225" t="s">
        <v>33</v>
      </c>
      <c r="B14" s="228">
        <v>0.05</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row>
    <row r="15" spans="1:190" ht="13.5" thickBot="1">
      <c r="A15" s="225" t="s">
        <v>677</v>
      </c>
      <c r="B15" s="256">
        <f>'FLUJO DE CAJA'!B26/'FLUJO DE CAJA'!B27</f>
        <v>1.17345121904752</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row>
    <row r="16" spans="1:190" ht="12.75">
      <c r="A16" s="101" t="s">
        <v>996</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row>
    <row r="17" spans="2:190" ht="12.7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row>
    <row r="18" spans="2:190" ht="12.7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row>
    <row r="19" spans="2:190" ht="12.75">
      <c r="B19" s="116">
        <v>197827.6539545661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row>
    <row r="20" spans="2:190" ht="12.75">
      <c r="B20" s="116">
        <f>B10+B19</f>
        <v>878677.6594862348</v>
      </c>
      <c r="C20" s="515" t="s">
        <v>5</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row>
    <row r="21" spans="2:190" ht="12.7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row>
    <row r="22" spans="2:190" ht="12.7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row>
    <row r="23" spans="2:190" ht="12.7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row>
    <row r="24" spans="2:190" ht="12.7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row>
    <row r="25" spans="2:190" ht="12.7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row>
    <row r="26" spans="2:190" ht="12.7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row>
    <row r="27" spans="2:190" ht="12.75">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row>
    <row r="28" spans="2:190" ht="12.7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row>
    <row r="29" spans="2:190" ht="12.7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row>
    <row r="30" spans="2:190" ht="12.7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row>
    <row r="31" spans="2:190" ht="12.75">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row>
    <row r="32" spans="2:190" ht="12.7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row>
    <row r="33" spans="2:190" ht="12.75">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row>
    <row r="34" spans="2:190" ht="12.7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row>
    <row r="35" spans="2:190" ht="12.7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row>
    <row r="36" spans="2:190" ht="12.75">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row>
    <row r="37" spans="2:190" ht="12.7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row>
    <row r="38" spans="2:190" ht="12.7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row>
    <row r="39" spans="2:190" ht="12.7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row>
    <row r="40" spans="2:190" ht="12.7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row>
    <row r="41" spans="2:190" ht="12.7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row>
    <row r="42" spans="2:190" ht="12.7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row>
    <row r="43" spans="2:190" ht="12.7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row>
    <row r="44" spans="2:190" ht="12.7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row>
    <row r="45" spans="2:190" ht="12.7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row>
    <row r="46" spans="2:190" ht="12.7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row>
    <row r="47" spans="2:190" ht="12.75">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row>
    <row r="48" spans="2:190" ht="12.7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row>
    <row r="49" spans="2:190" ht="12.7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row>
    <row r="50" spans="2:190" ht="12.7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row>
    <row r="51" spans="2:190" ht="12.7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row>
    <row r="52" spans="2:190" ht="12.7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row>
    <row r="53" spans="2:190" ht="12.7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row>
    <row r="54" spans="2:190" ht="12.7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row>
    <row r="55" spans="2:190" ht="12.7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row>
    <row r="56" spans="2:190" ht="12.7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row>
    <row r="57" spans="2:190" ht="12.75">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row>
    <row r="58" spans="2:190" ht="12.75">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row>
    <row r="59" spans="2:190" ht="12.7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c r="BR59" s="116"/>
      <c r="BS59" s="116"/>
      <c r="BT59" s="116"/>
      <c r="BU59" s="116"/>
      <c r="BV59" s="116"/>
      <c r="BW59" s="116"/>
      <c r="BX59" s="116"/>
      <c r="BY59" s="116"/>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row>
    <row r="60" spans="2:190" ht="12.7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c r="BR60" s="116"/>
      <c r="BS60" s="116"/>
      <c r="BT60" s="116"/>
      <c r="BU60" s="116"/>
      <c r="BV60" s="116"/>
      <c r="BW60" s="116"/>
      <c r="BX60" s="116"/>
      <c r="BY60" s="116"/>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row>
    <row r="61" spans="2:190" ht="12.7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row>
    <row r="62" spans="2:190" ht="12.7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row>
    <row r="63" spans="2:190" ht="12.75">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row>
    <row r="64" spans="2:190" ht="12.75">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row>
    <row r="65" spans="2:190" ht="12.75">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row>
    <row r="66" spans="2:190" ht="12.75">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6"/>
      <c r="BY66" s="116"/>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row>
    <row r="67" spans="2:190" ht="12.75">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c r="CF67" s="116"/>
      <c r="CG67" s="116"/>
      <c r="CH67" s="116"/>
      <c r="CI67" s="116"/>
      <c r="CJ67" s="116"/>
      <c r="CK67" s="116"/>
      <c r="CL67" s="116"/>
      <c r="CM67" s="116"/>
      <c r="CN67" s="116"/>
      <c r="CO67" s="116"/>
      <c r="CP67" s="116"/>
      <c r="CQ67" s="116"/>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6"/>
      <c r="FD67" s="116"/>
      <c r="FE67" s="116"/>
      <c r="FF67" s="116"/>
      <c r="FG67" s="116"/>
      <c r="FH67" s="116"/>
      <c r="FI67" s="116"/>
      <c r="FJ67" s="116"/>
      <c r="FK67" s="116"/>
      <c r="FL67" s="116"/>
      <c r="FM67" s="116"/>
      <c r="FN67" s="116"/>
      <c r="FO67" s="116"/>
      <c r="FP67" s="116"/>
      <c r="FQ67" s="116"/>
      <c r="FR67" s="116"/>
      <c r="FS67" s="116"/>
      <c r="FT67" s="116"/>
      <c r="FU67" s="116"/>
      <c r="FV67" s="116"/>
      <c r="FW67" s="116"/>
      <c r="FX67" s="116"/>
      <c r="FY67" s="116"/>
      <c r="FZ67" s="116"/>
      <c r="GA67" s="116"/>
      <c r="GB67" s="116"/>
      <c r="GC67" s="116"/>
      <c r="GD67" s="116"/>
      <c r="GE67" s="116"/>
      <c r="GF67" s="116"/>
      <c r="GG67" s="116"/>
      <c r="GH67" s="116"/>
    </row>
    <row r="68" spans="2:190" ht="12.75">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6"/>
      <c r="BY68" s="116"/>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6"/>
      <c r="FD68" s="116"/>
      <c r="FE68" s="116"/>
      <c r="FF68" s="116"/>
      <c r="FG68" s="116"/>
      <c r="FH68" s="116"/>
      <c r="FI68" s="116"/>
      <c r="FJ68" s="116"/>
      <c r="FK68" s="116"/>
      <c r="FL68" s="116"/>
      <c r="FM68" s="116"/>
      <c r="FN68" s="116"/>
      <c r="FO68" s="116"/>
      <c r="FP68" s="116"/>
      <c r="FQ68" s="116"/>
      <c r="FR68" s="116"/>
      <c r="FS68" s="116"/>
      <c r="FT68" s="116"/>
      <c r="FU68" s="116"/>
      <c r="FV68" s="116"/>
      <c r="FW68" s="116"/>
      <c r="FX68" s="116"/>
      <c r="FY68" s="116"/>
      <c r="FZ68" s="116"/>
      <c r="GA68" s="116"/>
      <c r="GB68" s="116"/>
      <c r="GC68" s="116"/>
      <c r="GD68" s="116"/>
      <c r="GE68" s="116"/>
      <c r="GF68" s="116"/>
      <c r="GG68" s="116"/>
      <c r="GH68" s="116"/>
    </row>
    <row r="69" spans="2:190" ht="12.75">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6"/>
      <c r="FD69" s="116"/>
      <c r="FE69" s="116"/>
      <c r="FF69" s="116"/>
      <c r="FG69" s="116"/>
      <c r="FH69" s="116"/>
      <c r="FI69" s="116"/>
      <c r="FJ69" s="116"/>
      <c r="FK69" s="116"/>
      <c r="FL69" s="116"/>
      <c r="FM69" s="116"/>
      <c r="FN69" s="116"/>
      <c r="FO69" s="116"/>
      <c r="FP69" s="116"/>
      <c r="FQ69" s="116"/>
      <c r="FR69" s="116"/>
      <c r="FS69" s="116"/>
      <c r="FT69" s="116"/>
      <c r="FU69" s="116"/>
      <c r="FV69" s="116"/>
      <c r="FW69" s="116"/>
      <c r="FX69" s="116"/>
      <c r="FY69" s="116"/>
      <c r="FZ69" s="116"/>
      <c r="GA69" s="116"/>
      <c r="GB69" s="116"/>
      <c r="GC69" s="116"/>
      <c r="GD69" s="116"/>
      <c r="GE69" s="116"/>
      <c r="GF69" s="116"/>
      <c r="GG69" s="116"/>
      <c r="GH69" s="116"/>
    </row>
    <row r="70" spans="2:190" ht="12.7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6"/>
      <c r="CC70" s="116"/>
      <c r="CD70" s="116"/>
      <c r="CE70" s="116"/>
      <c r="CF70" s="116"/>
      <c r="CG70" s="116"/>
      <c r="CH70" s="116"/>
      <c r="CI70" s="116"/>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6"/>
      <c r="FD70" s="116"/>
      <c r="FE70" s="116"/>
      <c r="FF70" s="116"/>
      <c r="FG70" s="116"/>
      <c r="FH70" s="116"/>
      <c r="FI70" s="116"/>
      <c r="FJ70" s="116"/>
      <c r="FK70" s="116"/>
      <c r="FL70" s="116"/>
      <c r="FM70" s="116"/>
      <c r="FN70" s="116"/>
      <c r="FO70" s="116"/>
      <c r="FP70" s="116"/>
      <c r="FQ70" s="116"/>
      <c r="FR70" s="116"/>
      <c r="FS70" s="116"/>
      <c r="FT70" s="116"/>
      <c r="FU70" s="116"/>
      <c r="FV70" s="116"/>
      <c r="FW70" s="116"/>
      <c r="FX70" s="116"/>
      <c r="FY70" s="116"/>
      <c r="FZ70" s="116"/>
      <c r="GA70" s="116"/>
      <c r="GB70" s="116"/>
      <c r="GC70" s="116"/>
      <c r="GD70" s="116"/>
      <c r="GE70" s="116"/>
      <c r="GF70" s="116"/>
      <c r="GG70" s="116"/>
      <c r="GH70" s="116"/>
    </row>
    <row r="71" spans="2:190" ht="12.7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c r="BM71" s="116"/>
      <c r="BN71" s="116"/>
      <c r="BO71" s="116"/>
      <c r="BP71" s="116"/>
      <c r="BQ71" s="116"/>
      <c r="BR71" s="116"/>
      <c r="BS71" s="116"/>
      <c r="BT71" s="116"/>
      <c r="BU71" s="116"/>
      <c r="BV71" s="116"/>
      <c r="BW71" s="116"/>
      <c r="BX71" s="116"/>
      <c r="BY71" s="116"/>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6"/>
      <c r="FD71" s="116"/>
      <c r="FE71" s="116"/>
      <c r="FF71" s="116"/>
      <c r="FG71" s="116"/>
      <c r="FH71" s="116"/>
      <c r="FI71" s="116"/>
      <c r="FJ71" s="116"/>
      <c r="FK71" s="116"/>
      <c r="FL71" s="116"/>
      <c r="FM71" s="116"/>
      <c r="FN71" s="116"/>
      <c r="FO71" s="116"/>
      <c r="FP71" s="116"/>
      <c r="FQ71" s="116"/>
      <c r="FR71" s="116"/>
      <c r="FS71" s="116"/>
      <c r="FT71" s="116"/>
      <c r="FU71" s="116"/>
      <c r="FV71" s="116"/>
      <c r="FW71" s="116"/>
      <c r="FX71" s="116"/>
      <c r="FY71" s="116"/>
      <c r="FZ71" s="116"/>
      <c r="GA71" s="116"/>
      <c r="GB71" s="116"/>
      <c r="GC71" s="116"/>
      <c r="GD71" s="116"/>
      <c r="GE71" s="116"/>
      <c r="GF71" s="116"/>
      <c r="GG71" s="116"/>
      <c r="GH71" s="116"/>
    </row>
    <row r="72" spans="2:190" ht="12.7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row>
    <row r="73" spans="2:190" ht="12.7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row>
    <row r="74" spans="2:190" ht="12.75">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c r="CN74" s="116"/>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row>
    <row r="75" spans="2:190" ht="12.7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c r="CN75" s="116"/>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6"/>
      <c r="FD75" s="116"/>
      <c r="FE75" s="116"/>
      <c r="FF75" s="116"/>
      <c r="FG75" s="116"/>
      <c r="FH75" s="116"/>
      <c r="FI75" s="116"/>
      <c r="FJ75" s="116"/>
      <c r="FK75" s="116"/>
      <c r="FL75" s="116"/>
      <c r="FM75" s="116"/>
      <c r="FN75" s="116"/>
      <c r="FO75" s="116"/>
      <c r="FP75" s="116"/>
      <c r="FQ75" s="116"/>
      <c r="FR75" s="116"/>
      <c r="FS75" s="116"/>
      <c r="FT75" s="116"/>
      <c r="FU75" s="116"/>
      <c r="FV75" s="116"/>
      <c r="FW75" s="116"/>
      <c r="FX75" s="116"/>
      <c r="FY75" s="116"/>
      <c r="FZ75" s="116"/>
      <c r="GA75" s="116"/>
      <c r="GB75" s="116"/>
      <c r="GC75" s="116"/>
      <c r="GD75" s="116"/>
      <c r="GE75" s="116"/>
      <c r="GF75" s="116"/>
      <c r="GG75" s="116"/>
      <c r="GH75" s="116"/>
    </row>
    <row r="76" spans="2:190" ht="12.7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6"/>
      <c r="BY76" s="116"/>
      <c r="BZ76" s="116"/>
      <c r="CA76" s="116"/>
      <c r="CB76" s="116"/>
      <c r="CC76" s="116"/>
      <c r="CD76" s="116"/>
      <c r="CE76" s="116"/>
      <c r="CF76" s="116"/>
      <c r="CG76" s="116"/>
      <c r="CH76" s="116"/>
      <c r="CI76" s="116"/>
      <c r="CJ76" s="116"/>
      <c r="CK76" s="116"/>
      <c r="CL76" s="116"/>
      <c r="CM76" s="116"/>
      <c r="CN76" s="116"/>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row>
    <row r="77" spans="2:190" ht="12.7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6"/>
      <c r="BR77" s="116"/>
      <c r="BS77" s="116"/>
      <c r="BT77" s="116"/>
      <c r="BU77" s="116"/>
      <c r="BV77" s="116"/>
      <c r="BW77" s="116"/>
      <c r="BX77" s="116"/>
      <c r="BY77" s="116"/>
      <c r="BZ77" s="116"/>
      <c r="CA77" s="116"/>
      <c r="CB77" s="116"/>
      <c r="CC77" s="116"/>
      <c r="CD77" s="116"/>
      <c r="CE77" s="116"/>
      <c r="CF77" s="116"/>
      <c r="CG77" s="116"/>
      <c r="CH77" s="116"/>
      <c r="CI77" s="116"/>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row>
    <row r="78" spans="2:190" ht="12.7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6"/>
      <c r="BY78" s="116"/>
      <c r="BZ78" s="116"/>
      <c r="CA78" s="116"/>
      <c r="CB78" s="116"/>
      <c r="CC78" s="116"/>
      <c r="CD78" s="116"/>
      <c r="CE78" s="116"/>
      <c r="CF78" s="116"/>
      <c r="CG78" s="116"/>
      <c r="CH78" s="116"/>
      <c r="CI78" s="116"/>
      <c r="CJ78" s="116"/>
      <c r="CK78" s="116"/>
      <c r="CL78" s="116"/>
      <c r="CM78" s="116"/>
      <c r="CN78" s="116"/>
      <c r="CO78" s="116"/>
      <c r="CP78" s="116"/>
      <c r="CQ78" s="116"/>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6"/>
      <c r="FD78" s="116"/>
      <c r="FE78" s="116"/>
      <c r="FF78" s="116"/>
      <c r="FG78" s="116"/>
      <c r="FH78" s="116"/>
      <c r="FI78" s="116"/>
      <c r="FJ78" s="116"/>
      <c r="FK78" s="116"/>
      <c r="FL78" s="116"/>
      <c r="FM78" s="116"/>
      <c r="FN78" s="116"/>
      <c r="FO78" s="116"/>
      <c r="FP78" s="116"/>
      <c r="FQ78" s="116"/>
      <c r="FR78" s="116"/>
      <c r="FS78" s="116"/>
      <c r="FT78" s="116"/>
      <c r="FU78" s="116"/>
      <c r="FV78" s="116"/>
      <c r="FW78" s="116"/>
      <c r="FX78" s="116"/>
      <c r="FY78" s="116"/>
      <c r="FZ78" s="116"/>
      <c r="GA78" s="116"/>
      <c r="GB78" s="116"/>
      <c r="GC78" s="116"/>
      <c r="GD78" s="116"/>
      <c r="GE78" s="116"/>
      <c r="GF78" s="116"/>
      <c r="GG78" s="116"/>
      <c r="GH78" s="116"/>
    </row>
    <row r="79" spans="2:190" ht="12.75">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6"/>
      <c r="CC79" s="116"/>
      <c r="CD79" s="116"/>
      <c r="CE79" s="116"/>
      <c r="CF79" s="116"/>
      <c r="CG79" s="116"/>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6"/>
      <c r="FZ79" s="116"/>
      <c r="GA79" s="116"/>
      <c r="GB79" s="116"/>
      <c r="GC79" s="116"/>
      <c r="GD79" s="116"/>
      <c r="GE79" s="116"/>
      <c r="GF79" s="116"/>
      <c r="GG79" s="116"/>
      <c r="GH79" s="116"/>
    </row>
    <row r="80" spans="2:190" ht="12.75">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6"/>
      <c r="FD80" s="116"/>
      <c r="FE80" s="116"/>
      <c r="FF80" s="116"/>
      <c r="FG80" s="116"/>
      <c r="FH80" s="116"/>
      <c r="FI80" s="116"/>
      <c r="FJ80" s="116"/>
      <c r="FK80" s="116"/>
      <c r="FL80" s="116"/>
      <c r="FM80" s="116"/>
      <c r="FN80" s="116"/>
      <c r="FO80" s="116"/>
      <c r="FP80" s="116"/>
      <c r="FQ80" s="116"/>
      <c r="FR80" s="116"/>
      <c r="FS80" s="116"/>
      <c r="FT80" s="116"/>
      <c r="FU80" s="116"/>
      <c r="FV80" s="116"/>
      <c r="FW80" s="116"/>
      <c r="FX80" s="116"/>
      <c r="FY80" s="116"/>
      <c r="FZ80" s="116"/>
      <c r="GA80" s="116"/>
      <c r="GB80" s="116"/>
      <c r="GC80" s="116"/>
      <c r="GD80" s="116"/>
      <c r="GE80" s="116"/>
      <c r="GF80" s="116"/>
      <c r="GG80" s="116"/>
      <c r="GH80" s="116"/>
    </row>
    <row r="81" spans="2:190" ht="12.75">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c r="BM81" s="116"/>
      <c r="BN81" s="116"/>
      <c r="BO81" s="116"/>
      <c r="BP81" s="116"/>
      <c r="BQ81" s="116"/>
      <c r="BR81" s="116"/>
      <c r="BS81" s="116"/>
      <c r="BT81" s="116"/>
      <c r="BU81" s="116"/>
      <c r="BV81" s="116"/>
      <c r="BW81" s="116"/>
      <c r="BX81" s="116"/>
      <c r="BY81" s="116"/>
      <c r="BZ81" s="116"/>
      <c r="CA81" s="116"/>
      <c r="CB81" s="116"/>
      <c r="CC81" s="116"/>
      <c r="CD81" s="116"/>
      <c r="CE81" s="116"/>
      <c r="CF81" s="116"/>
      <c r="CG81" s="116"/>
      <c r="CH81" s="116"/>
      <c r="CI81" s="116"/>
      <c r="CJ81" s="116"/>
      <c r="CK81" s="116"/>
      <c r="CL81" s="116"/>
      <c r="CM81" s="116"/>
      <c r="CN81" s="116"/>
      <c r="CO81" s="116"/>
      <c r="CP81" s="116"/>
      <c r="CQ81" s="116"/>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6"/>
      <c r="FD81" s="116"/>
      <c r="FE81" s="116"/>
      <c r="FF81" s="116"/>
      <c r="FG81" s="116"/>
      <c r="FH81" s="116"/>
      <c r="FI81" s="116"/>
      <c r="FJ81" s="116"/>
      <c r="FK81" s="116"/>
      <c r="FL81" s="116"/>
      <c r="FM81" s="116"/>
      <c r="FN81" s="116"/>
      <c r="FO81" s="116"/>
      <c r="FP81" s="116"/>
      <c r="FQ81" s="116"/>
      <c r="FR81" s="116"/>
      <c r="FS81" s="116"/>
      <c r="FT81" s="116"/>
      <c r="FU81" s="116"/>
      <c r="FV81" s="116"/>
      <c r="FW81" s="116"/>
      <c r="FX81" s="116"/>
      <c r="FY81" s="116"/>
      <c r="FZ81" s="116"/>
      <c r="GA81" s="116"/>
      <c r="GB81" s="116"/>
      <c r="GC81" s="116"/>
      <c r="GD81" s="116"/>
      <c r="GE81" s="116"/>
      <c r="GF81" s="116"/>
      <c r="GG81" s="116"/>
      <c r="GH81" s="116"/>
    </row>
    <row r="82" spans="2:190" ht="12.7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6"/>
      <c r="FD82" s="116"/>
      <c r="FE82" s="116"/>
      <c r="FF82" s="116"/>
      <c r="FG82" s="116"/>
      <c r="FH82" s="116"/>
      <c r="FI82" s="116"/>
      <c r="FJ82" s="116"/>
      <c r="FK82" s="116"/>
      <c r="FL82" s="116"/>
      <c r="FM82" s="116"/>
      <c r="FN82" s="116"/>
      <c r="FO82" s="116"/>
      <c r="FP82" s="116"/>
      <c r="FQ82" s="116"/>
      <c r="FR82" s="116"/>
      <c r="FS82" s="116"/>
      <c r="FT82" s="116"/>
      <c r="FU82" s="116"/>
      <c r="FV82" s="116"/>
      <c r="FW82" s="116"/>
      <c r="FX82" s="116"/>
      <c r="FY82" s="116"/>
      <c r="FZ82" s="116"/>
      <c r="GA82" s="116"/>
      <c r="GB82" s="116"/>
      <c r="GC82" s="116"/>
      <c r="GD82" s="116"/>
      <c r="GE82" s="116"/>
      <c r="GF82" s="116"/>
      <c r="GG82" s="116"/>
      <c r="GH82" s="116"/>
    </row>
    <row r="83" spans="2:190" ht="12.7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16"/>
      <c r="BI83" s="116"/>
      <c r="BJ83" s="116"/>
      <c r="BK83" s="116"/>
      <c r="BL83" s="116"/>
      <c r="BM83" s="116"/>
      <c r="BN83" s="116"/>
      <c r="BO83" s="116"/>
      <c r="BP83" s="116"/>
      <c r="BQ83" s="116"/>
      <c r="BR83" s="116"/>
      <c r="BS83" s="116"/>
      <c r="BT83" s="116"/>
      <c r="BU83" s="116"/>
      <c r="BV83" s="116"/>
      <c r="BW83" s="116"/>
      <c r="BX83" s="116"/>
      <c r="BY83" s="116"/>
      <c r="BZ83" s="116"/>
      <c r="CA83" s="116"/>
      <c r="CB83" s="116"/>
      <c r="CC83" s="116"/>
      <c r="CD83" s="116"/>
      <c r="CE83" s="116"/>
      <c r="CF83" s="116"/>
      <c r="CG83" s="116"/>
      <c r="CH83" s="116"/>
      <c r="CI83" s="116"/>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6"/>
      <c r="FD83" s="116"/>
      <c r="FE83" s="116"/>
      <c r="FF83" s="116"/>
      <c r="FG83" s="116"/>
      <c r="FH83" s="116"/>
      <c r="FI83" s="116"/>
      <c r="FJ83" s="116"/>
      <c r="FK83" s="116"/>
      <c r="FL83" s="116"/>
      <c r="FM83" s="116"/>
      <c r="FN83" s="116"/>
      <c r="FO83" s="116"/>
      <c r="FP83" s="116"/>
      <c r="FQ83" s="116"/>
      <c r="FR83" s="116"/>
      <c r="FS83" s="116"/>
      <c r="FT83" s="116"/>
      <c r="FU83" s="116"/>
      <c r="FV83" s="116"/>
      <c r="FW83" s="116"/>
      <c r="FX83" s="116"/>
      <c r="FY83" s="116"/>
      <c r="FZ83" s="116"/>
      <c r="GA83" s="116"/>
      <c r="GB83" s="116"/>
      <c r="GC83" s="116"/>
      <c r="GD83" s="116"/>
      <c r="GE83" s="116"/>
      <c r="GF83" s="116"/>
      <c r="GG83" s="116"/>
      <c r="GH83" s="116"/>
    </row>
    <row r="84" spans="2:190" ht="12.7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6"/>
      <c r="FD84" s="116"/>
      <c r="FE84" s="116"/>
      <c r="FF84" s="116"/>
      <c r="FG84" s="116"/>
      <c r="FH84" s="116"/>
      <c r="FI84" s="116"/>
      <c r="FJ84" s="116"/>
      <c r="FK84" s="116"/>
      <c r="FL84" s="116"/>
      <c r="FM84" s="116"/>
      <c r="FN84" s="116"/>
      <c r="FO84" s="116"/>
      <c r="FP84" s="116"/>
      <c r="FQ84" s="116"/>
      <c r="FR84" s="116"/>
      <c r="FS84" s="116"/>
      <c r="FT84" s="116"/>
      <c r="FU84" s="116"/>
      <c r="FV84" s="116"/>
      <c r="FW84" s="116"/>
      <c r="FX84" s="116"/>
      <c r="FY84" s="116"/>
      <c r="FZ84" s="116"/>
      <c r="GA84" s="116"/>
      <c r="GB84" s="116"/>
      <c r="GC84" s="116"/>
      <c r="GD84" s="116"/>
      <c r="GE84" s="116"/>
      <c r="GF84" s="116"/>
      <c r="GG84" s="116"/>
      <c r="GH84" s="116"/>
    </row>
    <row r="85" spans="2:190" ht="12.7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6"/>
      <c r="BY85" s="116"/>
      <c r="BZ85" s="116"/>
      <c r="CA85" s="116"/>
      <c r="CB85" s="116"/>
      <c r="CC85" s="116"/>
      <c r="CD85" s="116"/>
      <c r="CE85" s="116"/>
      <c r="CF85" s="116"/>
      <c r="CG85" s="116"/>
      <c r="CH85" s="116"/>
      <c r="CI85" s="116"/>
      <c r="CJ85" s="116"/>
      <c r="CK85" s="116"/>
      <c r="CL85" s="116"/>
      <c r="CM85" s="116"/>
      <c r="CN85" s="116"/>
      <c r="CO85" s="116"/>
      <c r="CP85" s="116"/>
      <c r="CQ85" s="116"/>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6"/>
      <c r="FD85" s="116"/>
      <c r="FE85" s="116"/>
      <c r="FF85" s="116"/>
      <c r="FG85" s="116"/>
      <c r="FH85" s="116"/>
      <c r="FI85" s="116"/>
      <c r="FJ85" s="116"/>
      <c r="FK85" s="116"/>
      <c r="FL85" s="116"/>
      <c r="FM85" s="116"/>
      <c r="FN85" s="116"/>
      <c r="FO85" s="116"/>
      <c r="FP85" s="116"/>
      <c r="FQ85" s="116"/>
      <c r="FR85" s="116"/>
      <c r="FS85" s="116"/>
      <c r="FT85" s="116"/>
      <c r="FU85" s="116"/>
      <c r="FV85" s="116"/>
      <c r="FW85" s="116"/>
      <c r="FX85" s="116"/>
      <c r="FY85" s="116"/>
      <c r="FZ85" s="116"/>
      <c r="GA85" s="116"/>
      <c r="GB85" s="116"/>
      <c r="GC85" s="116"/>
      <c r="GD85" s="116"/>
      <c r="GE85" s="116"/>
      <c r="GF85" s="116"/>
      <c r="GG85" s="116"/>
      <c r="GH85" s="116"/>
    </row>
    <row r="86" spans="2:190" ht="12.75">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6"/>
      <c r="BY86" s="116"/>
      <c r="BZ86" s="116"/>
      <c r="CA86" s="116"/>
      <c r="CB86" s="116"/>
      <c r="CC86" s="116"/>
      <c r="CD86" s="116"/>
      <c r="CE86" s="116"/>
      <c r="CF86" s="116"/>
      <c r="CG86" s="116"/>
      <c r="CH86" s="116"/>
      <c r="CI86" s="116"/>
      <c r="CJ86" s="116"/>
      <c r="CK86" s="116"/>
      <c r="CL86" s="116"/>
      <c r="CM86" s="116"/>
      <c r="CN86" s="116"/>
      <c r="CO86" s="116"/>
      <c r="CP86" s="116"/>
      <c r="CQ86" s="116"/>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6"/>
      <c r="FD86" s="116"/>
      <c r="FE86" s="116"/>
      <c r="FF86" s="116"/>
      <c r="FG86" s="116"/>
      <c r="FH86" s="116"/>
      <c r="FI86" s="116"/>
      <c r="FJ86" s="116"/>
      <c r="FK86" s="116"/>
      <c r="FL86" s="116"/>
      <c r="FM86" s="116"/>
      <c r="FN86" s="116"/>
      <c r="FO86" s="116"/>
      <c r="FP86" s="116"/>
      <c r="FQ86" s="116"/>
      <c r="FR86" s="116"/>
      <c r="FS86" s="116"/>
      <c r="FT86" s="116"/>
      <c r="FU86" s="116"/>
      <c r="FV86" s="116"/>
      <c r="FW86" s="116"/>
      <c r="FX86" s="116"/>
      <c r="FY86" s="116"/>
      <c r="FZ86" s="116"/>
      <c r="GA86" s="116"/>
      <c r="GB86" s="116"/>
      <c r="GC86" s="116"/>
      <c r="GD86" s="116"/>
      <c r="GE86" s="116"/>
      <c r="GF86" s="116"/>
      <c r="GG86" s="116"/>
      <c r="GH86" s="116"/>
    </row>
    <row r="87" spans="2:190" ht="12.75">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6"/>
      <c r="FD87" s="116"/>
      <c r="FE87" s="116"/>
      <c r="FF87" s="116"/>
      <c r="FG87" s="116"/>
      <c r="FH87" s="116"/>
      <c r="FI87" s="116"/>
      <c r="FJ87" s="116"/>
      <c r="FK87" s="116"/>
      <c r="FL87" s="116"/>
      <c r="FM87" s="116"/>
      <c r="FN87" s="116"/>
      <c r="FO87" s="116"/>
      <c r="FP87" s="116"/>
      <c r="FQ87" s="116"/>
      <c r="FR87" s="116"/>
      <c r="FS87" s="116"/>
      <c r="FT87" s="116"/>
      <c r="FU87" s="116"/>
      <c r="FV87" s="116"/>
      <c r="FW87" s="116"/>
      <c r="FX87" s="116"/>
      <c r="FY87" s="116"/>
      <c r="FZ87" s="116"/>
      <c r="GA87" s="116"/>
      <c r="GB87" s="116"/>
      <c r="GC87" s="116"/>
      <c r="GD87" s="116"/>
      <c r="GE87" s="116"/>
      <c r="GF87" s="116"/>
      <c r="GG87" s="116"/>
      <c r="GH87" s="116"/>
    </row>
    <row r="88" spans="2:190" ht="12.7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6"/>
      <c r="FD88" s="116"/>
      <c r="FE88" s="116"/>
      <c r="FF88" s="116"/>
      <c r="FG88" s="116"/>
      <c r="FH88" s="116"/>
      <c r="FI88" s="116"/>
      <c r="FJ88" s="116"/>
      <c r="FK88" s="116"/>
      <c r="FL88" s="116"/>
      <c r="FM88" s="116"/>
      <c r="FN88" s="116"/>
      <c r="FO88" s="116"/>
      <c r="FP88" s="116"/>
      <c r="FQ88" s="116"/>
      <c r="FR88" s="116"/>
      <c r="FS88" s="116"/>
      <c r="FT88" s="116"/>
      <c r="FU88" s="116"/>
      <c r="FV88" s="116"/>
      <c r="FW88" s="116"/>
      <c r="FX88" s="116"/>
      <c r="FY88" s="116"/>
      <c r="FZ88" s="116"/>
      <c r="GA88" s="116"/>
      <c r="GB88" s="116"/>
      <c r="GC88" s="116"/>
      <c r="GD88" s="116"/>
      <c r="GE88" s="116"/>
      <c r="GF88" s="116"/>
      <c r="GG88" s="116"/>
      <c r="GH88" s="116"/>
    </row>
    <row r="89" spans="2:190" ht="12.7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row>
    <row r="90" spans="2:190" ht="12.7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row>
    <row r="91" spans="2:190" ht="12.7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6"/>
      <c r="BZ91" s="116"/>
      <c r="CA91" s="116"/>
      <c r="CB91" s="116"/>
      <c r="CC91" s="116"/>
      <c r="CD91" s="116"/>
      <c r="CE91" s="116"/>
      <c r="CF91" s="116"/>
      <c r="CG91" s="116"/>
      <c r="CH91" s="116"/>
      <c r="CI91" s="116"/>
      <c r="CJ91" s="116"/>
      <c r="CK91" s="116"/>
      <c r="CL91" s="116"/>
      <c r="CM91" s="116"/>
      <c r="CN91" s="116"/>
      <c r="CO91" s="116"/>
      <c r="CP91" s="116"/>
      <c r="CQ91" s="116"/>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row>
    <row r="92" spans="2:190" ht="12.7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6"/>
      <c r="BZ92" s="116"/>
      <c r="CA92" s="116"/>
      <c r="CB92" s="116"/>
      <c r="CC92" s="116"/>
      <c r="CD92" s="116"/>
      <c r="CE92" s="116"/>
      <c r="CF92" s="116"/>
      <c r="CG92" s="116"/>
      <c r="CH92" s="116"/>
      <c r="CI92" s="116"/>
      <c r="CJ92" s="116"/>
      <c r="CK92" s="116"/>
      <c r="CL92" s="116"/>
      <c r="CM92" s="116"/>
      <c r="CN92" s="116"/>
      <c r="CO92" s="116"/>
      <c r="CP92" s="116"/>
      <c r="CQ92" s="116"/>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6"/>
      <c r="FD92" s="116"/>
      <c r="FE92" s="116"/>
      <c r="FF92" s="116"/>
      <c r="FG92" s="116"/>
      <c r="FH92" s="116"/>
      <c r="FI92" s="116"/>
      <c r="FJ92" s="116"/>
      <c r="FK92" s="116"/>
      <c r="FL92" s="116"/>
      <c r="FM92" s="116"/>
      <c r="FN92" s="116"/>
      <c r="FO92" s="116"/>
      <c r="FP92" s="116"/>
      <c r="FQ92" s="116"/>
      <c r="FR92" s="116"/>
      <c r="FS92" s="116"/>
      <c r="FT92" s="116"/>
      <c r="FU92" s="116"/>
      <c r="FV92" s="116"/>
      <c r="FW92" s="116"/>
      <c r="FX92" s="116"/>
      <c r="FY92" s="116"/>
      <c r="FZ92" s="116"/>
      <c r="GA92" s="116"/>
      <c r="GB92" s="116"/>
      <c r="GC92" s="116"/>
      <c r="GD92" s="116"/>
      <c r="GE92" s="116"/>
      <c r="GF92" s="116"/>
      <c r="GG92" s="116"/>
      <c r="GH92" s="116"/>
    </row>
    <row r="93" spans="2:190" ht="12.7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6"/>
      <c r="BZ93" s="116"/>
      <c r="CA93" s="116"/>
      <c r="CB93" s="116"/>
      <c r="CC93" s="116"/>
      <c r="CD93" s="116"/>
      <c r="CE93" s="116"/>
      <c r="CF93" s="116"/>
      <c r="CG93" s="116"/>
      <c r="CH93" s="116"/>
      <c r="CI93" s="116"/>
      <c r="CJ93" s="116"/>
      <c r="CK93" s="116"/>
      <c r="CL93" s="116"/>
      <c r="CM93" s="116"/>
      <c r="CN93" s="116"/>
      <c r="CO93" s="116"/>
      <c r="CP93" s="116"/>
      <c r="CQ93" s="116"/>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6"/>
      <c r="FD93" s="116"/>
      <c r="FE93" s="116"/>
      <c r="FF93" s="116"/>
      <c r="FG93" s="116"/>
      <c r="FH93" s="116"/>
      <c r="FI93" s="116"/>
      <c r="FJ93" s="116"/>
      <c r="FK93" s="116"/>
      <c r="FL93" s="116"/>
      <c r="FM93" s="116"/>
      <c r="FN93" s="116"/>
      <c r="FO93" s="116"/>
      <c r="FP93" s="116"/>
      <c r="FQ93" s="116"/>
      <c r="FR93" s="116"/>
      <c r="FS93" s="116"/>
      <c r="FT93" s="116"/>
      <c r="FU93" s="116"/>
      <c r="FV93" s="116"/>
      <c r="FW93" s="116"/>
      <c r="FX93" s="116"/>
      <c r="FY93" s="116"/>
      <c r="FZ93" s="116"/>
      <c r="GA93" s="116"/>
      <c r="GB93" s="116"/>
      <c r="GC93" s="116"/>
      <c r="GD93" s="116"/>
      <c r="GE93" s="116"/>
      <c r="GF93" s="116"/>
      <c r="GG93" s="116"/>
      <c r="GH93" s="116"/>
    </row>
    <row r="94" spans="2:190" ht="12.7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6"/>
      <c r="BZ94" s="116"/>
      <c r="CA94" s="116"/>
      <c r="CB94" s="116"/>
      <c r="CC94" s="116"/>
      <c r="CD94" s="116"/>
      <c r="CE94" s="116"/>
      <c r="CF94" s="116"/>
      <c r="CG94" s="116"/>
      <c r="CH94" s="116"/>
      <c r="CI94" s="116"/>
      <c r="CJ94" s="116"/>
      <c r="CK94" s="116"/>
      <c r="CL94" s="116"/>
      <c r="CM94" s="116"/>
      <c r="CN94" s="116"/>
      <c r="CO94" s="116"/>
      <c r="CP94" s="116"/>
      <c r="CQ94" s="116"/>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6"/>
      <c r="FD94" s="116"/>
      <c r="FE94" s="116"/>
      <c r="FF94" s="116"/>
      <c r="FG94" s="116"/>
      <c r="FH94" s="116"/>
      <c r="FI94" s="116"/>
      <c r="FJ94" s="116"/>
      <c r="FK94" s="116"/>
      <c r="FL94" s="116"/>
      <c r="FM94" s="116"/>
      <c r="FN94" s="116"/>
      <c r="FO94" s="116"/>
      <c r="FP94" s="116"/>
      <c r="FQ94" s="116"/>
      <c r="FR94" s="116"/>
      <c r="FS94" s="116"/>
      <c r="FT94" s="116"/>
      <c r="FU94" s="116"/>
      <c r="FV94" s="116"/>
      <c r="FW94" s="116"/>
      <c r="FX94" s="116"/>
      <c r="FY94" s="116"/>
      <c r="FZ94" s="116"/>
      <c r="GA94" s="116"/>
      <c r="GB94" s="116"/>
      <c r="GC94" s="116"/>
      <c r="GD94" s="116"/>
      <c r="GE94" s="116"/>
      <c r="GF94" s="116"/>
      <c r="GG94" s="116"/>
      <c r="GH94" s="116"/>
    </row>
    <row r="95" spans="2:190" ht="12.75">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c r="BQ95" s="116"/>
      <c r="BR95" s="116"/>
      <c r="BS95" s="116"/>
      <c r="BT95" s="116"/>
      <c r="BU95" s="116"/>
      <c r="BV95" s="116"/>
      <c r="BW95" s="116"/>
      <c r="BX95" s="116"/>
      <c r="BY95" s="116"/>
      <c r="BZ95" s="116"/>
      <c r="CA95" s="116"/>
      <c r="CB95" s="116"/>
      <c r="CC95" s="116"/>
      <c r="CD95" s="116"/>
      <c r="CE95" s="116"/>
      <c r="CF95" s="116"/>
      <c r="CG95" s="116"/>
      <c r="CH95" s="116"/>
      <c r="CI95" s="116"/>
      <c r="CJ95" s="116"/>
      <c r="CK95" s="116"/>
      <c r="CL95" s="116"/>
      <c r="CM95" s="116"/>
      <c r="CN95" s="116"/>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6"/>
      <c r="FD95" s="116"/>
      <c r="FE95" s="116"/>
      <c r="FF95" s="116"/>
      <c r="FG95" s="116"/>
      <c r="FH95" s="116"/>
      <c r="FI95" s="116"/>
      <c r="FJ95" s="116"/>
      <c r="FK95" s="116"/>
      <c r="FL95" s="116"/>
      <c r="FM95" s="116"/>
      <c r="FN95" s="116"/>
      <c r="FO95" s="116"/>
      <c r="FP95" s="116"/>
      <c r="FQ95" s="116"/>
      <c r="FR95" s="116"/>
      <c r="FS95" s="116"/>
      <c r="FT95" s="116"/>
      <c r="FU95" s="116"/>
      <c r="FV95" s="116"/>
      <c r="FW95" s="116"/>
      <c r="FX95" s="116"/>
      <c r="FY95" s="116"/>
      <c r="FZ95" s="116"/>
      <c r="GA95" s="116"/>
      <c r="GB95" s="116"/>
      <c r="GC95" s="116"/>
      <c r="GD95" s="116"/>
      <c r="GE95" s="116"/>
      <c r="GF95" s="116"/>
      <c r="GG95" s="116"/>
      <c r="GH95" s="116"/>
    </row>
    <row r="96" spans="2:190" ht="12.7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116"/>
      <c r="CB96" s="116"/>
      <c r="CC96" s="116"/>
      <c r="CD96" s="116"/>
      <c r="CE96" s="116"/>
      <c r="CF96" s="116"/>
      <c r="CG96" s="116"/>
      <c r="CH96" s="116"/>
      <c r="CI96" s="116"/>
      <c r="CJ96" s="116"/>
      <c r="CK96" s="116"/>
      <c r="CL96" s="116"/>
      <c r="CM96" s="116"/>
      <c r="CN96" s="116"/>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6"/>
      <c r="FD96" s="116"/>
      <c r="FE96" s="116"/>
      <c r="FF96" s="116"/>
      <c r="FG96" s="116"/>
      <c r="FH96" s="116"/>
      <c r="FI96" s="116"/>
      <c r="FJ96" s="116"/>
      <c r="FK96" s="116"/>
      <c r="FL96" s="116"/>
      <c r="FM96" s="116"/>
      <c r="FN96" s="116"/>
      <c r="FO96" s="116"/>
      <c r="FP96" s="116"/>
      <c r="FQ96" s="116"/>
      <c r="FR96" s="116"/>
      <c r="FS96" s="116"/>
      <c r="FT96" s="116"/>
      <c r="FU96" s="116"/>
      <c r="FV96" s="116"/>
      <c r="FW96" s="116"/>
      <c r="FX96" s="116"/>
      <c r="FY96" s="116"/>
      <c r="FZ96" s="116"/>
      <c r="GA96" s="116"/>
      <c r="GB96" s="116"/>
      <c r="GC96" s="116"/>
      <c r="GD96" s="116"/>
      <c r="GE96" s="116"/>
      <c r="GF96" s="116"/>
      <c r="GG96" s="116"/>
      <c r="GH96" s="116"/>
    </row>
    <row r="97" spans="2:190" ht="12.7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6"/>
      <c r="FD97" s="116"/>
      <c r="FE97" s="116"/>
      <c r="FF97" s="116"/>
      <c r="FG97" s="116"/>
      <c r="FH97" s="116"/>
      <c r="FI97" s="116"/>
      <c r="FJ97" s="116"/>
      <c r="FK97" s="116"/>
      <c r="FL97" s="116"/>
      <c r="FM97" s="116"/>
      <c r="FN97" s="116"/>
      <c r="FO97" s="116"/>
      <c r="FP97" s="116"/>
      <c r="FQ97" s="116"/>
      <c r="FR97" s="116"/>
      <c r="FS97" s="116"/>
      <c r="FT97" s="116"/>
      <c r="FU97" s="116"/>
      <c r="FV97" s="116"/>
      <c r="FW97" s="116"/>
      <c r="FX97" s="116"/>
      <c r="FY97" s="116"/>
      <c r="FZ97" s="116"/>
      <c r="GA97" s="116"/>
      <c r="GB97" s="116"/>
      <c r="GC97" s="116"/>
      <c r="GD97" s="116"/>
      <c r="GE97" s="116"/>
      <c r="GF97" s="116"/>
      <c r="GG97" s="116"/>
      <c r="GH97" s="116"/>
    </row>
    <row r="98" spans="2:190" ht="12.7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6"/>
      <c r="BZ98" s="116"/>
      <c r="CA98" s="116"/>
      <c r="CB98" s="116"/>
      <c r="CC98" s="116"/>
      <c r="CD98" s="116"/>
      <c r="CE98" s="116"/>
      <c r="CF98" s="116"/>
      <c r="CG98" s="116"/>
      <c r="CH98" s="116"/>
      <c r="CI98" s="116"/>
      <c r="CJ98" s="116"/>
      <c r="CK98" s="116"/>
      <c r="CL98" s="116"/>
      <c r="CM98" s="116"/>
      <c r="CN98" s="116"/>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6"/>
      <c r="FD98" s="116"/>
      <c r="FE98" s="116"/>
      <c r="FF98" s="116"/>
      <c r="FG98" s="116"/>
      <c r="FH98" s="116"/>
      <c r="FI98" s="116"/>
      <c r="FJ98" s="116"/>
      <c r="FK98" s="116"/>
      <c r="FL98" s="116"/>
      <c r="FM98" s="116"/>
      <c r="FN98" s="116"/>
      <c r="FO98" s="116"/>
      <c r="FP98" s="116"/>
      <c r="FQ98" s="116"/>
      <c r="FR98" s="116"/>
      <c r="FS98" s="116"/>
      <c r="FT98" s="116"/>
      <c r="FU98" s="116"/>
      <c r="FV98" s="116"/>
      <c r="FW98" s="116"/>
      <c r="FX98" s="116"/>
      <c r="FY98" s="116"/>
      <c r="FZ98" s="116"/>
      <c r="GA98" s="116"/>
      <c r="GB98" s="116"/>
      <c r="GC98" s="116"/>
      <c r="GD98" s="116"/>
      <c r="GE98" s="116"/>
      <c r="GF98" s="116"/>
      <c r="GG98" s="116"/>
      <c r="GH98" s="116"/>
    </row>
    <row r="99" spans="2:190" ht="12.75">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6"/>
      <c r="BZ99" s="116"/>
      <c r="CA99" s="116"/>
      <c r="CB99" s="116"/>
      <c r="CC99" s="116"/>
      <c r="CD99" s="116"/>
      <c r="CE99" s="116"/>
      <c r="CF99" s="116"/>
      <c r="CG99" s="116"/>
      <c r="CH99" s="116"/>
      <c r="CI99" s="116"/>
      <c r="CJ99" s="116"/>
      <c r="CK99" s="116"/>
      <c r="CL99" s="116"/>
      <c r="CM99" s="116"/>
      <c r="CN99" s="116"/>
      <c r="CO99" s="116"/>
      <c r="CP99" s="116"/>
      <c r="CQ99" s="116"/>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6"/>
      <c r="FD99" s="116"/>
      <c r="FE99" s="116"/>
      <c r="FF99" s="116"/>
      <c r="FG99" s="116"/>
      <c r="FH99" s="116"/>
      <c r="FI99" s="116"/>
      <c r="FJ99" s="116"/>
      <c r="FK99" s="116"/>
      <c r="FL99" s="116"/>
      <c r="FM99" s="116"/>
      <c r="FN99" s="116"/>
      <c r="FO99" s="116"/>
      <c r="FP99" s="116"/>
      <c r="FQ99" s="116"/>
      <c r="FR99" s="116"/>
      <c r="FS99" s="116"/>
      <c r="FT99" s="116"/>
      <c r="FU99" s="116"/>
      <c r="FV99" s="116"/>
      <c r="FW99" s="116"/>
      <c r="FX99" s="116"/>
      <c r="FY99" s="116"/>
      <c r="FZ99" s="116"/>
      <c r="GA99" s="116"/>
      <c r="GB99" s="116"/>
      <c r="GC99" s="116"/>
      <c r="GD99" s="116"/>
      <c r="GE99" s="116"/>
      <c r="GF99" s="116"/>
      <c r="GG99" s="116"/>
      <c r="GH99" s="116"/>
    </row>
    <row r="100" spans="2:190" ht="12.75">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c r="CO100" s="116"/>
      <c r="CP100" s="116"/>
      <c r="CQ100" s="116"/>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6"/>
      <c r="FD100" s="116"/>
      <c r="FE100" s="116"/>
      <c r="FF100" s="116"/>
      <c r="FG100" s="116"/>
      <c r="FH100" s="116"/>
      <c r="FI100" s="116"/>
      <c r="FJ100" s="116"/>
      <c r="FK100" s="116"/>
      <c r="FL100" s="116"/>
      <c r="FM100" s="116"/>
      <c r="FN100" s="116"/>
      <c r="FO100" s="116"/>
      <c r="FP100" s="116"/>
      <c r="FQ100" s="116"/>
      <c r="FR100" s="116"/>
      <c r="FS100" s="116"/>
      <c r="FT100" s="116"/>
      <c r="FU100" s="116"/>
      <c r="FV100" s="116"/>
      <c r="FW100" s="116"/>
      <c r="FX100" s="116"/>
      <c r="FY100" s="116"/>
      <c r="FZ100" s="116"/>
      <c r="GA100" s="116"/>
      <c r="GB100" s="116"/>
      <c r="GC100" s="116"/>
      <c r="GD100" s="116"/>
      <c r="GE100" s="116"/>
      <c r="GF100" s="116"/>
      <c r="GG100" s="116"/>
      <c r="GH100" s="116"/>
    </row>
    <row r="101" spans="2:190" ht="12.75">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6"/>
      <c r="FD101" s="116"/>
      <c r="FE101" s="116"/>
      <c r="FF101" s="116"/>
      <c r="FG101" s="116"/>
      <c r="FH101" s="116"/>
      <c r="FI101" s="116"/>
      <c r="FJ101" s="116"/>
      <c r="FK101" s="116"/>
      <c r="FL101" s="116"/>
      <c r="FM101" s="116"/>
      <c r="FN101" s="116"/>
      <c r="FO101" s="116"/>
      <c r="FP101" s="116"/>
      <c r="FQ101" s="116"/>
      <c r="FR101" s="116"/>
      <c r="FS101" s="116"/>
      <c r="FT101" s="116"/>
      <c r="FU101" s="116"/>
      <c r="FV101" s="116"/>
      <c r="FW101" s="116"/>
      <c r="FX101" s="116"/>
      <c r="FY101" s="116"/>
      <c r="FZ101" s="116"/>
      <c r="GA101" s="116"/>
      <c r="GB101" s="116"/>
      <c r="GC101" s="116"/>
      <c r="GD101" s="116"/>
      <c r="GE101" s="116"/>
      <c r="GF101" s="116"/>
      <c r="GG101" s="116"/>
      <c r="GH101" s="116"/>
    </row>
    <row r="102" spans="2:190" ht="12.7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c r="CO102" s="116"/>
      <c r="CP102" s="116"/>
      <c r="CQ102" s="116"/>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6"/>
      <c r="FD102" s="116"/>
      <c r="FE102" s="116"/>
      <c r="FF102" s="116"/>
      <c r="FG102" s="116"/>
      <c r="FH102" s="116"/>
      <c r="FI102" s="116"/>
      <c r="FJ102" s="116"/>
      <c r="FK102" s="116"/>
      <c r="FL102" s="116"/>
      <c r="FM102" s="116"/>
      <c r="FN102" s="116"/>
      <c r="FO102" s="116"/>
      <c r="FP102" s="116"/>
      <c r="FQ102" s="116"/>
      <c r="FR102" s="116"/>
      <c r="FS102" s="116"/>
      <c r="FT102" s="116"/>
      <c r="FU102" s="116"/>
      <c r="FV102" s="116"/>
      <c r="FW102" s="116"/>
      <c r="FX102" s="116"/>
      <c r="FY102" s="116"/>
      <c r="FZ102" s="116"/>
      <c r="GA102" s="116"/>
      <c r="GB102" s="116"/>
      <c r="GC102" s="116"/>
      <c r="GD102" s="116"/>
      <c r="GE102" s="116"/>
      <c r="GF102" s="116"/>
      <c r="GG102" s="116"/>
      <c r="GH102" s="116"/>
    </row>
    <row r="103" spans="2:190" ht="12.7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c r="CO103" s="116"/>
      <c r="CP103" s="116"/>
      <c r="CQ103" s="116"/>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6"/>
      <c r="FD103" s="116"/>
      <c r="FE103" s="116"/>
      <c r="FF103" s="116"/>
      <c r="FG103" s="116"/>
      <c r="FH103" s="116"/>
      <c r="FI103" s="116"/>
      <c r="FJ103" s="116"/>
      <c r="FK103" s="116"/>
      <c r="FL103" s="116"/>
      <c r="FM103" s="116"/>
      <c r="FN103" s="116"/>
      <c r="FO103" s="116"/>
      <c r="FP103" s="116"/>
      <c r="FQ103" s="116"/>
      <c r="FR103" s="116"/>
      <c r="FS103" s="116"/>
      <c r="FT103" s="116"/>
      <c r="FU103" s="116"/>
      <c r="FV103" s="116"/>
      <c r="FW103" s="116"/>
      <c r="FX103" s="116"/>
      <c r="FY103" s="116"/>
      <c r="FZ103" s="116"/>
      <c r="GA103" s="116"/>
      <c r="GB103" s="116"/>
      <c r="GC103" s="116"/>
      <c r="GD103" s="116"/>
      <c r="GE103" s="116"/>
      <c r="GF103" s="116"/>
      <c r="GG103" s="116"/>
      <c r="GH103" s="116"/>
    </row>
    <row r="104" spans="2:190" ht="12.75">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116"/>
      <c r="CC104" s="116"/>
      <c r="CD104" s="116"/>
      <c r="CE104" s="116"/>
      <c r="CF104" s="116"/>
      <c r="CG104" s="116"/>
      <c r="CH104" s="116"/>
      <c r="CI104" s="116"/>
      <c r="CJ104" s="116"/>
      <c r="CK104" s="116"/>
      <c r="CL104" s="116"/>
      <c r="CM104" s="116"/>
      <c r="CN104" s="116"/>
      <c r="CO104" s="116"/>
      <c r="CP104" s="116"/>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6"/>
      <c r="FD104" s="116"/>
      <c r="FE104" s="116"/>
      <c r="FF104" s="116"/>
      <c r="FG104" s="116"/>
      <c r="FH104" s="116"/>
      <c r="FI104" s="116"/>
      <c r="FJ104" s="116"/>
      <c r="FK104" s="116"/>
      <c r="FL104" s="116"/>
      <c r="FM104" s="116"/>
      <c r="FN104" s="116"/>
      <c r="FO104" s="116"/>
      <c r="FP104" s="116"/>
      <c r="FQ104" s="116"/>
      <c r="FR104" s="116"/>
      <c r="FS104" s="116"/>
      <c r="FT104" s="116"/>
      <c r="FU104" s="116"/>
      <c r="FV104" s="116"/>
      <c r="FW104" s="116"/>
      <c r="FX104" s="116"/>
      <c r="FY104" s="116"/>
      <c r="FZ104" s="116"/>
      <c r="GA104" s="116"/>
      <c r="GB104" s="116"/>
      <c r="GC104" s="116"/>
      <c r="GD104" s="116"/>
      <c r="GE104" s="116"/>
      <c r="GF104" s="116"/>
      <c r="GG104" s="116"/>
      <c r="GH104" s="116"/>
    </row>
    <row r="105" spans="2:190" ht="12.75">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row>
    <row r="106" spans="2:190" ht="12.75">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row>
    <row r="107" spans="2:190" ht="12.75">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row>
    <row r="108" spans="2:190" ht="12.75">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6"/>
      <c r="BZ108" s="116"/>
      <c r="CA108" s="116"/>
      <c r="CB108" s="116"/>
      <c r="CC108" s="116"/>
      <c r="CD108" s="116"/>
      <c r="CE108" s="116"/>
      <c r="CF108" s="116"/>
      <c r="CG108" s="116"/>
      <c r="CH108" s="116"/>
      <c r="CI108" s="116"/>
      <c r="CJ108" s="116"/>
      <c r="CK108" s="116"/>
      <c r="CL108" s="116"/>
      <c r="CM108" s="116"/>
      <c r="CN108" s="116"/>
      <c r="CO108" s="116"/>
      <c r="CP108" s="116"/>
      <c r="CQ108" s="116"/>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6"/>
      <c r="FD108" s="116"/>
      <c r="FE108" s="116"/>
      <c r="FF108" s="116"/>
      <c r="FG108" s="116"/>
      <c r="FH108" s="116"/>
      <c r="FI108" s="116"/>
      <c r="FJ108" s="116"/>
      <c r="FK108" s="116"/>
      <c r="FL108" s="116"/>
      <c r="FM108" s="116"/>
      <c r="FN108" s="116"/>
      <c r="FO108" s="116"/>
      <c r="FP108" s="116"/>
      <c r="FQ108" s="116"/>
      <c r="FR108" s="116"/>
      <c r="FS108" s="116"/>
      <c r="FT108" s="116"/>
      <c r="FU108" s="116"/>
      <c r="FV108" s="116"/>
      <c r="FW108" s="116"/>
      <c r="FX108" s="116"/>
      <c r="FY108" s="116"/>
      <c r="FZ108" s="116"/>
      <c r="GA108" s="116"/>
      <c r="GB108" s="116"/>
      <c r="GC108" s="116"/>
      <c r="GD108" s="116"/>
      <c r="GE108" s="116"/>
      <c r="GF108" s="116"/>
      <c r="GG108" s="116"/>
      <c r="GH108" s="116"/>
    </row>
    <row r="109" spans="2:190" ht="12.75">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c r="CO109" s="116"/>
      <c r="CP109" s="116"/>
      <c r="CQ109" s="116"/>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6"/>
      <c r="FD109" s="116"/>
      <c r="FE109" s="116"/>
      <c r="FF109" s="116"/>
      <c r="FG109" s="116"/>
      <c r="FH109" s="116"/>
      <c r="FI109" s="116"/>
      <c r="FJ109" s="116"/>
      <c r="FK109" s="116"/>
      <c r="FL109" s="116"/>
      <c r="FM109" s="116"/>
      <c r="FN109" s="116"/>
      <c r="FO109" s="116"/>
      <c r="FP109" s="116"/>
      <c r="FQ109" s="116"/>
      <c r="FR109" s="116"/>
      <c r="FS109" s="116"/>
      <c r="FT109" s="116"/>
      <c r="FU109" s="116"/>
      <c r="FV109" s="116"/>
      <c r="FW109" s="116"/>
      <c r="FX109" s="116"/>
      <c r="FY109" s="116"/>
      <c r="FZ109" s="116"/>
      <c r="GA109" s="116"/>
      <c r="GB109" s="116"/>
      <c r="GC109" s="116"/>
      <c r="GD109" s="116"/>
      <c r="GE109" s="116"/>
      <c r="GF109" s="116"/>
      <c r="GG109" s="116"/>
      <c r="GH109" s="116"/>
    </row>
    <row r="110" spans="2:190" ht="12.75">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6"/>
      <c r="BJ110" s="116"/>
      <c r="BK110" s="116"/>
      <c r="BL110" s="116"/>
      <c r="BM110" s="116"/>
      <c r="BN110" s="116"/>
      <c r="BO110" s="116"/>
      <c r="BP110" s="116"/>
      <c r="BQ110" s="116"/>
      <c r="BR110" s="116"/>
      <c r="BS110" s="116"/>
      <c r="BT110" s="116"/>
      <c r="BU110" s="116"/>
      <c r="BV110" s="116"/>
      <c r="BW110" s="116"/>
      <c r="BX110" s="116"/>
      <c r="BY110" s="116"/>
      <c r="BZ110" s="116"/>
      <c r="CA110" s="116"/>
      <c r="CB110" s="116"/>
      <c r="CC110" s="116"/>
      <c r="CD110" s="116"/>
      <c r="CE110" s="116"/>
      <c r="CF110" s="116"/>
      <c r="CG110" s="116"/>
      <c r="CH110" s="116"/>
      <c r="CI110" s="116"/>
      <c r="CJ110" s="116"/>
      <c r="CK110" s="116"/>
      <c r="CL110" s="116"/>
      <c r="CM110" s="116"/>
      <c r="CN110" s="116"/>
      <c r="CO110" s="116"/>
      <c r="CP110" s="116"/>
      <c r="CQ110" s="116"/>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6"/>
      <c r="FD110" s="116"/>
      <c r="FE110" s="116"/>
      <c r="FF110" s="116"/>
      <c r="FG110" s="116"/>
      <c r="FH110" s="116"/>
      <c r="FI110" s="116"/>
      <c r="FJ110" s="116"/>
      <c r="FK110" s="116"/>
      <c r="FL110" s="116"/>
      <c r="FM110" s="116"/>
      <c r="FN110" s="116"/>
      <c r="FO110" s="116"/>
      <c r="FP110" s="116"/>
      <c r="FQ110" s="116"/>
      <c r="FR110" s="116"/>
      <c r="FS110" s="116"/>
      <c r="FT110" s="116"/>
      <c r="FU110" s="116"/>
      <c r="FV110" s="116"/>
      <c r="FW110" s="116"/>
      <c r="FX110" s="116"/>
      <c r="FY110" s="116"/>
      <c r="FZ110" s="116"/>
      <c r="GA110" s="116"/>
      <c r="GB110" s="116"/>
      <c r="GC110" s="116"/>
      <c r="GD110" s="116"/>
      <c r="GE110" s="116"/>
      <c r="GF110" s="116"/>
      <c r="GG110" s="116"/>
      <c r="GH110" s="116"/>
    </row>
    <row r="111" spans="2:190" ht="12.75">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6"/>
      <c r="FD111" s="116"/>
      <c r="FE111" s="116"/>
      <c r="FF111" s="116"/>
      <c r="FG111" s="116"/>
      <c r="FH111" s="116"/>
      <c r="FI111" s="116"/>
      <c r="FJ111" s="116"/>
      <c r="FK111" s="116"/>
      <c r="FL111" s="116"/>
      <c r="FM111" s="116"/>
      <c r="FN111" s="116"/>
      <c r="FO111" s="116"/>
      <c r="FP111" s="116"/>
      <c r="FQ111" s="116"/>
      <c r="FR111" s="116"/>
      <c r="FS111" s="116"/>
      <c r="FT111" s="116"/>
      <c r="FU111" s="116"/>
      <c r="FV111" s="116"/>
      <c r="FW111" s="116"/>
      <c r="FX111" s="116"/>
      <c r="FY111" s="116"/>
      <c r="FZ111" s="116"/>
      <c r="GA111" s="116"/>
      <c r="GB111" s="116"/>
      <c r="GC111" s="116"/>
      <c r="GD111" s="116"/>
      <c r="GE111" s="116"/>
      <c r="GF111" s="116"/>
      <c r="GG111" s="116"/>
      <c r="GH111" s="116"/>
    </row>
    <row r="112" spans="2:190" ht="12.75">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6"/>
      <c r="FD112" s="116"/>
      <c r="FE112" s="116"/>
      <c r="FF112" s="116"/>
      <c r="FG112" s="116"/>
      <c r="FH112" s="116"/>
      <c r="FI112" s="116"/>
      <c r="FJ112" s="116"/>
      <c r="FK112" s="116"/>
      <c r="FL112" s="116"/>
      <c r="FM112" s="116"/>
      <c r="FN112" s="116"/>
      <c r="FO112" s="116"/>
      <c r="FP112" s="116"/>
      <c r="FQ112" s="116"/>
      <c r="FR112" s="116"/>
      <c r="FS112" s="116"/>
      <c r="FT112" s="116"/>
      <c r="FU112" s="116"/>
      <c r="FV112" s="116"/>
      <c r="FW112" s="116"/>
      <c r="FX112" s="116"/>
      <c r="FY112" s="116"/>
      <c r="FZ112" s="116"/>
      <c r="GA112" s="116"/>
      <c r="GB112" s="116"/>
      <c r="GC112" s="116"/>
      <c r="GD112" s="116"/>
      <c r="GE112" s="116"/>
      <c r="GF112" s="116"/>
      <c r="GG112" s="116"/>
      <c r="GH112" s="116"/>
    </row>
    <row r="113" spans="2:190" ht="12.75">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6"/>
      <c r="BZ113" s="116"/>
      <c r="CA113" s="116"/>
      <c r="CB113" s="116"/>
      <c r="CC113" s="116"/>
      <c r="CD113" s="116"/>
      <c r="CE113" s="116"/>
      <c r="CF113" s="116"/>
      <c r="CG113" s="116"/>
      <c r="CH113" s="116"/>
      <c r="CI113" s="116"/>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6"/>
      <c r="FD113" s="116"/>
      <c r="FE113" s="116"/>
      <c r="FF113" s="116"/>
      <c r="FG113" s="116"/>
      <c r="FH113" s="116"/>
      <c r="FI113" s="116"/>
      <c r="FJ113" s="116"/>
      <c r="FK113" s="116"/>
      <c r="FL113" s="116"/>
      <c r="FM113" s="116"/>
      <c r="FN113" s="116"/>
      <c r="FO113" s="116"/>
      <c r="FP113" s="116"/>
      <c r="FQ113" s="116"/>
      <c r="FR113" s="116"/>
      <c r="FS113" s="116"/>
      <c r="FT113" s="116"/>
      <c r="FU113" s="116"/>
      <c r="FV113" s="116"/>
      <c r="FW113" s="116"/>
      <c r="FX113" s="116"/>
      <c r="FY113" s="116"/>
      <c r="FZ113" s="116"/>
      <c r="GA113" s="116"/>
      <c r="GB113" s="116"/>
      <c r="GC113" s="116"/>
      <c r="GD113" s="116"/>
      <c r="GE113" s="116"/>
      <c r="GF113" s="116"/>
      <c r="GG113" s="116"/>
      <c r="GH113" s="116"/>
    </row>
    <row r="114" spans="2:190" ht="12.75">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6"/>
      <c r="CP114" s="116"/>
      <c r="CQ114" s="116"/>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6"/>
      <c r="FD114" s="116"/>
      <c r="FE114" s="116"/>
      <c r="FF114" s="116"/>
      <c r="FG114" s="116"/>
      <c r="FH114" s="116"/>
      <c r="FI114" s="116"/>
      <c r="FJ114" s="116"/>
      <c r="FK114" s="116"/>
      <c r="FL114" s="116"/>
      <c r="FM114" s="116"/>
      <c r="FN114" s="116"/>
      <c r="FO114" s="116"/>
      <c r="FP114" s="116"/>
      <c r="FQ114" s="116"/>
      <c r="FR114" s="116"/>
      <c r="FS114" s="116"/>
      <c r="FT114" s="116"/>
      <c r="FU114" s="116"/>
      <c r="FV114" s="116"/>
      <c r="FW114" s="116"/>
      <c r="FX114" s="116"/>
      <c r="FY114" s="116"/>
      <c r="FZ114" s="116"/>
      <c r="GA114" s="116"/>
      <c r="GB114" s="116"/>
      <c r="GC114" s="116"/>
      <c r="GD114" s="116"/>
      <c r="GE114" s="116"/>
      <c r="GF114" s="116"/>
      <c r="GG114" s="116"/>
      <c r="GH114" s="116"/>
    </row>
    <row r="115" spans="2:190" ht="12.75">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6"/>
      <c r="BZ115" s="116"/>
      <c r="CA115" s="116"/>
      <c r="CB115" s="116"/>
      <c r="CC115" s="116"/>
      <c r="CD115" s="116"/>
      <c r="CE115" s="116"/>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6"/>
      <c r="FD115" s="116"/>
      <c r="FE115" s="116"/>
      <c r="FF115" s="116"/>
      <c r="FG115" s="116"/>
      <c r="FH115" s="116"/>
      <c r="FI115" s="116"/>
      <c r="FJ115" s="116"/>
      <c r="FK115" s="116"/>
      <c r="FL115" s="116"/>
      <c r="FM115" s="116"/>
      <c r="FN115" s="116"/>
      <c r="FO115" s="116"/>
      <c r="FP115" s="116"/>
      <c r="FQ115" s="116"/>
      <c r="FR115" s="116"/>
      <c r="FS115" s="116"/>
      <c r="FT115" s="116"/>
      <c r="FU115" s="116"/>
      <c r="FV115" s="116"/>
      <c r="FW115" s="116"/>
      <c r="FX115" s="116"/>
      <c r="FY115" s="116"/>
      <c r="FZ115" s="116"/>
      <c r="GA115" s="116"/>
      <c r="GB115" s="116"/>
      <c r="GC115" s="116"/>
      <c r="GD115" s="116"/>
      <c r="GE115" s="116"/>
      <c r="GF115" s="116"/>
      <c r="GG115" s="116"/>
      <c r="GH115" s="116"/>
    </row>
    <row r="116" spans="2:190" ht="12.75">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116"/>
      <c r="BP116" s="116"/>
      <c r="BQ116" s="116"/>
      <c r="BR116" s="116"/>
      <c r="BS116" s="116"/>
      <c r="BT116" s="116"/>
      <c r="BU116" s="116"/>
      <c r="BV116" s="116"/>
      <c r="BW116" s="116"/>
      <c r="BX116" s="116"/>
      <c r="BY116" s="116"/>
      <c r="BZ116" s="116"/>
      <c r="CA116" s="116"/>
      <c r="CB116" s="116"/>
      <c r="CC116" s="116"/>
      <c r="CD116" s="116"/>
      <c r="CE116" s="116"/>
      <c r="CF116" s="116"/>
      <c r="CG116" s="116"/>
      <c r="CH116" s="116"/>
      <c r="CI116" s="116"/>
      <c r="CJ116" s="116"/>
      <c r="CK116" s="116"/>
      <c r="CL116" s="116"/>
      <c r="CM116" s="116"/>
      <c r="CN116" s="116"/>
      <c r="CO116" s="116"/>
      <c r="CP116" s="116"/>
      <c r="CQ116" s="116"/>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6"/>
      <c r="FD116" s="116"/>
      <c r="FE116" s="116"/>
      <c r="FF116" s="116"/>
      <c r="FG116" s="116"/>
      <c r="FH116" s="116"/>
      <c r="FI116" s="116"/>
      <c r="FJ116" s="116"/>
      <c r="FK116" s="116"/>
      <c r="FL116" s="116"/>
      <c r="FM116" s="116"/>
      <c r="FN116" s="116"/>
      <c r="FO116" s="116"/>
      <c r="FP116" s="116"/>
      <c r="FQ116" s="116"/>
      <c r="FR116" s="116"/>
      <c r="FS116" s="116"/>
      <c r="FT116" s="116"/>
      <c r="FU116" s="116"/>
      <c r="FV116" s="116"/>
      <c r="FW116" s="116"/>
      <c r="FX116" s="116"/>
      <c r="FY116" s="116"/>
      <c r="FZ116" s="116"/>
      <c r="GA116" s="116"/>
      <c r="GB116" s="116"/>
      <c r="GC116" s="116"/>
      <c r="GD116" s="116"/>
      <c r="GE116" s="116"/>
      <c r="GF116" s="116"/>
      <c r="GG116" s="116"/>
      <c r="GH116" s="116"/>
    </row>
    <row r="117" spans="2:190" ht="12.75">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6"/>
      <c r="BY117" s="116"/>
      <c r="BZ117" s="116"/>
      <c r="CA117" s="116"/>
      <c r="CB117" s="116"/>
      <c r="CC117" s="116"/>
      <c r="CD117" s="116"/>
      <c r="CE117" s="116"/>
      <c r="CF117" s="116"/>
      <c r="CG117" s="116"/>
      <c r="CH117" s="116"/>
      <c r="CI117" s="116"/>
      <c r="CJ117" s="116"/>
      <c r="CK117" s="116"/>
      <c r="CL117" s="116"/>
      <c r="CM117" s="116"/>
      <c r="CN117" s="116"/>
      <c r="CO117" s="116"/>
      <c r="CP117" s="116"/>
      <c r="CQ117" s="116"/>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6"/>
      <c r="FD117" s="116"/>
      <c r="FE117" s="116"/>
      <c r="FF117" s="116"/>
      <c r="FG117" s="116"/>
      <c r="FH117" s="116"/>
      <c r="FI117" s="116"/>
      <c r="FJ117" s="116"/>
      <c r="FK117" s="116"/>
      <c r="FL117" s="116"/>
      <c r="FM117" s="116"/>
      <c r="FN117" s="116"/>
      <c r="FO117" s="116"/>
      <c r="FP117" s="116"/>
      <c r="FQ117" s="116"/>
      <c r="FR117" s="116"/>
      <c r="FS117" s="116"/>
      <c r="FT117" s="116"/>
      <c r="FU117" s="116"/>
      <c r="FV117" s="116"/>
      <c r="FW117" s="116"/>
      <c r="FX117" s="116"/>
      <c r="FY117" s="116"/>
      <c r="FZ117" s="116"/>
      <c r="GA117" s="116"/>
      <c r="GB117" s="116"/>
      <c r="GC117" s="116"/>
      <c r="GD117" s="116"/>
      <c r="GE117" s="116"/>
      <c r="GF117" s="116"/>
      <c r="GG117" s="116"/>
      <c r="GH117" s="116"/>
    </row>
    <row r="118" spans="2:190" ht="12.75">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116"/>
      <c r="CC118" s="116"/>
      <c r="CD118" s="116"/>
      <c r="CE118" s="116"/>
      <c r="CF118" s="116"/>
      <c r="CG118" s="116"/>
      <c r="CH118" s="116"/>
      <c r="CI118" s="116"/>
      <c r="CJ118" s="116"/>
      <c r="CK118" s="116"/>
      <c r="CL118" s="116"/>
      <c r="CM118" s="116"/>
      <c r="CN118" s="116"/>
      <c r="CO118" s="116"/>
      <c r="CP118" s="116"/>
      <c r="CQ118" s="116"/>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6"/>
      <c r="FD118" s="116"/>
      <c r="FE118" s="116"/>
      <c r="FF118" s="116"/>
      <c r="FG118" s="116"/>
      <c r="FH118" s="116"/>
      <c r="FI118" s="116"/>
      <c r="FJ118" s="116"/>
      <c r="FK118" s="116"/>
      <c r="FL118" s="116"/>
      <c r="FM118" s="116"/>
      <c r="FN118" s="116"/>
      <c r="FO118" s="116"/>
      <c r="FP118" s="116"/>
      <c r="FQ118" s="116"/>
      <c r="FR118" s="116"/>
      <c r="FS118" s="116"/>
      <c r="FT118" s="116"/>
      <c r="FU118" s="116"/>
      <c r="FV118" s="116"/>
      <c r="FW118" s="116"/>
      <c r="FX118" s="116"/>
      <c r="FY118" s="116"/>
      <c r="FZ118" s="116"/>
      <c r="GA118" s="116"/>
      <c r="GB118" s="116"/>
      <c r="GC118" s="116"/>
      <c r="GD118" s="116"/>
      <c r="GE118" s="116"/>
      <c r="GF118" s="116"/>
      <c r="GG118" s="116"/>
      <c r="GH118" s="116"/>
    </row>
    <row r="119" spans="2:190" ht="12.75">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6"/>
      <c r="BZ119" s="116"/>
      <c r="CA119" s="116"/>
      <c r="CB119" s="116"/>
      <c r="CC119" s="116"/>
      <c r="CD119" s="116"/>
      <c r="CE119" s="116"/>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6"/>
      <c r="FD119" s="116"/>
      <c r="FE119" s="116"/>
      <c r="FF119" s="116"/>
      <c r="FG119" s="116"/>
      <c r="FH119" s="116"/>
      <c r="FI119" s="116"/>
      <c r="FJ119" s="116"/>
      <c r="FK119" s="116"/>
      <c r="FL119" s="116"/>
      <c r="FM119" s="116"/>
      <c r="FN119" s="116"/>
      <c r="FO119" s="116"/>
      <c r="FP119" s="116"/>
      <c r="FQ119" s="116"/>
      <c r="FR119" s="116"/>
      <c r="FS119" s="116"/>
      <c r="FT119" s="116"/>
      <c r="FU119" s="116"/>
      <c r="FV119" s="116"/>
      <c r="FW119" s="116"/>
      <c r="FX119" s="116"/>
      <c r="FY119" s="116"/>
      <c r="FZ119" s="116"/>
      <c r="GA119" s="116"/>
      <c r="GB119" s="116"/>
      <c r="GC119" s="116"/>
      <c r="GD119" s="116"/>
      <c r="GE119" s="116"/>
      <c r="GF119" s="116"/>
      <c r="GG119" s="116"/>
      <c r="GH119" s="116"/>
    </row>
    <row r="120" spans="2:190" ht="12.75">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6"/>
      <c r="BZ120" s="116"/>
      <c r="CA120" s="116"/>
      <c r="CB120" s="116"/>
      <c r="CC120" s="116"/>
      <c r="CD120" s="116"/>
      <c r="CE120" s="116"/>
      <c r="CF120" s="116"/>
      <c r="CG120" s="116"/>
      <c r="CH120" s="116"/>
      <c r="CI120" s="116"/>
      <c r="CJ120" s="116"/>
      <c r="CK120" s="116"/>
      <c r="CL120" s="116"/>
      <c r="CM120" s="116"/>
      <c r="CN120" s="116"/>
      <c r="CO120" s="116"/>
      <c r="CP120" s="116"/>
      <c r="CQ120" s="116"/>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6"/>
      <c r="FD120" s="116"/>
      <c r="FE120" s="116"/>
      <c r="FF120" s="116"/>
      <c r="FG120" s="116"/>
      <c r="FH120" s="116"/>
      <c r="FI120" s="116"/>
      <c r="FJ120" s="116"/>
      <c r="FK120" s="116"/>
      <c r="FL120" s="116"/>
      <c r="FM120" s="116"/>
      <c r="FN120" s="116"/>
      <c r="FO120" s="116"/>
      <c r="FP120" s="116"/>
      <c r="FQ120" s="116"/>
      <c r="FR120" s="116"/>
      <c r="FS120" s="116"/>
      <c r="FT120" s="116"/>
      <c r="FU120" s="116"/>
      <c r="FV120" s="116"/>
      <c r="FW120" s="116"/>
      <c r="FX120" s="116"/>
      <c r="FY120" s="116"/>
      <c r="FZ120" s="116"/>
      <c r="GA120" s="116"/>
      <c r="GB120" s="116"/>
      <c r="GC120" s="116"/>
      <c r="GD120" s="116"/>
      <c r="GE120" s="116"/>
      <c r="GF120" s="116"/>
      <c r="GG120" s="116"/>
      <c r="GH120" s="116"/>
    </row>
    <row r="121" spans="2:190" ht="12.75">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6"/>
      <c r="BZ121" s="116"/>
      <c r="CA121" s="116"/>
      <c r="CB121" s="116"/>
      <c r="CC121" s="116"/>
      <c r="CD121" s="116"/>
      <c r="CE121" s="116"/>
      <c r="CF121" s="116"/>
      <c r="CG121" s="116"/>
      <c r="CH121" s="116"/>
      <c r="CI121" s="116"/>
      <c r="CJ121" s="116"/>
      <c r="CK121" s="116"/>
      <c r="CL121" s="116"/>
      <c r="CM121" s="116"/>
      <c r="CN121" s="116"/>
      <c r="CO121" s="116"/>
      <c r="CP121" s="116"/>
      <c r="CQ121" s="116"/>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6"/>
      <c r="FD121" s="116"/>
      <c r="FE121" s="116"/>
      <c r="FF121" s="116"/>
      <c r="FG121" s="116"/>
      <c r="FH121" s="116"/>
      <c r="FI121" s="116"/>
      <c r="FJ121" s="116"/>
      <c r="FK121" s="116"/>
      <c r="FL121" s="116"/>
      <c r="FM121" s="116"/>
      <c r="FN121" s="116"/>
      <c r="FO121" s="116"/>
      <c r="FP121" s="116"/>
      <c r="FQ121" s="116"/>
      <c r="FR121" s="116"/>
      <c r="FS121" s="116"/>
      <c r="FT121" s="116"/>
      <c r="FU121" s="116"/>
      <c r="FV121" s="116"/>
      <c r="FW121" s="116"/>
      <c r="FX121" s="116"/>
      <c r="FY121" s="116"/>
      <c r="FZ121" s="116"/>
      <c r="GA121" s="116"/>
      <c r="GB121" s="116"/>
      <c r="GC121" s="116"/>
      <c r="GD121" s="116"/>
      <c r="GE121" s="116"/>
      <c r="GF121" s="116"/>
      <c r="GG121" s="116"/>
      <c r="GH121" s="116"/>
    </row>
    <row r="122" spans="2:190" ht="12.75">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6"/>
      <c r="BZ122" s="116"/>
      <c r="CA122" s="116"/>
      <c r="CB122" s="116"/>
      <c r="CC122" s="116"/>
      <c r="CD122" s="116"/>
      <c r="CE122" s="116"/>
      <c r="CF122" s="116"/>
      <c r="CG122" s="116"/>
      <c r="CH122" s="116"/>
      <c r="CI122" s="116"/>
      <c r="CJ122" s="116"/>
      <c r="CK122" s="116"/>
      <c r="CL122" s="116"/>
      <c r="CM122" s="116"/>
      <c r="CN122" s="116"/>
      <c r="CO122" s="116"/>
      <c r="CP122" s="116"/>
      <c r="CQ122" s="116"/>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6"/>
      <c r="FD122" s="116"/>
      <c r="FE122" s="116"/>
      <c r="FF122" s="116"/>
      <c r="FG122" s="116"/>
      <c r="FH122" s="116"/>
      <c r="FI122" s="116"/>
      <c r="FJ122" s="116"/>
      <c r="FK122" s="116"/>
      <c r="FL122" s="116"/>
      <c r="FM122" s="116"/>
      <c r="FN122" s="116"/>
      <c r="FO122" s="116"/>
      <c r="FP122" s="116"/>
      <c r="FQ122" s="116"/>
      <c r="FR122" s="116"/>
      <c r="FS122" s="116"/>
      <c r="FT122" s="116"/>
      <c r="FU122" s="116"/>
      <c r="FV122" s="116"/>
      <c r="FW122" s="116"/>
      <c r="FX122" s="116"/>
      <c r="FY122" s="116"/>
      <c r="FZ122" s="116"/>
      <c r="GA122" s="116"/>
      <c r="GB122" s="116"/>
      <c r="GC122" s="116"/>
      <c r="GD122" s="116"/>
      <c r="GE122" s="116"/>
      <c r="GF122" s="116"/>
      <c r="GG122" s="116"/>
      <c r="GH122" s="116"/>
    </row>
    <row r="123" spans="2:190" ht="12.7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6"/>
      <c r="FD123" s="116"/>
      <c r="FE123" s="116"/>
      <c r="FF123" s="116"/>
      <c r="FG123" s="116"/>
      <c r="FH123" s="116"/>
      <c r="FI123" s="116"/>
      <c r="FJ123" s="116"/>
      <c r="FK123" s="116"/>
      <c r="FL123" s="116"/>
      <c r="FM123" s="116"/>
      <c r="FN123" s="116"/>
      <c r="FO123" s="116"/>
      <c r="FP123" s="116"/>
      <c r="FQ123" s="116"/>
      <c r="FR123" s="116"/>
      <c r="FS123" s="116"/>
      <c r="FT123" s="116"/>
      <c r="FU123" s="116"/>
      <c r="FV123" s="116"/>
      <c r="FW123" s="116"/>
      <c r="FX123" s="116"/>
      <c r="FY123" s="116"/>
      <c r="FZ123" s="116"/>
      <c r="GA123" s="116"/>
      <c r="GB123" s="116"/>
      <c r="GC123" s="116"/>
      <c r="GD123" s="116"/>
      <c r="GE123" s="116"/>
      <c r="GF123" s="116"/>
      <c r="GG123" s="116"/>
      <c r="GH123" s="116"/>
    </row>
    <row r="124" spans="2:190" ht="12.75">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6"/>
      <c r="FD124" s="116"/>
      <c r="FE124" s="116"/>
      <c r="FF124" s="116"/>
      <c r="FG124" s="116"/>
      <c r="FH124" s="116"/>
      <c r="FI124" s="116"/>
      <c r="FJ124" s="116"/>
      <c r="FK124" s="116"/>
      <c r="FL124" s="116"/>
      <c r="FM124" s="116"/>
      <c r="FN124" s="116"/>
      <c r="FO124" s="116"/>
      <c r="FP124" s="116"/>
      <c r="FQ124" s="116"/>
      <c r="FR124" s="116"/>
      <c r="FS124" s="116"/>
      <c r="FT124" s="116"/>
      <c r="FU124" s="116"/>
      <c r="FV124" s="116"/>
      <c r="FW124" s="116"/>
      <c r="FX124" s="116"/>
      <c r="FY124" s="116"/>
      <c r="FZ124" s="116"/>
      <c r="GA124" s="116"/>
      <c r="GB124" s="116"/>
      <c r="GC124" s="116"/>
      <c r="GD124" s="116"/>
      <c r="GE124" s="116"/>
      <c r="GF124" s="116"/>
      <c r="GG124" s="116"/>
      <c r="GH124" s="116"/>
    </row>
    <row r="125" spans="2:190" ht="12.75">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6"/>
      <c r="FD125" s="116"/>
      <c r="FE125" s="116"/>
      <c r="FF125" s="116"/>
      <c r="FG125" s="116"/>
      <c r="FH125" s="116"/>
      <c r="FI125" s="116"/>
      <c r="FJ125" s="116"/>
      <c r="FK125" s="116"/>
      <c r="FL125" s="116"/>
      <c r="FM125" s="116"/>
      <c r="FN125" s="116"/>
      <c r="FO125" s="116"/>
      <c r="FP125" s="116"/>
      <c r="FQ125" s="116"/>
      <c r="FR125" s="116"/>
      <c r="FS125" s="116"/>
      <c r="FT125" s="116"/>
      <c r="FU125" s="116"/>
      <c r="FV125" s="116"/>
      <c r="FW125" s="116"/>
      <c r="FX125" s="116"/>
      <c r="FY125" s="116"/>
      <c r="FZ125" s="116"/>
      <c r="GA125" s="116"/>
      <c r="GB125" s="116"/>
      <c r="GC125" s="116"/>
      <c r="GD125" s="116"/>
      <c r="GE125" s="116"/>
      <c r="GF125" s="116"/>
      <c r="GG125" s="116"/>
      <c r="GH125" s="116"/>
    </row>
    <row r="126" spans="2:190" ht="12.75">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6"/>
      <c r="FD126" s="116"/>
      <c r="FE126" s="116"/>
      <c r="FF126" s="116"/>
      <c r="FG126" s="116"/>
      <c r="FH126" s="116"/>
      <c r="FI126" s="116"/>
      <c r="FJ126" s="116"/>
      <c r="FK126" s="116"/>
      <c r="FL126" s="116"/>
      <c r="FM126" s="116"/>
      <c r="FN126" s="116"/>
      <c r="FO126" s="116"/>
      <c r="FP126" s="116"/>
      <c r="FQ126" s="116"/>
      <c r="FR126" s="116"/>
      <c r="FS126" s="116"/>
      <c r="FT126" s="116"/>
      <c r="FU126" s="116"/>
      <c r="FV126" s="116"/>
      <c r="FW126" s="116"/>
      <c r="FX126" s="116"/>
      <c r="FY126" s="116"/>
      <c r="FZ126" s="116"/>
      <c r="GA126" s="116"/>
      <c r="GB126" s="116"/>
      <c r="GC126" s="116"/>
      <c r="GD126" s="116"/>
      <c r="GE126" s="116"/>
      <c r="GF126" s="116"/>
      <c r="GG126" s="116"/>
      <c r="GH126" s="116"/>
    </row>
    <row r="127" spans="2:190" ht="12.75">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c r="FF127" s="116"/>
      <c r="FG127" s="116"/>
      <c r="FH127" s="116"/>
      <c r="FI127" s="116"/>
      <c r="FJ127" s="116"/>
      <c r="FK127" s="116"/>
      <c r="FL127" s="116"/>
      <c r="FM127" s="116"/>
      <c r="FN127" s="116"/>
      <c r="FO127" s="116"/>
      <c r="FP127" s="116"/>
      <c r="FQ127" s="116"/>
      <c r="FR127" s="116"/>
      <c r="FS127" s="116"/>
      <c r="FT127" s="116"/>
      <c r="FU127" s="116"/>
      <c r="FV127" s="116"/>
      <c r="FW127" s="116"/>
      <c r="FX127" s="116"/>
      <c r="FY127" s="116"/>
      <c r="FZ127" s="116"/>
      <c r="GA127" s="116"/>
      <c r="GB127" s="116"/>
      <c r="GC127" s="116"/>
      <c r="GD127" s="116"/>
      <c r="GE127" s="116"/>
      <c r="GF127" s="116"/>
      <c r="GG127" s="116"/>
      <c r="GH127" s="116"/>
    </row>
    <row r="128" spans="2:190" ht="12.75">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c r="FF128" s="116"/>
      <c r="FG128" s="116"/>
      <c r="FH128" s="116"/>
      <c r="FI128" s="116"/>
      <c r="FJ128" s="116"/>
      <c r="FK128" s="116"/>
      <c r="FL128" s="116"/>
      <c r="FM128" s="116"/>
      <c r="FN128" s="116"/>
      <c r="FO128" s="116"/>
      <c r="FP128" s="116"/>
      <c r="FQ128" s="116"/>
      <c r="FR128" s="116"/>
      <c r="FS128" s="116"/>
      <c r="FT128" s="116"/>
      <c r="FU128" s="116"/>
      <c r="FV128" s="116"/>
      <c r="FW128" s="116"/>
      <c r="FX128" s="116"/>
      <c r="FY128" s="116"/>
      <c r="FZ128" s="116"/>
      <c r="GA128" s="116"/>
      <c r="GB128" s="116"/>
      <c r="GC128" s="116"/>
      <c r="GD128" s="116"/>
      <c r="GE128" s="116"/>
      <c r="GF128" s="116"/>
      <c r="GG128" s="116"/>
      <c r="GH128" s="116"/>
    </row>
    <row r="129" spans="2:190" ht="12.75">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6"/>
      <c r="FD129" s="116"/>
      <c r="FE129" s="116"/>
      <c r="FF129" s="116"/>
      <c r="FG129" s="116"/>
      <c r="FH129" s="116"/>
      <c r="FI129" s="116"/>
      <c r="FJ129" s="116"/>
      <c r="FK129" s="116"/>
      <c r="FL129" s="116"/>
      <c r="FM129" s="116"/>
      <c r="FN129" s="116"/>
      <c r="FO129" s="116"/>
      <c r="FP129" s="116"/>
      <c r="FQ129" s="116"/>
      <c r="FR129" s="116"/>
      <c r="FS129" s="116"/>
      <c r="FT129" s="116"/>
      <c r="FU129" s="116"/>
      <c r="FV129" s="116"/>
      <c r="FW129" s="116"/>
      <c r="FX129" s="116"/>
      <c r="FY129" s="116"/>
      <c r="FZ129" s="116"/>
      <c r="GA129" s="116"/>
      <c r="GB129" s="116"/>
      <c r="GC129" s="116"/>
      <c r="GD129" s="116"/>
      <c r="GE129" s="116"/>
      <c r="GF129" s="116"/>
      <c r="GG129" s="116"/>
      <c r="GH129" s="116"/>
    </row>
    <row r="130" spans="2:190" ht="12.75">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row>
    <row r="131" spans="2:190" ht="12.75">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c r="GF131" s="116"/>
      <c r="GG131" s="116"/>
      <c r="GH131" s="116"/>
    </row>
    <row r="132" spans="2:190" ht="12.75">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116"/>
      <c r="FG132" s="116"/>
      <c r="FH132" s="116"/>
      <c r="FI132" s="116"/>
      <c r="FJ132" s="116"/>
      <c r="FK132" s="116"/>
      <c r="FL132" s="116"/>
      <c r="FM132" s="116"/>
      <c r="FN132" s="116"/>
      <c r="FO132" s="116"/>
      <c r="FP132" s="116"/>
      <c r="FQ132" s="116"/>
      <c r="FR132" s="116"/>
      <c r="FS132" s="116"/>
      <c r="FT132" s="116"/>
      <c r="FU132" s="116"/>
      <c r="FV132" s="116"/>
      <c r="FW132" s="116"/>
      <c r="FX132" s="116"/>
      <c r="FY132" s="116"/>
      <c r="FZ132" s="116"/>
      <c r="GA132" s="116"/>
      <c r="GB132" s="116"/>
      <c r="GC132" s="116"/>
      <c r="GD132" s="116"/>
      <c r="GE132" s="116"/>
      <c r="GF132" s="116"/>
      <c r="GG132" s="116"/>
      <c r="GH132" s="116"/>
    </row>
    <row r="133" spans="2:190" ht="12.75">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116"/>
      <c r="FG133" s="116"/>
      <c r="FH133" s="116"/>
      <c r="FI133" s="116"/>
      <c r="FJ133" s="116"/>
      <c r="FK133" s="116"/>
      <c r="FL133" s="116"/>
      <c r="FM133" s="116"/>
      <c r="FN133" s="116"/>
      <c r="FO133" s="116"/>
      <c r="FP133" s="116"/>
      <c r="FQ133" s="116"/>
      <c r="FR133" s="116"/>
      <c r="FS133" s="116"/>
      <c r="FT133" s="116"/>
      <c r="FU133" s="116"/>
      <c r="FV133" s="116"/>
      <c r="FW133" s="116"/>
      <c r="FX133" s="116"/>
      <c r="FY133" s="116"/>
      <c r="FZ133" s="116"/>
      <c r="GA133" s="116"/>
      <c r="GB133" s="116"/>
      <c r="GC133" s="116"/>
      <c r="GD133" s="116"/>
      <c r="GE133" s="116"/>
      <c r="GF133" s="116"/>
      <c r="GG133" s="116"/>
      <c r="GH133" s="116"/>
    </row>
    <row r="134" spans="2:190" ht="12.75">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row>
    <row r="135" spans="2:190" ht="12.75">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6"/>
      <c r="FD135" s="116"/>
      <c r="FE135" s="116"/>
      <c r="FF135" s="116"/>
      <c r="FG135" s="116"/>
      <c r="FH135" s="116"/>
      <c r="FI135" s="116"/>
      <c r="FJ135" s="116"/>
      <c r="FK135" s="116"/>
      <c r="FL135" s="116"/>
      <c r="FM135" s="116"/>
      <c r="FN135" s="116"/>
      <c r="FO135" s="116"/>
      <c r="FP135" s="116"/>
      <c r="FQ135" s="116"/>
      <c r="FR135" s="116"/>
      <c r="FS135" s="116"/>
      <c r="FT135" s="116"/>
      <c r="FU135" s="116"/>
      <c r="FV135" s="116"/>
      <c r="FW135" s="116"/>
      <c r="FX135" s="116"/>
      <c r="FY135" s="116"/>
      <c r="FZ135" s="116"/>
      <c r="GA135" s="116"/>
      <c r="GB135" s="116"/>
      <c r="GC135" s="116"/>
      <c r="GD135" s="116"/>
      <c r="GE135" s="116"/>
      <c r="GF135" s="116"/>
      <c r="GG135" s="116"/>
      <c r="GH135" s="116"/>
    </row>
    <row r="136" spans="2:190" ht="12.75">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c r="EI136" s="116"/>
      <c r="EJ136" s="116"/>
      <c r="EK136" s="116"/>
      <c r="EL136" s="116"/>
      <c r="EM136" s="116"/>
      <c r="EN136" s="116"/>
      <c r="EO136" s="116"/>
      <c r="EP136" s="116"/>
      <c r="EQ136" s="116"/>
      <c r="ER136" s="116"/>
      <c r="ES136" s="116"/>
      <c r="ET136" s="116"/>
      <c r="EU136" s="116"/>
      <c r="EV136" s="116"/>
      <c r="EW136" s="116"/>
      <c r="EX136" s="116"/>
      <c r="EY136" s="116"/>
      <c r="EZ136" s="116"/>
      <c r="FA136" s="116"/>
      <c r="FB136" s="116"/>
      <c r="FC136" s="116"/>
      <c r="FD136" s="116"/>
      <c r="FE136" s="116"/>
      <c r="FF136" s="116"/>
      <c r="FG136" s="116"/>
      <c r="FH136" s="116"/>
      <c r="FI136" s="116"/>
      <c r="FJ136" s="116"/>
      <c r="FK136" s="116"/>
      <c r="FL136" s="116"/>
      <c r="FM136" s="116"/>
      <c r="FN136" s="116"/>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row>
    <row r="137" spans="2:190" ht="12.7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c r="FF137" s="116"/>
      <c r="FG137" s="116"/>
      <c r="FH137" s="116"/>
      <c r="FI137" s="116"/>
      <c r="FJ137" s="116"/>
      <c r="FK137" s="116"/>
      <c r="FL137" s="116"/>
      <c r="FM137" s="116"/>
      <c r="FN137" s="116"/>
      <c r="FO137" s="116"/>
      <c r="FP137" s="116"/>
      <c r="FQ137" s="116"/>
      <c r="FR137" s="116"/>
      <c r="FS137" s="116"/>
      <c r="FT137" s="116"/>
      <c r="FU137" s="116"/>
      <c r="FV137" s="116"/>
      <c r="FW137" s="116"/>
      <c r="FX137" s="116"/>
      <c r="FY137" s="116"/>
      <c r="FZ137" s="116"/>
      <c r="GA137" s="116"/>
      <c r="GB137" s="116"/>
      <c r="GC137" s="116"/>
      <c r="GD137" s="116"/>
      <c r="GE137" s="116"/>
      <c r="GF137" s="116"/>
      <c r="GG137" s="116"/>
      <c r="GH137" s="116"/>
    </row>
    <row r="138" spans="2:190" ht="12.75">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c r="BR138" s="116"/>
      <c r="BS138" s="116"/>
      <c r="BT138" s="116"/>
      <c r="BU138" s="116"/>
      <c r="BV138" s="116"/>
      <c r="BW138" s="116"/>
      <c r="BX138" s="116"/>
      <c r="BY138" s="116"/>
      <c r="BZ138" s="116"/>
      <c r="CA138" s="116"/>
      <c r="CB138" s="116"/>
      <c r="CC138" s="116"/>
      <c r="CD138" s="116"/>
      <c r="CE138" s="116"/>
      <c r="CF138" s="116"/>
      <c r="CG138" s="116"/>
      <c r="CH138" s="116"/>
      <c r="CI138" s="116"/>
      <c r="CJ138" s="116"/>
      <c r="CK138" s="116"/>
      <c r="CL138" s="116"/>
      <c r="CM138" s="116"/>
      <c r="CN138" s="116"/>
      <c r="CO138" s="116"/>
      <c r="CP138" s="116"/>
      <c r="CQ138" s="116"/>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6"/>
      <c r="FD138" s="116"/>
      <c r="FE138" s="116"/>
      <c r="FF138" s="116"/>
      <c r="FG138" s="116"/>
      <c r="FH138" s="116"/>
      <c r="FI138" s="116"/>
      <c r="FJ138" s="116"/>
      <c r="FK138" s="116"/>
      <c r="FL138" s="116"/>
      <c r="FM138" s="116"/>
      <c r="FN138" s="116"/>
      <c r="FO138" s="116"/>
      <c r="FP138" s="116"/>
      <c r="FQ138" s="116"/>
      <c r="FR138" s="116"/>
      <c r="FS138" s="116"/>
      <c r="FT138" s="116"/>
      <c r="FU138" s="116"/>
      <c r="FV138" s="116"/>
      <c r="FW138" s="116"/>
      <c r="FX138" s="116"/>
      <c r="FY138" s="116"/>
      <c r="FZ138" s="116"/>
      <c r="GA138" s="116"/>
      <c r="GB138" s="116"/>
      <c r="GC138" s="116"/>
      <c r="GD138" s="116"/>
      <c r="GE138" s="116"/>
      <c r="GF138" s="116"/>
      <c r="GG138" s="116"/>
      <c r="GH138" s="116"/>
    </row>
    <row r="139" spans="2:190" ht="12.75">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c r="FF139" s="116"/>
      <c r="FG139" s="116"/>
      <c r="FH139" s="116"/>
      <c r="FI139" s="116"/>
      <c r="FJ139" s="116"/>
      <c r="FK139" s="116"/>
      <c r="FL139" s="116"/>
      <c r="FM139" s="116"/>
      <c r="FN139" s="116"/>
      <c r="FO139" s="116"/>
      <c r="FP139" s="116"/>
      <c r="FQ139" s="116"/>
      <c r="FR139" s="116"/>
      <c r="FS139" s="116"/>
      <c r="FT139" s="116"/>
      <c r="FU139" s="116"/>
      <c r="FV139" s="116"/>
      <c r="FW139" s="116"/>
      <c r="FX139" s="116"/>
      <c r="FY139" s="116"/>
      <c r="FZ139" s="116"/>
      <c r="GA139" s="116"/>
      <c r="GB139" s="116"/>
      <c r="GC139" s="116"/>
      <c r="GD139" s="116"/>
      <c r="GE139" s="116"/>
      <c r="GF139" s="116"/>
      <c r="GG139" s="116"/>
      <c r="GH139" s="116"/>
    </row>
    <row r="140" spans="2:190" ht="12.75">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c r="FF140" s="116"/>
      <c r="FG140" s="116"/>
      <c r="FH140" s="116"/>
      <c r="FI140" s="116"/>
      <c r="FJ140" s="116"/>
      <c r="FK140" s="116"/>
      <c r="FL140" s="116"/>
      <c r="FM140" s="116"/>
      <c r="FN140" s="116"/>
      <c r="FO140" s="116"/>
      <c r="FP140" s="116"/>
      <c r="FQ140" s="116"/>
      <c r="FR140" s="116"/>
      <c r="FS140" s="116"/>
      <c r="FT140" s="116"/>
      <c r="FU140" s="116"/>
      <c r="FV140" s="116"/>
      <c r="FW140" s="116"/>
      <c r="FX140" s="116"/>
      <c r="FY140" s="116"/>
      <c r="FZ140" s="116"/>
      <c r="GA140" s="116"/>
      <c r="GB140" s="116"/>
      <c r="GC140" s="116"/>
      <c r="GD140" s="116"/>
      <c r="GE140" s="116"/>
      <c r="GF140" s="116"/>
      <c r="GG140" s="116"/>
      <c r="GH140" s="116"/>
    </row>
    <row r="141" spans="2:190" ht="12.75">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c r="FF141" s="116"/>
      <c r="FG141" s="116"/>
      <c r="FH141" s="116"/>
      <c r="FI141" s="116"/>
      <c r="FJ141" s="116"/>
      <c r="FK141" s="116"/>
      <c r="FL141" s="116"/>
      <c r="FM141" s="116"/>
      <c r="FN141" s="116"/>
      <c r="FO141" s="116"/>
      <c r="FP141" s="116"/>
      <c r="FQ141" s="116"/>
      <c r="FR141" s="116"/>
      <c r="FS141" s="116"/>
      <c r="FT141" s="116"/>
      <c r="FU141" s="116"/>
      <c r="FV141" s="116"/>
      <c r="FW141" s="116"/>
      <c r="FX141" s="116"/>
      <c r="FY141" s="116"/>
      <c r="FZ141" s="116"/>
      <c r="GA141" s="116"/>
      <c r="GB141" s="116"/>
      <c r="GC141" s="116"/>
      <c r="GD141" s="116"/>
      <c r="GE141" s="116"/>
      <c r="GF141" s="116"/>
      <c r="GG141" s="116"/>
      <c r="GH141" s="116"/>
    </row>
    <row r="142" spans="2:190" ht="12.75">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c r="BR142" s="116"/>
      <c r="BS142" s="116"/>
      <c r="BT142" s="116"/>
      <c r="BU142" s="116"/>
      <c r="BV142" s="116"/>
      <c r="BW142" s="116"/>
      <c r="BX142" s="116"/>
      <c r="BY142" s="116"/>
      <c r="BZ142" s="116"/>
      <c r="CA142" s="116"/>
      <c r="CB142" s="116"/>
      <c r="CC142" s="116"/>
      <c r="CD142" s="116"/>
      <c r="CE142" s="116"/>
      <c r="CF142" s="116"/>
      <c r="CG142" s="116"/>
      <c r="CH142" s="116"/>
      <c r="CI142" s="116"/>
      <c r="CJ142" s="116"/>
      <c r="CK142" s="116"/>
      <c r="CL142" s="116"/>
      <c r="CM142" s="116"/>
      <c r="CN142" s="116"/>
      <c r="CO142" s="116"/>
      <c r="CP142" s="116"/>
      <c r="CQ142" s="116"/>
      <c r="CR142" s="116"/>
      <c r="CS142" s="116"/>
      <c r="CT142" s="116"/>
      <c r="CU142" s="116"/>
      <c r="CV142" s="116"/>
      <c r="CW142" s="116"/>
      <c r="CX142" s="116"/>
      <c r="CY142" s="116"/>
      <c r="CZ142" s="116"/>
      <c r="DA142" s="116"/>
      <c r="DB142" s="116"/>
      <c r="DC142" s="116"/>
      <c r="DD142" s="116"/>
      <c r="DE142" s="116"/>
      <c r="DF142" s="116"/>
      <c r="DG142" s="116"/>
      <c r="DH142" s="116"/>
      <c r="DI142" s="116"/>
      <c r="DJ142" s="116"/>
      <c r="DK142" s="116"/>
      <c r="DL142" s="116"/>
      <c r="DM142" s="116"/>
      <c r="DN142" s="116"/>
      <c r="DO142" s="116"/>
      <c r="DP142" s="116"/>
      <c r="DQ142" s="116"/>
      <c r="DR142" s="116"/>
      <c r="DS142" s="116"/>
      <c r="DT142" s="116"/>
      <c r="DU142" s="116"/>
      <c r="DV142" s="116"/>
      <c r="DW142" s="116"/>
      <c r="DX142" s="116"/>
      <c r="DY142" s="116"/>
      <c r="DZ142" s="116"/>
      <c r="EA142" s="116"/>
      <c r="EB142" s="116"/>
      <c r="EC142" s="116"/>
      <c r="ED142" s="116"/>
      <c r="EE142" s="116"/>
      <c r="EF142" s="116"/>
      <c r="EG142" s="116"/>
      <c r="EH142" s="116"/>
      <c r="EI142" s="116"/>
      <c r="EJ142" s="116"/>
      <c r="EK142" s="116"/>
      <c r="EL142" s="116"/>
      <c r="EM142" s="116"/>
      <c r="EN142" s="116"/>
      <c r="EO142" s="116"/>
      <c r="EP142" s="116"/>
      <c r="EQ142" s="116"/>
      <c r="ER142" s="116"/>
      <c r="ES142" s="116"/>
      <c r="ET142" s="116"/>
      <c r="EU142" s="116"/>
      <c r="EV142" s="116"/>
      <c r="EW142" s="116"/>
      <c r="EX142" s="116"/>
      <c r="EY142" s="116"/>
      <c r="EZ142" s="116"/>
      <c r="FA142" s="116"/>
      <c r="FB142" s="116"/>
      <c r="FC142" s="116"/>
      <c r="FD142" s="116"/>
      <c r="FE142" s="116"/>
      <c r="FF142" s="116"/>
      <c r="FG142" s="116"/>
      <c r="FH142" s="116"/>
      <c r="FI142" s="116"/>
      <c r="FJ142" s="116"/>
      <c r="FK142" s="116"/>
      <c r="FL142" s="116"/>
      <c r="FM142" s="116"/>
      <c r="FN142" s="116"/>
      <c r="FO142" s="116"/>
      <c r="FP142" s="116"/>
      <c r="FQ142" s="116"/>
      <c r="FR142" s="116"/>
      <c r="FS142" s="116"/>
      <c r="FT142" s="116"/>
      <c r="FU142" s="116"/>
      <c r="FV142" s="116"/>
      <c r="FW142" s="116"/>
      <c r="FX142" s="116"/>
      <c r="FY142" s="116"/>
      <c r="FZ142" s="116"/>
      <c r="GA142" s="116"/>
      <c r="GB142" s="116"/>
      <c r="GC142" s="116"/>
      <c r="GD142" s="116"/>
      <c r="GE142" s="116"/>
      <c r="GF142" s="116"/>
      <c r="GG142" s="116"/>
      <c r="GH142" s="116"/>
    </row>
    <row r="143" spans="2:190" ht="12.7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c r="DB143" s="116"/>
      <c r="DC143" s="116"/>
      <c r="DD143" s="116"/>
      <c r="DE143" s="116"/>
      <c r="DF143" s="116"/>
      <c r="DG143" s="116"/>
      <c r="DH143" s="116"/>
      <c r="DI143" s="116"/>
      <c r="DJ143" s="116"/>
      <c r="DK143" s="116"/>
      <c r="DL143" s="116"/>
      <c r="DM143" s="116"/>
      <c r="DN143" s="116"/>
      <c r="DO143" s="116"/>
      <c r="DP143" s="116"/>
      <c r="DQ143" s="116"/>
      <c r="DR143" s="116"/>
      <c r="DS143" s="116"/>
      <c r="DT143" s="116"/>
      <c r="DU143" s="116"/>
      <c r="DV143" s="116"/>
      <c r="DW143" s="116"/>
      <c r="DX143" s="116"/>
      <c r="DY143" s="116"/>
      <c r="DZ143" s="116"/>
      <c r="EA143" s="116"/>
      <c r="EB143" s="116"/>
      <c r="EC143" s="116"/>
      <c r="ED143" s="116"/>
      <c r="EE143" s="116"/>
      <c r="EF143" s="116"/>
      <c r="EG143" s="116"/>
      <c r="EH143" s="116"/>
      <c r="EI143" s="116"/>
      <c r="EJ143" s="116"/>
      <c r="EK143" s="116"/>
      <c r="EL143" s="116"/>
      <c r="EM143" s="116"/>
      <c r="EN143" s="116"/>
      <c r="EO143" s="116"/>
      <c r="EP143" s="116"/>
      <c r="EQ143" s="116"/>
      <c r="ER143" s="116"/>
      <c r="ES143" s="116"/>
      <c r="ET143" s="116"/>
      <c r="EU143" s="116"/>
      <c r="EV143" s="116"/>
      <c r="EW143" s="116"/>
      <c r="EX143" s="116"/>
      <c r="EY143" s="116"/>
      <c r="EZ143" s="116"/>
      <c r="FA143" s="116"/>
      <c r="FB143" s="116"/>
      <c r="FC143" s="116"/>
      <c r="FD143" s="116"/>
      <c r="FE143" s="116"/>
      <c r="FF143" s="116"/>
      <c r="FG143" s="116"/>
      <c r="FH143" s="116"/>
      <c r="FI143" s="116"/>
      <c r="FJ143" s="116"/>
      <c r="FK143" s="116"/>
      <c r="FL143" s="116"/>
      <c r="FM143" s="116"/>
      <c r="FN143" s="116"/>
      <c r="FO143" s="116"/>
      <c r="FP143" s="116"/>
      <c r="FQ143" s="116"/>
      <c r="FR143" s="116"/>
      <c r="FS143" s="116"/>
      <c r="FT143" s="116"/>
      <c r="FU143" s="116"/>
      <c r="FV143" s="116"/>
      <c r="FW143" s="116"/>
      <c r="FX143" s="116"/>
      <c r="FY143" s="116"/>
      <c r="FZ143" s="116"/>
      <c r="GA143" s="116"/>
      <c r="GB143" s="116"/>
      <c r="GC143" s="116"/>
      <c r="GD143" s="116"/>
      <c r="GE143" s="116"/>
      <c r="GF143" s="116"/>
      <c r="GG143" s="116"/>
      <c r="GH143" s="116"/>
    </row>
    <row r="144" spans="2:190" ht="12.75">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c r="CM144" s="116"/>
      <c r="CN144" s="116"/>
      <c r="CO144" s="116"/>
      <c r="CP144" s="116"/>
      <c r="CQ144" s="116"/>
      <c r="CR144" s="116"/>
      <c r="CS144" s="116"/>
      <c r="CT144" s="116"/>
      <c r="CU144" s="116"/>
      <c r="CV144" s="116"/>
      <c r="CW144" s="116"/>
      <c r="CX144" s="116"/>
      <c r="CY144" s="116"/>
      <c r="CZ144" s="116"/>
      <c r="DA144" s="116"/>
      <c r="DB144" s="116"/>
      <c r="DC144" s="116"/>
      <c r="DD144" s="116"/>
      <c r="DE144" s="116"/>
      <c r="DF144" s="116"/>
      <c r="DG144" s="116"/>
      <c r="DH144" s="116"/>
      <c r="DI144" s="116"/>
      <c r="DJ144" s="116"/>
      <c r="DK144" s="116"/>
      <c r="DL144" s="116"/>
      <c r="DM144" s="116"/>
      <c r="DN144" s="116"/>
      <c r="DO144" s="116"/>
      <c r="DP144" s="116"/>
      <c r="DQ144" s="116"/>
      <c r="DR144" s="116"/>
      <c r="DS144" s="116"/>
      <c r="DT144" s="116"/>
      <c r="DU144" s="116"/>
      <c r="DV144" s="116"/>
      <c r="DW144" s="116"/>
      <c r="DX144" s="116"/>
      <c r="DY144" s="116"/>
      <c r="DZ144" s="116"/>
      <c r="EA144" s="116"/>
      <c r="EB144" s="116"/>
      <c r="EC144" s="116"/>
      <c r="ED144" s="116"/>
      <c r="EE144" s="116"/>
      <c r="EF144" s="116"/>
      <c r="EG144" s="116"/>
      <c r="EH144" s="116"/>
      <c r="EI144" s="116"/>
      <c r="EJ144" s="116"/>
      <c r="EK144" s="116"/>
      <c r="EL144" s="116"/>
      <c r="EM144" s="116"/>
      <c r="EN144" s="116"/>
      <c r="EO144" s="116"/>
      <c r="EP144" s="116"/>
      <c r="EQ144" s="116"/>
      <c r="ER144" s="116"/>
      <c r="ES144" s="116"/>
      <c r="ET144" s="116"/>
      <c r="EU144" s="116"/>
      <c r="EV144" s="116"/>
      <c r="EW144" s="116"/>
      <c r="EX144" s="116"/>
      <c r="EY144" s="116"/>
      <c r="EZ144" s="116"/>
      <c r="FA144" s="116"/>
      <c r="FB144" s="116"/>
      <c r="FC144" s="116"/>
      <c r="FD144" s="116"/>
      <c r="FE144" s="116"/>
      <c r="FF144" s="116"/>
      <c r="FG144" s="116"/>
      <c r="FH144" s="116"/>
      <c r="FI144" s="116"/>
      <c r="FJ144" s="116"/>
      <c r="FK144" s="116"/>
      <c r="FL144" s="116"/>
      <c r="FM144" s="116"/>
      <c r="FN144" s="116"/>
      <c r="FO144" s="116"/>
      <c r="FP144" s="116"/>
      <c r="FQ144" s="116"/>
      <c r="FR144" s="116"/>
      <c r="FS144" s="116"/>
      <c r="FT144" s="116"/>
      <c r="FU144" s="116"/>
      <c r="FV144" s="116"/>
      <c r="FW144" s="116"/>
      <c r="FX144" s="116"/>
      <c r="FY144" s="116"/>
      <c r="FZ144" s="116"/>
      <c r="GA144" s="116"/>
      <c r="GB144" s="116"/>
      <c r="GC144" s="116"/>
      <c r="GD144" s="116"/>
      <c r="GE144" s="116"/>
      <c r="GF144" s="116"/>
      <c r="GG144" s="116"/>
      <c r="GH144" s="116"/>
    </row>
    <row r="145" spans="2:190" ht="12.75">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c r="EI145" s="116"/>
      <c r="EJ145" s="116"/>
      <c r="EK145" s="116"/>
      <c r="EL145" s="116"/>
      <c r="EM145" s="116"/>
      <c r="EN145" s="116"/>
      <c r="EO145" s="116"/>
      <c r="EP145" s="116"/>
      <c r="EQ145" s="116"/>
      <c r="ER145" s="116"/>
      <c r="ES145" s="116"/>
      <c r="ET145" s="116"/>
      <c r="EU145" s="116"/>
      <c r="EV145" s="116"/>
      <c r="EW145" s="116"/>
      <c r="EX145" s="116"/>
      <c r="EY145" s="116"/>
      <c r="EZ145" s="116"/>
      <c r="FA145" s="116"/>
      <c r="FB145" s="116"/>
      <c r="FC145" s="116"/>
      <c r="FD145" s="116"/>
      <c r="FE145" s="116"/>
      <c r="FF145" s="116"/>
      <c r="FG145" s="116"/>
      <c r="FH145" s="116"/>
      <c r="FI145" s="116"/>
      <c r="FJ145" s="116"/>
      <c r="FK145" s="116"/>
      <c r="FL145" s="116"/>
      <c r="FM145" s="116"/>
      <c r="FN145" s="116"/>
      <c r="FO145" s="116"/>
      <c r="FP145" s="116"/>
      <c r="FQ145" s="116"/>
      <c r="FR145" s="116"/>
      <c r="FS145" s="116"/>
      <c r="FT145" s="116"/>
      <c r="FU145" s="116"/>
      <c r="FV145" s="116"/>
      <c r="FW145" s="116"/>
      <c r="FX145" s="116"/>
      <c r="FY145" s="116"/>
      <c r="FZ145" s="116"/>
      <c r="GA145" s="116"/>
      <c r="GB145" s="116"/>
      <c r="GC145" s="116"/>
      <c r="GD145" s="116"/>
      <c r="GE145" s="116"/>
      <c r="GF145" s="116"/>
      <c r="GG145" s="116"/>
      <c r="GH145" s="116"/>
    </row>
    <row r="146" spans="2:190" ht="12.75">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row>
    <row r="147" spans="2:190" ht="12.7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c r="EI147" s="116"/>
      <c r="EJ147" s="116"/>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c r="GE147" s="116"/>
      <c r="GF147" s="116"/>
      <c r="GG147" s="116"/>
      <c r="GH147" s="116"/>
    </row>
    <row r="148" spans="2:190" ht="12.75">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row>
    <row r="149" spans="2:190" ht="12.75">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116"/>
      <c r="CB149" s="116"/>
      <c r="CC149" s="116"/>
      <c r="CD149" s="116"/>
      <c r="CE149" s="116"/>
      <c r="CF149" s="116"/>
      <c r="CG149" s="116"/>
      <c r="CH149" s="116"/>
      <c r="CI149" s="116"/>
      <c r="CJ149" s="116"/>
      <c r="CK149" s="116"/>
      <c r="CL149" s="116"/>
      <c r="CM149" s="116"/>
      <c r="CN149" s="116"/>
      <c r="CO149" s="116"/>
      <c r="CP149" s="116"/>
      <c r="CQ149" s="116"/>
      <c r="CR149" s="116"/>
      <c r="CS149" s="116"/>
      <c r="CT149" s="116"/>
      <c r="CU149" s="116"/>
      <c r="CV149" s="116"/>
      <c r="CW149" s="116"/>
      <c r="CX149" s="116"/>
      <c r="CY149" s="116"/>
      <c r="CZ149" s="116"/>
      <c r="DA149" s="116"/>
      <c r="DB149" s="116"/>
      <c r="DC149" s="116"/>
      <c r="DD149" s="116"/>
      <c r="DE149" s="116"/>
      <c r="DF149" s="116"/>
      <c r="DG149" s="116"/>
      <c r="DH149" s="116"/>
      <c r="DI149" s="116"/>
      <c r="DJ149" s="116"/>
      <c r="DK149" s="116"/>
      <c r="DL149" s="116"/>
      <c r="DM149" s="116"/>
      <c r="DN149" s="116"/>
      <c r="DO149" s="116"/>
      <c r="DP149" s="116"/>
      <c r="DQ149" s="116"/>
      <c r="DR149" s="116"/>
      <c r="DS149" s="116"/>
      <c r="DT149" s="116"/>
      <c r="DU149" s="116"/>
      <c r="DV149" s="116"/>
      <c r="DW149" s="116"/>
      <c r="DX149" s="116"/>
      <c r="DY149" s="116"/>
      <c r="DZ149" s="116"/>
      <c r="EA149" s="116"/>
      <c r="EB149" s="116"/>
      <c r="EC149" s="116"/>
      <c r="ED149" s="116"/>
      <c r="EE149" s="116"/>
      <c r="EF149" s="116"/>
      <c r="EG149" s="116"/>
      <c r="EH149" s="116"/>
      <c r="EI149" s="116"/>
      <c r="EJ149" s="116"/>
      <c r="EK149" s="116"/>
      <c r="EL149" s="116"/>
      <c r="EM149" s="116"/>
      <c r="EN149" s="116"/>
      <c r="EO149" s="116"/>
      <c r="EP149" s="116"/>
      <c r="EQ149" s="116"/>
      <c r="ER149" s="116"/>
      <c r="ES149" s="116"/>
      <c r="ET149" s="116"/>
      <c r="EU149" s="116"/>
      <c r="EV149" s="116"/>
      <c r="EW149" s="116"/>
      <c r="EX149" s="116"/>
      <c r="EY149" s="116"/>
      <c r="EZ149" s="116"/>
      <c r="FA149" s="116"/>
      <c r="FB149" s="116"/>
      <c r="FC149" s="116"/>
      <c r="FD149" s="116"/>
      <c r="FE149" s="116"/>
      <c r="FF149" s="116"/>
      <c r="FG149" s="116"/>
      <c r="FH149" s="116"/>
      <c r="FI149" s="116"/>
      <c r="FJ149" s="116"/>
      <c r="FK149" s="116"/>
      <c r="FL149" s="116"/>
      <c r="FM149" s="116"/>
      <c r="FN149" s="116"/>
      <c r="FO149" s="116"/>
      <c r="FP149" s="116"/>
      <c r="FQ149" s="116"/>
      <c r="FR149" s="116"/>
      <c r="FS149" s="116"/>
      <c r="FT149" s="116"/>
      <c r="FU149" s="116"/>
      <c r="FV149" s="116"/>
      <c r="FW149" s="116"/>
      <c r="FX149" s="116"/>
      <c r="FY149" s="116"/>
      <c r="FZ149" s="116"/>
      <c r="GA149" s="116"/>
      <c r="GB149" s="116"/>
      <c r="GC149" s="116"/>
      <c r="GD149" s="116"/>
      <c r="GE149" s="116"/>
      <c r="GF149" s="116"/>
      <c r="GG149" s="116"/>
      <c r="GH149" s="116"/>
    </row>
    <row r="150" spans="2:190" ht="12.75">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c r="DB150" s="116"/>
      <c r="DC150" s="116"/>
      <c r="DD150" s="116"/>
      <c r="DE150" s="116"/>
      <c r="DF150" s="116"/>
      <c r="DG150" s="116"/>
      <c r="DH150" s="116"/>
      <c r="DI150" s="116"/>
      <c r="DJ150" s="116"/>
      <c r="DK150" s="116"/>
      <c r="DL150" s="116"/>
      <c r="DM150" s="116"/>
      <c r="DN150" s="116"/>
      <c r="DO150" s="116"/>
      <c r="DP150" s="116"/>
      <c r="DQ150" s="116"/>
      <c r="DR150" s="116"/>
      <c r="DS150" s="116"/>
      <c r="DT150" s="116"/>
      <c r="DU150" s="116"/>
      <c r="DV150" s="116"/>
      <c r="DW150" s="116"/>
      <c r="DX150" s="116"/>
      <c r="DY150" s="116"/>
      <c r="DZ150" s="116"/>
      <c r="EA150" s="116"/>
      <c r="EB150" s="116"/>
      <c r="EC150" s="116"/>
      <c r="ED150" s="116"/>
      <c r="EE150" s="116"/>
      <c r="EF150" s="116"/>
      <c r="EG150" s="116"/>
      <c r="EH150" s="116"/>
      <c r="EI150" s="116"/>
      <c r="EJ150" s="116"/>
      <c r="EK150" s="116"/>
      <c r="EL150" s="116"/>
      <c r="EM150" s="116"/>
      <c r="EN150" s="116"/>
      <c r="EO150" s="116"/>
      <c r="EP150" s="116"/>
      <c r="EQ150" s="116"/>
      <c r="ER150" s="116"/>
      <c r="ES150" s="116"/>
      <c r="ET150" s="116"/>
      <c r="EU150" s="116"/>
      <c r="EV150" s="116"/>
      <c r="EW150" s="116"/>
      <c r="EX150" s="116"/>
      <c r="EY150" s="116"/>
      <c r="EZ150" s="116"/>
      <c r="FA150" s="116"/>
      <c r="FB150" s="116"/>
      <c r="FC150" s="116"/>
      <c r="FD150" s="116"/>
      <c r="FE150" s="116"/>
      <c r="FF150" s="116"/>
      <c r="FG150" s="116"/>
      <c r="FH150" s="116"/>
      <c r="FI150" s="116"/>
      <c r="FJ150" s="116"/>
      <c r="FK150" s="116"/>
      <c r="FL150" s="116"/>
      <c r="FM150" s="116"/>
      <c r="FN150" s="116"/>
      <c r="FO150" s="116"/>
      <c r="FP150" s="116"/>
      <c r="FQ150" s="116"/>
      <c r="FR150" s="116"/>
      <c r="FS150" s="116"/>
      <c r="FT150" s="116"/>
      <c r="FU150" s="116"/>
      <c r="FV150" s="116"/>
      <c r="FW150" s="116"/>
      <c r="FX150" s="116"/>
      <c r="FY150" s="116"/>
      <c r="FZ150" s="116"/>
      <c r="GA150" s="116"/>
      <c r="GB150" s="116"/>
      <c r="GC150" s="116"/>
      <c r="GD150" s="116"/>
      <c r="GE150" s="116"/>
      <c r="GF150" s="116"/>
      <c r="GG150" s="116"/>
      <c r="GH150" s="116"/>
    </row>
    <row r="151" spans="2:190" ht="12.75">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116"/>
      <c r="BZ151" s="116"/>
      <c r="CA151" s="116"/>
      <c r="CB151" s="116"/>
      <c r="CC151" s="116"/>
      <c r="CD151" s="116"/>
      <c r="CE151" s="116"/>
      <c r="CF151" s="116"/>
      <c r="CG151" s="116"/>
      <c r="CH151" s="116"/>
      <c r="CI151" s="116"/>
      <c r="CJ151" s="116"/>
      <c r="CK151" s="116"/>
      <c r="CL151" s="116"/>
      <c r="CM151" s="116"/>
      <c r="CN151" s="116"/>
      <c r="CO151" s="116"/>
      <c r="CP151" s="116"/>
      <c r="CQ151" s="116"/>
      <c r="CR151" s="116"/>
      <c r="CS151" s="116"/>
      <c r="CT151" s="116"/>
      <c r="CU151" s="116"/>
      <c r="CV151" s="116"/>
      <c r="CW151" s="116"/>
      <c r="CX151" s="116"/>
      <c r="CY151" s="116"/>
      <c r="CZ151" s="116"/>
      <c r="DA151" s="116"/>
      <c r="DB151" s="116"/>
      <c r="DC151" s="116"/>
      <c r="DD151" s="116"/>
      <c r="DE151" s="116"/>
      <c r="DF151" s="116"/>
      <c r="DG151" s="116"/>
      <c r="DH151" s="116"/>
      <c r="DI151" s="116"/>
      <c r="DJ151" s="116"/>
      <c r="DK151" s="116"/>
      <c r="DL151" s="116"/>
      <c r="DM151" s="116"/>
      <c r="DN151" s="116"/>
      <c r="DO151" s="116"/>
      <c r="DP151" s="116"/>
      <c r="DQ151" s="116"/>
      <c r="DR151" s="116"/>
      <c r="DS151" s="116"/>
      <c r="DT151" s="116"/>
      <c r="DU151" s="116"/>
      <c r="DV151" s="116"/>
      <c r="DW151" s="116"/>
      <c r="DX151" s="116"/>
      <c r="DY151" s="116"/>
      <c r="DZ151" s="116"/>
      <c r="EA151" s="116"/>
      <c r="EB151" s="116"/>
      <c r="EC151" s="116"/>
      <c r="ED151" s="116"/>
      <c r="EE151" s="116"/>
      <c r="EF151" s="116"/>
      <c r="EG151" s="116"/>
      <c r="EH151" s="116"/>
      <c r="EI151" s="116"/>
      <c r="EJ151" s="116"/>
      <c r="EK151" s="116"/>
      <c r="EL151" s="116"/>
      <c r="EM151" s="116"/>
      <c r="EN151" s="116"/>
      <c r="EO151" s="116"/>
      <c r="EP151" s="116"/>
      <c r="EQ151" s="116"/>
      <c r="ER151" s="116"/>
      <c r="ES151" s="116"/>
      <c r="ET151" s="116"/>
      <c r="EU151" s="116"/>
      <c r="EV151" s="116"/>
      <c r="EW151" s="116"/>
      <c r="EX151" s="116"/>
      <c r="EY151" s="116"/>
      <c r="EZ151" s="116"/>
      <c r="FA151" s="116"/>
      <c r="FB151" s="116"/>
      <c r="FC151" s="116"/>
      <c r="FD151" s="116"/>
      <c r="FE151" s="116"/>
      <c r="FF151" s="116"/>
      <c r="FG151" s="116"/>
      <c r="FH151" s="116"/>
      <c r="FI151" s="116"/>
      <c r="FJ151" s="116"/>
      <c r="FK151" s="116"/>
      <c r="FL151" s="116"/>
      <c r="FM151" s="116"/>
      <c r="FN151" s="116"/>
      <c r="FO151" s="116"/>
      <c r="FP151" s="116"/>
      <c r="FQ151" s="116"/>
      <c r="FR151" s="116"/>
      <c r="FS151" s="116"/>
      <c r="FT151" s="116"/>
      <c r="FU151" s="116"/>
      <c r="FV151" s="116"/>
      <c r="FW151" s="116"/>
      <c r="FX151" s="116"/>
      <c r="FY151" s="116"/>
      <c r="FZ151" s="116"/>
      <c r="GA151" s="116"/>
      <c r="GB151" s="116"/>
      <c r="GC151" s="116"/>
      <c r="GD151" s="116"/>
      <c r="GE151" s="116"/>
      <c r="GF151" s="116"/>
      <c r="GG151" s="116"/>
      <c r="GH151" s="116"/>
    </row>
    <row r="152" spans="2:190" ht="12.75">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row>
    <row r="153" spans="2:190" ht="12.75">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c r="EI153" s="116"/>
      <c r="EJ153" s="116"/>
      <c r="EK153" s="116"/>
      <c r="EL153" s="116"/>
      <c r="EM153" s="116"/>
      <c r="EN153" s="116"/>
      <c r="EO153" s="116"/>
      <c r="EP153" s="116"/>
      <c r="EQ153" s="116"/>
      <c r="ER153" s="116"/>
      <c r="ES153" s="116"/>
      <c r="ET153" s="116"/>
      <c r="EU153" s="116"/>
      <c r="EV153" s="116"/>
      <c r="EW153" s="116"/>
      <c r="EX153" s="116"/>
      <c r="EY153" s="116"/>
      <c r="EZ153" s="116"/>
      <c r="FA153" s="116"/>
      <c r="FB153" s="116"/>
      <c r="FC153" s="116"/>
      <c r="FD153" s="116"/>
      <c r="FE153" s="116"/>
      <c r="FF153" s="116"/>
      <c r="FG153" s="116"/>
      <c r="FH153" s="116"/>
      <c r="FI153" s="116"/>
      <c r="FJ153" s="116"/>
      <c r="FK153" s="116"/>
      <c r="FL153" s="116"/>
      <c r="FM153" s="116"/>
      <c r="FN153" s="116"/>
      <c r="FO153" s="116"/>
      <c r="FP153" s="116"/>
      <c r="FQ153" s="116"/>
      <c r="FR153" s="116"/>
      <c r="FS153" s="116"/>
      <c r="FT153" s="116"/>
      <c r="FU153" s="116"/>
      <c r="FV153" s="116"/>
      <c r="FW153" s="116"/>
      <c r="FX153" s="116"/>
      <c r="FY153" s="116"/>
      <c r="FZ153" s="116"/>
      <c r="GA153" s="116"/>
      <c r="GB153" s="116"/>
      <c r="GC153" s="116"/>
      <c r="GD153" s="116"/>
      <c r="GE153" s="116"/>
      <c r="GF153" s="116"/>
      <c r="GG153" s="116"/>
      <c r="GH153" s="116"/>
    </row>
    <row r="154" spans="2:190" ht="12.75">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c r="FQ154" s="116"/>
      <c r="FR154" s="116"/>
      <c r="FS154" s="116"/>
      <c r="FT154" s="116"/>
      <c r="FU154" s="116"/>
      <c r="FV154" s="116"/>
      <c r="FW154" s="116"/>
      <c r="FX154" s="116"/>
      <c r="FY154" s="116"/>
      <c r="FZ154" s="116"/>
      <c r="GA154" s="116"/>
      <c r="GB154" s="116"/>
      <c r="GC154" s="116"/>
      <c r="GD154" s="116"/>
      <c r="GE154" s="116"/>
      <c r="GF154" s="116"/>
      <c r="GG154" s="116"/>
      <c r="GH154" s="116"/>
    </row>
    <row r="155" spans="2:190" ht="12.75">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c r="EI155" s="116"/>
      <c r="EJ155" s="116"/>
      <c r="EK155" s="116"/>
      <c r="EL155" s="116"/>
      <c r="EM155" s="116"/>
      <c r="EN155" s="116"/>
      <c r="EO155" s="116"/>
      <c r="EP155" s="116"/>
      <c r="EQ155" s="116"/>
      <c r="ER155" s="116"/>
      <c r="ES155" s="116"/>
      <c r="ET155" s="116"/>
      <c r="EU155" s="116"/>
      <c r="EV155" s="116"/>
      <c r="EW155" s="116"/>
      <c r="EX155" s="116"/>
      <c r="EY155" s="116"/>
      <c r="EZ155" s="116"/>
      <c r="FA155" s="116"/>
      <c r="FB155" s="116"/>
      <c r="FC155" s="116"/>
      <c r="FD155" s="116"/>
      <c r="FE155" s="116"/>
      <c r="FF155" s="116"/>
      <c r="FG155" s="116"/>
      <c r="FH155" s="116"/>
      <c r="FI155" s="116"/>
      <c r="FJ155" s="116"/>
      <c r="FK155" s="116"/>
      <c r="FL155" s="116"/>
      <c r="FM155" s="116"/>
      <c r="FN155" s="116"/>
      <c r="FO155" s="116"/>
      <c r="FP155" s="116"/>
      <c r="FQ155" s="116"/>
      <c r="FR155" s="116"/>
      <c r="FS155" s="116"/>
      <c r="FT155" s="116"/>
      <c r="FU155" s="116"/>
      <c r="FV155" s="116"/>
      <c r="FW155" s="116"/>
      <c r="FX155" s="116"/>
      <c r="FY155" s="116"/>
      <c r="FZ155" s="116"/>
      <c r="GA155" s="116"/>
      <c r="GB155" s="116"/>
      <c r="GC155" s="116"/>
      <c r="GD155" s="116"/>
      <c r="GE155" s="116"/>
      <c r="GF155" s="116"/>
      <c r="GG155" s="116"/>
      <c r="GH155" s="116"/>
    </row>
    <row r="156" spans="2:190" ht="12.75">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c r="EI156" s="116"/>
      <c r="EJ156" s="116"/>
      <c r="EK156" s="116"/>
      <c r="EL156" s="116"/>
      <c r="EM156" s="116"/>
      <c r="EN156" s="116"/>
      <c r="EO156" s="116"/>
      <c r="EP156" s="116"/>
      <c r="EQ156" s="116"/>
      <c r="ER156" s="116"/>
      <c r="ES156" s="116"/>
      <c r="ET156" s="116"/>
      <c r="EU156" s="116"/>
      <c r="EV156" s="116"/>
      <c r="EW156" s="116"/>
      <c r="EX156" s="116"/>
      <c r="EY156" s="116"/>
      <c r="EZ156" s="116"/>
      <c r="FA156" s="116"/>
      <c r="FB156" s="116"/>
      <c r="FC156" s="116"/>
      <c r="FD156" s="116"/>
      <c r="FE156" s="116"/>
      <c r="FF156" s="116"/>
      <c r="FG156" s="116"/>
      <c r="FH156" s="116"/>
      <c r="FI156" s="116"/>
      <c r="FJ156" s="116"/>
      <c r="FK156" s="116"/>
      <c r="FL156" s="116"/>
      <c r="FM156" s="116"/>
      <c r="FN156" s="116"/>
      <c r="FO156" s="116"/>
      <c r="FP156" s="116"/>
      <c r="FQ156" s="116"/>
      <c r="FR156" s="116"/>
      <c r="FS156" s="116"/>
      <c r="FT156" s="116"/>
      <c r="FU156" s="116"/>
      <c r="FV156" s="116"/>
      <c r="FW156" s="116"/>
      <c r="FX156" s="116"/>
      <c r="FY156" s="116"/>
      <c r="FZ156" s="116"/>
      <c r="GA156" s="116"/>
      <c r="GB156" s="116"/>
      <c r="GC156" s="116"/>
      <c r="GD156" s="116"/>
      <c r="GE156" s="116"/>
      <c r="GF156" s="116"/>
      <c r="GG156" s="116"/>
      <c r="GH156" s="116"/>
    </row>
    <row r="157" spans="2:190" ht="12.75">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c r="EI157" s="116"/>
      <c r="EJ157" s="116"/>
      <c r="EK157" s="116"/>
      <c r="EL157" s="116"/>
      <c r="EM157" s="116"/>
      <c r="EN157" s="116"/>
      <c r="EO157" s="116"/>
      <c r="EP157" s="116"/>
      <c r="EQ157" s="116"/>
      <c r="ER157" s="116"/>
      <c r="ES157" s="116"/>
      <c r="ET157" s="116"/>
      <c r="EU157" s="116"/>
      <c r="EV157" s="116"/>
      <c r="EW157" s="116"/>
      <c r="EX157" s="116"/>
      <c r="EY157" s="116"/>
      <c r="EZ157" s="116"/>
      <c r="FA157" s="116"/>
      <c r="FB157" s="116"/>
      <c r="FC157" s="116"/>
      <c r="FD157" s="116"/>
      <c r="FE157" s="116"/>
      <c r="FF157" s="116"/>
      <c r="FG157" s="116"/>
      <c r="FH157" s="116"/>
      <c r="FI157" s="116"/>
      <c r="FJ157" s="116"/>
      <c r="FK157" s="116"/>
      <c r="FL157" s="116"/>
      <c r="FM157" s="116"/>
      <c r="FN157" s="116"/>
      <c r="FO157" s="116"/>
      <c r="FP157" s="116"/>
      <c r="FQ157" s="116"/>
      <c r="FR157" s="116"/>
      <c r="FS157" s="116"/>
      <c r="FT157" s="116"/>
      <c r="FU157" s="116"/>
      <c r="FV157" s="116"/>
      <c r="FW157" s="116"/>
      <c r="FX157" s="116"/>
      <c r="FY157" s="116"/>
      <c r="FZ157" s="116"/>
      <c r="GA157" s="116"/>
      <c r="GB157" s="116"/>
      <c r="GC157" s="116"/>
      <c r="GD157" s="116"/>
      <c r="GE157" s="116"/>
      <c r="GF157" s="116"/>
      <c r="GG157" s="116"/>
      <c r="GH157" s="116"/>
    </row>
    <row r="158" spans="2:190" ht="12.75">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c r="EI158" s="116"/>
      <c r="EJ158" s="116"/>
      <c r="EK158" s="116"/>
      <c r="EL158" s="116"/>
      <c r="EM158" s="116"/>
      <c r="EN158" s="116"/>
      <c r="EO158" s="116"/>
      <c r="EP158" s="116"/>
      <c r="EQ158" s="116"/>
      <c r="ER158" s="116"/>
      <c r="ES158" s="116"/>
      <c r="ET158" s="116"/>
      <c r="EU158" s="116"/>
      <c r="EV158" s="116"/>
      <c r="EW158" s="116"/>
      <c r="EX158" s="116"/>
      <c r="EY158" s="116"/>
      <c r="EZ158" s="116"/>
      <c r="FA158" s="116"/>
      <c r="FB158" s="116"/>
      <c r="FC158" s="116"/>
      <c r="FD158" s="116"/>
      <c r="FE158" s="116"/>
      <c r="FF158" s="116"/>
      <c r="FG158" s="116"/>
      <c r="FH158" s="116"/>
      <c r="FI158" s="116"/>
      <c r="FJ158" s="116"/>
      <c r="FK158" s="116"/>
      <c r="FL158" s="116"/>
      <c r="FM158" s="116"/>
      <c r="FN158" s="116"/>
      <c r="FO158" s="116"/>
      <c r="FP158" s="116"/>
      <c r="FQ158" s="116"/>
      <c r="FR158" s="116"/>
      <c r="FS158" s="116"/>
      <c r="FT158" s="116"/>
      <c r="FU158" s="116"/>
      <c r="FV158" s="116"/>
      <c r="FW158" s="116"/>
      <c r="FX158" s="116"/>
      <c r="FY158" s="116"/>
      <c r="FZ158" s="116"/>
      <c r="GA158" s="116"/>
      <c r="GB158" s="116"/>
      <c r="GC158" s="116"/>
      <c r="GD158" s="116"/>
      <c r="GE158" s="116"/>
      <c r="GF158" s="116"/>
      <c r="GG158" s="116"/>
      <c r="GH158" s="116"/>
    </row>
    <row r="159" spans="2:190" ht="12.75">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c r="FQ159" s="116"/>
      <c r="FR159" s="116"/>
      <c r="FS159" s="116"/>
      <c r="FT159" s="116"/>
      <c r="FU159" s="116"/>
      <c r="FV159" s="116"/>
      <c r="FW159" s="116"/>
      <c r="FX159" s="116"/>
      <c r="FY159" s="116"/>
      <c r="FZ159" s="116"/>
      <c r="GA159" s="116"/>
      <c r="GB159" s="116"/>
      <c r="GC159" s="116"/>
      <c r="GD159" s="116"/>
      <c r="GE159" s="116"/>
      <c r="GF159" s="116"/>
      <c r="GG159" s="116"/>
      <c r="GH159" s="116"/>
    </row>
    <row r="160" spans="2:190" ht="12.75">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c r="FQ160" s="116"/>
      <c r="FR160" s="116"/>
      <c r="FS160" s="116"/>
      <c r="FT160" s="116"/>
      <c r="FU160" s="116"/>
      <c r="FV160" s="116"/>
      <c r="FW160" s="116"/>
      <c r="FX160" s="116"/>
      <c r="FY160" s="116"/>
      <c r="FZ160" s="116"/>
      <c r="GA160" s="116"/>
      <c r="GB160" s="116"/>
      <c r="GC160" s="116"/>
      <c r="GD160" s="116"/>
      <c r="GE160" s="116"/>
      <c r="GF160" s="116"/>
      <c r="GG160" s="116"/>
      <c r="GH160" s="116"/>
    </row>
    <row r="161" spans="2:190" ht="12.75">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c r="EI161" s="116"/>
      <c r="EJ161" s="116"/>
      <c r="EK161" s="116"/>
      <c r="EL161" s="116"/>
      <c r="EM161" s="116"/>
      <c r="EN161" s="116"/>
      <c r="EO161" s="116"/>
      <c r="EP161" s="116"/>
      <c r="EQ161" s="116"/>
      <c r="ER161" s="116"/>
      <c r="ES161" s="116"/>
      <c r="ET161" s="116"/>
      <c r="EU161" s="116"/>
      <c r="EV161" s="116"/>
      <c r="EW161" s="116"/>
      <c r="EX161" s="116"/>
      <c r="EY161" s="116"/>
      <c r="EZ161" s="116"/>
      <c r="FA161" s="116"/>
      <c r="FB161" s="116"/>
      <c r="FC161" s="116"/>
      <c r="FD161" s="116"/>
      <c r="FE161" s="116"/>
      <c r="FF161" s="116"/>
      <c r="FG161" s="116"/>
      <c r="FH161" s="116"/>
      <c r="FI161" s="116"/>
      <c r="FJ161" s="116"/>
      <c r="FK161" s="116"/>
      <c r="FL161" s="116"/>
      <c r="FM161" s="116"/>
      <c r="FN161" s="116"/>
      <c r="FO161" s="116"/>
      <c r="FP161" s="116"/>
      <c r="FQ161" s="116"/>
      <c r="FR161" s="116"/>
      <c r="FS161" s="116"/>
      <c r="FT161" s="116"/>
      <c r="FU161" s="116"/>
      <c r="FV161" s="116"/>
      <c r="FW161" s="116"/>
      <c r="FX161" s="116"/>
      <c r="FY161" s="116"/>
      <c r="FZ161" s="116"/>
      <c r="GA161" s="116"/>
      <c r="GB161" s="116"/>
      <c r="GC161" s="116"/>
      <c r="GD161" s="116"/>
      <c r="GE161" s="116"/>
      <c r="GF161" s="116"/>
      <c r="GG161" s="116"/>
      <c r="GH161" s="116"/>
    </row>
    <row r="162" spans="2:190" ht="12.75">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c r="EI162" s="116"/>
      <c r="EJ162" s="116"/>
      <c r="EK162" s="116"/>
      <c r="EL162" s="116"/>
      <c r="EM162" s="116"/>
      <c r="EN162" s="116"/>
      <c r="EO162" s="116"/>
      <c r="EP162" s="116"/>
      <c r="EQ162" s="116"/>
      <c r="ER162" s="116"/>
      <c r="ES162" s="116"/>
      <c r="ET162" s="116"/>
      <c r="EU162" s="116"/>
      <c r="EV162" s="116"/>
      <c r="EW162" s="116"/>
      <c r="EX162" s="116"/>
      <c r="EY162" s="116"/>
      <c r="EZ162" s="116"/>
      <c r="FA162" s="116"/>
      <c r="FB162" s="116"/>
      <c r="FC162" s="116"/>
      <c r="FD162" s="116"/>
      <c r="FE162" s="116"/>
      <c r="FF162" s="116"/>
      <c r="FG162" s="116"/>
      <c r="FH162" s="116"/>
      <c r="FI162" s="116"/>
      <c r="FJ162" s="116"/>
      <c r="FK162" s="116"/>
      <c r="FL162" s="116"/>
      <c r="FM162" s="116"/>
      <c r="FN162" s="116"/>
      <c r="FO162" s="116"/>
      <c r="FP162" s="116"/>
      <c r="FQ162" s="116"/>
      <c r="FR162" s="116"/>
      <c r="FS162" s="116"/>
      <c r="FT162" s="116"/>
      <c r="FU162" s="116"/>
      <c r="FV162" s="116"/>
      <c r="FW162" s="116"/>
      <c r="FX162" s="116"/>
      <c r="FY162" s="116"/>
      <c r="FZ162" s="116"/>
      <c r="GA162" s="116"/>
      <c r="GB162" s="116"/>
      <c r="GC162" s="116"/>
      <c r="GD162" s="116"/>
      <c r="GE162" s="116"/>
      <c r="GF162" s="116"/>
      <c r="GG162" s="116"/>
      <c r="GH162" s="116"/>
    </row>
    <row r="163" spans="2:190" ht="12.75">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c r="EI163" s="116"/>
      <c r="EJ163" s="116"/>
      <c r="EK163" s="116"/>
      <c r="EL163" s="116"/>
      <c r="EM163" s="116"/>
      <c r="EN163" s="116"/>
      <c r="EO163" s="116"/>
      <c r="EP163" s="116"/>
      <c r="EQ163" s="116"/>
      <c r="ER163" s="116"/>
      <c r="ES163" s="116"/>
      <c r="ET163" s="116"/>
      <c r="EU163" s="116"/>
      <c r="EV163" s="116"/>
      <c r="EW163" s="116"/>
      <c r="EX163" s="116"/>
      <c r="EY163" s="116"/>
      <c r="EZ163" s="116"/>
      <c r="FA163" s="116"/>
      <c r="FB163" s="116"/>
      <c r="FC163" s="116"/>
      <c r="FD163" s="116"/>
      <c r="FE163" s="116"/>
      <c r="FF163" s="116"/>
      <c r="FG163" s="116"/>
      <c r="FH163" s="116"/>
      <c r="FI163" s="116"/>
      <c r="FJ163" s="116"/>
      <c r="FK163" s="116"/>
      <c r="FL163" s="116"/>
      <c r="FM163" s="116"/>
      <c r="FN163" s="116"/>
      <c r="FO163" s="116"/>
      <c r="FP163" s="116"/>
      <c r="FQ163" s="116"/>
      <c r="FR163" s="116"/>
      <c r="FS163" s="116"/>
      <c r="FT163" s="116"/>
      <c r="FU163" s="116"/>
      <c r="FV163" s="116"/>
      <c r="FW163" s="116"/>
      <c r="FX163" s="116"/>
      <c r="FY163" s="116"/>
      <c r="FZ163" s="116"/>
      <c r="GA163" s="116"/>
      <c r="GB163" s="116"/>
      <c r="GC163" s="116"/>
      <c r="GD163" s="116"/>
      <c r="GE163" s="116"/>
      <c r="GF163" s="116"/>
      <c r="GG163" s="116"/>
      <c r="GH163" s="116"/>
    </row>
    <row r="164" spans="2:190" ht="12.75">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c r="EI164" s="116"/>
      <c r="EJ164" s="116"/>
      <c r="EK164" s="116"/>
      <c r="EL164" s="116"/>
      <c r="EM164" s="116"/>
      <c r="EN164" s="116"/>
      <c r="EO164" s="116"/>
      <c r="EP164" s="116"/>
      <c r="EQ164" s="116"/>
      <c r="ER164" s="116"/>
      <c r="ES164" s="116"/>
      <c r="ET164" s="116"/>
      <c r="EU164" s="116"/>
      <c r="EV164" s="116"/>
      <c r="EW164" s="116"/>
      <c r="EX164" s="116"/>
      <c r="EY164" s="116"/>
      <c r="EZ164" s="116"/>
      <c r="FA164" s="116"/>
      <c r="FB164" s="116"/>
      <c r="FC164" s="116"/>
      <c r="FD164" s="116"/>
      <c r="FE164" s="116"/>
      <c r="FF164" s="116"/>
      <c r="FG164" s="116"/>
      <c r="FH164" s="116"/>
      <c r="FI164" s="116"/>
      <c r="FJ164" s="116"/>
      <c r="FK164" s="116"/>
      <c r="FL164" s="116"/>
      <c r="FM164" s="116"/>
      <c r="FN164" s="116"/>
      <c r="FO164" s="116"/>
      <c r="FP164" s="116"/>
      <c r="FQ164" s="116"/>
      <c r="FR164" s="116"/>
      <c r="FS164" s="116"/>
      <c r="FT164" s="116"/>
      <c r="FU164" s="116"/>
      <c r="FV164" s="116"/>
      <c r="FW164" s="116"/>
      <c r="FX164" s="116"/>
      <c r="FY164" s="116"/>
      <c r="FZ164" s="116"/>
      <c r="GA164" s="116"/>
      <c r="GB164" s="116"/>
      <c r="GC164" s="116"/>
      <c r="GD164" s="116"/>
      <c r="GE164" s="116"/>
      <c r="GF164" s="116"/>
      <c r="GG164" s="116"/>
      <c r="GH164" s="116"/>
    </row>
    <row r="165" spans="2:190" ht="12.75">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c r="FQ165" s="116"/>
      <c r="FR165" s="116"/>
      <c r="FS165" s="116"/>
      <c r="FT165" s="116"/>
      <c r="FU165" s="116"/>
      <c r="FV165" s="116"/>
      <c r="FW165" s="116"/>
      <c r="FX165" s="116"/>
      <c r="FY165" s="116"/>
      <c r="FZ165" s="116"/>
      <c r="GA165" s="116"/>
      <c r="GB165" s="116"/>
      <c r="GC165" s="116"/>
      <c r="GD165" s="116"/>
      <c r="GE165" s="116"/>
      <c r="GF165" s="116"/>
      <c r="GG165" s="116"/>
      <c r="GH165" s="116"/>
    </row>
    <row r="166" spans="2:190" ht="12.75">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c r="EI166" s="116"/>
      <c r="EJ166" s="116"/>
      <c r="EK166" s="116"/>
      <c r="EL166" s="116"/>
      <c r="EM166" s="116"/>
      <c r="EN166" s="116"/>
      <c r="EO166" s="116"/>
      <c r="EP166" s="116"/>
      <c r="EQ166" s="116"/>
      <c r="ER166" s="116"/>
      <c r="ES166" s="116"/>
      <c r="ET166" s="116"/>
      <c r="EU166" s="116"/>
      <c r="EV166" s="116"/>
      <c r="EW166" s="116"/>
      <c r="EX166" s="116"/>
      <c r="EY166" s="116"/>
      <c r="EZ166" s="116"/>
      <c r="FA166" s="116"/>
      <c r="FB166" s="116"/>
      <c r="FC166" s="116"/>
      <c r="FD166" s="116"/>
      <c r="FE166" s="116"/>
      <c r="FF166" s="116"/>
      <c r="FG166" s="116"/>
      <c r="FH166" s="116"/>
      <c r="FI166" s="116"/>
      <c r="FJ166" s="116"/>
      <c r="FK166" s="116"/>
      <c r="FL166" s="116"/>
      <c r="FM166" s="116"/>
      <c r="FN166" s="116"/>
      <c r="FO166" s="116"/>
      <c r="FP166" s="116"/>
      <c r="FQ166" s="116"/>
      <c r="FR166" s="116"/>
      <c r="FS166" s="116"/>
      <c r="FT166" s="116"/>
      <c r="FU166" s="116"/>
      <c r="FV166" s="116"/>
      <c r="FW166" s="116"/>
      <c r="FX166" s="116"/>
      <c r="FY166" s="116"/>
      <c r="FZ166" s="116"/>
      <c r="GA166" s="116"/>
      <c r="GB166" s="116"/>
      <c r="GC166" s="116"/>
      <c r="GD166" s="116"/>
      <c r="GE166" s="116"/>
      <c r="GF166" s="116"/>
      <c r="GG166" s="116"/>
      <c r="GH166" s="116"/>
    </row>
    <row r="167" spans="2:190" ht="12.75">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c r="EI167" s="116"/>
      <c r="EJ167" s="116"/>
      <c r="EK167" s="116"/>
      <c r="EL167" s="116"/>
      <c r="EM167" s="116"/>
      <c r="EN167" s="116"/>
      <c r="EO167" s="116"/>
      <c r="EP167" s="116"/>
      <c r="EQ167" s="116"/>
      <c r="ER167" s="116"/>
      <c r="ES167" s="116"/>
      <c r="ET167" s="116"/>
      <c r="EU167" s="116"/>
      <c r="EV167" s="116"/>
      <c r="EW167" s="116"/>
      <c r="EX167" s="116"/>
      <c r="EY167" s="116"/>
      <c r="EZ167" s="116"/>
      <c r="FA167" s="116"/>
      <c r="FB167" s="116"/>
      <c r="FC167" s="116"/>
      <c r="FD167" s="116"/>
      <c r="FE167" s="116"/>
      <c r="FF167" s="116"/>
      <c r="FG167" s="116"/>
      <c r="FH167" s="116"/>
      <c r="FI167" s="116"/>
      <c r="FJ167" s="116"/>
      <c r="FK167" s="116"/>
      <c r="FL167" s="116"/>
      <c r="FM167" s="116"/>
      <c r="FN167" s="116"/>
      <c r="FO167" s="116"/>
      <c r="FP167" s="116"/>
      <c r="FQ167" s="116"/>
      <c r="FR167" s="116"/>
      <c r="FS167" s="116"/>
      <c r="FT167" s="116"/>
      <c r="FU167" s="116"/>
      <c r="FV167" s="116"/>
      <c r="FW167" s="116"/>
      <c r="FX167" s="116"/>
      <c r="FY167" s="116"/>
      <c r="FZ167" s="116"/>
      <c r="GA167" s="116"/>
      <c r="GB167" s="116"/>
      <c r="GC167" s="116"/>
      <c r="GD167" s="116"/>
      <c r="GE167" s="116"/>
      <c r="GF167" s="116"/>
      <c r="GG167" s="116"/>
      <c r="GH167" s="116"/>
    </row>
    <row r="168" spans="2:190" ht="12.75">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row>
    <row r="169" spans="2:190" ht="12.75">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c r="FQ169" s="116"/>
      <c r="FR169" s="116"/>
      <c r="FS169" s="116"/>
      <c r="FT169" s="116"/>
      <c r="FU169" s="116"/>
      <c r="FV169" s="116"/>
      <c r="FW169" s="116"/>
      <c r="FX169" s="116"/>
      <c r="FY169" s="116"/>
      <c r="FZ169" s="116"/>
      <c r="GA169" s="116"/>
      <c r="GB169" s="116"/>
      <c r="GC169" s="116"/>
      <c r="GD169" s="116"/>
      <c r="GE169" s="116"/>
      <c r="GF169" s="116"/>
      <c r="GG169" s="116"/>
      <c r="GH169" s="116"/>
    </row>
    <row r="170" spans="2:190" ht="12.75">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6"/>
      <c r="FU170" s="116"/>
      <c r="FV170" s="116"/>
      <c r="FW170" s="116"/>
      <c r="FX170" s="116"/>
      <c r="FY170" s="116"/>
      <c r="FZ170" s="116"/>
      <c r="GA170" s="116"/>
      <c r="GB170" s="116"/>
      <c r="GC170" s="116"/>
      <c r="GD170" s="116"/>
      <c r="GE170" s="116"/>
      <c r="GF170" s="116"/>
      <c r="GG170" s="116"/>
      <c r="GH170" s="116"/>
    </row>
    <row r="171" spans="2:190" ht="12.75">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c r="EI171" s="116"/>
      <c r="EJ171" s="116"/>
      <c r="EK171" s="116"/>
      <c r="EL171" s="116"/>
      <c r="EM171" s="116"/>
      <c r="EN171" s="116"/>
      <c r="EO171" s="116"/>
      <c r="EP171" s="116"/>
      <c r="EQ171" s="116"/>
      <c r="ER171" s="116"/>
      <c r="ES171" s="116"/>
      <c r="ET171" s="116"/>
      <c r="EU171" s="116"/>
      <c r="EV171" s="116"/>
      <c r="EW171" s="116"/>
      <c r="EX171" s="116"/>
      <c r="EY171" s="116"/>
      <c r="EZ171" s="116"/>
      <c r="FA171" s="116"/>
      <c r="FB171" s="116"/>
      <c r="FC171" s="116"/>
      <c r="FD171" s="116"/>
      <c r="FE171" s="116"/>
      <c r="FF171" s="116"/>
      <c r="FG171" s="116"/>
      <c r="FH171" s="116"/>
      <c r="FI171" s="116"/>
      <c r="FJ171" s="116"/>
      <c r="FK171" s="116"/>
      <c r="FL171" s="116"/>
      <c r="FM171" s="116"/>
      <c r="FN171" s="116"/>
      <c r="FO171" s="116"/>
      <c r="FP171" s="116"/>
      <c r="FQ171" s="116"/>
      <c r="FR171" s="116"/>
      <c r="FS171" s="116"/>
      <c r="FT171" s="116"/>
      <c r="FU171" s="116"/>
      <c r="FV171" s="116"/>
      <c r="FW171" s="116"/>
      <c r="FX171" s="116"/>
      <c r="FY171" s="116"/>
      <c r="FZ171" s="116"/>
      <c r="GA171" s="116"/>
      <c r="GB171" s="116"/>
      <c r="GC171" s="116"/>
      <c r="GD171" s="116"/>
      <c r="GE171" s="116"/>
      <c r="GF171" s="116"/>
      <c r="GG171" s="116"/>
      <c r="GH171" s="116"/>
    </row>
    <row r="172" spans="2:190" ht="12.75">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row>
    <row r="173" spans="2:190" ht="12.75">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6"/>
      <c r="FU173" s="116"/>
      <c r="FV173" s="116"/>
      <c r="FW173" s="116"/>
      <c r="FX173" s="116"/>
      <c r="FY173" s="116"/>
      <c r="FZ173" s="116"/>
      <c r="GA173" s="116"/>
      <c r="GB173" s="116"/>
      <c r="GC173" s="116"/>
      <c r="GD173" s="116"/>
      <c r="GE173" s="116"/>
      <c r="GF173" s="116"/>
      <c r="GG173" s="116"/>
      <c r="GH173" s="116"/>
    </row>
    <row r="174" spans="2:190" ht="12.75">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row>
    <row r="175" spans="2:190" ht="12.75">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116"/>
      <c r="FK175" s="116"/>
      <c r="FL175" s="116"/>
      <c r="FM175" s="116"/>
      <c r="FN175" s="116"/>
      <c r="FO175" s="116"/>
      <c r="FP175" s="116"/>
      <c r="FQ175" s="116"/>
      <c r="FR175" s="116"/>
      <c r="FS175" s="116"/>
      <c r="FT175" s="116"/>
      <c r="FU175" s="116"/>
      <c r="FV175" s="116"/>
      <c r="FW175" s="116"/>
      <c r="FX175" s="116"/>
      <c r="FY175" s="116"/>
      <c r="FZ175" s="116"/>
      <c r="GA175" s="116"/>
      <c r="GB175" s="116"/>
      <c r="GC175" s="116"/>
      <c r="GD175" s="116"/>
      <c r="GE175" s="116"/>
      <c r="GF175" s="116"/>
      <c r="GG175" s="116"/>
      <c r="GH175" s="116"/>
    </row>
    <row r="176" spans="2:190" ht="12.75">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c r="FQ176" s="116"/>
      <c r="FR176" s="116"/>
      <c r="FS176" s="116"/>
      <c r="FT176" s="116"/>
      <c r="FU176" s="116"/>
      <c r="FV176" s="116"/>
      <c r="FW176" s="116"/>
      <c r="FX176" s="116"/>
      <c r="FY176" s="116"/>
      <c r="FZ176" s="116"/>
      <c r="GA176" s="116"/>
      <c r="GB176" s="116"/>
      <c r="GC176" s="116"/>
      <c r="GD176" s="116"/>
      <c r="GE176" s="116"/>
      <c r="GF176" s="116"/>
      <c r="GG176" s="116"/>
      <c r="GH176" s="116"/>
    </row>
    <row r="177" spans="2:190" ht="12.75">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c r="FQ177" s="116"/>
      <c r="FR177" s="116"/>
      <c r="FS177" s="116"/>
      <c r="FT177" s="116"/>
      <c r="FU177" s="116"/>
      <c r="FV177" s="116"/>
      <c r="FW177" s="116"/>
      <c r="FX177" s="116"/>
      <c r="FY177" s="116"/>
      <c r="FZ177" s="116"/>
      <c r="GA177" s="116"/>
      <c r="GB177" s="116"/>
      <c r="GC177" s="116"/>
      <c r="GD177" s="116"/>
      <c r="GE177" s="116"/>
      <c r="GF177" s="116"/>
      <c r="GG177" s="116"/>
      <c r="GH177" s="116"/>
    </row>
    <row r="178" spans="2:190" ht="12.75">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6"/>
      <c r="FU178" s="116"/>
      <c r="FV178" s="116"/>
      <c r="FW178" s="116"/>
      <c r="FX178" s="116"/>
      <c r="FY178" s="116"/>
      <c r="FZ178" s="116"/>
      <c r="GA178" s="116"/>
      <c r="GB178" s="116"/>
      <c r="GC178" s="116"/>
      <c r="GD178" s="116"/>
      <c r="GE178" s="116"/>
      <c r="GF178" s="116"/>
      <c r="GG178" s="116"/>
      <c r="GH178" s="116"/>
    </row>
    <row r="179" spans="2:190" ht="12.75">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c r="EI179" s="116"/>
      <c r="EJ179" s="116"/>
      <c r="EK179" s="116"/>
      <c r="EL179" s="116"/>
      <c r="EM179" s="116"/>
      <c r="EN179" s="116"/>
      <c r="EO179" s="116"/>
      <c r="EP179" s="116"/>
      <c r="EQ179" s="116"/>
      <c r="ER179" s="116"/>
      <c r="ES179" s="116"/>
      <c r="ET179" s="116"/>
      <c r="EU179" s="116"/>
      <c r="EV179" s="116"/>
      <c r="EW179" s="116"/>
      <c r="EX179" s="116"/>
      <c r="EY179" s="116"/>
      <c r="EZ179" s="116"/>
      <c r="FA179" s="116"/>
      <c r="FB179" s="116"/>
      <c r="FC179" s="116"/>
      <c r="FD179" s="116"/>
      <c r="FE179" s="116"/>
      <c r="FF179" s="116"/>
      <c r="FG179" s="116"/>
      <c r="FH179" s="116"/>
      <c r="FI179" s="116"/>
      <c r="FJ179" s="116"/>
      <c r="FK179" s="116"/>
      <c r="FL179" s="116"/>
      <c r="FM179" s="116"/>
      <c r="FN179" s="116"/>
      <c r="FO179" s="116"/>
      <c r="FP179" s="116"/>
      <c r="FQ179" s="116"/>
      <c r="FR179" s="116"/>
      <c r="FS179" s="116"/>
      <c r="FT179" s="116"/>
      <c r="FU179" s="116"/>
      <c r="FV179" s="116"/>
      <c r="FW179" s="116"/>
      <c r="FX179" s="116"/>
      <c r="FY179" s="116"/>
      <c r="FZ179" s="116"/>
      <c r="GA179" s="116"/>
      <c r="GB179" s="116"/>
      <c r="GC179" s="116"/>
      <c r="GD179" s="116"/>
      <c r="GE179" s="116"/>
      <c r="GF179" s="116"/>
      <c r="GG179" s="116"/>
      <c r="GH179" s="116"/>
    </row>
    <row r="180" spans="2:190" ht="12.75">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c r="FQ180" s="116"/>
      <c r="FR180" s="116"/>
      <c r="FS180" s="116"/>
      <c r="FT180" s="116"/>
      <c r="FU180" s="116"/>
      <c r="FV180" s="116"/>
      <c r="FW180" s="116"/>
      <c r="FX180" s="116"/>
      <c r="FY180" s="116"/>
      <c r="FZ180" s="116"/>
      <c r="GA180" s="116"/>
      <c r="GB180" s="116"/>
      <c r="GC180" s="116"/>
      <c r="GD180" s="116"/>
      <c r="GE180" s="116"/>
      <c r="GF180" s="116"/>
      <c r="GG180" s="116"/>
      <c r="GH180" s="116"/>
    </row>
    <row r="181" spans="2:190" ht="12.75">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c r="FR181" s="116"/>
      <c r="FS181" s="116"/>
      <c r="FT181" s="116"/>
      <c r="FU181" s="116"/>
      <c r="FV181" s="116"/>
      <c r="FW181" s="116"/>
      <c r="FX181" s="116"/>
      <c r="FY181" s="116"/>
      <c r="FZ181" s="116"/>
      <c r="GA181" s="116"/>
      <c r="GB181" s="116"/>
      <c r="GC181" s="116"/>
      <c r="GD181" s="116"/>
      <c r="GE181" s="116"/>
      <c r="GF181" s="116"/>
      <c r="GG181" s="116"/>
      <c r="GH181" s="116"/>
    </row>
    <row r="182" spans="2:190" ht="12.75">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6"/>
      <c r="FU182" s="116"/>
      <c r="FV182" s="116"/>
      <c r="FW182" s="116"/>
      <c r="FX182" s="116"/>
      <c r="FY182" s="116"/>
      <c r="FZ182" s="116"/>
      <c r="GA182" s="116"/>
      <c r="GB182" s="116"/>
      <c r="GC182" s="116"/>
      <c r="GD182" s="116"/>
      <c r="GE182" s="116"/>
      <c r="GF182" s="116"/>
      <c r="GG182" s="116"/>
      <c r="GH182" s="116"/>
    </row>
    <row r="183" spans="2:190" ht="12.75">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c r="FQ183" s="116"/>
      <c r="FR183" s="116"/>
      <c r="FS183" s="116"/>
      <c r="FT183" s="116"/>
      <c r="FU183" s="116"/>
      <c r="FV183" s="116"/>
      <c r="FW183" s="116"/>
      <c r="FX183" s="116"/>
      <c r="FY183" s="116"/>
      <c r="FZ183" s="116"/>
      <c r="GA183" s="116"/>
      <c r="GB183" s="116"/>
      <c r="GC183" s="116"/>
      <c r="GD183" s="116"/>
      <c r="GE183" s="116"/>
      <c r="GF183" s="116"/>
      <c r="GG183" s="116"/>
      <c r="GH183" s="116"/>
    </row>
    <row r="184" spans="2:190" ht="12.75">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row>
    <row r="185" spans="2:190" ht="12.75">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6"/>
      <c r="FS185" s="116"/>
      <c r="FT185" s="116"/>
      <c r="FU185" s="116"/>
      <c r="FV185" s="116"/>
      <c r="FW185" s="116"/>
      <c r="FX185" s="116"/>
      <c r="FY185" s="116"/>
      <c r="FZ185" s="116"/>
      <c r="GA185" s="116"/>
      <c r="GB185" s="116"/>
      <c r="GC185" s="116"/>
      <c r="GD185" s="116"/>
      <c r="GE185" s="116"/>
      <c r="GF185" s="116"/>
      <c r="GG185" s="116"/>
      <c r="GH185" s="116"/>
    </row>
    <row r="186" spans="2:190" ht="12.75">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6"/>
      <c r="FU186" s="116"/>
      <c r="FV186" s="116"/>
      <c r="FW186" s="116"/>
      <c r="FX186" s="116"/>
      <c r="FY186" s="116"/>
      <c r="FZ186" s="116"/>
      <c r="GA186" s="116"/>
      <c r="GB186" s="116"/>
      <c r="GC186" s="116"/>
      <c r="GD186" s="116"/>
      <c r="GE186" s="116"/>
      <c r="GF186" s="116"/>
      <c r="GG186" s="116"/>
      <c r="GH186" s="116"/>
    </row>
    <row r="187" spans="2:190" ht="12.75">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row>
    <row r="188" spans="2:190" ht="12.75">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16"/>
      <c r="FG188" s="116"/>
      <c r="FH188" s="116"/>
      <c r="FI188" s="116"/>
      <c r="FJ188" s="116"/>
      <c r="FK188" s="116"/>
      <c r="FL188" s="116"/>
      <c r="FM188" s="116"/>
      <c r="FN188" s="116"/>
      <c r="FO188" s="116"/>
      <c r="FP188" s="116"/>
      <c r="FQ188" s="116"/>
      <c r="FR188" s="116"/>
      <c r="FS188" s="116"/>
      <c r="FT188" s="116"/>
      <c r="FU188" s="116"/>
      <c r="FV188" s="116"/>
      <c r="FW188" s="116"/>
      <c r="FX188" s="116"/>
      <c r="FY188" s="116"/>
      <c r="FZ188" s="116"/>
      <c r="GA188" s="116"/>
      <c r="GB188" s="116"/>
      <c r="GC188" s="116"/>
      <c r="GD188" s="116"/>
      <c r="GE188" s="116"/>
      <c r="GF188" s="116"/>
      <c r="GG188" s="116"/>
      <c r="GH188" s="116"/>
    </row>
    <row r="189" spans="2:190" ht="12.75">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116"/>
      <c r="FK189" s="116"/>
      <c r="FL189" s="116"/>
      <c r="FM189" s="116"/>
      <c r="FN189" s="116"/>
      <c r="FO189" s="116"/>
      <c r="FP189" s="116"/>
      <c r="FQ189" s="116"/>
      <c r="FR189" s="116"/>
      <c r="FS189" s="116"/>
      <c r="FT189" s="116"/>
      <c r="FU189" s="116"/>
      <c r="FV189" s="116"/>
      <c r="FW189" s="116"/>
      <c r="FX189" s="116"/>
      <c r="FY189" s="116"/>
      <c r="FZ189" s="116"/>
      <c r="GA189" s="116"/>
      <c r="GB189" s="116"/>
      <c r="GC189" s="116"/>
      <c r="GD189" s="116"/>
      <c r="GE189" s="116"/>
      <c r="GF189" s="116"/>
      <c r="GG189" s="116"/>
      <c r="GH189" s="116"/>
    </row>
    <row r="190" spans="2:190" ht="12.75">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6"/>
      <c r="FU190" s="116"/>
      <c r="FV190" s="116"/>
      <c r="FW190" s="116"/>
      <c r="FX190" s="116"/>
      <c r="FY190" s="116"/>
      <c r="FZ190" s="116"/>
      <c r="GA190" s="116"/>
      <c r="GB190" s="116"/>
      <c r="GC190" s="116"/>
      <c r="GD190" s="116"/>
      <c r="GE190" s="116"/>
      <c r="GF190" s="116"/>
      <c r="GG190" s="116"/>
      <c r="GH190" s="116"/>
    </row>
    <row r="191" spans="2:190" ht="12.75">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c r="FL191" s="116"/>
      <c r="FM191" s="116"/>
      <c r="FN191" s="116"/>
      <c r="FO191" s="116"/>
      <c r="FP191" s="116"/>
      <c r="FQ191" s="116"/>
      <c r="FR191" s="116"/>
      <c r="FS191" s="116"/>
      <c r="FT191" s="116"/>
      <c r="FU191" s="116"/>
      <c r="FV191" s="116"/>
      <c r="FW191" s="116"/>
      <c r="FX191" s="116"/>
      <c r="FY191" s="116"/>
      <c r="FZ191" s="116"/>
      <c r="GA191" s="116"/>
      <c r="GB191" s="116"/>
      <c r="GC191" s="116"/>
      <c r="GD191" s="116"/>
      <c r="GE191" s="116"/>
      <c r="GF191" s="116"/>
      <c r="GG191" s="116"/>
      <c r="GH191" s="116"/>
    </row>
    <row r="192" spans="2:190" ht="12.75">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c r="FF192" s="116"/>
      <c r="FG192" s="116"/>
      <c r="FH192" s="116"/>
      <c r="FI192" s="116"/>
      <c r="FJ192" s="116"/>
      <c r="FK192" s="116"/>
      <c r="FL192" s="116"/>
      <c r="FM192" s="116"/>
      <c r="FN192" s="116"/>
      <c r="FO192" s="116"/>
      <c r="FP192" s="116"/>
      <c r="FQ192" s="116"/>
      <c r="FR192" s="116"/>
      <c r="FS192" s="116"/>
      <c r="FT192" s="116"/>
      <c r="FU192" s="116"/>
      <c r="FV192" s="116"/>
      <c r="FW192" s="116"/>
      <c r="FX192" s="116"/>
      <c r="FY192" s="116"/>
      <c r="FZ192" s="116"/>
      <c r="GA192" s="116"/>
      <c r="GB192" s="116"/>
      <c r="GC192" s="116"/>
      <c r="GD192" s="116"/>
      <c r="GE192" s="116"/>
      <c r="GF192" s="116"/>
      <c r="GG192" s="116"/>
      <c r="GH192" s="116"/>
    </row>
    <row r="193" spans="2:190" ht="12.75">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c r="FQ193" s="116"/>
      <c r="FR193" s="116"/>
      <c r="FS193" s="116"/>
      <c r="FT193" s="116"/>
      <c r="FU193" s="116"/>
      <c r="FV193" s="116"/>
      <c r="FW193" s="116"/>
      <c r="FX193" s="116"/>
      <c r="FY193" s="116"/>
      <c r="FZ193" s="116"/>
      <c r="GA193" s="116"/>
      <c r="GB193" s="116"/>
      <c r="GC193" s="116"/>
      <c r="GD193" s="116"/>
      <c r="GE193" s="116"/>
      <c r="GF193" s="116"/>
      <c r="GG193" s="116"/>
      <c r="GH193" s="116"/>
    </row>
    <row r="194" spans="2:190" ht="12.75">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6"/>
      <c r="FU194" s="116"/>
      <c r="FV194" s="116"/>
      <c r="FW194" s="116"/>
      <c r="FX194" s="116"/>
      <c r="FY194" s="116"/>
      <c r="FZ194" s="116"/>
      <c r="GA194" s="116"/>
      <c r="GB194" s="116"/>
      <c r="GC194" s="116"/>
      <c r="GD194" s="116"/>
      <c r="GE194" s="116"/>
      <c r="GF194" s="116"/>
      <c r="GG194" s="116"/>
      <c r="GH194" s="116"/>
    </row>
    <row r="195" spans="2:190" ht="12.75">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c r="FF195" s="116"/>
      <c r="FG195" s="116"/>
      <c r="FH195" s="116"/>
      <c r="FI195" s="116"/>
      <c r="FJ195" s="116"/>
      <c r="FK195" s="116"/>
      <c r="FL195" s="116"/>
      <c r="FM195" s="116"/>
      <c r="FN195" s="116"/>
      <c r="FO195" s="116"/>
      <c r="FP195" s="116"/>
      <c r="FQ195" s="116"/>
      <c r="FR195" s="116"/>
      <c r="FS195" s="116"/>
      <c r="FT195" s="116"/>
      <c r="FU195" s="116"/>
      <c r="FV195" s="116"/>
      <c r="FW195" s="116"/>
      <c r="FX195" s="116"/>
      <c r="FY195" s="116"/>
      <c r="FZ195" s="116"/>
      <c r="GA195" s="116"/>
      <c r="GB195" s="116"/>
      <c r="GC195" s="116"/>
      <c r="GD195" s="116"/>
      <c r="GE195" s="116"/>
      <c r="GF195" s="116"/>
      <c r="GG195" s="116"/>
      <c r="GH195" s="116"/>
    </row>
    <row r="196" spans="2:190" ht="12.75">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c r="EI196" s="116"/>
      <c r="EJ196" s="116"/>
      <c r="EK196" s="116"/>
      <c r="EL196" s="116"/>
      <c r="EM196" s="116"/>
      <c r="EN196" s="116"/>
      <c r="EO196" s="116"/>
      <c r="EP196" s="116"/>
      <c r="EQ196" s="116"/>
      <c r="ER196" s="116"/>
      <c r="ES196" s="116"/>
      <c r="ET196" s="116"/>
      <c r="EU196" s="116"/>
      <c r="EV196" s="116"/>
      <c r="EW196" s="116"/>
      <c r="EX196" s="116"/>
      <c r="EY196" s="116"/>
      <c r="EZ196" s="116"/>
      <c r="FA196" s="116"/>
      <c r="FB196" s="116"/>
      <c r="FC196" s="116"/>
      <c r="FD196" s="116"/>
      <c r="FE196" s="116"/>
      <c r="FF196" s="116"/>
      <c r="FG196" s="116"/>
      <c r="FH196" s="116"/>
      <c r="FI196" s="116"/>
      <c r="FJ196" s="116"/>
      <c r="FK196" s="116"/>
      <c r="FL196" s="116"/>
      <c r="FM196" s="116"/>
      <c r="FN196" s="116"/>
      <c r="FO196" s="116"/>
      <c r="FP196" s="116"/>
      <c r="FQ196" s="116"/>
      <c r="FR196" s="116"/>
      <c r="FS196" s="116"/>
      <c r="FT196" s="116"/>
      <c r="FU196" s="116"/>
      <c r="FV196" s="116"/>
      <c r="FW196" s="116"/>
      <c r="FX196" s="116"/>
      <c r="FY196" s="116"/>
      <c r="FZ196" s="116"/>
      <c r="GA196" s="116"/>
      <c r="GB196" s="116"/>
      <c r="GC196" s="116"/>
      <c r="GD196" s="116"/>
      <c r="GE196" s="116"/>
      <c r="GF196" s="116"/>
      <c r="GG196" s="116"/>
      <c r="GH196" s="116"/>
    </row>
    <row r="197" spans="2:190" ht="12.75">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6"/>
      <c r="FU197" s="116"/>
      <c r="FV197" s="116"/>
      <c r="FW197" s="116"/>
      <c r="FX197" s="116"/>
      <c r="FY197" s="116"/>
      <c r="FZ197" s="116"/>
      <c r="GA197" s="116"/>
      <c r="GB197" s="116"/>
      <c r="GC197" s="116"/>
      <c r="GD197" s="116"/>
      <c r="GE197" s="116"/>
      <c r="GF197" s="116"/>
      <c r="GG197" s="116"/>
      <c r="GH197" s="116"/>
    </row>
    <row r="198" spans="2:190" ht="12.75">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6"/>
      <c r="EG198" s="116"/>
      <c r="EH198" s="116"/>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6"/>
      <c r="FU198" s="116"/>
      <c r="FV198" s="116"/>
      <c r="FW198" s="116"/>
      <c r="FX198" s="116"/>
      <c r="FY198" s="116"/>
      <c r="FZ198" s="116"/>
      <c r="GA198" s="116"/>
      <c r="GB198" s="116"/>
      <c r="GC198" s="116"/>
      <c r="GD198" s="116"/>
      <c r="GE198" s="116"/>
      <c r="GF198" s="116"/>
      <c r="GG198" s="116"/>
      <c r="GH198" s="116"/>
    </row>
    <row r="199" spans="2:190" ht="12.75">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c r="DP199" s="116"/>
      <c r="DQ199" s="116"/>
      <c r="DR199" s="116"/>
      <c r="DS199" s="116"/>
      <c r="DT199" s="116"/>
      <c r="DU199" s="116"/>
      <c r="DV199" s="116"/>
      <c r="DW199" s="116"/>
      <c r="DX199" s="116"/>
      <c r="DY199" s="116"/>
      <c r="DZ199" s="116"/>
      <c r="EA199" s="116"/>
      <c r="EB199" s="116"/>
      <c r="EC199" s="116"/>
      <c r="ED199" s="116"/>
      <c r="EE199" s="116"/>
      <c r="EF199" s="116"/>
      <c r="EG199" s="116"/>
      <c r="EH199" s="116"/>
      <c r="EI199" s="116"/>
      <c r="EJ199" s="116"/>
      <c r="EK199" s="116"/>
      <c r="EL199" s="116"/>
      <c r="EM199" s="116"/>
      <c r="EN199" s="116"/>
      <c r="EO199" s="116"/>
      <c r="EP199" s="116"/>
      <c r="EQ199" s="116"/>
      <c r="ER199" s="116"/>
      <c r="ES199" s="116"/>
      <c r="ET199" s="116"/>
      <c r="EU199" s="116"/>
      <c r="EV199" s="116"/>
      <c r="EW199" s="116"/>
      <c r="EX199" s="116"/>
      <c r="EY199" s="116"/>
      <c r="EZ199" s="116"/>
      <c r="FA199" s="116"/>
      <c r="FB199" s="116"/>
      <c r="FC199" s="116"/>
      <c r="FD199" s="116"/>
      <c r="FE199" s="116"/>
      <c r="FF199" s="116"/>
      <c r="FG199" s="116"/>
      <c r="FH199" s="116"/>
      <c r="FI199" s="116"/>
      <c r="FJ199" s="116"/>
      <c r="FK199" s="116"/>
      <c r="FL199" s="116"/>
      <c r="FM199" s="116"/>
      <c r="FN199" s="116"/>
      <c r="FO199" s="116"/>
      <c r="FP199" s="116"/>
      <c r="FQ199" s="116"/>
      <c r="FR199" s="116"/>
      <c r="FS199" s="116"/>
      <c r="FT199" s="116"/>
      <c r="FU199" s="116"/>
      <c r="FV199" s="116"/>
      <c r="FW199" s="116"/>
      <c r="FX199" s="116"/>
      <c r="FY199" s="116"/>
      <c r="FZ199" s="116"/>
      <c r="GA199" s="116"/>
      <c r="GB199" s="116"/>
      <c r="GC199" s="116"/>
      <c r="GD199" s="116"/>
      <c r="GE199" s="116"/>
      <c r="GF199" s="116"/>
      <c r="GG199" s="116"/>
      <c r="GH199" s="116"/>
    </row>
    <row r="200" spans="2:190" ht="12.75">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c r="FF200" s="116"/>
      <c r="FG200" s="116"/>
      <c r="FH200" s="116"/>
      <c r="FI200" s="116"/>
      <c r="FJ200" s="116"/>
      <c r="FK200" s="116"/>
      <c r="FL200" s="116"/>
      <c r="FM200" s="116"/>
      <c r="FN200" s="116"/>
      <c r="FO200" s="116"/>
      <c r="FP200" s="116"/>
      <c r="FQ200" s="116"/>
      <c r="FR200" s="116"/>
      <c r="FS200" s="116"/>
      <c r="FT200" s="116"/>
      <c r="FU200" s="116"/>
      <c r="FV200" s="116"/>
      <c r="FW200" s="116"/>
      <c r="FX200" s="116"/>
      <c r="FY200" s="116"/>
      <c r="FZ200" s="116"/>
      <c r="GA200" s="116"/>
      <c r="GB200" s="116"/>
      <c r="GC200" s="116"/>
      <c r="GD200" s="116"/>
      <c r="GE200" s="116"/>
      <c r="GF200" s="116"/>
      <c r="GG200" s="116"/>
      <c r="GH200" s="116"/>
    </row>
    <row r="201" spans="2:190" ht="12.75">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6"/>
      <c r="EG201" s="116"/>
      <c r="EH201" s="116"/>
      <c r="EI201" s="116"/>
      <c r="EJ201" s="116"/>
      <c r="EK201" s="116"/>
      <c r="EL201" s="116"/>
      <c r="EM201" s="116"/>
      <c r="EN201" s="116"/>
      <c r="EO201" s="116"/>
      <c r="EP201" s="116"/>
      <c r="EQ201" s="116"/>
      <c r="ER201" s="116"/>
      <c r="ES201" s="116"/>
      <c r="ET201" s="116"/>
      <c r="EU201" s="116"/>
      <c r="EV201" s="116"/>
      <c r="EW201" s="116"/>
      <c r="EX201" s="116"/>
      <c r="EY201" s="116"/>
      <c r="EZ201" s="116"/>
      <c r="FA201" s="116"/>
      <c r="FB201" s="116"/>
      <c r="FC201" s="116"/>
      <c r="FD201" s="116"/>
      <c r="FE201" s="116"/>
      <c r="FF201" s="116"/>
      <c r="FG201" s="116"/>
      <c r="FH201" s="116"/>
      <c r="FI201" s="116"/>
      <c r="FJ201" s="116"/>
      <c r="FK201" s="116"/>
      <c r="FL201" s="116"/>
      <c r="FM201" s="116"/>
      <c r="FN201" s="116"/>
      <c r="FO201" s="116"/>
      <c r="FP201" s="116"/>
      <c r="FQ201" s="116"/>
      <c r="FR201" s="116"/>
      <c r="FS201" s="116"/>
      <c r="FT201" s="116"/>
      <c r="FU201" s="116"/>
      <c r="FV201" s="116"/>
      <c r="FW201" s="116"/>
      <c r="FX201" s="116"/>
      <c r="FY201" s="116"/>
      <c r="FZ201" s="116"/>
      <c r="GA201" s="116"/>
      <c r="GB201" s="116"/>
      <c r="GC201" s="116"/>
      <c r="GD201" s="116"/>
      <c r="GE201" s="116"/>
      <c r="GF201" s="116"/>
      <c r="GG201" s="116"/>
      <c r="GH201" s="116"/>
    </row>
    <row r="202" spans="2:190" ht="12.75">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c r="DP202" s="116"/>
      <c r="DQ202" s="116"/>
      <c r="DR202" s="116"/>
      <c r="DS202" s="116"/>
      <c r="DT202" s="116"/>
      <c r="DU202" s="116"/>
      <c r="DV202" s="116"/>
      <c r="DW202" s="116"/>
      <c r="DX202" s="116"/>
      <c r="DY202" s="116"/>
      <c r="DZ202" s="116"/>
      <c r="EA202" s="116"/>
      <c r="EB202" s="116"/>
      <c r="EC202" s="116"/>
      <c r="ED202" s="116"/>
      <c r="EE202" s="116"/>
      <c r="EF202" s="116"/>
      <c r="EG202" s="116"/>
      <c r="EH202" s="116"/>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6"/>
      <c r="FU202" s="116"/>
      <c r="FV202" s="116"/>
      <c r="FW202" s="116"/>
      <c r="FX202" s="116"/>
      <c r="FY202" s="116"/>
      <c r="FZ202" s="116"/>
      <c r="GA202" s="116"/>
      <c r="GB202" s="116"/>
      <c r="GC202" s="116"/>
      <c r="GD202" s="116"/>
      <c r="GE202" s="116"/>
      <c r="GF202" s="116"/>
      <c r="GG202" s="116"/>
      <c r="GH202" s="116"/>
    </row>
    <row r="203" spans="2:190" ht="12.75">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6"/>
      <c r="EG203" s="116"/>
      <c r="EH203" s="116"/>
      <c r="EI203" s="116"/>
      <c r="EJ203" s="116"/>
      <c r="EK203" s="116"/>
      <c r="EL203" s="116"/>
      <c r="EM203" s="116"/>
      <c r="EN203" s="116"/>
      <c r="EO203" s="116"/>
      <c r="EP203" s="116"/>
      <c r="EQ203" s="116"/>
      <c r="ER203" s="116"/>
      <c r="ES203" s="116"/>
      <c r="ET203" s="116"/>
      <c r="EU203" s="116"/>
      <c r="EV203" s="116"/>
      <c r="EW203" s="116"/>
      <c r="EX203" s="116"/>
      <c r="EY203" s="116"/>
      <c r="EZ203" s="116"/>
      <c r="FA203" s="116"/>
      <c r="FB203" s="116"/>
      <c r="FC203" s="116"/>
      <c r="FD203" s="116"/>
      <c r="FE203" s="116"/>
      <c r="FF203" s="116"/>
      <c r="FG203" s="116"/>
      <c r="FH203" s="116"/>
      <c r="FI203" s="116"/>
      <c r="FJ203" s="116"/>
      <c r="FK203" s="116"/>
      <c r="FL203" s="116"/>
      <c r="FM203" s="116"/>
      <c r="FN203" s="116"/>
      <c r="FO203" s="116"/>
      <c r="FP203" s="116"/>
      <c r="FQ203" s="116"/>
      <c r="FR203" s="116"/>
      <c r="FS203" s="116"/>
      <c r="FT203" s="116"/>
      <c r="FU203" s="116"/>
      <c r="FV203" s="116"/>
      <c r="FW203" s="116"/>
      <c r="FX203" s="116"/>
      <c r="FY203" s="116"/>
      <c r="FZ203" s="116"/>
      <c r="GA203" s="116"/>
      <c r="GB203" s="116"/>
      <c r="GC203" s="116"/>
      <c r="GD203" s="116"/>
      <c r="GE203" s="116"/>
      <c r="GF203" s="116"/>
      <c r="GG203" s="116"/>
      <c r="GH203" s="116"/>
    </row>
    <row r="204" spans="2:190" ht="12.75">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16"/>
      <c r="FM204" s="116"/>
      <c r="FN204" s="116"/>
      <c r="FO204" s="116"/>
      <c r="FP204" s="116"/>
      <c r="FQ204" s="116"/>
      <c r="FR204" s="116"/>
      <c r="FS204" s="116"/>
      <c r="FT204" s="116"/>
      <c r="FU204" s="116"/>
      <c r="FV204" s="116"/>
      <c r="FW204" s="116"/>
      <c r="FX204" s="116"/>
      <c r="FY204" s="116"/>
      <c r="FZ204" s="116"/>
      <c r="GA204" s="116"/>
      <c r="GB204" s="116"/>
      <c r="GC204" s="116"/>
      <c r="GD204" s="116"/>
      <c r="GE204" s="116"/>
      <c r="GF204" s="116"/>
      <c r="GG204" s="116"/>
      <c r="GH204" s="116"/>
    </row>
    <row r="205" spans="2:190" ht="12.75">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c r="FF205" s="116"/>
      <c r="FG205" s="116"/>
      <c r="FH205" s="116"/>
      <c r="FI205" s="116"/>
      <c r="FJ205" s="116"/>
      <c r="FK205" s="116"/>
      <c r="FL205" s="116"/>
      <c r="FM205" s="116"/>
      <c r="FN205" s="116"/>
      <c r="FO205" s="116"/>
      <c r="FP205" s="116"/>
      <c r="FQ205" s="116"/>
      <c r="FR205" s="116"/>
      <c r="FS205" s="116"/>
      <c r="FT205" s="116"/>
      <c r="FU205" s="116"/>
      <c r="FV205" s="116"/>
      <c r="FW205" s="116"/>
      <c r="FX205" s="116"/>
      <c r="FY205" s="116"/>
      <c r="FZ205" s="116"/>
      <c r="GA205" s="116"/>
      <c r="GB205" s="116"/>
      <c r="GC205" s="116"/>
      <c r="GD205" s="116"/>
      <c r="GE205" s="116"/>
      <c r="GF205" s="116"/>
      <c r="GG205" s="116"/>
      <c r="GH205" s="116"/>
    </row>
    <row r="206" spans="2:190" ht="12.75">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6"/>
      <c r="FU206" s="116"/>
      <c r="FV206" s="116"/>
      <c r="FW206" s="116"/>
      <c r="FX206" s="116"/>
      <c r="FY206" s="116"/>
      <c r="FZ206" s="116"/>
      <c r="GA206" s="116"/>
      <c r="GB206" s="116"/>
      <c r="GC206" s="116"/>
      <c r="GD206" s="116"/>
      <c r="GE206" s="116"/>
      <c r="GF206" s="116"/>
      <c r="GG206" s="116"/>
      <c r="GH206" s="116"/>
    </row>
    <row r="207" spans="2:190" ht="12.75">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c r="FF207" s="116"/>
      <c r="FG207" s="116"/>
      <c r="FH207" s="116"/>
      <c r="FI207" s="116"/>
      <c r="FJ207" s="116"/>
      <c r="FK207" s="116"/>
      <c r="FL207" s="116"/>
      <c r="FM207" s="116"/>
      <c r="FN207" s="116"/>
      <c r="FO207" s="116"/>
      <c r="FP207" s="116"/>
      <c r="FQ207" s="116"/>
      <c r="FR207" s="116"/>
      <c r="FS207" s="116"/>
      <c r="FT207" s="116"/>
      <c r="FU207" s="116"/>
      <c r="FV207" s="116"/>
      <c r="FW207" s="116"/>
      <c r="FX207" s="116"/>
      <c r="FY207" s="116"/>
      <c r="FZ207" s="116"/>
      <c r="GA207" s="116"/>
      <c r="GB207" s="116"/>
      <c r="GC207" s="116"/>
      <c r="GD207" s="116"/>
      <c r="GE207" s="116"/>
      <c r="GF207" s="116"/>
      <c r="GG207" s="116"/>
      <c r="GH207" s="116"/>
    </row>
    <row r="208" spans="2:190" ht="12.75">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c r="EI208" s="116"/>
      <c r="EJ208" s="116"/>
      <c r="EK208" s="116"/>
      <c r="EL208" s="116"/>
      <c r="EM208" s="116"/>
      <c r="EN208" s="116"/>
      <c r="EO208" s="116"/>
      <c r="EP208" s="116"/>
      <c r="EQ208" s="116"/>
      <c r="ER208" s="116"/>
      <c r="ES208" s="116"/>
      <c r="ET208" s="116"/>
      <c r="EU208" s="116"/>
      <c r="EV208" s="116"/>
      <c r="EW208" s="116"/>
      <c r="EX208" s="116"/>
      <c r="EY208" s="116"/>
      <c r="EZ208" s="116"/>
      <c r="FA208" s="116"/>
      <c r="FB208" s="116"/>
      <c r="FC208" s="116"/>
      <c r="FD208" s="116"/>
      <c r="FE208" s="116"/>
      <c r="FF208" s="116"/>
      <c r="FG208" s="116"/>
      <c r="FH208" s="116"/>
      <c r="FI208" s="116"/>
      <c r="FJ208" s="116"/>
      <c r="FK208" s="116"/>
      <c r="FL208" s="116"/>
      <c r="FM208" s="116"/>
      <c r="FN208" s="116"/>
      <c r="FO208" s="116"/>
      <c r="FP208" s="116"/>
      <c r="FQ208" s="116"/>
      <c r="FR208" s="116"/>
      <c r="FS208" s="116"/>
      <c r="FT208" s="116"/>
      <c r="FU208" s="116"/>
      <c r="FV208" s="116"/>
      <c r="FW208" s="116"/>
      <c r="FX208" s="116"/>
      <c r="FY208" s="116"/>
      <c r="FZ208" s="116"/>
      <c r="GA208" s="116"/>
      <c r="GB208" s="116"/>
      <c r="GC208" s="116"/>
      <c r="GD208" s="116"/>
      <c r="GE208" s="116"/>
      <c r="GF208" s="116"/>
      <c r="GG208" s="116"/>
      <c r="GH208" s="116"/>
    </row>
    <row r="209" spans="2:190" ht="12.75">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c r="EI209" s="116"/>
      <c r="EJ209" s="116"/>
      <c r="EK209" s="116"/>
      <c r="EL209" s="116"/>
      <c r="EM209" s="116"/>
      <c r="EN209" s="116"/>
      <c r="EO209" s="116"/>
      <c r="EP209" s="116"/>
      <c r="EQ209" s="116"/>
      <c r="ER209" s="116"/>
      <c r="ES209" s="116"/>
      <c r="ET209" s="116"/>
      <c r="EU209" s="116"/>
      <c r="EV209" s="116"/>
      <c r="EW209" s="116"/>
      <c r="EX209" s="116"/>
      <c r="EY209" s="116"/>
      <c r="EZ209" s="116"/>
      <c r="FA209" s="116"/>
      <c r="FB209" s="116"/>
      <c r="FC209" s="116"/>
      <c r="FD209" s="116"/>
      <c r="FE209" s="116"/>
      <c r="FF209" s="116"/>
      <c r="FG209" s="116"/>
      <c r="FH209" s="116"/>
      <c r="FI209" s="116"/>
      <c r="FJ209" s="116"/>
      <c r="FK209" s="116"/>
      <c r="FL209" s="116"/>
      <c r="FM209" s="116"/>
      <c r="FN209" s="116"/>
      <c r="FO209" s="116"/>
      <c r="FP209" s="116"/>
      <c r="FQ209" s="116"/>
      <c r="FR209" s="116"/>
      <c r="FS209" s="116"/>
      <c r="FT209" s="116"/>
      <c r="FU209" s="116"/>
      <c r="FV209" s="116"/>
      <c r="FW209" s="116"/>
      <c r="FX209" s="116"/>
      <c r="FY209" s="116"/>
      <c r="FZ209" s="116"/>
      <c r="GA209" s="116"/>
      <c r="GB209" s="116"/>
      <c r="GC209" s="116"/>
      <c r="GD209" s="116"/>
      <c r="GE209" s="116"/>
      <c r="GF209" s="116"/>
      <c r="GG209" s="116"/>
      <c r="GH209" s="116"/>
    </row>
    <row r="210" spans="2:190" ht="12.75">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c r="EI210" s="116"/>
      <c r="EJ210" s="116"/>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16"/>
      <c r="FU210" s="116"/>
      <c r="FV210" s="116"/>
      <c r="FW210" s="116"/>
      <c r="FX210" s="116"/>
      <c r="FY210" s="116"/>
      <c r="FZ210" s="116"/>
      <c r="GA210" s="116"/>
      <c r="GB210" s="116"/>
      <c r="GC210" s="116"/>
      <c r="GD210" s="116"/>
      <c r="GE210" s="116"/>
      <c r="GF210" s="116"/>
      <c r="GG210" s="116"/>
      <c r="GH210" s="116"/>
    </row>
    <row r="211" spans="2:190" ht="12.75">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c r="EI211" s="116"/>
      <c r="EJ211" s="116"/>
      <c r="EK211" s="116"/>
      <c r="EL211" s="116"/>
      <c r="EM211" s="116"/>
      <c r="EN211" s="116"/>
      <c r="EO211" s="116"/>
      <c r="EP211" s="116"/>
      <c r="EQ211" s="116"/>
      <c r="ER211" s="116"/>
      <c r="ES211" s="116"/>
      <c r="ET211" s="116"/>
      <c r="EU211" s="116"/>
      <c r="EV211" s="116"/>
      <c r="EW211" s="116"/>
      <c r="EX211" s="116"/>
      <c r="EY211" s="116"/>
      <c r="EZ211" s="116"/>
      <c r="FA211" s="116"/>
      <c r="FB211" s="116"/>
      <c r="FC211" s="116"/>
      <c r="FD211" s="116"/>
      <c r="FE211" s="116"/>
      <c r="FF211" s="116"/>
      <c r="FG211" s="116"/>
      <c r="FH211" s="116"/>
      <c r="FI211" s="116"/>
      <c r="FJ211" s="116"/>
      <c r="FK211" s="116"/>
      <c r="FL211" s="116"/>
      <c r="FM211" s="116"/>
      <c r="FN211" s="116"/>
      <c r="FO211" s="116"/>
      <c r="FP211" s="116"/>
      <c r="FQ211" s="116"/>
      <c r="FR211" s="116"/>
      <c r="FS211" s="116"/>
      <c r="FT211" s="116"/>
      <c r="FU211" s="116"/>
      <c r="FV211" s="116"/>
      <c r="FW211" s="116"/>
      <c r="FX211" s="116"/>
      <c r="FY211" s="116"/>
      <c r="FZ211" s="116"/>
      <c r="GA211" s="116"/>
      <c r="GB211" s="116"/>
      <c r="GC211" s="116"/>
      <c r="GD211" s="116"/>
      <c r="GE211" s="116"/>
      <c r="GF211" s="116"/>
      <c r="GG211" s="116"/>
      <c r="GH211" s="116"/>
    </row>
    <row r="212" spans="2:190" ht="12.75">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c r="DP212" s="116"/>
      <c r="DQ212" s="116"/>
      <c r="DR212" s="116"/>
      <c r="DS212" s="116"/>
      <c r="DT212" s="116"/>
      <c r="DU212" s="116"/>
      <c r="DV212" s="116"/>
      <c r="DW212" s="116"/>
      <c r="DX212" s="116"/>
      <c r="DY212" s="116"/>
      <c r="DZ212" s="116"/>
      <c r="EA212" s="116"/>
      <c r="EB212" s="116"/>
      <c r="EC212" s="116"/>
      <c r="ED212" s="116"/>
      <c r="EE212" s="116"/>
      <c r="EF212" s="116"/>
      <c r="EG212" s="116"/>
      <c r="EH212" s="116"/>
      <c r="EI212" s="116"/>
      <c r="EJ212" s="116"/>
      <c r="EK212" s="116"/>
      <c r="EL212" s="116"/>
      <c r="EM212" s="116"/>
      <c r="EN212" s="116"/>
      <c r="EO212" s="116"/>
      <c r="EP212" s="116"/>
      <c r="EQ212" s="116"/>
      <c r="ER212" s="116"/>
      <c r="ES212" s="116"/>
      <c r="ET212" s="116"/>
      <c r="EU212" s="116"/>
      <c r="EV212" s="116"/>
      <c r="EW212" s="116"/>
      <c r="EX212" s="116"/>
      <c r="EY212" s="116"/>
      <c r="EZ212" s="116"/>
      <c r="FA212" s="116"/>
      <c r="FB212" s="116"/>
      <c r="FC212" s="116"/>
      <c r="FD212" s="116"/>
      <c r="FE212" s="116"/>
      <c r="FF212" s="116"/>
      <c r="FG212" s="116"/>
      <c r="FH212" s="116"/>
      <c r="FI212" s="116"/>
      <c r="FJ212" s="116"/>
      <c r="FK212" s="116"/>
      <c r="FL212" s="116"/>
      <c r="FM212" s="116"/>
      <c r="FN212" s="116"/>
      <c r="FO212" s="116"/>
      <c r="FP212" s="116"/>
      <c r="FQ212" s="116"/>
      <c r="FR212" s="116"/>
      <c r="FS212" s="116"/>
      <c r="FT212" s="116"/>
      <c r="FU212" s="116"/>
      <c r="FV212" s="116"/>
      <c r="FW212" s="116"/>
      <c r="FX212" s="116"/>
      <c r="FY212" s="116"/>
      <c r="FZ212" s="116"/>
      <c r="GA212" s="116"/>
      <c r="GB212" s="116"/>
      <c r="GC212" s="116"/>
      <c r="GD212" s="116"/>
      <c r="GE212" s="116"/>
      <c r="GF212" s="116"/>
      <c r="GG212" s="116"/>
      <c r="GH212" s="116"/>
    </row>
    <row r="213" spans="2:190" ht="12.75">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s="116"/>
      <c r="DX213" s="116"/>
      <c r="DY213" s="116"/>
      <c r="DZ213" s="116"/>
      <c r="EA213" s="116"/>
      <c r="EB213" s="116"/>
      <c r="EC213" s="116"/>
      <c r="ED213" s="116"/>
      <c r="EE213" s="116"/>
      <c r="EF213" s="116"/>
      <c r="EG213" s="116"/>
      <c r="EH213" s="116"/>
      <c r="EI213" s="116"/>
      <c r="EJ213" s="116"/>
      <c r="EK213" s="116"/>
      <c r="EL213" s="116"/>
      <c r="EM213" s="116"/>
      <c r="EN213" s="116"/>
      <c r="EO213" s="116"/>
      <c r="EP213" s="116"/>
      <c r="EQ213" s="116"/>
      <c r="ER213" s="116"/>
      <c r="ES213" s="116"/>
      <c r="ET213" s="116"/>
      <c r="EU213" s="116"/>
      <c r="EV213" s="116"/>
      <c r="EW213" s="116"/>
      <c r="EX213" s="116"/>
      <c r="EY213" s="116"/>
      <c r="EZ213" s="116"/>
      <c r="FA213" s="116"/>
      <c r="FB213" s="116"/>
      <c r="FC213" s="116"/>
      <c r="FD213" s="116"/>
      <c r="FE213" s="116"/>
      <c r="FF213" s="116"/>
      <c r="FG213" s="116"/>
      <c r="FH213" s="116"/>
      <c r="FI213" s="116"/>
      <c r="FJ213" s="116"/>
      <c r="FK213" s="116"/>
      <c r="FL213" s="116"/>
      <c r="FM213" s="116"/>
      <c r="FN213" s="116"/>
      <c r="FO213" s="116"/>
      <c r="FP213" s="116"/>
      <c r="FQ213" s="116"/>
      <c r="FR213" s="116"/>
      <c r="FS213" s="116"/>
      <c r="FT213" s="116"/>
      <c r="FU213" s="116"/>
      <c r="FV213" s="116"/>
      <c r="FW213" s="116"/>
      <c r="FX213" s="116"/>
      <c r="FY213" s="116"/>
      <c r="FZ213" s="116"/>
      <c r="GA213" s="116"/>
      <c r="GB213" s="116"/>
      <c r="GC213" s="116"/>
      <c r="GD213" s="116"/>
      <c r="GE213" s="116"/>
      <c r="GF213" s="116"/>
      <c r="GG213" s="116"/>
      <c r="GH213" s="116"/>
    </row>
    <row r="214" spans="2:190" ht="12.75">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c r="DP214" s="116"/>
      <c r="DQ214" s="116"/>
      <c r="DR214" s="116"/>
      <c r="DS214" s="116"/>
      <c r="DT214" s="116"/>
      <c r="DU214" s="116"/>
      <c r="DV214" s="116"/>
      <c r="DW214" s="116"/>
      <c r="DX214" s="116"/>
      <c r="DY214" s="116"/>
      <c r="DZ214" s="116"/>
      <c r="EA214" s="116"/>
      <c r="EB214" s="116"/>
      <c r="EC214" s="116"/>
      <c r="ED214" s="116"/>
      <c r="EE214" s="116"/>
      <c r="EF214" s="116"/>
      <c r="EG214" s="116"/>
      <c r="EH214" s="116"/>
      <c r="EI214" s="116"/>
      <c r="EJ214" s="116"/>
      <c r="EK214" s="116"/>
      <c r="EL214" s="116"/>
      <c r="EM214" s="116"/>
      <c r="EN214" s="116"/>
      <c r="EO214" s="116"/>
      <c r="EP214" s="116"/>
      <c r="EQ214" s="116"/>
      <c r="ER214" s="116"/>
      <c r="ES214" s="116"/>
      <c r="ET214" s="116"/>
      <c r="EU214" s="116"/>
      <c r="EV214" s="116"/>
      <c r="EW214" s="116"/>
      <c r="EX214" s="116"/>
      <c r="EY214" s="116"/>
      <c r="EZ214" s="116"/>
      <c r="FA214" s="116"/>
      <c r="FB214" s="116"/>
      <c r="FC214" s="116"/>
      <c r="FD214" s="116"/>
      <c r="FE214" s="116"/>
      <c r="FF214" s="116"/>
      <c r="FG214" s="116"/>
      <c r="FH214" s="116"/>
      <c r="FI214" s="116"/>
      <c r="FJ214" s="116"/>
      <c r="FK214" s="116"/>
      <c r="FL214" s="116"/>
      <c r="FM214" s="116"/>
      <c r="FN214" s="116"/>
      <c r="FO214" s="116"/>
      <c r="FP214" s="116"/>
      <c r="FQ214" s="116"/>
      <c r="FR214" s="116"/>
      <c r="FS214" s="116"/>
      <c r="FT214" s="116"/>
      <c r="FU214" s="116"/>
      <c r="FV214" s="116"/>
      <c r="FW214" s="116"/>
      <c r="FX214" s="116"/>
      <c r="FY214" s="116"/>
      <c r="FZ214" s="116"/>
      <c r="GA214" s="116"/>
      <c r="GB214" s="116"/>
      <c r="GC214" s="116"/>
      <c r="GD214" s="116"/>
      <c r="GE214" s="116"/>
      <c r="GF214" s="116"/>
      <c r="GG214" s="116"/>
      <c r="GH214" s="116"/>
    </row>
    <row r="215" spans="2:190" ht="12.75">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c r="EI215" s="116"/>
      <c r="EJ215" s="116"/>
      <c r="EK215" s="116"/>
      <c r="EL215" s="116"/>
      <c r="EM215" s="116"/>
      <c r="EN215" s="116"/>
      <c r="EO215" s="116"/>
      <c r="EP215" s="116"/>
      <c r="EQ215" s="116"/>
      <c r="ER215" s="116"/>
      <c r="ES215" s="116"/>
      <c r="ET215" s="116"/>
      <c r="EU215" s="116"/>
      <c r="EV215" s="116"/>
      <c r="EW215" s="116"/>
      <c r="EX215" s="116"/>
      <c r="EY215" s="116"/>
      <c r="EZ215" s="116"/>
      <c r="FA215" s="116"/>
      <c r="FB215" s="116"/>
      <c r="FC215" s="116"/>
      <c r="FD215" s="116"/>
      <c r="FE215" s="116"/>
      <c r="FF215" s="116"/>
      <c r="FG215" s="116"/>
      <c r="FH215" s="116"/>
      <c r="FI215" s="116"/>
      <c r="FJ215" s="116"/>
      <c r="FK215" s="116"/>
      <c r="FL215" s="116"/>
      <c r="FM215" s="116"/>
      <c r="FN215" s="116"/>
      <c r="FO215" s="116"/>
      <c r="FP215" s="116"/>
      <c r="FQ215" s="116"/>
      <c r="FR215" s="116"/>
      <c r="FS215" s="116"/>
      <c r="FT215" s="116"/>
      <c r="FU215" s="116"/>
      <c r="FV215" s="116"/>
      <c r="FW215" s="116"/>
      <c r="FX215" s="116"/>
      <c r="FY215" s="116"/>
      <c r="FZ215" s="116"/>
      <c r="GA215" s="116"/>
      <c r="GB215" s="116"/>
      <c r="GC215" s="116"/>
      <c r="GD215" s="116"/>
      <c r="GE215" s="116"/>
      <c r="GF215" s="116"/>
      <c r="GG215" s="116"/>
      <c r="GH215" s="116"/>
    </row>
    <row r="216" spans="2:190" ht="12.75">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c r="EI216" s="116"/>
      <c r="EJ216" s="116"/>
      <c r="EK216" s="116"/>
      <c r="EL216" s="116"/>
      <c r="EM216" s="116"/>
      <c r="EN216" s="116"/>
      <c r="EO216" s="116"/>
      <c r="EP216" s="116"/>
      <c r="EQ216" s="116"/>
      <c r="ER216" s="116"/>
      <c r="ES216" s="116"/>
      <c r="ET216" s="116"/>
      <c r="EU216" s="116"/>
      <c r="EV216" s="116"/>
      <c r="EW216" s="116"/>
      <c r="EX216" s="116"/>
      <c r="EY216" s="116"/>
      <c r="EZ216" s="116"/>
      <c r="FA216" s="116"/>
      <c r="FB216" s="116"/>
      <c r="FC216" s="116"/>
      <c r="FD216" s="116"/>
      <c r="FE216" s="116"/>
      <c r="FF216" s="116"/>
      <c r="FG216" s="116"/>
      <c r="FH216" s="116"/>
      <c r="FI216" s="116"/>
      <c r="FJ216" s="116"/>
      <c r="FK216" s="116"/>
      <c r="FL216" s="116"/>
      <c r="FM216" s="116"/>
      <c r="FN216" s="116"/>
      <c r="FO216" s="116"/>
      <c r="FP216" s="116"/>
      <c r="FQ216" s="116"/>
      <c r="FR216" s="116"/>
      <c r="FS216" s="116"/>
      <c r="FT216" s="116"/>
      <c r="FU216" s="116"/>
      <c r="FV216" s="116"/>
      <c r="FW216" s="116"/>
      <c r="FX216" s="116"/>
      <c r="FY216" s="116"/>
      <c r="FZ216" s="116"/>
      <c r="GA216" s="116"/>
      <c r="GB216" s="116"/>
      <c r="GC216" s="116"/>
      <c r="GD216" s="116"/>
      <c r="GE216" s="116"/>
      <c r="GF216" s="116"/>
      <c r="GG216" s="116"/>
      <c r="GH216" s="116"/>
    </row>
    <row r="217" spans="2:190" ht="12.75">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s="116"/>
      <c r="DX217" s="116"/>
      <c r="DY217" s="116"/>
      <c r="DZ217" s="116"/>
      <c r="EA217" s="116"/>
      <c r="EB217" s="116"/>
      <c r="EC217" s="116"/>
      <c r="ED217" s="116"/>
      <c r="EE217" s="116"/>
      <c r="EF217" s="116"/>
      <c r="EG217" s="116"/>
      <c r="EH217" s="116"/>
      <c r="EI217" s="116"/>
      <c r="EJ217" s="116"/>
      <c r="EK217" s="116"/>
      <c r="EL217" s="116"/>
      <c r="EM217" s="116"/>
      <c r="EN217" s="116"/>
      <c r="EO217" s="116"/>
      <c r="EP217" s="116"/>
      <c r="EQ217" s="116"/>
      <c r="ER217" s="116"/>
      <c r="ES217" s="116"/>
      <c r="ET217" s="116"/>
      <c r="EU217" s="116"/>
      <c r="EV217" s="116"/>
      <c r="EW217" s="116"/>
      <c r="EX217" s="116"/>
      <c r="EY217" s="116"/>
      <c r="EZ217" s="116"/>
      <c r="FA217" s="116"/>
      <c r="FB217" s="116"/>
      <c r="FC217" s="116"/>
      <c r="FD217" s="116"/>
      <c r="FE217" s="116"/>
      <c r="FF217" s="116"/>
      <c r="FG217" s="116"/>
      <c r="FH217" s="116"/>
      <c r="FI217" s="116"/>
      <c r="FJ217" s="116"/>
      <c r="FK217" s="116"/>
      <c r="FL217" s="116"/>
      <c r="FM217" s="116"/>
      <c r="FN217" s="116"/>
      <c r="FO217" s="116"/>
      <c r="FP217" s="116"/>
      <c r="FQ217" s="116"/>
      <c r="FR217" s="116"/>
      <c r="FS217" s="116"/>
      <c r="FT217" s="116"/>
      <c r="FU217" s="116"/>
      <c r="FV217" s="116"/>
      <c r="FW217" s="116"/>
      <c r="FX217" s="116"/>
      <c r="FY217" s="116"/>
      <c r="FZ217" s="116"/>
      <c r="GA217" s="116"/>
      <c r="GB217" s="116"/>
      <c r="GC217" s="116"/>
      <c r="GD217" s="116"/>
      <c r="GE217" s="116"/>
      <c r="GF217" s="116"/>
      <c r="GG217" s="116"/>
      <c r="GH217" s="116"/>
    </row>
    <row r="218" spans="2:190" ht="12.75">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row>
    <row r="219" spans="2:190" ht="12.75">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c r="EI219" s="116"/>
      <c r="EJ219" s="116"/>
      <c r="EK219" s="116"/>
      <c r="EL219" s="116"/>
      <c r="EM219" s="116"/>
      <c r="EN219" s="116"/>
      <c r="EO219" s="116"/>
      <c r="EP219" s="116"/>
      <c r="EQ219" s="116"/>
      <c r="ER219" s="116"/>
      <c r="ES219" s="116"/>
      <c r="ET219" s="116"/>
      <c r="EU219" s="116"/>
      <c r="EV219" s="116"/>
      <c r="EW219" s="116"/>
      <c r="EX219" s="116"/>
      <c r="EY219" s="116"/>
      <c r="EZ219" s="116"/>
      <c r="FA219" s="116"/>
      <c r="FB219" s="116"/>
      <c r="FC219" s="116"/>
      <c r="FD219" s="116"/>
      <c r="FE219" s="116"/>
      <c r="FF219" s="116"/>
      <c r="FG219" s="116"/>
      <c r="FH219" s="116"/>
      <c r="FI219" s="116"/>
      <c r="FJ219" s="116"/>
      <c r="FK219" s="116"/>
      <c r="FL219" s="116"/>
      <c r="FM219" s="116"/>
      <c r="FN219" s="116"/>
      <c r="FO219" s="116"/>
      <c r="FP219" s="116"/>
      <c r="FQ219" s="116"/>
      <c r="FR219" s="116"/>
      <c r="FS219" s="116"/>
      <c r="FT219" s="116"/>
      <c r="FU219" s="116"/>
      <c r="FV219" s="116"/>
      <c r="FW219" s="116"/>
      <c r="FX219" s="116"/>
      <c r="FY219" s="116"/>
      <c r="FZ219" s="116"/>
      <c r="GA219" s="116"/>
      <c r="GB219" s="116"/>
      <c r="GC219" s="116"/>
      <c r="GD219" s="116"/>
      <c r="GE219" s="116"/>
      <c r="GF219" s="116"/>
      <c r="GG219" s="116"/>
      <c r="GH219" s="116"/>
    </row>
    <row r="220" spans="2:190" ht="12.75">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c r="FL220" s="116"/>
      <c r="FM220" s="116"/>
      <c r="FN220" s="116"/>
      <c r="FO220" s="116"/>
      <c r="FP220" s="116"/>
      <c r="FQ220" s="116"/>
      <c r="FR220" s="116"/>
      <c r="FS220" s="116"/>
      <c r="FT220" s="116"/>
      <c r="FU220" s="116"/>
      <c r="FV220" s="116"/>
      <c r="FW220" s="116"/>
      <c r="FX220" s="116"/>
      <c r="FY220" s="116"/>
      <c r="FZ220" s="116"/>
      <c r="GA220" s="116"/>
      <c r="GB220" s="116"/>
      <c r="GC220" s="116"/>
      <c r="GD220" s="116"/>
      <c r="GE220" s="116"/>
      <c r="GF220" s="116"/>
      <c r="GG220" s="116"/>
      <c r="GH220" s="116"/>
    </row>
    <row r="221" spans="2:190" ht="12.75">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c r="DS221" s="116"/>
      <c r="DT221" s="116"/>
      <c r="DU221" s="116"/>
      <c r="DV221" s="116"/>
      <c r="DW221" s="116"/>
      <c r="DX221" s="116"/>
      <c r="DY221" s="116"/>
      <c r="DZ221" s="116"/>
      <c r="EA221" s="116"/>
      <c r="EB221" s="116"/>
      <c r="EC221" s="116"/>
      <c r="ED221" s="116"/>
      <c r="EE221" s="116"/>
      <c r="EF221" s="116"/>
      <c r="EG221" s="116"/>
      <c r="EH221" s="116"/>
      <c r="EI221" s="116"/>
      <c r="EJ221" s="116"/>
      <c r="EK221" s="116"/>
      <c r="EL221" s="116"/>
      <c r="EM221" s="116"/>
      <c r="EN221" s="116"/>
      <c r="EO221" s="116"/>
      <c r="EP221" s="116"/>
      <c r="EQ221" s="116"/>
      <c r="ER221" s="116"/>
      <c r="ES221" s="116"/>
      <c r="ET221" s="116"/>
      <c r="EU221" s="116"/>
      <c r="EV221" s="116"/>
      <c r="EW221" s="116"/>
      <c r="EX221" s="116"/>
      <c r="EY221" s="116"/>
      <c r="EZ221" s="116"/>
      <c r="FA221" s="116"/>
      <c r="FB221" s="116"/>
      <c r="FC221" s="116"/>
      <c r="FD221" s="116"/>
      <c r="FE221" s="116"/>
      <c r="FF221" s="116"/>
      <c r="FG221" s="116"/>
      <c r="FH221" s="116"/>
      <c r="FI221" s="116"/>
      <c r="FJ221" s="116"/>
      <c r="FK221" s="116"/>
      <c r="FL221" s="116"/>
      <c r="FM221" s="116"/>
      <c r="FN221" s="116"/>
      <c r="FO221" s="116"/>
      <c r="FP221" s="116"/>
      <c r="FQ221" s="116"/>
      <c r="FR221" s="116"/>
      <c r="FS221" s="116"/>
      <c r="FT221" s="116"/>
      <c r="FU221" s="116"/>
      <c r="FV221" s="116"/>
      <c r="FW221" s="116"/>
      <c r="FX221" s="116"/>
      <c r="FY221" s="116"/>
      <c r="FZ221" s="116"/>
      <c r="GA221" s="116"/>
      <c r="GB221" s="116"/>
      <c r="GC221" s="116"/>
      <c r="GD221" s="116"/>
      <c r="GE221" s="116"/>
      <c r="GF221" s="116"/>
      <c r="GG221" s="116"/>
      <c r="GH221" s="116"/>
    </row>
    <row r="222" spans="2:190" ht="12.75">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c r="DS222" s="116"/>
      <c r="DT222" s="116"/>
      <c r="DU222" s="116"/>
      <c r="DV222" s="116"/>
      <c r="DW222" s="116"/>
      <c r="DX222" s="116"/>
      <c r="DY222" s="116"/>
      <c r="DZ222" s="116"/>
      <c r="EA222" s="116"/>
      <c r="EB222" s="116"/>
      <c r="EC222" s="116"/>
      <c r="ED222" s="116"/>
      <c r="EE222" s="116"/>
      <c r="EF222" s="116"/>
      <c r="EG222" s="116"/>
      <c r="EH222" s="116"/>
      <c r="EI222" s="116"/>
      <c r="EJ222" s="116"/>
      <c r="EK222" s="116"/>
      <c r="EL222" s="116"/>
      <c r="EM222" s="116"/>
      <c r="EN222" s="116"/>
      <c r="EO222" s="116"/>
      <c r="EP222" s="116"/>
      <c r="EQ222" s="116"/>
      <c r="ER222" s="116"/>
      <c r="ES222" s="116"/>
      <c r="ET222" s="116"/>
      <c r="EU222" s="116"/>
      <c r="EV222" s="116"/>
      <c r="EW222" s="116"/>
      <c r="EX222" s="116"/>
      <c r="EY222" s="116"/>
      <c r="EZ222" s="116"/>
      <c r="FA222" s="116"/>
      <c r="FB222" s="116"/>
      <c r="FC222" s="116"/>
      <c r="FD222" s="116"/>
      <c r="FE222" s="116"/>
      <c r="FF222" s="116"/>
      <c r="FG222" s="116"/>
      <c r="FH222" s="116"/>
      <c r="FI222" s="116"/>
      <c r="FJ222" s="116"/>
      <c r="FK222" s="116"/>
      <c r="FL222" s="116"/>
      <c r="FM222" s="116"/>
      <c r="FN222" s="116"/>
      <c r="FO222" s="116"/>
      <c r="FP222" s="116"/>
      <c r="FQ222" s="116"/>
      <c r="FR222" s="116"/>
      <c r="FS222" s="116"/>
      <c r="FT222" s="116"/>
      <c r="FU222" s="116"/>
      <c r="FV222" s="116"/>
      <c r="FW222" s="116"/>
      <c r="FX222" s="116"/>
      <c r="FY222" s="116"/>
      <c r="FZ222" s="116"/>
      <c r="GA222" s="116"/>
      <c r="GB222" s="116"/>
      <c r="GC222" s="116"/>
      <c r="GD222" s="116"/>
      <c r="GE222" s="116"/>
      <c r="GF222" s="116"/>
      <c r="GG222" s="116"/>
      <c r="GH222" s="116"/>
    </row>
    <row r="223" spans="2:190" ht="12.75">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c r="DS223" s="116"/>
      <c r="DT223" s="116"/>
      <c r="DU223" s="116"/>
      <c r="DV223" s="116"/>
      <c r="DW223" s="116"/>
      <c r="DX223" s="116"/>
      <c r="DY223" s="116"/>
      <c r="DZ223" s="116"/>
      <c r="EA223" s="116"/>
      <c r="EB223" s="116"/>
      <c r="EC223" s="116"/>
      <c r="ED223" s="116"/>
      <c r="EE223" s="116"/>
      <c r="EF223" s="116"/>
      <c r="EG223" s="116"/>
      <c r="EH223" s="116"/>
      <c r="EI223" s="116"/>
      <c r="EJ223" s="116"/>
      <c r="EK223" s="116"/>
      <c r="EL223" s="116"/>
      <c r="EM223" s="116"/>
      <c r="EN223" s="116"/>
      <c r="EO223" s="116"/>
      <c r="EP223" s="116"/>
      <c r="EQ223" s="116"/>
      <c r="ER223" s="116"/>
      <c r="ES223" s="116"/>
      <c r="ET223" s="116"/>
      <c r="EU223" s="116"/>
      <c r="EV223" s="116"/>
      <c r="EW223" s="116"/>
      <c r="EX223" s="116"/>
      <c r="EY223" s="116"/>
      <c r="EZ223" s="116"/>
      <c r="FA223" s="116"/>
      <c r="FB223" s="116"/>
      <c r="FC223" s="116"/>
      <c r="FD223" s="116"/>
      <c r="FE223" s="116"/>
      <c r="FF223" s="116"/>
      <c r="FG223" s="116"/>
      <c r="FH223" s="116"/>
      <c r="FI223" s="116"/>
      <c r="FJ223" s="116"/>
      <c r="FK223" s="116"/>
      <c r="FL223" s="116"/>
      <c r="FM223" s="116"/>
      <c r="FN223" s="116"/>
      <c r="FO223" s="116"/>
      <c r="FP223" s="116"/>
      <c r="FQ223" s="116"/>
      <c r="FR223" s="116"/>
      <c r="FS223" s="116"/>
      <c r="FT223" s="116"/>
      <c r="FU223" s="116"/>
      <c r="FV223" s="116"/>
      <c r="FW223" s="116"/>
      <c r="FX223" s="116"/>
      <c r="FY223" s="116"/>
      <c r="FZ223" s="116"/>
      <c r="GA223" s="116"/>
      <c r="GB223" s="116"/>
      <c r="GC223" s="116"/>
      <c r="GD223" s="116"/>
      <c r="GE223" s="116"/>
      <c r="GF223" s="116"/>
      <c r="GG223" s="116"/>
      <c r="GH223" s="116"/>
    </row>
    <row r="224" spans="2:190" ht="12.75">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c r="DS224" s="116"/>
      <c r="DT224" s="116"/>
      <c r="DU224" s="116"/>
      <c r="DV224" s="116"/>
      <c r="DW224" s="116"/>
      <c r="DX224" s="116"/>
      <c r="DY224" s="116"/>
      <c r="DZ224" s="116"/>
      <c r="EA224" s="116"/>
      <c r="EB224" s="116"/>
      <c r="EC224" s="116"/>
      <c r="ED224" s="116"/>
      <c r="EE224" s="116"/>
      <c r="EF224" s="116"/>
      <c r="EG224" s="116"/>
      <c r="EH224" s="116"/>
      <c r="EI224" s="116"/>
      <c r="EJ224" s="116"/>
      <c r="EK224" s="116"/>
      <c r="EL224" s="116"/>
      <c r="EM224" s="116"/>
      <c r="EN224" s="116"/>
      <c r="EO224" s="116"/>
      <c r="EP224" s="116"/>
      <c r="EQ224" s="116"/>
      <c r="ER224" s="116"/>
      <c r="ES224" s="116"/>
      <c r="ET224" s="116"/>
      <c r="EU224" s="116"/>
      <c r="EV224" s="116"/>
      <c r="EW224" s="116"/>
      <c r="EX224" s="116"/>
      <c r="EY224" s="116"/>
      <c r="EZ224" s="116"/>
      <c r="FA224" s="116"/>
      <c r="FB224" s="116"/>
      <c r="FC224" s="116"/>
      <c r="FD224" s="116"/>
      <c r="FE224" s="116"/>
      <c r="FF224" s="116"/>
      <c r="FG224" s="116"/>
      <c r="FH224" s="116"/>
      <c r="FI224" s="116"/>
      <c r="FJ224" s="116"/>
      <c r="FK224" s="116"/>
      <c r="FL224" s="116"/>
      <c r="FM224" s="116"/>
      <c r="FN224" s="116"/>
      <c r="FO224" s="116"/>
      <c r="FP224" s="116"/>
      <c r="FQ224" s="116"/>
      <c r="FR224" s="116"/>
      <c r="FS224" s="116"/>
      <c r="FT224" s="116"/>
      <c r="FU224" s="116"/>
      <c r="FV224" s="116"/>
      <c r="FW224" s="116"/>
      <c r="FX224" s="116"/>
      <c r="FY224" s="116"/>
      <c r="FZ224" s="116"/>
      <c r="GA224" s="116"/>
      <c r="GB224" s="116"/>
      <c r="GC224" s="116"/>
      <c r="GD224" s="116"/>
      <c r="GE224" s="116"/>
      <c r="GF224" s="116"/>
      <c r="GG224" s="116"/>
      <c r="GH224" s="116"/>
    </row>
    <row r="225" spans="2:190" ht="12.75">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c r="DS225" s="116"/>
      <c r="DT225" s="116"/>
      <c r="DU225" s="116"/>
      <c r="DV225" s="116"/>
      <c r="DW225" s="116"/>
      <c r="DX225" s="116"/>
      <c r="DY225" s="116"/>
      <c r="DZ225" s="116"/>
      <c r="EA225" s="116"/>
      <c r="EB225" s="116"/>
      <c r="EC225" s="116"/>
      <c r="ED225" s="116"/>
      <c r="EE225" s="116"/>
      <c r="EF225" s="116"/>
      <c r="EG225" s="116"/>
      <c r="EH225" s="116"/>
      <c r="EI225" s="116"/>
      <c r="EJ225" s="116"/>
      <c r="EK225" s="116"/>
      <c r="EL225" s="116"/>
      <c r="EM225" s="116"/>
      <c r="EN225" s="116"/>
      <c r="EO225" s="116"/>
      <c r="EP225" s="116"/>
      <c r="EQ225" s="116"/>
      <c r="ER225" s="116"/>
      <c r="ES225" s="116"/>
      <c r="ET225" s="116"/>
      <c r="EU225" s="116"/>
      <c r="EV225" s="116"/>
      <c r="EW225" s="116"/>
      <c r="EX225" s="116"/>
      <c r="EY225" s="116"/>
      <c r="EZ225" s="116"/>
      <c r="FA225" s="116"/>
      <c r="FB225" s="116"/>
      <c r="FC225" s="116"/>
      <c r="FD225" s="116"/>
      <c r="FE225" s="116"/>
      <c r="FF225" s="116"/>
      <c r="FG225" s="116"/>
      <c r="FH225" s="116"/>
      <c r="FI225" s="116"/>
      <c r="FJ225" s="116"/>
      <c r="FK225" s="116"/>
      <c r="FL225" s="116"/>
      <c r="FM225" s="116"/>
      <c r="FN225" s="116"/>
      <c r="FO225" s="116"/>
      <c r="FP225" s="116"/>
      <c r="FQ225" s="116"/>
      <c r="FR225" s="116"/>
      <c r="FS225" s="116"/>
      <c r="FT225" s="116"/>
      <c r="FU225" s="116"/>
      <c r="FV225" s="116"/>
      <c r="FW225" s="116"/>
      <c r="FX225" s="116"/>
      <c r="FY225" s="116"/>
      <c r="FZ225" s="116"/>
      <c r="GA225" s="116"/>
      <c r="GB225" s="116"/>
      <c r="GC225" s="116"/>
      <c r="GD225" s="116"/>
      <c r="GE225" s="116"/>
      <c r="GF225" s="116"/>
      <c r="GG225" s="116"/>
      <c r="GH225" s="116"/>
    </row>
    <row r="226" spans="2:190" ht="12.75">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c r="DS226" s="116"/>
      <c r="DT226" s="116"/>
      <c r="DU226" s="116"/>
      <c r="DV226" s="116"/>
      <c r="DW226" s="116"/>
      <c r="DX226" s="116"/>
      <c r="DY226" s="116"/>
      <c r="DZ226" s="116"/>
      <c r="EA226" s="116"/>
      <c r="EB226" s="116"/>
      <c r="EC226" s="116"/>
      <c r="ED226" s="116"/>
      <c r="EE226" s="116"/>
      <c r="EF226" s="116"/>
      <c r="EG226" s="116"/>
      <c r="EH226" s="116"/>
      <c r="EI226" s="116"/>
      <c r="EJ226" s="116"/>
      <c r="EK226" s="116"/>
      <c r="EL226" s="116"/>
      <c r="EM226" s="116"/>
      <c r="EN226" s="116"/>
      <c r="EO226" s="116"/>
      <c r="EP226" s="116"/>
      <c r="EQ226" s="116"/>
      <c r="ER226" s="116"/>
      <c r="ES226" s="116"/>
      <c r="ET226" s="116"/>
      <c r="EU226" s="116"/>
      <c r="EV226" s="116"/>
      <c r="EW226" s="116"/>
      <c r="EX226" s="116"/>
      <c r="EY226" s="116"/>
      <c r="EZ226" s="116"/>
      <c r="FA226" s="116"/>
      <c r="FB226" s="116"/>
      <c r="FC226" s="116"/>
      <c r="FD226" s="116"/>
      <c r="FE226" s="116"/>
      <c r="FF226" s="116"/>
      <c r="FG226" s="116"/>
      <c r="FH226" s="116"/>
      <c r="FI226" s="116"/>
      <c r="FJ226" s="116"/>
      <c r="FK226" s="116"/>
      <c r="FL226" s="116"/>
      <c r="FM226" s="116"/>
      <c r="FN226" s="116"/>
      <c r="FO226" s="116"/>
      <c r="FP226" s="116"/>
      <c r="FQ226" s="116"/>
      <c r="FR226" s="116"/>
      <c r="FS226" s="116"/>
      <c r="FT226" s="116"/>
      <c r="FU226" s="116"/>
      <c r="FV226" s="116"/>
      <c r="FW226" s="116"/>
      <c r="FX226" s="116"/>
      <c r="FY226" s="116"/>
      <c r="FZ226" s="116"/>
      <c r="GA226" s="116"/>
      <c r="GB226" s="116"/>
      <c r="GC226" s="116"/>
      <c r="GD226" s="116"/>
      <c r="GE226" s="116"/>
      <c r="GF226" s="116"/>
      <c r="GG226" s="116"/>
      <c r="GH226" s="116"/>
    </row>
    <row r="227" spans="2:190" ht="12.75">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c r="DS227" s="116"/>
      <c r="DT227" s="116"/>
      <c r="DU227" s="116"/>
      <c r="DV227" s="116"/>
      <c r="DW227" s="116"/>
      <c r="DX227" s="116"/>
      <c r="DY227" s="116"/>
      <c r="DZ227" s="116"/>
      <c r="EA227" s="116"/>
      <c r="EB227" s="116"/>
      <c r="EC227" s="116"/>
      <c r="ED227" s="116"/>
      <c r="EE227" s="116"/>
      <c r="EF227" s="116"/>
      <c r="EG227" s="116"/>
      <c r="EH227" s="116"/>
      <c r="EI227" s="116"/>
      <c r="EJ227" s="116"/>
      <c r="EK227" s="116"/>
      <c r="EL227" s="116"/>
      <c r="EM227" s="116"/>
      <c r="EN227" s="116"/>
      <c r="EO227" s="116"/>
      <c r="EP227" s="116"/>
      <c r="EQ227" s="116"/>
      <c r="ER227" s="116"/>
      <c r="ES227" s="116"/>
      <c r="ET227" s="116"/>
      <c r="EU227" s="116"/>
      <c r="EV227" s="116"/>
      <c r="EW227" s="116"/>
      <c r="EX227" s="116"/>
      <c r="EY227" s="116"/>
      <c r="EZ227" s="116"/>
      <c r="FA227" s="116"/>
      <c r="FB227" s="116"/>
      <c r="FC227" s="116"/>
      <c r="FD227" s="116"/>
      <c r="FE227" s="116"/>
      <c r="FF227" s="116"/>
      <c r="FG227" s="116"/>
      <c r="FH227" s="116"/>
      <c r="FI227" s="116"/>
      <c r="FJ227" s="116"/>
      <c r="FK227" s="116"/>
      <c r="FL227" s="116"/>
      <c r="FM227" s="116"/>
      <c r="FN227" s="116"/>
      <c r="FO227" s="116"/>
      <c r="FP227" s="116"/>
      <c r="FQ227" s="116"/>
      <c r="FR227" s="116"/>
      <c r="FS227" s="116"/>
      <c r="FT227" s="116"/>
      <c r="FU227" s="116"/>
      <c r="FV227" s="116"/>
      <c r="FW227" s="116"/>
      <c r="FX227" s="116"/>
      <c r="FY227" s="116"/>
      <c r="FZ227" s="116"/>
      <c r="GA227" s="116"/>
      <c r="GB227" s="116"/>
      <c r="GC227" s="116"/>
      <c r="GD227" s="116"/>
      <c r="GE227" s="116"/>
      <c r="GF227" s="116"/>
      <c r="GG227" s="116"/>
      <c r="GH227" s="116"/>
    </row>
    <row r="228" spans="2:190" ht="12.75">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c r="DS228" s="116"/>
      <c r="DT228" s="116"/>
      <c r="DU228" s="116"/>
      <c r="DV228" s="116"/>
      <c r="DW228" s="116"/>
      <c r="DX228" s="116"/>
      <c r="DY228" s="116"/>
      <c r="DZ228" s="116"/>
      <c r="EA228" s="116"/>
      <c r="EB228" s="116"/>
      <c r="EC228" s="116"/>
      <c r="ED228" s="116"/>
      <c r="EE228" s="116"/>
      <c r="EF228" s="116"/>
      <c r="EG228" s="116"/>
      <c r="EH228" s="116"/>
      <c r="EI228" s="116"/>
      <c r="EJ228" s="116"/>
      <c r="EK228" s="116"/>
      <c r="EL228" s="116"/>
      <c r="EM228" s="116"/>
      <c r="EN228" s="116"/>
      <c r="EO228" s="116"/>
      <c r="EP228" s="116"/>
      <c r="EQ228" s="116"/>
      <c r="ER228" s="116"/>
      <c r="ES228" s="116"/>
      <c r="ET228" s="116"/>
      <c r="EU228" s="116"/>
      <c r="EV228" s="116"/>
      <c r="EW228" s="116"/>
      <c r="EX228" s="116"/>
      <c r="EY228" s="116"/>
      <c r="EZ228" s="116"/>
      <c r="FA228" s="116"/>
      <c r="FB228" s="116"/>
      <c r="FC228" s="116"/>
      <c r="FD228" s="116"/>
      <c r="FE228" s="116"/>
      <c r="FF228" s="116"/>
      <c r="FG228" s="116"/>
      <c r="FH228" s="116"/>
      <c r="FI228" s="116"/>
      <c r="FJ228" s="116"/>
      <c r="FK228" s="116"/>
      <c r="FL228" s="116"/>
      <c r="FM228" s="116"/>
      <c r="FN228" s="116"/>
      <c r="FO228" s="116"/>
      <c r="FP228" s="116"/>
      <c r="FQ228" s="116"/>
      <c r="FR228" s="116"/>
      <c r="FS228" s="116"/>
      <c r="FT228" s="116"/>
      <c r="FU228" s="116"/>
      <c r="FV228" s="116"/>
      <c r="FW228" s="116"/>
      <c r="FX228" s="116"/>
      <c r="FY228" s="116"/>
      <c r="FZ228" s="116"/>
      <c r="GA228" s="116"/>
      <c r="GB228" s="116"/>
      <c r="GC228" s="116"/>
      <c r="GD228" s="116"/>
      <c r="GE228" s="116"/>
      <c r="GF228" s="116"/>
      <c r="GG228" s="116"/>
      <c r="GH228" s="116"/>
    </row>
    <row r="229" spans="2:190" ht="12.75">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c r="DS229" s="116"/>
      <c r="DT229" s="116"/>
      <c r="DU229" s="116"/>
      <c r="DV229" s="116"/>
      <c r="DW229" s="116"/>
      <c r="DX229" s="116"/>
      <c r="DY229" s="116"/>
      <c r="DZ229" s="116"/>
      <c r="EA229" s="116"/>
      <c r="EB229" s="116"/>
      <c r="EC229" s="116"/>
      <c r="ED229" s="116"/>
      <c r="EE229" s="116"/>
      <c r="EF229" s="116"/>
      <c r="EG229" s="116"/>
      <c r="EH229" s="116"/>
      <c r="EI229" s="116"/>
      <c r="EJ229" s="116"/>
      <c r="EK229" s="116"/>
      <c r="EL229" s="116"/>
      <c r="EM229" s="116"/>
      <c r="EN229" s="116"/>
      <c r="EO229" s="116"/>
      <c r="EP229" s="116"/>
      <c r="EQ229" s="116"/>
      <c r="ER229" s="116"/>
      <c r="ES229" s="116"/>
      <c r="ET229" s="116"/>
      <c r="EU229" s="116"/>
      <c r="EV229" s="116"/>
      <c r="EW229" s="116"/>
      <c r="EX229" s="116"/>
      <c r="EY229" s="116"/>
      <c r="EZ229" s="116"/>
      <c r="FA229" s="116"/>
      <c r="FB229" s="116"/>
      <c r="FC229" s="116"/>
      <c r="FD229" s="116"/>
      <c r="FE229" s="116"/>
      <c r="FF229" s="116"/>
      <c r="FG229" s="116"/>
      <c r="FH229" s="116"/>
      <c r="FI229" s="116"/>
      <c r="FJ229" s="116"/>
      <c r="FK229" s="116"/>
      <c r="FL229" s="116"/>
      <c r="FM229" s="116"/>
      <c r="FN229" s="116"/>
      <c r="FO229" s="116"/>
      <c r="FP229" s="116"/>
      <c r="FQ229" s="116"/>
      <c r="FR229" s="116"/>
      <c r="FS229" s="116"/>
      <c r="FT229" s="116"/>
      <c r="FU229" s="116"/>
      <c r="FV229" s="116"/>
      <c r="FW229" s="116"/>
      <c r="FX229" s="116"/>
      <c r="FY229" s="116"/>
      <c r="FZ229" s="116"/>
      <c r="GA229" s="116"/>
      <c r="GB229" s="116"/>
      <c r="GC229" s="116"/>
      <c r="GD229" s="116"/>
      <c r="GE229" s="116"/>
      <c r="GF229" s="116"/>
      <c r="GG229" s="116"/>
      <c r="GH229" s="116"/>
    </row>
    <row r="230" spans="2:190" ht="12.75">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c r="DS230" s="116"/>
      <c r="DT230" s="116"/>
      <c r="DU230" s="116"/>
      <c r="DV230" s="116"/>
      <c r="DW230" s="116"/>
      <c r="DX230" s="116"/>
      <c r="DY230" s="116"/>
      <c r="DZ230" s="116"/>
      <c r="EA230" s="116"/>
      <c r="EB230" s="116"/>
      <c r="EC230" s="116"/>
      <c r="ED230" s="116"/>
      <c r="EE230" s="116"/>
      <c r="EF230" s="116"/>
      <c r="EG230" s="116"/>
      <c r="EH230" s="116"/>
      <c r="EI230" s="116"/>
      <c r="EJ230" s="116"/>
      <c r="EK230" s="116"/>
      <c r="EL230" s="116"/>
      <c r="EM230" s="116"/>
      <c r="EN230" s="116"/>
      <c r="EO230" s="116"/>
      <c r="EP230" s="116"/>
      <c r="EQ230" s="116"/>
      <c r="ER230" s="116"/>
      <c r="ES230" s="116"/>
      <c r="ET230" s="116"/>
      <c r="EU230" s="116"/>
      <c r="EV230" s="116"/>
      <c r="EW230" s="116"/>
      <c r="EX230" s="116"/>
      <c r="EY230" s="116"/>
      <c r="EZ230" s="116"/>
      <c r="FA230" s="116"/>
      <c r="FB230" s="116"/>
      <c r="FC230" s="116"/>
      <c r="FD230" s="116"/>
      <c r="FE230" s="116"/>
      <c r="FF230" s="116"/>
      <c r="FG230" s="116"/>
      <c r="FH230" s="116"/>
      <c r="FI230" s="116"/>
      <c r="FJ230" s="116"/>
      <c r="FK230" s="116"/>
      <c r="FL230" s="116"/>
      <c r="FM230" s="116"/>
      <c r="FN230" s="116"/>
      <c r="FO230" s="116"/>
      <c r="FP230" s="116"/>
      <c r="FQ230" s="116"/>
      <c r="FR230" s="116"/>
      <c r="FS230" s="116"/>
      <c r="FT230" s="116"/>
      <c r="FU230" s="116"/>
      <c r="FV230" s="116"/>
      <c r="FW230" s="116"/>
      <c r="FX230" s="116"/>
      <c r="FY230" s="116"/>
      <c r="FZ230" s="116"/>
      <c r="GA230" s="116"/>
      <c r="GB230" s="116"/>
      <c r="GC230" s="116"/>
      <c r="GD230" s="116"/>
      <c r="GE230" s="116"/>
      <c r="GF230" s="116"/>
      <c r="GG230" s="116"/>
      <c r="GH230" s="116"/>
    </row>
    <row r="231" spans="2:190" ht="12.75">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c r="EI231" s="116"/>
      <c r="EJ231" s="116"/>
      <c r="EK231" s="116"/>
      <c r="EL231" s="116"/>
      <c r="EM231" s="116"/>
      <c r="EN231" s="116"/>
      <c r="EO231" s="116"/>
      <c r="EP231" s="116"/>
      <c r="EQ231" s="116"/>
      <c r="ER231" s="116"/>
      <c r="ES231" s="116"/>
      <c r="ET231" s="116"/>
      <c r="EU231" s="116"/>
      <c r="EV231" s="116"/>
      <c r="EW231" s="116"/>
      <c r="EX231" s="116"/>
      <c r="EY231" s="116"/>
      <c r="EZ231" s="116"/>
      <c r="FA231" s="116"/>
      <c r="FB231" s="116"/>
      <c r="FC231" s="116"/>
      <c r="FD231" s="116"/>
      <c r="FE231" s="116"/>
      <c r="FF231" s="116"/>
      <c r="FG231" s="116"/>
      <c r="FH231" s="116"/>
      <c r="FI231" s="116"/>
      <c r="FJ231" s="116"/>
      <c r="FK231" s="116"/>
      <c r="FL231" s="116"/>
      <c r="FM231" s="116"/>
      <c r="FN231" s="116"/>
      <c r="FO231" s="116"/>
      <c r="FP231" s="116"/>
      <c r="FQ231" s="116"/>
      <c r="FR231" s="116"/>
      <c r="FS231" s="116"/>
      <c r="FT231" s="116"/>
      <c r="FU231" s="116"/>
      <c r="FV231" s="116"/>
      <c r="FW231" s="116"/>
      <c r="FX231" s="116"/>
      <c r="FY231" s="116"/>
      <c r="FZ231" s="116"/>
      <c r="GA231" s="116"/>
      <c r="GB231" s="116"/>
      <c r="GC231" s="116"/>
      <c r="GD231" s="116"/>
      <c r="GE231" s="116"/>
      <c r="GF231" s="116"/>
      <c r="GG231" s="116"/>
      <c r="GH231" s="116"/>
    </row>
    <row r="232" spans="2:190" ht="12.75">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6"/>
      <c r="EV232" s="116"/>
      <c r="EW232" s="116"/>
      <c r="EX232" s="116"/>
      <c r="EY232" s="116"/>
      <c r="EZ232" s="116"/>
      <c r="FA232" s="116"/>
      <c r="FB232" s="116"/>
      <c r="FC232" s="116"/>
      <c r="FD232" s="116"/>
      <c r="FE232" s="116"/>
      <c r="FF232" s="116"/>
      <c r="FG232" s="116"/>
      <c r="FH232" s="116"/>
      <c r="FI232" s="116"/>
      <c r="FJ232" s="116"/>
      <c r="FK232" s="116"/>
      <c r="FL232" s="116"/>
      <c r="FM232" s="116"/>
      <c r="FN232" s="116"/>
      <c r="FO232" s="116"/>
      <c r="FP232" s="116"/>
      <c r="FQ232" s="116"/>
      <c r="FR232" s="116"/>
      <c r="FS232" s="116"/>
      <c r="FT232" s="116"/>
      <c r="FU232" s="116"/>
      <c r="FV232" s="116"/>
      <c r="FW232" s="116"/>
      <c r="FX232" s="116"/>
      <c r="FY232" s="116"/>
      <c r="FZ232" s="116"/>
      <c r="GA232" s="116"/>
      <c r="GB232" s="116"/>
      <c r="GC232" s="116"/>
      <c r="GD232" s="116"/>
      <c r="GE232" s="116"/>
      <c r="GF232" s="116"/>
      <c r="GG232" s="116"/>
      <c r="GH232" s="116"/>
    </row>
    <row r="233" spans="2:190" ht="12.75">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c r="EI233" s="116"/>
      <c r="EJ233" s="116"/>
      <c r="EK233" s="116"/>
      <c r="EL233" s="116"/>
      <c r="EM233" s="116"/>
      <c r="EN233" s="116"/>
      <c r="EO233" s="116"/>
      <c r="EP233" s="116"/>
      <c r="EQ233" s="116"/>
      <c r="ER233" s="116"/>
      <c r="ES233" s="116"/>
      <c r="ET233" s="116"/>
      <c r="EU233" s="116"/>
      <c r="EV233" s="116"/>
      <c r="EW233" s="116"/>
      <c r="EX233" s="116"/>
      <c r="EY233" s="116"/>
      <c r="EZ233" s="116"/>
      <c r="FA233" s="116"/>
      <c r="FB233" s="116"/>
      <c r="FC233" s="116"/>
      <c r="FD233" s="116"/>
      <c r="FE233" s="116"/>
      <c r="FF233" s="116"/>
      <c r="FG233" s="116"/>
      <c r="FH233" s="116"/>
      <c r="FI233" s="116"/>
      <c r="FJ233" s="116"/>
      <c r="FK233" s="116"/>
      <c r="FL233" s="116"/>
      <c r="FM233" s="116"/>
      <c r="FN233" s="116"/>
      <c r="FO233" s="116"/>
      <c r="FP233" s="116"/>
      <c r="FQ233" s="116"/>
      <c r="FR233" s="116"/>
      <c r="FS233" s="116"/>
      <c r="FT233" s="116"/>
      <c r="FU233" s="116"/>
      <c r="FV233" s="116"/>
      <c r="FW233" s="116"/>
      <c r="FX233" s="116"/>
      <c r="FY233" s="116"/>
      <c r="FZ233" s="116"/>
      <c r="GA233" s="116"/>
      <c r="GB233" s="116"/>
      <c r="GC233" s="116"/>
      <c r="GD233" s="116"/>
      <c r="GE233" s="116"/>
      <c r="GF233" s="116"/>
      <c r="GG233" s="116"/>
      <c r="GH233" s="116"/>
    </row>
    <row r="234" spans="2:190" ht="12.75">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c r="DS234" s="116"/>
      <c r="DT234" s="116"/>
      <c r="DU234" s="116"/>
      <c r="DV234" s="116"/>
      <c r="DW234" s="116"/>
      <c r="DX234" s="116"/>
      <c r="DY234" s="116"/>
      <c r="DZ234" s="116"/>
      <c r="EA234" s="116"/>
      <c r="EB234" s="116"/>
      <c r="EC234" s="116"/>
      <c r="ED234" s="116"/>
      <c r="EE234" s="116"/>
      <c r="EF234" s="116"/>
      <c r="EG234" s="116"/>
      <c r="EH234" s="116"/>
      <c r="EI234" s="116"/>
      <c r="EJ234" s="116"/>
      <c r="EK234" s="116"/>
      <c r="EL234" s="116"/>
      <c r="EM234" s="116"/>
      <c r="EN234" s="116"/>
      <c r="EO234" s="116"/>
      <c r="EP234" s="116"/>
      <c r="EQ234" s="116"/>
      <c r="ER234" s="116"/>
      <c r="ES234" s="116"/>
      <c r="ET234" s="116"/>
      <c r="EU234" s="116"/>
      <c r="EV234" s="116"/>
      <c r="EW234" s="116"/>
      <c r="EX234" s="116"/>
      <c r="EY234" s="116"/>
      <c r="EZ234" s="116"/>
      <c r="FA234" s="116"/>
      <c r="FB234" s="116"/>
      <c r="FC234" s="116"/>
      <c r="FD234" s="116"/>
      <c r="FE234" s="116"/>
      <c r="FF234" s="116"/>
      <c r="FG234" s="116"/>
      <c r="FH234" s="116"/>
      <c r="FI234" s="116"/>
      <c r="FJ234" s="116"/>
      <c r="FK234" s="116"/>
      <c r="FL234" s="116"/>
      <c r="FM234" s="116"/>
      <c r="FN234" s="116"/>
      <c r="FO234" s="116"/>
      <c r="FP234" s="116"/>
      <c r="FQ234" s="116"/>
      <c r="FR234" s="116"/>
      <c r="FS234" s="116"/>
      <c r="FT234" s="116"/>
      <c r="FU234" s="116"/>
      <c r="FV234" s="116"/>
      <c r="FW234" s="116"/>
      <c r="FX234" s="116"/>
      <c r="FY234" s="116"/>
      <c r="FZ234" s="116"/>
      <c r="GA234" s="116"/>
      <c r="GB234" s="116"/>
      <c r="GC234" s="116"/>
      <c r="GD234" s="116"/>
      <c r="GE234" s="116"/>
      <c r="GF234" s="116"/>
      <c r="GG234" s="116"/>
      <c r="GH234" s="116"/>
    </row>
    <row r="235" spans="2:190" ht="12.75">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c r="DS235" s="116"/>
      <c r="DT235" s="116"/>
      <c r="DU235" s="116"/>
      <c r="DV235" s="116"/>
      <c r="DW235" s="116"/>
      <c r="DX235" s="116"/>
      <c r="DY235" s="116"/>
      <c r="DZ235" s="116"/>
      <c r="EA235" s="116"/>
      <c r="EB235" s="116"/>
      <c r="EC235" s="116"/>
      <c r="ED235" s="116"/>
      <c r="EE235" s="116"/>
      <c r="EF235" s="116"/>
      <c r="EG235" s="116"/>
      <c r="EH235" s="116"/>
      <c r="EI235" s="116"/>
      <c r="EJ235" s="116"/>
      <c r="EK235" s="116"/>
      <c r="EL235" s="116"/>
      <c r="EM235" s="116"/>
      <c r="EN235" s="116"/>
      <c r="EO235" s="116"/>
      <c r="EP235" s="116"/>
      <c r="EQ235" s="116"/>
      <c r="ER235" s="116"/>
      <c r="ES235" s="116"/>
      <c r="ET235" s="116"/>
      <c r="EU235" s="116"/>
      <c r="EV235" s="116"/>
      <c r="EW235" s="116"/>
      <c r="EX235" s="116"/>
      <c r="EY235" s="116"/>
      <c r="EZ235" s="116"/>
      <c r="FA235" s="116"/>
      <c r="FB235" s="116"/>
      <c r="FC235" s="116"/>
      <c r="FD235" s="116"/>
      <c r="FE235" s="116"/>
      <c r="FF235" s="116"/>
      <c r="FG235" s="116"/>
      <c r="FH235" s="116"/>
      <c r="FI235" s="116"/>
      <c r="FJ235" s="116"/>
      <c r="FK235" s="116"/>
      <c r="FL235" s="116"/>
      <c r="FM235" s="116"/>
      <c r="FN235" s="116"/>
      <c r="FO235" s="116"/>
      <c r="FP235" s="116"/>
      <c r="FQ235" s="116"/>
      <c r="FR235" s="116"/>
      <c r="FS235" s="116"/>
      <c r="FT235" s="116"/>
      <c r="FU235" s="116"/>
      <c r="FV235" s="116"/>
      <c r="FW235" s="116"/>
      <c r="FX235" s="116"/>
      <c r="FY235" s="116"/>
      <c r="FZ235" s="116"/>
      <c r="GA235" s="116"/>
      <c r="GB235" s="116"/>
      <c r="GC235" s="116"/>
      <c r="GD235" s="116"/>
      <c r="GE235" s="116"/>
      <c r="GF235" s="116"/>
      <c r="GG235" s="116"/>
      <c r="GH235" s="116"/>
    </row>
    <row r="236" spans="2:190" ht="12.75">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c r="DS236" s="116"/>
      <c r="DT236" s="116"/>
      <c r="DU236" s="116"/>
      <c r="DV236" s="116"/>
      <c r="DW236" s="116"/>
      <c r="DX236" s="116"/>
      <c r="DY236" s="116"/>
      <c r="DZ236" s="116"/>
      <c r="EA236" s="116"/>
      <c r="EB236" s="116"/>
      <c r="EC236" s="116"/>
      <c r="ED236" s="116"/>
      <c r="EE236" s="116"/>
      <c r="EF236" s="116"/>
      <c r="EG236" s="116"/>
      <c r="EH236" s="116"/>
      <c r="EI236" s="116"/>
      <c r="EJ236" s="116"/>
      <c r="EK236" s="116"/>
      <c r="EL236" s="116"/>
      <c r="EM236" s="116"/>
      <c r="EN236" s="116"/>
      <c r="EO236" s="116"/>
      <c r="EP236" s="116"/>
      <c r="EQ236" s="116"/>
      <c r="ER236" s="116"/>
      <c r="ES236" s="116"/>
      <c r="ET236" s="116"/>
      <c r="EU236" s="116"/>
      <c r="EV236" s="116"/>
      <c r="EW236" s="116"/>
      <c r="EX236" s="116"/>
      <c r="EY236" s="116"/>
      <c r="EZ236" s="116"/>
      <c r="FA236" s="116"/>
      <c r="FB236" s="116"/>
      <c r="FC236" s="116"/>
      <c r="FD236" s="116"/>
      <c r="FE236" s="116"/>
      <c r="FF236" s="116"/>
      <c r="FG236" s="116"/>
      <c r="FH236" s="116"/>
      <c r="FI236" s="116"/>
      <c r="FJ236" s="116"/>
      <c r="FK236" s="116"/>
      <c r="FL236" s="116"/>
      <c r="FM236" s="116"/>
      <c r="FN236" s="116"/>
      <c r="FO236" s="116"/>
      <c r="FP236" s="116"/>
      <c r="FQ236" s="116"/>
      <c r="FR236" s="116"/>
      <c r="FS236" s="116"/>
      <c r="FT236" s="116"/>
      <c r="FU236" s="116"/>
      <c r="FV236" s="116"/>
      <c r="FW236" s="116"/>
      <c r="FX236" s="116"/>
      <c r="FY236" s="116"/>
      <c r="FZ236" s="116"/>
      <c r="GA236" s="116"/>
      <c r="GB236" s="116"/>
      <c r="GC236" s="116"/>
      <c r="GD236" s="116"/>
      <c r="GE236" s="116"/>
      <c r="GF236" s="116"/>
      <c r="GG236" s="116"/>
      <c r="GH236" s="116"/>
    </row>
    <row r="237" spans="2:190" ht="12.75">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c r="CA237" s="116"/>
      <c r="CB237" s="116"/>
      <c r="CC237" s="116"/>
      <c r="CD237" s="116"/>
      <c r="CE237" s="116"/>
      <c r="CF237" s="116"/>
      <c r="CG237" s="116"/>
      <c r="CH237" s="116"/>
      <c r="CI237" s="116"/>
      <c r="CJ237" s="116"/>
      <c r="CK237" s="116"/>
      <c r="CL237" s="116"/>
      <c r="CM237" s="116"/>
      <c r="CN237" s="116"/>
      <c r="CO237" s="116"/>
      <c r="CP237" s="116"/>
      <c r="CQ237" s="116"/>
      <c r="CR237" s="116"/>
      <c r="CS237" s="116"/>
      <c r="CT237" s="116"/>
      <c r="CU237" s="116"/>
      <c r="CV237" s="116"/>
      <c r="CW237" s="116"/>
      <c r="CX237" s="116"/>
      <c r="CY237" s="116"/>
      <c r="CZ237" s="116"/>
      <c r="DA237" s="116"/>
      <c r="DB237" s="116"/>
      <c r="DC237" s="116"/>
      <c r="DD237" s="116"/>
      <c r="DE237" s="116"/>
      <c r="DF237" s="116"/>
      <c r="DG237" s="116"/>
      <c r="DH237" s="116"/>
      <c r="DI237" s="116"/>
      <c r="DJ237" s="116"/>
      <c r="DK237" s="116"/>
      <c r="DL237" s="116"/>
      <c r="DM237" s="116"/>
      <c r="DN237" s="116"/>
      <c r="DO237" s="116"/>
      <c r="DP237" s="116"/>
      <c r="DQ237" s="116"/>
      <c r="DR237" s="116"/>
      <c r="DS237" s="116"/>
      <c r="DT237" s="116"/>
      <c r="DU237" s="116"/>
      <c r="DV237" s="116"/>
      <c r="DW237" s="116"/>
      <c r="DX237" s="116"/>
      <c r="DY237" s="116"/>
      <c r="DZ237" s="116"/>
      <c r="EA237" s="116"/>
      <c r="EB237" s="116"/>
      <c r="EC237" s="116"/>
      <c r="ED237" s="116"/>
      <c r="EE237" s="116"/>
      <c r="EF237" s="116"/>
      <c r="EG237" s="116"/>
      <c r="EH237" s="116"/>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6"/>
      <c r="FU237" s="116"/>
      <c r="FV237" s="116"/>
      <c r="FW237" s="116"/>
      <c r="FX237" s="116"/>
      <c r="FY237" s="116"/>
      <c r="FZ237" s="116"/>
      <c r="GA237" s="116"/>
      <c r="GB237" s="116"/>
      <c r="GC237" s="116"/>
      <c r="GD237" s="116"/>
      <c r="GE237" s="116"/>
      <c r="GF237" s="116"/>
      <c r="GG237" s="116"/>
      <c r="GH237" s="116"/>
    </row>
    <row r="238" spans="2:190" ht="12.75">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c r="CA238" s="116"/>
      <c r="CB238" s="116"/>
      <c r="CC238" s="116"/>
      <c r="CD238" s="116"/>
      <c r="CE238" s="116"/>
      <c r="CF238" s="116"/>
      <c r="CG238" s="116"/>
      <c r="CH238" s="116"/>
      <c r="CI238" s="116"/>
      <c r="CJ238" s="116"/>
      <c r="CK238" s="116"/>
      <c r="CL238" s="116"/>
      <c r="CM238" s="116"/>
      <c r="CN238" s="116"/>
      <c r="CO238" s="116"/>
      <c r="CP238" s="116"/>
      <c r="CQ238" s="116"/>
      <c r="CR238" s="116"/>
      <c r="CS238" s="116"/>
      <c r="CT238" s="116"/>
      <c r="CU238" s="116"/>
      <c r="CV238" s="116"/>
      <c r="CW238" s="116"/>
      <c r="CX238" s="116"/>
      <c r="CY238" s="116"/>
      <c r="CZ238" s="116"/>
      <c r="DA238" s="116"/>
      <c r="DB238" s="116"/>
      <c r="DC238" s="116"/>
      <c r="DD238" s="116"/>
      <c r="DE238" s="116"/>
      <c r="DF238" s="116"/>
      <c r="DG238" s="116"/>
      <c r="DH238" s="116"/>
      <c r="DI238" s="116"/>
      <c r="DJ238" s="116"/>
      <c r="DK238" s="116"/>
      <c r="DL238" s="116"/>
      <c r="DM238" s="116"/>
      <c r="DN238" s="116"/>
      <c r="DO238" s="116"/>
      <c r="DP238" s="116"/>
      <c r="DQ238" s="116"/>
      <c r="DR238" s="116"/>
      <c r="DS238" s="116"/>
      <c r="DT238" s="116"/>
      <c r="DU238" s="116"/>
      <c r="DV238" s="116"/>
      <c r="DW238" s="116"/>
      <c r="DX238" s="116"/>
      <c r="DY238" s="116"/>
      <c r="DZ238" s="116"/>
      <c r="EA238" s="116"/>
      <c r="EB238" s="116"/>
      <c r="EC238" s="116"/>
      <c r="ED238" s="116"/>
      <c r="EE238" s="116"/>
      <c r="EF238" s="116"/>
      <c r="EG238" s="116"/>
      <c r="EH238" s="116"/>
      <c r="EI238" s="116"/>
      <c r="EJ238" s="116"/>
      <c r="EK238" s="116"/>
      <c r="EL238" s="116"/>
      <c r="EM238" s="116"/>
      <c r="EN238" s="116"/>
      <c r="EO238" s="116"/>
      <c r="EP238" s="116"/>
      <c r="EQ238" s="116"/>
      <c r="ER238" s="116"/>
      <c r="ES238" s="116"/>
      <c r="ET238" s="116"/>
      <c r="EU238" s="116"/>
      <c r="EV238" s="116"/>
      <c r="EW238" s="116"/>
      <c r="EX238" s="116"/>
      <c r="EY238" s="116"/>
      <c r="EZ238" s="116"/>
      <c r="FA238" s="116"/>
      <c r="FB238" s="116"/>
      <c r="FC238" s="116"/>
      <c r="FD238" s="116"/>
      <c r="FE238" s="116"/>
      <c r="FF238" s="116"/>
      <c r="FG238" s="116"/>
      <c r="FH238" s="116"/>
      <c r="FI238" s="116"/>
      <c r="FJ238" s="116"/>
      <c r="FK238" s="116"/>
      <c r="FL238" s="116"/>
      <c r="FM238" s="116"/>
      <c r="FN238" s="116"/>
      <c r="FO238" s="116"/>
      <c r="FP238" s="116"/>
      <c r="FQ238" s="116"/>
      <c r="FR238" s="116"/>
      <c r="FS238" s="116"/>
      <c r="FT238" s="116"/>
      <c r="FU238" s="116"/>
      <c r="FV238" s="116"/>
      <c r="FW238" s="116"/>
      <c r="FX238" s="116"/>
      <c r="FY238" s="116"/>
      <c r="FZ238" s="116"/>
      <c r="GA238" s="116"/>
      <c r="GB238" s="116"/>
      <c r="GC238" s="116"/>
      <c r="GD238" s="116"/>
      <c r="GE238" s="116"/>
      <c r="GF238" s="116"/>
      <c r="GG238" s="116"/>
      <c r="GH238" s="116"/>
    </row>
    <row r="239" spans="2:190" ht="12.75">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c r="CA239" s="116"/>
      <c r="CB239" s="116"/>
      <c r="CC239" s="116"/>
      <c r="CD239" s="116"/>
      <c r="CE239" s="116"/>
      <c r="CF239" s="116"/>
      <c r="CG239" s="116"/>
      <c r="CH239" s="116"/>
      <c r="CI239" s="116"/>
      <c r="CJ239" s="116"/>
      <c r="CK239" s="116"/>
      <c r="CL239" s="116"/>
      <c r="CM239" s="116"/>
      <c r="CN239" s="116"/>
      <c r="CO239" s="116"/>
      <c r="CP239" s="116"/>
      <c r="CQ239" s="116"/>
      <c r="CR239" s="116"/>
      <c r="CS239" s="116"/>
      <c r="CT239" s="116"/>
      <c r="CU239" s="116"/>
      <c r="CV239" s="116"/>
      <c r="CW239" s="116"/>
      <c r="CX239" s="116"/>
      <c r="CY239" s="116"/>
      <c r="CZ239" s="116"/>
      <c r="DA239" s="116"/>
      <c r="DB239" s="116"/>
      <c r="DC239" s="116"/>
      <c r="DD239" s="116"/>
      <c r="DE239" s="116"/>
      <c r="DF239" s="116"/>
      <c r="DG239" s="116"/>
      <c r="DH239" s="116"/>
      <c r="DI239" s="116"/>
      <c r="DJ239" s="116"/>
      <c r="DK239" s="116"/>
      <c r="DL239" s="116"/>
      <c r="DM239" s="116"/>
      <c r="DN239" s="116"/>
      <c r="DO239" s="116"/>
      <c r="DP239" s="116"/>
      <c r="DQ239" s="116"/>
      <c r="DR239" s="116"/>
      <c r="DS239" s="116"/>
      <c r="DT239" s="116"/>
      <c r="DU239" s="116"/>
      <c r="DV239" s="116"/>
      <c r="DW239" s="116"/>
      <c r="DX239" s="116"/>
      <c r="DY239" s="116"/>
      <c r="DZ239" s="116"/>
      <c r="EA239" s="116"/>
      <c r="EB239" s="116"/>
      <c r="EC239" s="116"/>
      <c r="ED239" s="116"/>
      <c r="EE239" s="116"/>
      <c r="EF239" s="116"/>
      <c r="EG239" s="116"/>
      <c r="EH239" s="116"/>
      <c r="EI239" s="116"/>
      <c r="EJ239" s="116"/>
      <c r="EK239" s="116"/>
      <c r="EL239" s="116"/>
      <c r="EM239" s="116"/>
      <c r="EN239" s="116"/>
      <c r="EO239" s="116"/>
      <c r="EP239" s="116"/>
      <c r="EQ239" s="116"/>
      <c r="ER239" s="116"/>
      <c r="ES239" s="116"/>
      <c r="ET239" s="116"/>
      <c r="EU239" s="116"/>
      <c r="EV239" s="116"/>
      <c r="EW239" s="116"/>
      <c r="EX239" s="116"/>
      <c r="EY239" s="116"/>
      <c r="EZ239" s="116"/>
      <c r="FA239" s="116"/>
      <c r="FB239" s="116"/>
      <c r="FC239" s="116"/>
      <c r="FD239" s="116"/>
      <c r="FE239" s="116"/>
      <c r="FF239" s="116"/>
      <c r="FG239" s="116"/>
      <c r="FH239" s="116"/>
      <c r="FI239" s="116"/>
      <c r="FJ239" s="116"/>
      <c r="FK239" s="116"/>
      <c r="FL239" s="116"/>
      <c r="FM239" s="116"/>
      <c r="FN239" s="116"/>
      <c r="FO239" s="116"/>
      <c r="FP239" s="116"/>
      <c r="FQ239" s="116"/>
      <c r="FR239" s="116"/>
      <c r="FS239" s="116"/>
      <c r="FT239" s="116"/>
      <c r="FU239" s="116"/>
      <c r="FV239" s="116"/>
      <c r="FW239" s="116"/>
      <c r="FX239" s="116"/>
      <c r="FY239" s="116"/>
      <c r="FZ239" s="116"/>
      <c r="GA239" s="116"/>
      <c r="GB239" s="116"/>
      <c r="GC239" s="116"/>
      <c r="GD239" s="116"/>
      <c r="GE239" s="116"/>
      <c r="GF239" s="116"/>
      <c r="GG239" s="116"/>
      <c r="GH239" s="116"/>
    </row>
    <row r="240" spans="2:190" ht="12.75">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c r="CA240" s="116"/>
      <c r="CB240" s="116"/>
      <c r="CC240" s="116"/>
      <c r="CD240" s="116"/>
      <c r="CE240" s="116"/>
      <c r="CF240" s="116"/>
      <c r="CG240" s="116"/>
      <c r="CH240" s="116"/>
      <c r="CI240" s="116"/>
      <c r="CJ240" s="116"/>
      <c r="CK240" s="116"/>
      <c r="CL240" s="116"/>
      <c r="CM240" s="116"/>
      <c r="CN240" s="116"/>
      <c r="CO240" s="116"/>
      <c r="CP240" s="116"/>
      <c r="CQ240" s="116"/>
      <c r="CR240" s="116"/>
      <c r="CS240" s="116"/>
      <c r="CT240" s="116"/>
      <c r="CU240" s="116"/>
      <c r="CV240" s="116"/>
      <c r="CW240" s="116"/>
      <c r="CX240" s="116"/>
      <c r="CY240" s="116"/>
      <c r="CZ240" s="116"/>
      <c r="DA240" s="116"/>
      <c r="DB240" s="116"/>
      <c r="DC240" s="116"/>
      <c r="DD240" s="116"/>
      <c r="DE240" s="116"/>
      <c r="DF240" s="116"/>
      <c r="DG240" s="116"/>
      <c r="DH240" s="116"/>
      <c r="DI240" s="116"/>
      <c r="DJ240" s="116"/>
      <c r="DK240" s="116"/>
      <c r="DL240" s="116"/>
      <c r="DM240" s="116"/>
      <c r="DN240" s="116"/>
      <c r="DO240" s="116"/>
      <c r="DP240" s="116"/>
      <c r="DQ240" s="116"/>
      <c r="DR240" s="116"/>
      <c r="DS240" s="116"/>
      <c r="DT240" s="116"/>
      <c r="DU240" s="116"/>
      <c r="DV240" s="116"/>
      <c r="DW240" s="116"/>
      <c r="DX240" s="116"/>
      <c r="DY240" s="116"/>
      <c r="DZ240" s="116"/>
      <c r="EA240" s="116"/>
      <c r="EB240" s="116"/>
      <c r="EC240" s="116"/>
      <c r="ED240" s="116"/>
      <c r="EE240" s="116"/>
      <c r="EF240" s="116"/>
      <c r="EG240" s="116"/>
      <c r="EH240" s="116"/>
      <c r="EI240" s="116"/>
      <c r="EJ240" s="116"/>
      <c r="EK240" s="116"/>
      <c r="EL240" s="116"/>
      <c r="EM240" s="116"/>
      <c r="EN240" s="116"/>
      <c r="EO240" s="116"/>
      <c r="EP240" s="116"/>
      <c r="EQ240" s="116"/>
      <c r="ER240" s="116"/>
      <c r="ES240" s="116"/>
      <c r="ET240" s="116"/>
      <c r="EU240" s="116"/>
      <c r="EV240" s="116"/>
      <c r="EW240" s="116"/>
      <c r="EX240" s="116"/>
      <c r="EY240" s="116"/>
      <c r="EZ240" s="116"/>
      <c r="FA240" s="116"/>
      <c r="FB240" s="116"/>
      <c r="FC240" s="116"/>
      <c r="FD240" s="116"/>
      <c r="FE240" s="116"/>
      <c r="FF240" s="116"/>
      <c r="FG240" s="116"/>
      <c r="FH240" s="116"/>
      <c r="FI240" s="116"/>
      <c r="FJ240" s="116"/>
      <c r="FK240" s="116"/>
      <c r="FL240" s="116"/>
      <c r="FM240" s="116"/>
      <c r="FN240" s="116"/>
      <c r="FO240" s="116"/>
      <c r="FP240" s="116"/>
      <c r="FQ240" s="116"/>
      <c r="FR240" s="116"/>
      <c r="FS240" s="116"/>
      <c r="FT240" s="116"/>
      <c r="FU240" s="116"/>
      <c r="FV240" s="116"/>
      <c r="FW240" s="116"/>
      <c r="FX240" s="116"/>
      <c r="FY240" s="116"/>
      <c r="FZ240" s="116"/>
      <c r="GA240" s="116"/>
      <c r="GB240" s="116"/>
      <c r="GC240" s="116"/>
      <c r="GD240" s="116"/>
      <c r="GE240" s="116"/>
      <c r="GF240" s="116"/>
      <c r="GG240" s="116"/>
      <c r="GH240" s="116"/>
    </row>
    <row r="241" spans="2:190" ht="12.75">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c r="CA241" s="116"/>
      <c r="CB241" s="116"/>
      <c r="CC241" s="116"/>
      <c r="CD241" s="116"/>
      <c r="CE241" s="116"/>
      <c r="CF241" s="116"/>
      <c r="CG241" s="116"/>
      <c r="CH241" s="116"/>
      <c r="CI241" s="116"/>
      <c r="CJ241" s="116"/>
      <c r="CK241" s="116"/>
      <c r="CL241" s="116"/>
      <c r="CM241" s="116"/>
      <c r="CN241" s="116"/>
      <c r="CO241" s="116"/>
      <c r="CP241" s="116"/>
      <c r="CQ241" s="116"/>
      <c r="CR241" s="116"/>
      <c r="CS241" s="116"/>
      <c r="CT241" s="116"/>
      <c r="CU241" s="116"/>
      <c r="CV241" s="116"/>
      <c r="CW241" s="116"/>
      <c r="CX241" s="116"/>
      <c r="CY241" s="116"/>
      <c r="CZ241" s="116"/>
      <c r="DA241" s="116"/>
      <c r="DB241" s="116"/>
      <c r="DC241" s="116"/>
      <c r="DD241" s="116"/>
      <c r="DE241" s="116"/>
      <c r="DF241" s="116"/>
      <c r="DG241" s="116"/>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6"/>
      <c r="FU241" s="116"/>
      <c r="FV241" s="116"/>
      <c r="FW241" s="116"/>
      <c r="FX241" s="116"/>
      <c r="FY241" s="116"/>
      <c r="FZ241" s="116"/>
      <c r="GA241" s="116"/>
      <c r="GB241" s="116"/>
      <c r="GC241" s="116"/>
      <c r="GD241" s="116"/>
      <c r="GE241" s="116"/>
      <c r="GF241" s="116"/>
      <c r="GG241" s="116"/>
      <c r="GH241" s="116"/>
    </row>
    <row r="242" spans="2:190" ht="12.75">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c r="BR242" s="116"/>
      <c r="BS242" s="116"/>
      <c r="BT242" s="116"/>
      <c r="BU242" s="116"/>
      <c r="BV242" s="116"/>
      <c r="BW242" s="116"/>
      <c r="BX242" s="116"/>
      <c r="BY242" s="116"/>
      <c r="BZ242" s="116"/>
      <c r="CA242" s="116"/>
      <c r="CB242" s="116"/>
      <c r="CC242" s="116"/>
      <c r="CD242" s="116"/>
      <c r="CE242" s="116"/>
      <c r="CF242" s="116"/>
      <c r="CG242" s="116"/>
      <c r="CH242" s="116"/>
      <c r="CI242" s="116"/>
      <c r="CJ242" s="116"/>
      <c r="CK242" s="116"/>
      <c r="CL242" s="116"/>
      <c r="CM242" s="116"/>
      <c r="CN242" s="116"/>
      <c r="CO242" s="116"/>
      <c r="CP242" s="116"/>
      <c r="CQ242" s="116"/>
      <c r="CR242" s="116"/>
      <c r="CS242" s="116"/>
      <c r="CT242" s="116"/>
      <c r="CU242" s="116"/>
      <c r="CV242" s="116"/>
      <c r="CW242" s="116"/>
      <c r="CX242" s="116"/>
      <c r="CY242" s="116"/>
      <c r="CZ242" s="116"/>
      <c r="DA242" s="116"/>
      <c r="DB242" s="116"/>
      <c r="DC242" s="116"/>
      <c r="DD242" s="116"/>
      <c r="DE242" s="116"/>
      <c r="DF242" s="116"/>
      <c r="DG242" s="116"/>
      <c r="DH242" s="116"/>
      <c r="DI242" s="116"/>
      <c r="DJ242" s="116"/>
      <c r="DK242" s="116"/>
      <c r="DL242" s="116"/>
      <c r="DM242" s="116"/>
      <c r="DN242" s="116"/>
      <c r="DO242" s="116"/>
      <c r="DP242" s="116"/>
      <c r="DQ242" s="116"/>
      <c r="DR242" s="116"/>
      <c r="DS242" s="116"/>
      <c r="DT242" s="116"/>
      <c r="DU242" s="116"/>
      <c r="DV242" s="116"/>
      <c r="DW242" s="116"/>
      <c r="DX242" s="116"/>
      <c r="DY242" s="116"/>
      <c r="DZ242" s="116"/>
      <c r="EA242" s="116"/>
      <c r="EB242" s="116"/>
      <c r="EC242" s="116"/>
      <c r="ED242" s="116"/>
      <c r="EE242" s="116"/>
      <c r="EF242" s="116"/>
      <c r="EG242" s="116"/>
      <c r="EH242" s="116"/>
      <c r="EI242" s="116"/>
      <c r="EJ242" s="116"/>
      <c r="EK242" s="116"/>
      <c r="EL242" s="116"/>
      <c r="EM242" s="116"/>
      <c r="EN242" s="116"/>
      <c r="EO242" s="116"/>
      <c r="EP242" s="116"/>
      <c r="EQ242" s="116"/>
      <c r="ER242" s="116"/>
      <c r="ES242" s="116"/>
      <c r="ET242" s="116"/>
      <c r="EU242" s="116"/>
      <c r="EV242" s="116"/>
      <c r="EW242" s="116"/>
      <c r="EX242" s="116"/>
      <c r="EY242" s="116"/>
      <c r="EZ242" s="116"/>
      <c r="FA242" s="116"/>
      <c r="FB242" s="116"/>
      <c r="FC242" s="116"/>
      <c r="FD242" s="116"/>
      <c r="FE242" s="116"/>
      <c r="FF242" s="116"/>
      <c r="FG242" s="116"/>
      <c r="FH242" s="116"/>
      <c r="FI242" s="116"/>
      <c r="FJ242" s="116"/>
      <c r="FK242" s="116"/>
      <c r="FL242" s="116"/>
      <c r="FM242" s="116"/>
      <c r="FN242" s="116"/>
      <c r="FO242" s="116"/>
      <c r="FP242" s="116"/>
      <c r="FQ242" s="116"/>
      <c r="FR242" s="116"/>
      <c r="FS242" s="116"/>
      <c r="FT242" s="116"/>
      <c r="FU242" s="116"/>
      <c r="FV242" s="116"/>
      <c r="FW242" s="116"/>
      <c r="FX242" s="116"/>
      <c r="FY242" s="116"/>
      <c r="FZ242" s="116"/>
      <c r="GA242" s="116"/>
      <c r="GB242" s="116"/>
      <c r="GC242" s="116"/>
      <c r="GD242" s="116"/>
      <c r="GE242" s="116"/>
      <c r="GF242" s="116"/>
      <c r="GG242" s="116"/>
      <c r="GH242" s="116"/>
    </row>
    <row r="243" spans="2:190" ht="12.75">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c r="BR243" s="116"/>
      <c r="BS243" s="116"/>
      <c r="BT243" s="116"/>
      <c r="BU243" s="116"/>
      <c r="BV243" s="116"/>
      <c r="BW243" s="116"/>
      <c r="BX243" s="116"/>
      <c r="BY243" s="116"/>
      <c r="BZ243" s="116"/>
      <c r="CA243" s="116"/>
      <c r="CB243" s="116"/>
      <c r="CC243" s="116"/>
      <c r="CD243" s="116"/>
      <c r="CE243" s="116"/>
      <c r="CF243" s="116"/>
      <c r="CG243" s="116"/>
      <c r="CH243" s="116"/>
      <c r="CI243" s="116"/>
      <c r="CJ243" s="116"/>
      <c r="CK243" s="116"/>
      <c r="CL243" s="116"/>
      <c r="CM243" s="116"/>
      <c r="CN243" s="116"/>
      <c r="CO243" s="116"/>
      <c r="CP243" s="116"/>
      <c r="CQ243" s="116"/>
      <c r="CR243" s="116"/>
      <c r="CS243" s="116"/>
      <c r="CT243" s="116"/>
      <c r="CU243" s="116"/>
      <c r="CV243" s="116"/>
      <c r="CW243" s="116"/>
      <c r="CX243" s="116"/>
      <c r="CY243" s="116"/>
      <c r="CZ243" s="116"/>
      <c r="DA243" s="116"/>
      <c r="DB243" s="116"/>
      <c r="DC243" s="116"/>
      <c r="DD243" s="116"/>
      <c r="DE243" s="116"/>
      <c r="DF243" s="116"/>
      <c r="DG243" s="116"/>
      <c r="DH243" s="116"/>
      <c r="DI243" s="116"/>
      <c r="DJ243" s="116"/>
      <c r="DK243" s="116"/>
      <c r="DL243" s="116"/>
      <c r="DM243" s="116"/>
      <c r="DN243" s="116"/>
      <c r="DO243" s="116"/>
      <c r="DP243" s="116"/>
      <c r="DQ243" s="116"/>
      <c r="DR243" s="116"/>
      <c r="DS243" s="116"/>
      <c r="DT243" s="116"/>
      <c r="DU243" s="116"/>
      <c r="DV243" s="116"/>
      <c r="DW243" s="116"/>
      <c r="DX243" s="116"/>
      <c r="DY243" s="116"/>
      <c r="DZ243" s="116"/>
      <c r="EA243" s="116"/>
      <c r="EB243" s="116"/>
      <c r="EC243" s="116"/>
      <c r="ED243" s="116"/>
      <c r="EE243" s="116"/>
      <c r="EF243" s="116"/>
      <c r="EG243" s="116"/>
      <c r="EH243" s="116"/>
      <c r="EI243" s="116"/>
      <c r="EJ243" s="116"/>
      <c r="EK243" s="116"/>
      <c r="EL243" s="116"/>
      <c r="EM243" s="116"/>
      <c r="EN243" s="116"/>
      <c r="EO243" s="116"/>
      <c r="EP243" s="116"/>
      <c r="EQ243" s="116"/>
      <c r="ER243" s="116"/>
      <c r="ES243" s="116"/>
      <c r="ET243" s="116"/>
      <c r="EU243" s="116"/>
      <c r="EV243" s="116"/>
      <c r="EW243" s="116"/>
      <c r="EX243" s="116"/>
      <c r="EY243" s="116"/>
      <c r="EZ243" s="116"/>
      <c r="FA243" s="116"/>
      <c r="FB243" s="116"/>
      <c r="FC243" s="116"/>
      <c r="FD243" s="116"/>
      <c r="FE243" s="116"/>
      <c r="FF243" s="116"/>
      <c r="FG243" s="116"/>
      <c r="FH243" s="116"/>
      <c r="FI243" s="116"/>
      <c r="FJ243" s="116"/>
      <c r="FK243" s="116"/>
      <c r="FL243" s="116"/>
      <c r="FM243" s="116"/>
      <c r="FN243" s="116"/>
      <c r="FO243" s="116"/>
      <c r="FP243" s="116"/>
      <c r="FQ243" s="116"/>
      <c r="FR243" s="116"/>
      <c r="FS243" s="116"/>
      <c r="FT243" s="116"/>
      <c r="FU243" s="116"/>
      <c r="FV243" s="116"/>
      <c r="FW243" s="116"/>
      <c r="FX243" s="116"/>
      <c r="FY243" s="116"/>
      <c r="FZ243" s="116"/>
      <c r="GA243" s="116"/>
      <c r="GB243" s="116"/>
      <c r="GC243" s="116"/>
      <c r="GD243" s="116"/>
      <c r="GE243" s="116"/>
      <c r="GF243" s="116"/>
      <c r="GG243" s="116"/>
      <c r="GH243" s="116"/>
    </row>
    <row r="244" spans="2:190" ht="12.75">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c r="BR244" s="116"/>
      <c r="BS244" s="116"/>
      <c r="BT244" s="116"/>
      <c r="BU244" s="116"/>
      <c r="BV244" s="116"/>
      <c r="BW244" s="116"/>
      <c r="BX244" s="116"/>
      <c r="BY244" s="116"/>
      <c r="BZ244" s="116"/>
      <c r="CA244" s="116"/>
      <c r="CB244" s="116"/>
      <c r="CC244" s="116"/>
      <c r="CD244" s="116"/>
      <c r="CE244" s="116"/>
      <c r="CF244" s="116"/>
      <c r="CG244" s="116"/>
      <c r="CH244" s="116"/>
      <c r="CI244" s="116"/>
      <c r="CJ244" s="116"/>
      <c r="CK244" s="116"/>
      <c r="CL244" s="116"/>
      <c r="CM244" s="116"/>
      <c r="CN244" s="116"/>
      <c r="CO244" s="116"/>
      <c r="CP244" s="116"/>
      <c r="CQ244" s="116"/>
      <c r="CR244" s="116"/>
      <c r="CS244" s="116"/>
      <c r="CT244" s="116"/>
      <c r="CU244" s="116"/>
      <c r="CV244" s="116"/>
      <c r="CW244" s="116"/>
      <c r="CX244" s="116"/>
      <c r="CY244" s="116"/>
      <c r="CZ244" s="116"/>
      <c r="DA244" s="116"/>
      <c r="DB244" s="116"/>
      <c r="DC244" s="116"/>
      <c r="DD244" s="116"/>
      <c r="DE244" s="116"/>
      <c r="DF244" s="116"/>
      <c r="DG244" s="116"/>
      <c r="DH244" s="116"/>
      <c r="DI244" s="116"/>
      <c r="DJ244" s="116"/>
      <c r="DK244" s="116"/>
      <c r="DL244" s="116"/>
      <c r="DM244" s="116"/>
      <c r="DN244" s="116"/>
      <c r="DO244" s="116"/>
      <c r="DP244" s="116"/>
      <c r="DQ244" s="116"/>
      <c r="DR244" s="116"/>
      <c r="DS244" s="116"/>
      <c r="DT244" s="116"/>
      <c r="DU244" s="116"/>
      <c r="DV244" s="116"/>
      <c r="DW244" s="116"/>
      <c r="DX244" s="116"/>
      <c r="DY244" s="116"/>
      <c r="DZ244" s="116"/>
      <c r="EA244" s="116"/>
      <c r="EB244" s="116"/>
      <c r="EC244" s="116"/>
      <c r="ED244" s="116"/>
      <c r="EE244" s="116"/>
      <c r="EF244" s="116"/>
      <c r="EG244" s="116"/>
      <c r="EH244" s="116"/>
      <c r="EI244" s="116"/>
      <c r="EJ244" s="116"/>
      <c r="EK244" s="116"/>
      <c r="EL244" s="116"/>
      <c r="EM244" s="116"/>
      <c r="EN244" s="116"/>
      <c r="EO244" s="116"/>
      <c r="EP244" s="116"/>
      <c r="EQ244" s="116"/>
      <c r="ER244" s="116"/>
      <c r="ES244" s="116"/>
      <c r="ET244" s="116"/>
      <c r="EU244" s="116"/>
      <c r="EV244" s="116"/>
      <c r="EW244" s="116"/>
      <c r="EX244" s="116"/>
      <c r="EY244" s="116"/>
      <c r="EZ244" s="116"/>
      <c r="FA244" s="116"/>
      <c r="FB244" s="116"/>
      <c r="FC244" s="116"/>
      <c r="FD244" s="116"/>
      <c r="FE244" s="116"/>
      <c r="FF244" s="116"/>
      <c r="FG244" s="116"/>
      <c r="FH244" s="116"/>
      <c r="FI244" s="116"/>
      <c r="FJ244" s="116"/>
      <c r="FK244" s="116"/>
      <c r="FL244" s="116"/>
      <c r="FM244" s="116"/>
      <c r="FN244" s="116"/>
      <c r="FO244" s="116"/>
      <c r="FP244" s="116"/>
      <c r="FQ244" s="116"/>
      <c r="FR244" s="116"/>
      <c r="FS244" s="116"/>
      <c r="FT244" s="116"/>
      <c r="FU244" s="116"/>
      <c r="FV244" s="116"/>
      <c r="FW244" s="116"/>
      <c r="FX244" s="116"/>
      <c r="FY244" s="116"/>
      <c r="FZ244" s="116"/>
      <c r="GA244" s="116"/>
      <c r="GB244" s="116"/>
      <c r="GC244" s="116"/>
      <c r="GD244" s="116"/>
      <c r="GE244" s="116"/>
      <c r="GF244" s="116"/>
      <c r="GG244" s="116"/>
      <c r="GH244" s="116"/>
    </row>
    <row r="245" spans="2:190" ht="12.75">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16"/>
      <c r="BG245" s="116"/>
      <c r="BH245" s="116"/>
      <c r="BI245" s="116"/>
      <c r="BJ245" s="116"/>
      <c r="BK245" s="116"/>
      <c r="BL245" s="116"/>
      <c r="BM245" s="116"/>
      <c r="BN245" s="116"/>
      <c r="BO245" s="116"/>
      <c r="BP245" s="116"/>
      <c r="BQ245" s="116"/>
      <c r="BR245" s="116"/>
      <c r="BS245" s="116"/>
      <c r="BT245" s="116"/>
      <c r="BU245" s="116"/>
      <c r="BV245" s="116"/>
      <c r="BW245" s="116"/>
      <c r="BX245" s="116"/>
      <c r="BY245" s="116"/>
      <c r="BZ245" s="116"/>
      <c r="CA245" s="116"/>
      <c r="CB245" s="116"/>
      <c r="CC245" s="116"/>
      <c r="CD245" s="116"/>
      <c r="CE245" s="116"/>
      <c r="CF245" s="116"/>
      <c r="CG245" s="116"/>
      <c r="CH245" s="116"/>
      <c r="CI245" s="116"/>
      <c r="CJ245" s="116"/>
      <c r="CK245" s="116"/>
      <c r="CL245" s="116"/>
      <c r="CM245" s="116"/>
      <c r="CN245" s="116"/>
      <c r="CO245" s="116"/>
      <c r="CP245" s="116"/>
      <c r="CQ245" s="116"/>
      <c r="CR245" s="116"/>
      <c r="CS245" s="116"/>
      <c r="CT245" s="116"/>
      <c r="CU245" s="116"/>
      <c r="CV245" s="116"/>
      <c r="CW245" s="116"/>
      <c r="CX245" s="116"/>
      <c r="CY245" s="116"/>
      <c r="CZ245" s="116"/>
      <c r="DA245" s="116"/>
      <c r="DB245" s="116"/>
      <c r="DC245" s="116"/>
      <c r="DD245" s="116"/>
      <c r="DE245" s="116"/>
      <c r="DF245" s="116"/>
      <c r="DG245" s="116"/>
      <c r="DH245" s="116"/>
      <c r="DI245" s="116"/>
      <c r="DJ245" s="116"/>
      <c r="DK245" s="116"/>
      <c r="DL245" s="116"/>
      <c r="DM245" s="116"/>
      <c r="DN245" s="116"/>
      <c r="DO245" s="116"/>
      <c r="DP245" s="116"/>
      <c r="DQ245" s="116"/>
      <c r="DR245" s="116"/>
      <c r="DS245" s="116"/>
      <c r="DT245" s="116"/>
      <c r="DU245" s="116"/>
      <c r="DV245" s="116"/>
      <c r="DW245" s="116"/>
      <c r="DX245" s="116"/>
      <c r="DY245" s="116"/>
      <c r="DZ245" s="116"/>
      <c r="EA245" s="116"/>
      <c r="EB245" s="116"/>
      <c r="EC245" s="116"/>
      <c r="ED245" s="116"/>
      <c r="EE245" s="116"/>
      <c r="EF245" s="116"/>
      <c r="EG245" s="116"/>
      <c r="EH245" s="116"/>
      <c r="EI245" s="116"/>
      <c r="EJ245" s="116"/>
      <c r="EK245" s="116"/>
      <c r="EL245" s="116"/>
      <c r="EM245" s="116"/>
      <c r="EN245" s="116"/>
      <c r="EO245" s="116"/>
      <c r="EP245" s="116"/>
      <c r="EQ245" s="116"/>
      <c r="ER245" s="116"/>
      <c r="ES245" s="116"/>
      <c r="ET245" s="116"/>
      <c r="EU245" s="116"/>
      <c r="EV245" s="116"/>
      <c r="EW245" s="116"/>
      <c r="EX245" s="116"/>
      <c r="EY245" s="116"/>
      <c r="EZ245" s="116"/>
      <c r="FA245" s="116"/>
      <c r="FB245" s="116"/>
      <c r="FC245" s="116"/>
      <c r="FD245" s="116"/>
      <c r="FE245" s="116"/>
      <c r="FF245" s="116"/>
      <c r="FG245" s="116"/>
      <c r="FH245" s="116"/>
      <c r="FI245" s="116"/>
      <c r="FJ245" s="116"/>
      <c r="FK245" s="116"/>
      <c r="FL245" s="116"/>
      <c r="FM245" s="116"/>
      <c r="FN245" s="116"/>
      <c r="FO245" s="116"/>
      <c r="FP245" s="116"/>
      <c r="FQ245" s="116"/>
      <c r="FR245" s="116"/>
      <c r="FS245" s="116"/>
      <c r="FT245" s="116"/>
      <c r="FU245" s="116"/>
      <c r="FV245" s="116"/>
      <c r="FW245" s="116"/>
      <c r="FX245" s="116"/>
      <c r="FY245" s="116"/>
      <c r="FZ245" s="116"/>
      <c r="GA245" s="116"/>
      <c r="GB245" s="116"/>
      <c r="GC245" s="116"/>
      <c r="GD245" s="116"/>
      <c r="GE245" s="116"/>
      <c r="GF245" s="116"/>
      <c r="GG245" s="116"/>
      <c r="GH245" s="116"/>
    </row>
    <row r="246" spans="2:190" ht="12.75">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16"/>
      <c r="BG246" s="116"/>
      <c r="BH246" s="116"/>
      <c r="BI246" s="116"/>
      <c r="BJ246" s="116"/>
      <c r="BK246" s="116"/>
      <c r="BL246" s="116"/>
      <c r="BM246" s="116"/>
      <c r="BN246" s="116"/>
      <c r="BO246" s="116"/>
      <c r="BP246" s="116"/>
      <c r="BQ246" s="116"/>
      <c r="BR246" s="116"/>
      <c r="BS246" s="116"/>
      <c r="BT246" s="116"/>
      <c r="BU246" s="116"/>
      <c r="BV246" s="116"/>
      <c r="BW246" s="116"/>
      <c r="BX246" s="116"/>
      <c r="BY246" s="116"/>
      <c r="BZ246" s="116"/>
      <c r="CA246" s="116"/>
      <c r="CB246" s="116"/>
      <c r="CC246" s="116"/>
      <c r="CD246" s="116"/>
      <c r="CE246" s="116"/>
      <c r="CF246" s="116"/>
      <c r="CG246" s="116"/>
      <c r="CH246" s="116"/>
      <c r="CI246" s="116"/>
      <c r="CJ246" s="116"/>
      <c r="CK246" s="116"/>
      <c r="CL246" s="116"/>
      <c r="CM246" s="116"/>
      <c r="CN246" s="116"/>
      <c r="CO246" s="116"/>
      <c r="CP246" s="116"/>
      <c r="CQ246" s="116"/>
      <c r="CR246" s="116"/>
      <c r="CS246" s="116"/>
      <c r="CT246" s="116"/>
      <c r="CU246" s="116"/>
      <c r="CV246" s="116"/>
      <c r="CW246" s="116"/>
      <c r="CX246" s="116"/>
      <c r="CY246" s="116"/>
      <c r="CZ246" s="116"/>
      <c r="DA246" s="116"/>
      <c r="DB246" s="116"/>
      <c r="DC246" s="116"/>
      <c r="DD246" s="116"/>
      <c r="DE246" s="116"/>
      <c r="DF246" s="116"/>
      <c r="DG246" s="116"/>
      <c r="DH246" s="116"/>
      <c r="DI246" s="116"/>
      <c r="DJ246" s="116"/>
      <c r="DK246" s="116"/>
      <c r="DL246" s="116"/>
      <c r="DM246" s="116"/>
      <c r="DN246" s="116"/>
      <c r="DO246" s="116"/>
      <c r="DP246" s="116"/>
      <c r="DQ246" s="116"/>
      <c r="DR246" s="116"/>
      <c r="DS246" s="116"/>
      <c r="DT246" s="116"/>
      <c r="DU246" s="116"/>
      <c r="DV246" s="116"/>
      <c r="DW246" s="116"/>
      <c r="DX246" s="116"/>
      <c r="DY246" s="116"/>
      <c r="DZ246" s="116"/>
      <c r="EA246" s="116"/>
      <c r="EB246" s="116"/>
      <c r="EC246" s="116"/>
      <c r="ED246" s="116"/>
      <c r="EE246" s="116"/>
      <c r="EF246" s="116"/>
      <c r="EG246" s="116"/>
      <c r="EH246" s="116"/>
      <c r="EI246" s="116"/>
      <c r="EJ246" s="116"/>
      <c r="EK246" s="116"/>
      <c r="EL246" s="116"/>
      <c r="EM246" s="116"/>
      <c r="EN246" s="116"/>
      <c r="EO246" s="116"/>
      <c r="EP246" s="116"/>
      <c r="EQ246" s="116"/>
      <c r="ER246" s="116"/>
      <c r="ES246" s="116"/>
      <c r="ET246" s="116"/>
      <c r="EU246" s="116"/>
      <c r="EV246" s="116"/>
      <c r="EW246" s="116"/>
      <c r="EX246" s="116"/>
      <c r="EY246" s="116"/>
      <c r="EZ246" s="116"/>
      <c r="FA246" s="116"/>
      <c r="FB246" s="116"/>
      <c r="FC246" s="116"/>
      <c r="FD246" s="116"/>
      <c r="FE246" s="116"/>
      <c r="FF246" s="116"/>
      <c r="FG246" s="116"/>
      <c r="FH246" s="116"/>
      <c r="FI246" s="116"/>
      <c r="FJ246" s="116"/>
      <c r="FK246" s="116"/>
      <c r="FL246" s="116"/>
      <c r="FM246" s="116"/>
      <c r="FN246" s="116"/>
      <c r="FO246" s="116"/>
      <c r="FP246" s="116"/>
      <c r="FQ246" s="116"/>
      <c r="FR246" s="116"/>
      <c r="FS246" s="116"/>
      <c r="FT246" s="116"/>
      <c r="FU246" s="116"/>
      <c r="FV246" s="116"/>
      <c r="FW246" s="116"/>
      <c r="FX246" s="116"/>
      <c r="FY246" s="116"/>
      <c r="FZ246" s="116"/>
      <c r="GA246" s="116"/>
      <c r="GB246" s="116"/>
      <c r="GC246" s="116"/>
      <c r="GD246" s="116"/>
      <c r="GE246" s="116"/>
      <c r="GF246" s="116"/>
      <c r="GG246" s="116"/>
      <c r="GH246" s="116"/>
    </row>
    <row r="247" spans="2:190" ht="12.75">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16"/>
      <c r="BG247" s="116"/>
      <c r="BH247" s="116"/>
      <c r="BI247" s="116"/>
      <c r="BJ247" s="116"/>
      <c r="BK247" s="116"/>
      <c r="BL247" s="116"/>
      <c r="BM247" s="116"/>
      <c r="BN247" s="116"/>
      <c r="BO247" s="116"/>
      <c r="BP247" s="116"/>
      <c r="BQ247" s="116"/>
      <c r="BR247" s="116"/>
      <c r="BS247" s="116"/>
      <c r="BT247" s="116"/>
      <c r="BU247" s="116"/>
      <c r="BV247" s="116"/>
      <c r="BW247" s="116"/>
      <c r="BX247" s="116"/>
      <c r="BY247" s="116"/>
      <c r="BZ247" s="116"/>
      <c r="CA247" s="116"/>
      <c r="CB247" s="116"/>
      <c r="CC247" s="116"/>
      <c r="CD247" s="116"/>
      <c r="CE247" s="116"/>
      <c r="CF247" s="116"/>
      <c r="CG247" s="116"/>
      <c r="CH247" s="116"/>
      <c r="CI247" s="116"/>
      <c r="CJ247" s="116"/>
      <c r="CK247" s="116"/>
      <c r="CL247" s="116"/>
      <c r="CM247" s="116"/>
      <c r="CN247" s="116"/>
      <c r="CO247" s="116"/>
      <c r="CP247" s="116"/>
      <c r="CQ247" s="116"/>
      <c r="CR247" s="116"/>
      <c r="CS247" s="116"/>
      <c r="CT247" s="116"/>
      <c r="CU247" s="116"/>
      <c r="CV247" s="116"/>
      <c r="CW247" s="116"/>
      <c r="CX247" s="116"/>
      <c r="CY247" s="116"/>
      <c r="CZ247" s="116"/>
      <c r="DA247" s="116"/>
      <c r="DB247" s="116"/>
      <c r="DC247" s="116"/>
      <c r="DD247" s="116"/>
      <c r="DE247" s="116"/>
      <c r="DF247" s="116"/>
      <c r="DG247" s="116"/>
      <c r="DH247" s="116"/>
      <c r="DI247" s="116"/>
      <c r="DJ247" s="116"/>
      <c r="DK247" s="116"/>
      <c r="DL247" s="116"/>
      <c r="DM247" s="116"/>
      <c r="DN247" s="116"/>
      <c r="DO247" s="116"/>
      <c r="DP247" s="116"/>
      <c r="DQ247" s="116"/>
      <c r="DR247" s="116"/>
      <c r="DS247" s="116"/>
      <c r="DT247" s="116"/>
      <c r="DU247" s="116"/>
      <c r="DV247" s="116"/>
      <c r="DW247" s="116"/>
      <c r="DX247" s="116"/>
      <c r="DY247" s="116"/>
      <c r="DZ247" s="116"/>
      <c r="EA247" s="116"/>
      <c r="EB247" s="116"/>
      <c r="EC247" s="116"/>
      <c r="ED247" s="116"/>
      <c r="EE247" s="116"/>
      <c r="EF247" s="116"/>
      <c r="EG247" s="116"/>
      <c r="EH247" s="116"/>
      <c r="EI247" s="116"/>
      <c r="EJ247" s="116"/>
      <c r="EK247" s="116"/>
      <c r="EL247" s="116"/>
      <c r="EM247" s="116"/>
      <c r="EN247" s="116"/>
      <c r="EO247" s="116"/>
      <c r="EP247" s="116"/>
      <c r="EQ247" s="116"/>
      <c r="ER247" s="116"/>
      <c r="ES247" s="116"/>
      <c r="ET247" s="116"/>
      <c r="EU247" s="116"/>
      <c r="EV247" s="116"/>
      <c r="EW247" s="116"/>
      <c r="EX247" s="116"/>
      <c r="EY247" s="116"/>
      <c r="EZ247" s="116"/>
      <c r="FA247" s="116"/>
      <c r="FB247" s="116"/>
      <c r="FC247" s="116"/>
      <c r="FD247" s="116"/>
      <c r="FE247" s="116"/>
      <c r="FF247" s="116"/>
      <c r="FG247" s="116"/>
      <c r="FH247" s="116"/>
      <c r="FI247" s="116"/>
      <c r="FJ247" s="116"/>
      <c r="FK247" s="116"/>
      <c r="FL247" s="116"/>
      <c r="FM247" s="116"/>
      <c r="FN247" s="116"/>
      <c r="FO247" s="116"/>
      <c r="FP247" s="116"/>
      <c r="FQ247" s="116"/>
      <c r="FR247" s="116"/>
      <c r="FS247" s="116"/>
      <c r="FT247" s="116"/>
      <c r="FU247" s="116"/>
      <c r="FV247" s="116"/>
      <c r="FW247" s="116"/>
      <c r="FX247" s="116"/>
      <c r="FY247" s="116"/>
      <c r="FZ247" s="116"/>
      <c r="GA247" s="116"/>
      <c r="GB247" s="116"/>
      <c r="GC247" s="116"/>
      <c r="GD247" s="116"/>
      <c r="GE247" s="116"/>
      <c r="GF247" s="116"/>
      <c r="GG247" s="116"/>
      <c r="GH247" s="116"/>
    </row>
    <row r="248" spans="2:190" ht="12.75">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c r="BR248" s="116"/>
      <c r="BS248" s="116"/>
      <c r="BT248" s="116"/>
      <c r="BU248" s="116"/>
      <c r="BV248" s="116"/>
      <c r="BW248" s="116"/>
      <c r="BX248" s="116"/>
      <c r="BY248" s="116"/>
      <c r="BZ248" s="116"/>
      <c r="CA248" s="116"/>
      <c r="CB248" s="116"/>
      <c r="CC248" s="116"/>
      <c r="CD248" s="116"/>
      <c r="CE248" s="116"/>
      <c r="CF248" s="116"/>
      <c r="CG248" s="116"/>
      <c r="CH248" s="116"/>
      <c r="CI248" s="116"/>
      <c r="CJ248" s="116"/>
      <c r="CK248" s="116"/>
      <c r="CL248" s="116"/>
      <c r="CM248" s="116"/>
      <c r="CN248" s="116"/>
      <c r="CO248" s="116"/>
      <c r="CP248" s="116"/>
      <c r="CQ248" s="116"/>
      <c r="CR248" s="116"/>
      <c r="CS248" s="116"/>
      <c r="CT248" s="116"/>
      <c r="CU248" s="116"/>
      <c r="CV248" s="116"/>
      <c r="CW248" s="116"/>
      <c r="CX248" s="116"/>
      <c r="CY248" s="116"/>
      <c r="CZ248" s="116"/>
      <c r="DA248" s="116"/>
      <c r="DB248" s="116"/>
      <c r="DC248" s="116"/>
      <c r="DD248" s="116"/>
      <c r="DE248" s="116"/>
      <c r="DF248" s="116"/>
      <c r="DG248" s="116"/>
      <c r="DH248" s="116"/>
      <c r="DI248" s="116"/>
      <c r="DJ248" s="116"/>
      <c r="DK248" s="116"/>
      <c r="DL248" s="116"/>
      <c r="DM248" s="116"/>
      <c r="DN248" s="116"/>
      <c r="DO248" s="116"/>
      <c r="DP248" s="116"/>
      <c r="DQ248" s="116"/>
      <c r="DR248" s="116"/>
      <c r="DS248" s="116"/>
      <c r="DT248" s="116"/>
      <c r="DU248" s="116"/>
      <c r="DV248" s="116"/>
      <c r="DW248" s="116"/>
      <c r="DX248" s="116"/>
      <c r="DY248" s="116"/>
      <c r="DZ248" s="116"/>
      <c r="EA248" s="116"/>
      <c r="EB248" s="116"/>
      <c r="EC248" s="116"/>
      <c r="ED248" s="116"/>
      <c r="EE248" s="116"/>
      <c r="EF248" s="116"/>
      <c r="EG248" s="116"/>
      <c r="EH248" s="116"/>
      <c r="EI248" s="116"/>
      <c r="EJ248" s="116"/>
      <c r="EK248" s="116"/>
      <c r="EL248" s="116"/>
      <c r="EM248" s="116"/>
      <c r="EN248" s="116"/>
      <c r="EO248" s="116"/>
      <c r="EP248" s="116"/>
      <c r="EQ248" s="116"/>
      <c r="ER248" s="116"/>
      <c r="ES248" s="116"/>
      <c r="ET248" s="116"/>
      <c r="EU248" s="116"/>
      <c r="EV248" s="116"/>
      <c r="EW248" s="116"/>
      <c r="EX248" s="116"/>
      <c r="EY248" s="116"/>
      <c r="EZ248" s="116"/>
      <c r="FA248" s="116"/>
      <c r="FB248" s="116"/>
      <c r="FC248" s="116"/>
      <c r="FD248" s="116"/>
      <c r="FE248" s="116"/>
      <c r="FF248" s="116"/>
      <c r="FG248" s="116"/>
      <c r="FH248" s="116"/>
      <c r="FI248" s="116"/>
      <c r="FJ248" s="116"/>
      <c r="FK248" s="116"/>
      <c r="FL248" s="116"/>
      <c r="FM248" s="116"/>
      <c r="FN248" s="116"/>
      <c r="FO248" s="116"/>
      <c r="FP248" s="116"/>
      <c r="FQ248" s="116"/>
      <c r="FR248" s="116"/>
      <c r="FS248" s="116"/>
      <c r="FT248" s="116"/>
      <c r="FU248" s="116"/>
      <c r="FV248" s="116"/>
      <c r="FW248" s="116"/>
      <c r="FX248" s="116"/>
      <c r="FY248" s="116"/>
      <c r="FZ248" s="116"/>
      <c r="GA248" s="116"/>
      <c r="GB248" s="116"/>
      <c r="GC248" s="116"/>
      <c r="GD248" s="116"/>
      <c r="GE248" s="116"/>
      <c r="GF248" s="116"/>
      <c r="GG248" s="116"/>
      <c r="GH248" s="116"/>
    </row>
    <row r="249" spans="2:190" ht="12.75">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c r="BR249" s="116"/>
      <c r="BS249" s="116"/>
      <c r="BT249" s="116"/>
      <c r="BU249" s="116"/>
      <c r="BV249" s="116"/>
      <c r="BW249" s="116"/>
      <c r="BX249" s="116"/>
      <c r="BY249" s="116"/>
      <c r="BZ249" s="116"/>
      <c r="CA249" s="116"/>
      <c r="CB249" s="116"/>
      <c r="CC249" s="116"/>
      <c r="CD249" s="116"/>
      <c r="CE249" s="116"/>
      <c r="CF249" s="116"/>
      <c r="CG249" s="116"/>
      <c r="CH249" s="116"/>
      <c r="CI249" s="116"/>
      <c r="CJ249" s="116"/>
      <c r="CK249" s="116"/>
      <c r="CL249" s="116"/>
      <c r="CM249" s="116"/>
      <c r="CN249" s="116"/>
      <c r="CO249" s="116"/>
      <c r="CP249" s="116"/>
      <c r="CQ249" s="116"/>
      <c r="CR249" s="116"/>
      <c r="CS249" s="116"/>
      <c r="CT249" s="116"/>
      <c r="CU249" s="116"/>
      <c r="CV249" s="116"/>
      <c r="CW249" s="116"/>
      <c r="CX249" s="116"/>
      <c r="CY249" s="116"/>
      <c r="CZ249" s="116"/>
      <c r="DA249" s="116"/>
      <c r="DB249" s="116"/>
      <c r="DC249" s="116"/>
      <c r="DD249" s="116"/>
      <c r="DE249" s="116"/>
      <c r="DF249" s="116"/>
      <c r="DG249" s="116"/>
      <c r="DH249" s="116"/>
      <c r="DI249" s="116"/>
      <c r="DJ249" s="116"/>
      <c r="DK249" s="116"/>
      <c r="DL249" s="116"/>
      <c r="DM249" s="116"/>
      <c r="DN249" s="116"/>
      <c r="DO249" s="116"/>
      <c r="DP249" s="116"/>
      <c r="DQ249" s="116"/>
      <c r="DR249" s="116"/>
      <c r="DS249" s="116"/>
      <c r="DT249" s="116"/>
      <c r="DU249" s="116"/>
      <c r="DV249" s="116"/>
      <c r="DW249" s="116"/>
      <c r="DX249" s="116"/>
      <c r="DY249" s="116"/>
      <c r="DZ249" s="116"/>
      <c r="EA249" s="116"/>
      <c r="EB249" s="116"/>
      <c r="EC249" s="116"/>
      <c r="ED249" s="116"/>
      <c r="EE249" s="116"/>
      <c r="EF249" s="116"/>
      <c r="EG249" s="116"/>
      <c r="EH249" s="116"/>
      <c r="EI249" s="116"/>
      <c r="EJ249" s="116"/>
      <c r="EK249" s="116"/>
      <c r="EL249" s="116"/>
      <c r="EM249" s="116"/>
      <c r="EN249" s="116"/>
      <c r="EO249" s="116"/>
      <c r="EP249" s="116"/>
      <c r="EQ249" s="116"/>
      <c r="ER249" s="116"/>
      <c r="ES249" s="116"/>
      <c r="ET249" s="116"/>
      <c r="EU249" s="116"/>
      <c r="EV249" s="116"/>
      <c r="EW249" s="116"/>
      <c r="EX249" s="116"/>
      <c r="EY249" s="116"/>
      <c r="EZ249" s="116"/>
      <c r="FA249" s="116"/>
      <c r="FB249" s="116"/>
      <c r="FC249" s="116"/>
      <c r="FD249" s="116"/>
      <c r="FE249" s="116"/>
      <c r="FF249" s="116"/>
      <c r="FG249" s="116"/>
      <c r="FH249" s="116"/>
      <c r="FI249" s="116"/>
      <c r="FJ249" s="116"/>
      <c r="FK249" s="116"/>
      <c r="FL249" s="116"/>
      <c r="FM249" s="116"/>
      <c r="FN249" s="116"/>
      <c r="FO249" s="116"/>
      <c r="FP249" s="116"/>
      <c r="FQ249" s="116"/>
      <c r="FR249" s="116"/>
      <c r="FS249" s="116"/>
      <c r="FT249" s="116"/>
      <c r="FU249" s="116"/>
      <c r="FV249" s="116"/>
      <c r="FW249" s="116"/>
      <c r="FX249" s="116"/>
      <c r="FY249" s="116"/>
      <c r="FZ249" s="116"/>
      <c r="GA249" s="116"/>
      <c r="GB249" s="116"/>
      <c r="GC249" s="116"/>
      <c r="GD249" s="116"/>
      <c r="GE249" s="116"/>
      <c r="GF249" s="116"/>
      <c r="GG249" s="116"/>
      <c r="GH249" s="116"/>
    </row>
    <row r="250" spans="2:190" ht="12.75">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c r="BR250" s="116"/>
      <c r="BS250" s="116"/>
      <c r="BT250" s="116"/>
      <c r="BU250" s="116"/>
      <c r="BV250" s="116"/>
      <c r="BW250" s="116"/>
      <c r="BX250" s="116"/>
      <c r="BY250" s="116"/>
      <c r="BZ250" s="116"/>
      <c r="CA250" s="116"/>
      <c r="CB250" s="116"/>
      <c r="CC250" s="116"/>
      <c r="CD250" s="116"/>
      <c r="CE250" s="116"/>
      <c r="CF250" s="116"/>
      <c r="CG250" s="116"/>
      <c r="CH250" s="116"/>
      <c r="CI250" s="116"/>
      <c r="CJ250" s="116"/>
      <c r="CK250" s="116"/>
      <c r="CL250" s="116"/>
      <c r="CM250" s="116"/>
      <c r="CN250" s="116"/>
      <c r="CO250" s="116"/>
      <c r="CP250" s="116"/>
      <c r="CQ250" s="116"/>
      <c r="CR250" s="116"/>
      <c r="CS250" s="116"/>
      <c r="CT250" s="116"/>
      <c r="CU250" s="116"/>
      <c r="CV250" s="116"/>
      <c r="CW250" s="116"/>
      <c r="CX250" s="116"/>
      <c r="CY250" s="116"/>
      <c r="CZ250" s="116"/>
      <c r="DA250" s="116"/>
      <c r="DB250" s="116"/>
      <c r="DC250" s="116"/>
      <c r="DD250" s="116"/>
      <c r="DE250" s="116"/>
      <c r="DF250" s="116"/>
      <c r="DG250" s="116"/>
      <c r="DH250" s="116"/>
      <c r="DI250" s="116"/>
      <c r="DJ250" s="116"/>
      <c r="DK250" s="116"/>
      <c r="DL250" s="116"/>
      <c r="DM250" s="116"/>
      <c r="DN250" s="116"/>
      <c r="DO250" s="116"/>
      <c r="DP250" s="116"/>
      <c r="DQ250" s="116"/>
      <c r="DR250" s="116"/>
      <c r="DS250" s="116"/>
      <c r="DT250" s="116"/>
      <c r="DU250" s="116"/>
      <c r="DV250" s="116"/>
      <c r="DW250" s="116"/>
      <c r="DX250" s="116"/>
      <c r="DY250" s="116"/>
      <c r="DZ250" s="116"/>
      <c r="EA250" s="116"/>
      <c r="EB250" s="116"/>
      <c r="EC250" s="116"/>
      <c r="ED250" s="116"/>
      <c r="EE250" s="116"/>
      <c r="EF250" s="116"/>
      <c r="EG250" s="116"/>
      <c r="EH250" s="116"/>
      <c r="EI250" s="116"/>
      <c r="EJ250" s="116"/>
      <c r="EK250" s="116"/>
      <c r="EL250" s="116"/>
      <c r="EM250" s="116"/>
      <c r="EN250" s="116"/>
      <c r="EO250" s="116"/>
      <c r="EP250" s="116"/>
      <c r="EQ250" s="116"/>
      <c r="ER250" s="116"/>
      <c r="ES250" s="116"/>
      <c r="ET250" s="116"/>
      <c r="EU250" s="116"/>
      <c r="EV250" s="116"/>
      <c r="EW250" s="116"/>
      <c r="EX250" s="116"/>
      <c r="EY250" s="116"/>
      <c r="EZ250" s="116"/>
      <c r="FA250" s="116"/>
      <c r="FB250" s="116"/>
      <c r="FC250" s="116"/>
      <c r="FD250" s="116"/>
      <c r="FE250" s="116"/>
      <c r="FF250" s="116"/>
      <c r="FG250" s="116"/>
      <c r="FH250" s="116"/>
      <c r="FI250" s="116"/>
      <c r="FJ250" s="116"/>
      <c r="FK250" s="116"/>
      <c r="FL250" s="116"/>
      <c r="FM250" s="116"/>
      <c r="FN250" s="116"/>
      <c r="FO250" s="116"/>
      <c r="FP250" s="116"/>
      <c r="FQ250" s="116"/>
      <c r="FR250" s="116"/>
      <c r="FS250" s="116"/>
      <c r="FT250" s="116"/>
      <c r="FU250" s="116"/>
      <c r="FV250" s="116"/>
      <c r="FW250" s="116"/>
      <c r="FX250" s="116"/>
      <c r="FY250" s="116"/>
      <c r="FZ250" s="116"/>
      <c r="GA250" s="116"/>
      <c r="GB250" s="116"/>
      <c r="GC250" s="116"/>
      <c r="GD250" s="116"/>
      <c r="GE250" s="116"/>
      <c r="GF250" s="116"/>
      <c r="GG250" s="116"/>
      <c r="GH250" s="116"/>
    </row>
    <row r="251" spans="2:190" ht="12.75">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c r="BR251" s="116"/>
      <c r="BS251" s="116"/>
      <c r="BT251" s="116"/>
      <c r="BU251" s="116"/>
      <c r="BV251" s="116"/>
      <c r="BW251" s="116"/>
      <c r="BX251" s="116"/>
      <c r="BY251" s="116"/>
      <c r="BZ251" s="116"/>
      <c r="CA251" s="116"/>
      <c r="CB251" s="116"/>
      <c r="CC251" s="116"/>
      <c r="CD251" s="116"/>
      <c r="CE251" s="116"/>
      <c r="CF251" s="116"/>
      <c r="CG251" s="116"/>
      <c r="CH251" s="116"/>
      <c r="CI251" s="116"/>
      <c r="CJ251" s="116"/>
      <c r="CK251" s="116"/>
      <c r="CL251" s="116"/>
      <c r="CM251" s="116"/>
      <c r="CN251" s="116"/>
      <c r="CO251" s="116"/>
      <c r="CP251" s="116"/>
      <c r="CQ251" s="116"/>
      <c r="CR251" s="116"/>
      <c r="CS251" s="116"/>
      <c r="CT251" s="116"/>
      <c r="CU251" s="116"/>
      <c r="CV251" s="116"/>
      <c r="CW251" s="116"/>
      <c r="CX251" s="116"/>
      <c r="CY251" s="116"/>
      <c r="CZ251" s="116"/>
      <c r="DA251" s="116"/>
      <c r="DB251" s="116"/>
      <c r="DC251" s="116"/>
      <c r="DD251" s="116"/>
      <c r="DE251" s="116"/>
      <c r="DF251" s="116"/>
      <c r="DG251" s="116"/>
      <c r="DH251" s="116"/>
      <c r="DI251" s="116"/>
      <c r="DJ251" s="116"/>
      <c r="DK251" s="116"/>
      <c r="DL251" s="116"/>
      <c r="DM251" s="116"/>
      <c r="DN251" s="116"/>
      <c r="DO251" s="116"/>
      <c r="DP251" s="116"/>
      <c r="DQ251" s="116"/>
      <c r="DR251" s="116"/>
      <c r="DS251" s="116"/>
      <c r="DT251" s="116"/>
      <c r="DU251" s="116"/>
      <c r="DV251" s="116"/>
      <c r="DW251" s="116"/>
      <c r="DX251" s="116"/>
      <c r="DY251" s="116"/>
      <c r="DZ251" s="116"/>
      <c r="EA251" s="116"/>
      <c r="EB251" s="116"/>
      <c r="EC251" s="116"/>
      <c r="ED251" s="116"/>
      <c r="EE251" s="116"/>
      <c r="EF251" s="116"/>
      <c r="EG251" s="116"/>
      <c r="EH251" s="116"/>
      <c r="EI251" s="116"/>
      <c r="EJ251" s="116"/>
      <c r="EK251" s="116"/>
      <c r="EL251" s="116"/>
      <c r="EM251" s="116"/>
      <c r="EN251" s="116"/>
      <c r="EO251" s="116"/>
      <c r="EP251" s="116"/>
      <c r="EQ251" s="116"/>
      <c r="ER251" s="116"/>
      <c r="ES251" s="116"/>
      <c r="ET251" s="116"/>
      <c r="EU251" s="116"/>
      <c r="EV251" s="116"/>
      <c r="EW251" s="116"/>
      <c r="EX251" s="116"/>
      <c r="EY251" s="116"/>
      <c r="EZ251" s="116"/>
      <c r="FA251" s="116"/>
      <c r="FB251" s="116"/>
      <c r="FC251" s="116"/>
      <c r="FD251" s="116"/>
      <c r="FE251" s="116"/>
      <c r="FF251" s="116"/>
      <c r="FG251" s="116"/>
      <c r="FH251" s="116"/>
      <c r="FI251" s="116"/>
      <c r="FJ251" s="116"/>
      <c r="FK251" s="116"/>
      <c r="FL251" s="116"/>
      <c r="FM251" s="116"/>
      <c r="FN251" s="116"/>
      <c r="FO251" s="116"/>
      <c r="FP251" s="116"/>
      <c r="FQ251" s="116"/>
      <c r="FR251" s="116"/>
      <c r="FS251" s="116"/>
      <c r="FT251" s="116"/>
      <c r="FU251" s="116"/>
      <c r="FV251" s="116"/>
      <c r="FW251" s="116"/>
      <c r="FX251" s="116"/>
      <c r="FY251" s="116"/>
      <c r="FZ251" s="116"/>
      <c r="GA251" s="116"/>
      <c r="GB251" s="116"/>
      <c r="GC251" s="116"/>
      <c r="GD251" s="116"/>
      <c r="GE251" s="116"/>
      <c r="GF251" s="116"/>
      <c r="GG251" s="116"/>
      <c r="GH251" s="116"/>
    </row>
    <row r="252" spans="2:190" ht="12.75">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6"/>
      <c r="AL252" s="116"/>
      <c r="AM252" s="116"/>
      <c r="AN252" s="116"/>
      <c r="AO252" s="116"/>
      <c r="AP252" s="116"/>
      <c r="AQ252" s="116"/>
      <c r="AR252" s="116"/>
      <c r="AS252" s="116"/>
      <c r="AT252" s="116"/>
      <c r="AU252" s="116"/>
      <c r="AV252" s="116"/>
      <c r="AW252" s="116"/>
      <c r="AX252" s="116"/>
      <c r="AY252" s="116"/>
      <c r="AZ252" s="116"/>
      <c r="BA252" s="116"/>
      <c r="BB252" s="116"/>
      <c r="BC252" s="116"/>
      <c r="BD252" s="116"/>
      <c r="BE252" s="116"/>
      <c r="BF252" s="116"/>
      <c r="BG252" s="116"/>
      <c r="BH252" s="116"/>
      <c r="BI252" s="116"/>
      <c r="BJ252" s="116"/>
      <c r="BK252" s="116"/>
      <c r="BL252" s="116"/>
      <c r="BM252" s="116"/>
      <c r="BN252" s="116"/>
      <c r="BO252" s="116"/>
      <c r="BP252" s="116"/>
      <c r="BQ252" s="116"/>
      <c r="BR252" s="116"/>
      <c r="BS252" s="116"/>
      <c r="BT252" s="116"/>
      <c r="BU252" s="116"/>
      <c r="BV252" s="116"/>
      <c r="BW252" s="116"/>
      <c r="BX252" s="116"/>
      <c r="BY252" s="116"/>
      <c r="BZ252" s="116"/>
      <c r="CA252" s="116"/>
      <c r="CB252" s="116"/>
      <c r="CC252" s="116"/>
      <c r="CD252" s="116"/>
      <c r="CE252" s="116"/>
      <c r="CF252" s="116"/>
      <c r="CG252" s="116"/>
      <c r="CH252" s="116"/>
      <c r="CI252" s="116"/>
      <c r="CJ252" s="116"/>
      <c r="CK252" s="116"/>
      <c r="CL252" s="116"/>
      <c r="CM252" s="116"/>
      <c r="CN252" s="116"/>
      <c r="CO252" s="116"/>
      <c r="CP252" s="116"/>
      <c r="CQ252" s="116"/>
      <c r="CR252" s="116"/>
      <c r="CS252" s="116"/>
      <c r="CT252" s="116"/>
      <c r="CU252" s="116"/>
      <c r="CV252" s="116"/>
      <c r="CW252" s="116"/>
      <c r="CX252" s="116"/>
      <c r="CY252" s="116"/>
      <c r="CZ252" s="116"/>
      <c r="DA252" s="116"/>
      <c r="DB252" s="116"/>
      <c r="DC252" s="116"/>
      <c r="DD252" s="116"/>
      <c r="DE252" s="116"/>
      <c r="DF252" s="116"/>
      <c r="DG252" s="116"/>
      <c r="DH252" s="116"/>
      <c r="DI252" s="116"/>
      <c r="DJ252" s="116"/>
      <c r="DK252" s="116"/>
      <c r="DL252" s="116"/>
      <c r="DM252" s="116"/>
      <c r="DN252" s="116"/>
      <c r="DO252" s="116"/>
      <c r="DP252" s="116"/>
      <c r="DQ252" s="116"/>
      <c r="DR252" s="116"/>
      <c r="DS252" s="116"/>
      <c r="DT252" s="116"/>
      <c r="DU252" s="116"/>
      <c r="DV252" s="116"/>
      <c r="DW252" s="116"/>
      <c r="DX252" s="116"/>
      <c r="DY252" s="116"/>
      <c r="DZ252" s="116"/>
      <c r="EA252" s="116"/>
      <c r="EB252" s="116"/>
      <c r="EC252" s="116"/>
      <c r="ED252" s="116"/>
      <c r="EE252" s="116"/>
      <c r="EF252" s="116"/>
      <c r="EG252" s="116"/>
      <c r="EH252" s="116"/>
      <c r="EI252" s="116"/>
      <c r="EJ252" s="116"/>
      <c r="EK252" s="116"/>
      <c r="EL252" s="116"/>
      <c r="EM252" s="116"/>
      <c r="EN252" s="116"/>
      <c r="EO252" s="116"/>
      <c r="EP252" s="116"/>
      <c r="EQ252" s="116"/>
      <c r="ER252" s="116"/>
      <c r="ES252" s="116"/>
      <c r="ET252" s="116"/>
      <c r="EU252" s="116"/>
      <c r="EV252" s="116"/>
      <c r="EW252" s="116"/>
      <c r="EX252" s="116"/>
      <c r="EY252" s="116"/>
      <c r="EZ252" s="116"/>
      <c r="FA252" s="116"/>
      <c r="FB252" s="116"/>
      <c r="FC252" s="116"/>
      <c r="FD252" s="116"/>
      <c r="FE252" s="116"/>
      <c r="FF252" s="116"/>
      <c r="FG252" s="116"/>
      <c r="FH252" s="116"/>
      <c r="FI252" s="116"/>
      <c r="FJ252" s="116"/>
      <c r="FK252" s="116"/>
      <c r="FL252" s="116"/>
      <c r="FM252" s="116"/>
      <c r="FN252" s="116"/>
      <c r="FO252" s="116"/>
      <c r="FP252" s="116"/>
      <c r="FQ252" s="116"/>
      <c r="FR252" s="116"/>
      <c r="FS252" s="116"/>
      <c r="FT252" s="116"/>
      <c r="FU252" s="116"/>
      <c r="FV252" s="116"/>
      <c r="FW252" s="116"/>
      <c r="FX252" s="116"/>
      <c r="FY252" s="116"/>
      <c r="FZ252" s="116"/>
      <c r="GA252" s="116"/>
      <c r="GB252" s="116"/>
      <c r="GC252" s="116"/>
      <c r="GD252" s="116"/>
      <c r="GE252" s="116"/>
      <c r="GF252" s="116"/>
      <c r="GG252" s="116"/>
      <c r="GH252" s="116"/>
    </row>
    <row r="253" spans="2:190" ht="12.75">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c r="BR253" s="116"/>
      <c r="BS253" s="116"/>
      <c r="BT253" s="116"/>
      <c r="BU253" s="116"/>
      <c r="BV253" s="116"/>
      <c r="BW253" s="116"/>
      <c r="BX253" s="116"/>
      <c r="BY253" s="116"/>
      <c r="BZ253" s="116"/>
      <c r="CA253" s="116"/>
      <c r="CB253" s="116"/>
      <c r="CC253" s="116"/>
      <c r="CD253" s="116"/>
      <c r="CE253" s="116"/>
      <c r="CF253" s="116"/>
      <c r="CG253" s="116"/>
      <c r="CH253" s="116"/>
      <c r="CI253" s="116"/>
      <c r="CJ253" s="116"/>
      <c r="CK253" s="116"/>
      <c r="CL253" s="116"/>
      <c r="CM253" s="116"/>
      <c r="CN253" s="116"/>
      <c r="CO253" s="116"/>
      <c r="CP253" s="116"/>
      <c r="CQ253" s="116"/>
      <c r="CR253" s="116"/>
      <c r="CS253" s="116"/>
      <c r="CT253" s="116"/>
      <c r="CU253" s="116"/>
      <c r="CV253" s="116"/>
      <c r="CW253" s="116"/>
      <c r="CX253" s="116"/>
      <c r="CY253" s="116"/>
      <c r="CZ253" s="116"/>
      <c r="DA253" s="116"/>
      <c r="DB253" s="116"/>
      <c r="DC253" s="116"/>
      <c r="DD253" s="116"/>
      <c r="DE253" s="116"/>
      <c r="DF253" s="116"/>
      <c r="DG253" s="116"/>
      <c r="DH253" s="116"/>
      <c r="DI253" s="116"/>
      <c r="DJ253" s="116"/>
      <c r="DK253" s="116"/>
      <c r="DL253" s="116"/>
      <c r="DM253" s="116"/>
      <c r="DN253" s="116"/>
      <c r="DO253" s="116"/>
      <c r="DP253" s="116"/>
      <c r="DQ253" s="116"/>
      <c r="DR253" s="116"/>
      <c r="DS253" s="116"/>
      <c r="DT253" s="116"/>
      <c r="DU253" s="116"/>
      <c r="DV253" s="116"/>
      <c r="DW253" s="116"/>
      <c r="DX253" s="116"/>
      <c r="DY253" s="116"/>
      <c r="DZ253" s="116"/>
      <c r="EA253" s="116"/>
      <c r="EB253" s="116"/>
      <c r="EC253" s="116"/>
      <c r="ED253" s="116"/>
      <c r="EE253" s="116"/>
      <c r="EF253" s="116"/>
      <c r="EG253" s="116"/>
      <c r="EH253" s="116"/>
      <c r="EI253" s="116"/>
      <c r="EJ253" s="116"/>
      <c r="EK253" s="116"/>
      <c r="EL253" s="116"/>
      <c r="EM253" s="116"/>
      <c r="EN253" s="116"/>
      <c r="EO253" s="116"/>
      <c r="EP253" s="116"/>
      <c r="EQ253" s="116"/>
      <c r="ER253" s="116"/>
      <c r="ES253" s="116"/>
      <c r="ET253" s="116"/>
      <c r="EU253" s="116"/>
      <c r="EV253" s="116"/>
      <c r="EW253" s="116"/>
      <c r="EX253" s="116"/>
      <c r="EY253" s="116"/>
      <c r="EZ253" s="116"/>
      <c r="FA253" s="116"/>
      <c r="FB253" s="116"/>
      <c r="FC253" s="116"/>
      <c r="FD253" s="116"/>
      <c r="FE253" s="116"/>
      <c r="FF253" s="116"/>
      <c r="FG253" s="116"/>
      <c r="FH253" s="116"/>
      <c r="FI253" s="116"/>
      <c r="FJ253" s="116"/>
      <c r="FK253" s="116"/>
      <c r="FL253" s="116"/>
      <c r="FM253" s="116"/>
      <c r="FN253" s="116"/>
      <c r="FO253" s="116"/>
      <c r="FP253" s="116"/>
      <c r="FQ253" s="116"/>
      <c r="FR253" s="116"/>
      <c r="FS253" s="116"/>
      <c r="FT253" s="116"/>
      <c r="FU253" s="116"/>
      <c r="FV253" s="116"/>
      <c r="FW253" s="116"/>
      <c r="FX253" s="116"/>
      <c r="FY253" s="116"/>
      <c r="FZ253" s="116"/>
      <c r="GA253" s="116"/>
      <c r="GB253" s="116"/>
      <c r="GC253" s="116"/>
      <c r="GD253" s="116"/>
      <c r="GE253" s="116"/>
      <c r="GF253" s="116"/>
      <c r="GG253" s="116"/>
      <c r="GH253" s="116"/>
    </row>
    <row r="254" spans="2:190" ht="12.75">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c r="BR254" s="116"/>
      <c r="BS254" s="116"/>
      <c r="BT254" s="116"/>
      <c r="BU254" s="116"/>
      <c r="BV254" s="116"/>
      <c r="BW254" s="116"/>
      <c r="BX254" s="116"/>
      <c r="BY254" s="116"/>
      <c r="BZ254" s="116"/>
      <c r="CA254" s="116"/>
      <c r="CB254" s="116"/>
      <c r="CC254" s="116"/>
      <c r="CD254" s="116"/>
      <c r="CE254" s="116"/>
      <c r="CF254" s="116"/>
      <c r="CG254" s="116"/>
      <c r="CH254" s="116"/>
      <c r="CI254" s="116"/>
      <c r="CJ254" s="116"/>
      <c r="CK254" s="116"/>
      <c r="CL254" s="116"/>
      <c r="CM254" s="116"/>
      <c r="CN254" s="116"/>
      <c r="CO254" s="116"/>
      <c r="CP254" s="116"/>
      <c r="CQ254" s="116"/>
      <c r="CR254" s="116"/>
      <c r="CS254" s="116"/>
      <c r="CT254" s="116"/>
      <c r="CU254" s="116"/>
      <c r="CV254" s="116"/>
      <c r="CW254" s="116"/>
      <c r="CX254" s="116"/>
      <c r="CY254" s="116"/>
      <c r="CZ254" s="116"/>
      <c r="DA254" s="116"/>
      <c r="DB254" s="116"/>
      <c r="DC254" s="116"/>
      <c r="DD254" s="116"/>
      <c r="DE254" s="116"/>
      <c r="DF254" s="116"/>
      <c r="DG254" s="116"/>
      <c r="DH254" s="116"/>
      <c r="DI254" s="116"/>
      <c r="DJ254" s="116"/>
      <c r="DK254" s="116"/>
      <c r="DL254" s="116"/>
      <c r="DM254" s="116"/>
      <c r="DN254" s="116"/>
      <c r="DO254" s="116"/>
      <c r="DP254" s="116"/>
      <c r="DQ254" s="116"/>
      <c r="DR254" s="116"/>
      <c r="DS254" s="116"/>
      <c r="DT254" s="116"/>
      <c r="DU254" s="116"/>
      <c r="DV254" s="116"/>
      <c r="DW254" s="116"/>
      <c r="DX254" s="116"/>
      <c r="DY254" s="116"/>
      <c r="DZ254" s="116"/>
      <c r="EA254" s="116"/>
      <c r="EB254" s="116"/>
      <c r="EC254" s="116"/>
      <c r="ED254" s="116"/>
      <c r="EE254" s="116"/>
      <c r="EF254" s="116"/>
      <c r="EG254" s="116"/>
      <c r="EH254" s="116"/>
      <c r="EI254" s="116"/>
      <c r="EJ254" s="116"/>
      <c r="EK254" s="116"/>
      <c r="EL254" s="116"/>
      <c r="EM254" s="116"/>
      <c r="EN254" s="116"/>
      <c r="EO254" s="116"/>
      <c r="EP254" s="116"/>
      <c r="EQ254" s="116"/>
      <c r="ER254" s="116"/>
      <c r="ES254" s="116"/>
      <c r="ET254" s="116"/>
      <c r="EU254" s="116"/>
      <c r="EV254" s="116"/>
      <c r="EW254" s="116"/>
      <c r="EX254" s="116"/>
      <c r="EY254" s="116"/>
      <c r="EZ254" s="116"/>
      <c r="FA254" s="116"/>
      <c r="FB254" s="116"/>
      <c r="FC254" s="116"/>
      <c r="FD254" s="116"/>
      <c r="FE254" s="116"/>
      <c r="FF254" s="116"/>
      <c r="FG254" s="116"/>
      <c r="FH254" s="116"/>
      <c r="FI254" s="116"/>
      <c r="FJ254" s="116"/>
      <c r="FK254" s="116"/>
      <c r="FL254" s="116"/>
      <c r="FM254" s="116"/>
      <c r="FN254" s="116"/>
      <c r="FO254" s="116"/>
      <c r="FP254" s="116"/>
      <c r="FQ254" s="116"/>
      <c r="FR254" s="116"/>
      <c r="FS254" s="116"/>
      <c r="FT254" s="116"/>
      <c r="FU254" s="116"/>
      <c r="FV254" s="116"/>
      <c r="FW254" s="116"/>
      <c r="FX254" s="116"/>
      <c r="FY254" s="116"/>
      <c r="FZ254" s="116"/>
      <c r="GA254" s="116"/>
      <c r="GB254" s="116"/>
      <c r="GC254" s="116"/>
      <c r="GD254" s="116"/>
      <c r="GE254" s="116"/>
      <c r="GF254" s="116"/>
      <c r="GG254" s="116"/>
      <c r="GH254" s="116"/>
    </row>
    <row r="255" spans="2:190" ht="12.75">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c r="BR255" s="116"/>
      <c r="BS255" s="116"/>
      <c r="BT255" s="116"/>
      <c r="BU255" s="116"/>
      <c r="BV255" s="116"/>
      <c r="BW255" s="116"/>
      <c r="BX255" s="116"/>
      <c r="BY255" s="116"/>
      <c r="BZ255" s="116"/>
      <c r="CA255" s="116"/>
      <c r="CB255" s="116"/>
      <c r="CC255" s="116"/>
      <c r="CD255" s="116"/>
      <c r="CE255" s="116"/>
      <c r="CF255" s="116"/>
      <c r="CG255" s="116"/>
      <c r="CH255" s="116"/>
      <c r="CI255" s="116"/>
      <c r="CJ255" s="116"/>
      <c r="CK255" s="116"/>
      <c r="CL255" s="116"/>
      <c r="CM255" s="116"/>
      <c r="CN255" s="116"/>
      <c r="CO255" s="116"/>
      <c r="CP255" s="116"/>
      <c r="CQ255" s="116"/>
      <c r="CR255" s="116"/>
      <c r="CS255" s="116"/>
      <c r="CT255" s="116"/>
      <c r="CU255" s="116"/>
      <c r="CV255" s="116"/>
      <c r="CW255" s="116"/>
      <c r="CX255" s="116"/>
      <c r="CY255" s="116"/>
      <c r="CZ255" s="116"/>
      <c r="DA255" s="116"/>
      <c r="DB255" s="116"/>
      <c r="DC255" s="116"/>
      <c r="DD255" s="116"/>
      <c r="DE255" s="116"/>
      <c r="DF255" s="116"/>
      <c r="DG255" s="116"/>
      <c r="DH255" s="116"/>
      <c r="DI255" s="116"/>
      <c r="DJ255" s="116"/>
      <c r="DK255" s="116"/>
      <c r="DL255" s="116"/>
      <c r="DM255" s="116"/>
      <c r="DN255" s="116"/>
      <c r="DO255" s="116"/>
      <c r="DP255" s="116"/>
      <c r="DQ255" s="116"/>
      <c r="DR255" s="116"/>
      <c r="DS255" s="116"/>
      <c r="DT255" s="116"/>
      <c r="DU255" s="116"/>
      <c r="DV255" s="116"/>
      <c r="DW255" s="116"/>
      <c r="DX255" s="116"/>
      <c r="DY255" s="116"/>
      <c r="DZ255" s="116"/>
      <c r="EA255" s="116"/>
      <c r="EB255" s="116"/>
      <c r="EC255" s="116"/>
      <c r="ED255" s="116"/>
      <c r="EE255" s="116"/>
      <c r="EF255" s="116"/>
      <c r="EG255" s="116"/>
      <c r="EH255" s="116"/>
      <c r="EI255" s="116"/>
      <c r="EJ255" s="116"/>
      <c r="EK255" s="116"/>
      <c r="EL255" s="116"/>
      <c r="EM255" s="116"/>
      <c r="EN255" s="116"/>
      <c r="EO255" s="116"/>
      <c r="EP255" s="116"/>
      <c r="EQ255" s="116"/>
      <c r="ER255" s="116"/>
      <c r="ES255" s="116"/>
      <c r="ET255" s="116"/>
      <c r="EU255" s="116"/>
      <c r="EV255" s="116"/>
      <c r="EW255" s="116"/>
      <c r="EX255" s="116"/>
      <c r="EY255" s="116"/>
      <c r="EZ255" s="116"/>
      <c r="FA255" s="116"/>
      <c r="FB255" s="116"/>
      <c r="FC255" s="116"/>
      <c r="FD255" s="116"/>
      <c r="FE255" s="116"/>
      <c r="FF255" s="116"/>
      <c r="FG255" s="116"/>
      <c r="FH255" s="116"/>
      <c r="FI255" s="116"/>
      <c r="FJ255" s="116"/>
      <c r="FK255" s="116"/>
      <c r="FL255" s="116"/>
      <c r="FM255" s="116"/>
      <c r="FN255" s="116"/>
      <c r="FO255" s="116"/>
      <c r="FP255" s="116"/>
      <c r="FQ255" s="116"/>
      <c r="FR255" s="116"/>
      <c r="FS255" s="116"/>
      <c r="FT255" s="116"/>
      <c r="FU255" s="116"/>
      <c r="FV255" s="116"/>
      <c r="FW255" s="116"/>
      <c r="FX255" s="116"/>
      <c r="FY255" s="116"/>
      <c r="FZ255" s="116"/>
      <c r="GA255" s="116"/>
      <c r="GB255" s="116"/>
      <c r="GC255" s="116"/>
      <c r="GD255" s="116"/>
      <c r="GE255" s="116"/>
      <c r="GF255" s="116"/>
      <c r="GG255" s="116"/>
      <c r="GH255" s="116"/>
    </row>
    <row r="256" spans="2:190" ht="12.75">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c r="BR256" s="116"/>
      <c r="BS256" s="116"/>
      <c r="BT256" s="116"/>
      <c r="BU256" s="116"/>
      <c r="BV256" s="116"/>
      <c r="BW256" s="116"/>
      <c r="BX256" s="116"/>
      <c r="BY256" s="116"/>
      <c r="BZ256" s="116"/>
      <c r="CA256" s="116"/>
      <c r="CB256" s="116"/>
      <c r="CC256" s="116"/>
      <c r="CD256" s="116"/>
      <c r="CE256" s="116"/>
      <c r="CF256" s="116"/>
      <c r="CG256" s="116"/>
      <c r="CH256" s="116"/>
      <c r="CI256" s="116"/>
      <c r="CJ256" s="116"/>
      <c r="CK256" s="116"/>
      <c r="CL256" s="116"/>
      <c r="CM256" s="116"/>
      <c r="CN256" s="116"/>
      <c r="CO256" s="116"/>
      <c r="CP256" s="116"/>
      <c r="CQ256" s="116"/>
      <c r="CR256" s="116"/>
      <c r="CS256" s="116"/>
      <c r="CT256" s="116"/>
      <c r="CU256" s="116"/>
      <c r="CV256" s="116"/>
      <c r="CW256" s="116"/>
      <c r="CX256" s="116"/>
      <c r="CY256" s="116"/>
      <c r="CZ256" s="116"/>
      <c r="DA256" s="116"/>
      <c r="DB256" s="116"/>
      <c r="DC256" s="116"/>
      <c r="DD256" s="116"/>
      <c r="DE256" s="116"/>
      <c r="DF256" s="116"/>
      <c r="DG256" s="116"/>
      <c r="DH256" s="116"/>
      <c r="DI256" s="116"/>
      <c r="DJ256" s="116"/>
      <c r="DK256" s="116"/>
      <c r="DL256" s="116"/>
      <c r="DM256" s="116"/>
      <c r="DN256" s="116"/>
      <c r="DO256" s="116"/>
      <c r="DP256" s="116"/>
      <c r="DQ256" s="116"/>
      <c r="DR256" s="116"/>
      <c r="DS256" s="116"/>
      <c r="DT256" s="116"/>
      <c r="DU256" s="116"/>
      <c r="DV256" s="116"/>
      <c r="DW256" s="116"/>
      <c r="DX256" s="116"/>
      <c r="DY256" s="116"/>
      <c r="DZ256" s="116"/>
      <c r="EA256" s="116"/>
      <c r="EB256" s="116"/>
      <c r="EC256" s="116"/>
      <c r="ED256" s="116"/>
      <c r="EE256" s="116"/>
      <c r="EF256" s="116"/>
      <c r="EG256" s="116"/>
      <c r="EH256" s="116"/>
      <c r="EI256" s="116"/>
      <c r="EJ256" s="116"/>
      <c r="EK256" s="116"/>
      <c r="EL256" s="116"/>
      <c r="EM256" s="116"/>
      <c r="EN256" s="116"/>
      <c r="EO256" s="116"/>
      <c r="EP256" s="116"/>
      <c r="EQ256" s="116"/>
      <c r="ER256" s="116"/>
      <c r="ES256" s="116"/>
      <c r="ET256" s="116"/>
      <c r="EU256" s="116"/>
      <c r="EV256" s="116"/>
      <c r="EW256" s="116"/>
      <c r="EX256" s="116"/>
      <c r="EY256" s="116"/>
      <c r="EZ256" s="116"/>
      <c r="FA256" s="116"/>
      <c r="FB256" s="116"/>
      <c r="FC256" s="116"/>
      <c r="FD256" s="116"/>
      <c r="FE256" s="116"/>
      <c r="FF256" s="116"/>
      <c r="FG256" s="116"/>
      <c r="FH256" s="116"/>
      <c r="FI256" s="116"/>
      <c r="FJ256" s="116"/>
      <c r="FK256" s="116"/>
      <c r="FL256" s="116"/>
      <c r="FM256" s="116"/>
      <c r="FN256" s="116"/>
      <c r="FO256" s="116"/>
      <c r="FP256" s="116"/>
      <c r="FQ256" s="116"/>
      <c r="FR256" s="116"/>
      <c r="FS256" s="116"/>
      <c r="FT256" s="116"/>
      <c r="FU256" s="116"/>
      <c r="FV256" s="116"/>
      <c r="FW256" s="116"/>
      <c r="FX256" s="116"/>
      <c r="FY256" s="116"/>
      <c r="FZ256" s="116"/>
      <c r="GA256" s="116"/>
      <c r="GB256" s="116"/>
      <c r="GC256" s="116"/>
      <c r="GD256" s="116"/>
      <c r="GE256" s="116"/>
      <c r="GF256" s="116"/>
      <c r="GG256" s="116"/>
      <c r="GH256" s="116"/>
    </row>
    <row r="257" spans="2:190" ht="12.75">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16"/>
      <c r="BG257" s="116"/>
      <c r="BH257" s="116"/>
      <c r="BI257" s="116"/>
      <c r="BJ257" s="116"/>
      <c r="BK257" s="116"/>
      <c r="BL257" s="116"/>
      <c r="BM257" s="116"/>
      <c r="BN257" s="116"/>
      <c r="BO257" s="116"/>
      <c r="BP257" s="116"/>
      <c r="BQ257" s="116"/>
      <c r="BR257" s="116"/>
      <c r="BS257" s="116"/>
      <c r="BT257" s="116"/>
      <c r="BU257" s="116"/>
      <c r="BV257" s="116"/>
      <c r="BW257" s="116"/>
      <c r="BX257" s="116"/>
      <c r="BY257" s="116"/>
      <c r="BZ257" s="116"/>
      <c r="CA257" s="116"/>
      <c r="CB257" s="116"/>
      <c r="CC257" s="116"/>
      <c r="CD257" s="116"/>
      <c r="CE257" s="116"/>
      <c r="CF257" s="116"/>
      <c r="CG257" s="116"/>
      <c r="CH257" s="116"/>
      <c r="CI257" s="116"/>
      <c r="CJ257" s="116"/>
      <c r="CK257" s="116"/>
      <c r="CL257" s="116"/>
      <c r="CM257" s="116"/>
      <c r="CN257" s="116"/>
      <c r="CO257" s="116"/>
      <c r="CP257" s="116"/>
      <c r="CQ257" s="116"/>
      <c r="CR257" s="116"/>
      <c r="CS257" s="116"/>
      <c r="CT257" s="116"/>
      <c r="CU257" s="116"/>
      <c r="CV257" s="116"/>
      <c r="CW257" s="116"/>
      <c r="CX257" s="116"/>
      <c r="CY257" s="116"/>
      <c r="CZ257" s="116"/>
      <c r="DA257" s="116"/>
      <c r="DB257" s="116"/>
      <c r="DC257" s="116"/>
      <c r="DD257" s="116"/>
      <c r="DE257" s="116"/>
      <c r="DF257" s="116"/>
      <c r="DG257" s="116"/>
      <c r="DH257" s="116"/>
      <c r="DI257" s="116"/>
      <c r="DJ257" s="116"/>
      <c r="DK257" s="116"/>
      <c r="DL257" s="116"/>
      <c r="DM257" s="116"/>
      <c r="DN257" s="116"/>
      <c r="DO257" s="116"/>
      <c r="DP257" s="116"/>
      <c r="DQ257" s="116"/>
      <c r="DR257" s="116"/>
      <c r="DS257" s="116"/>
      <c r="DT257" s="116"/>
      <c r="DU257" s="116"/>
      <c r="DV257" s="116"/>
      <c r="DW257" s="116"/>
      <c r="DX257" s="116"/>
      <c r="DY257" s="116"/>
      <c r="DZ257" s="116"/>
      <c r="EA257" s="116"/>
      <c r="EB257" s="116"/>
      <c r="EC257" s="116"/>
      <c r="ED257" s="116"/>
      <c r="EE257" s="116"/>
      <c r="EF257" s="116"/>
      <c r="EG257" s="116"/>
      <c r="EH257" s="116"/>
      <c r="EI257" s="116"/>
      <c r="EJ257" s="116"/>
      <c r="EK257" s="116"/>
      <c r="EL257" s="116"/>
      <c r="EM257" s="116"/>
      <c r="EN257" s="116"/>
      <c r="EO257" s="116"/>
      <c r="EP257" s="116"/>
      <c r="EQ257" s="116"/>
      <c r="ER257" s="116"/>
      <c r="ES257" s="116"/>
      <c r="ET257" s="116"/>
      <c r="EU257" s="116"/>
      <c r="EV257" s="116"/>
      <c r="EW257" s="116"/>
      <c r="EX257" s="116"/>
      <c r="EY257" s="116"/>
      <c r="EZ257" s="116"/>
      <c r="FA257" s="116"/>
      <c r="FB257" s="116"/>
      <c r="FC257" s="116"/>
      <c r="FD257" s="116"/>
      <c r="FE257" s="116"/>
      <c r="FF257" s="116"/>
      <c r="FG257" s="116"/>
      <c r="FH257" s="116"/>
      <c r="FI257" s="116"/>
      <c r="FJ257" s="116"/>
      <c r="FK257" s="116"/>
      <c r="FL257" s="116"/>
      <c r="FM257" s="116"/>
      <c r="FN257" s="116"/>
      <c r="FO257" s="116"/>
      <c r="FP257" s="116"/>
      <c r="FQ257" s="116"/>
      <c r="FR257" s="116"/>
      <c r="FS257" s="116"/>
      <c r="FT257" s="116"/>
      <c r="FU257" s="116"/>
      <c r="FV257" s="116"/>
      <c r="FW257" s="116"/>
      <c r="FX257" s="116"/>
      <c r="FY257" s="116"/>
      <c r="FZ257" s="116"/>
      <c r="GA257" s="116"/>
      <c r="GB257" s="116"/>
      <c r="GC257" s="116"/>
      <c r="GD257" s="116"/>
      <c r="GE257" s="116"/>
      <c r="GF257" s="116"/>
      <c r="GG257" s="116"/>
      <c r="GH257" s="116"/>
    </row>
    <row r="258" spans="2:190" ht="12.75">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16"/>
      <c r="BG258" s="116"/>
      <c r="BH258" s="116"/>
      <c r="BI258" s="116"/>
      <c r="BJ258" s="116"/>
      <c r="BK258" s="116"/>
      <c r="BL258" s="116"/>
      <c r="BM258" s="116"/>
      <c r="BN258" s="116"/>
      <c r="BO258" s="116"/>
      <c r="BP258" s="116"/>
      <c r="BQ258" s="116"/>
      <c r="BR258" s="116"/>
      <c r="BS258" s="116"/>
      <c r="BT258" s="116"/>
      <c r="BU258" s="116"/>
      <c r="BV258" s="116"/>
      <c r="BW258" s="116"/>
      <c r="BX258" s="116"/>
      <c r="BY258" s="116"/>
      <c r="BZ258" s="116"/>
      <c r="CA258" s="116"/>
      <c r="CB258" s="116"/>
      <c r="CC258" s="116"/>
      <c r="CD258" s="116"/>
      <c r="CE258" s="116"/>
      <c r="CF258" s="116"/>
      <c r="CG258" s="116"/>
      <c r="CH258" s="116"/>
      <c r="CI258" s="116"/>
      <c r="CJ258" s="116"/>
      <c r="CK258" s="116"/>
      <c r="CL258" s="116"/>
      <c r="CM258" s="116"/>
      <c r="CN258" s="116"/>
      <c r="CO258" s="116"/>
      <c r="CP258" s="116"/>
      <c r="CQ258" s="116"/>
      <c r="CR258" s="116"/>
      <c r="CS258" s="116"/>
      <c r="CT258" s="116"/>
      <c r="CU258" s="116"/>
      <c r="CV258" s="116"/>
      <c r="CW258" s="116"/>
      <c r="CX258" s="116"/>
      <c r="CY258" s="116"/>
      <c r="CZ258" s="116"/>
      <c r="DA258" s="116"/>
      <c r="DB258" s="116"/>
      <c r="DC258" s="116"/>
      <c r="DD258" s="116"/>
      <c r="DE258" s="116"/>
      <c r="DF258" s="116"/>
      <c r="DG258" s="116"/>
      <c r="DH258" s="116"/>
      <c r="DI258" s="116"/>
      <c r="DJ258" s="116"/>
      <c r="DK258" s="116"/>
      <c r="DL258" s="116"/>
      <c r="DM258" s="116"/>
      <c r="DN258" s="116"/>
      <c r="DO258" s="116"/>
      <c r="DP258" s="116"/>
      <c r="DQ258" s="116"/>
      <c r="DR258" s="116"/>
      <c r="DS258" s="116"/>
      <c r="DT258" s="116"/>
      <c r="DU258" s="116"/>
      <c r="DV258" s="116"/>
      <c r="DW258" s="116"/>
      <c r="DX258" s="116"/>
      <c r="DY258" s="116"/>
      <c r="DZ258" s="116"/>
      <c r="EA258" s="116"/>
      <c r="EB258" s="116"/>
      <c r="EC258" s="116"/>
      <c r="ED258" s="116"/>
      <c r="EE258" s="116"/>
      <c r="EF258" s="116"/>
      <c r="EG258" s="116"/>
      <c r="EH258" s="116"/>
      <c r="EI258" s="116"/>
      <c r="EJ258" s="116"/>
      <c r="EK258" s="116"/>
      <c r="EL258" s="116"/>
      <c r="EM258" s="116"/>
      <c r="EN258" s="116"/>
      <c r="EO258" s="116"/>
      <c r="EP258" s="116"/>
      <c r="EQ258" s="116"/>
      <c r="ER258" s="116"/>
      <c r="ES258" s="116"/>
      <c r="ET258" s="116"/>
      <c r="EU258" s="116"/>
      <c r="EV258" s="116"/>
      <c r="EW258" s="116"/>
      <c r="EX258" s="116"/>
      <c r="EY258" s="116"/>
      <c r="EZ258" s="116"/>
      <c r="FA258" s="116"/>
      <c r="FB258" s="116"/>
      <c r="FC258" s="116"/>
      <c r="FD258" s="116"/>
      <c r="FE258" s="116"/>
      <c r="FF258" s="116"/>
      <c r="FG258" s="116"/>
      <c r="FH258" s="116"/>
      <c r="FI258" s="116"/>
      <c r="FJ258" s="116"/>
      <c r="FK258" s="116"/>
      <c r="FL258" s="116"/>
      <c r="FM258" s="116"/>
      <c r="FN258" s="116"/>
      <c r="FO258" s="116"/>
      <c r="FP258" s="116"/>
      <c r="FQ258" s="116"/>
      <c r="FR258" s="116"/>
      <c r="FS258" s="116"/>
      <c r="FT258" s="116"/>
      <c r="FU258" s="116"/>
      <c r="FV258" s="116"/>
      <c r="FW258" s="116"/>
      <c r="FX258" s="116"/>
      <c r="FY258" s="116"/>
      <c r="FZ258" s="116"/>
      <c r="GA258" s="116"/>
      <c r="GB258" s="116"/>
      <c r="GC258" s="116"/>
      <c r="GD258" s="116"/>
      <c r="GE258" s="116"/>
      <c r="GF258" s="116"/>
      <c r="GG258" s="116"/>
      <c r="GH258" s="116"/>
    </row>
    <row r="259" spans="2:190" ht="12.75">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c r="BR259" s="116"/>
      <c r="BS259" s="116"/>
      <c r="BT259" s="116"/>
      <c r="BU259" s="116"/>
      <c r="BV259" s="116"/>
      <c r="BW259" s="116"/>
      <c r="BX259" s="116"/>
      <c r="BY259" s="116"/>
      <c r="BZ259" s="116"/>
      <c r="CA259" s="116"/>
      <c r="CB259" s="116"/>
      <c r="CC259" s="116"/>
      <c r="CD259" s="116"/>
      <c r="CE259" s="116"/>
      <c r="CF259" s="116"/>
      <c r="CG259" s="116"/>
      <c r="CH259" s="116"/>
      <c r="CI259" s="116"/>
      <c r="CJ259" s="116"/>
      <c r="CK259" s="116"/>
      <c r="CL259" s="116"/>
      <c r="CM259" s="116"/>
      <c r="CN259" s="116"/>
      <c r="CO259" s="116"/>
      <c r="CP259" s="116"/>
      <c r="CQ259" s="116"/>
      <c r="CR259" s="116"/>
      <c r="CS259" s="116"/>
      <c r="CT259" s="116"/>
      <c r="CU259" s="116"/>
      <c r="CV259" s="116"/>
      <c r="CW259" s="116"/>
      <c r="CX259" s="116"/>
      <c r="CY259" s="116"/>
      <c r="CZ259" s="116"/>
      <c r="DA259" s="116"/>
      <c r="DB259" s="116"/>
      <c r="DC259" s="116"/>
      <c r="DD259" s="116"/>
      <c r="DE259" s="116"/>
      <c r="DF259" s="116"/>
      <c r="DG259" s="116"/>
      <c r="DH259" s="116"/>
      <c r="DI259" s="116"/>
      <c r="DJ259" s="116"/>
      <c r="DK259" s="116"/>
      <c r="DL259" s="116"/>
      <c r="DM259" s="116"/>
      <c r="DN259" s="116"/>
      <c r="DO259" s="116"/>
      <c r="DP259" s="116"/>
      <c r="DQ259" s="116"/>
      <c r="DR259" s="116"/>
      <c r="DS259" s="116"/>
      <c r="DT259" s="116"/>
      <c r="DU259" s="116"/>
      <c r="DV259" s="116"/>
      <c r="DW259" s="116"/>
      <c r="DX259" s="116"/>
      <c r="DY259" s="116"/>
      <c r="DZ259" s="116"/>
      <c r="EA259" s="116"/>
      <c r="EB259" s="116"/>
      <c r="EC259" s="116"/>
      <c r="ED259" s="116"/>
      <c r="EE259" s="116"/>
      <c r="EF259" s="116"/>
      <c r="EG259" s="116"/>
      <c r="EH259" s="116"/>
      <c r="EI259" s="116"/>
      <c r="EJ259" s="116"/>
      <c r="EK259" s="116"/>
      <c r="EL259" s="116"/>
      <c r="EM259" s="116"/>
      <c r="EN259" s="116"/>
      <c r="EO259" s="116"/>
      <c r="EP259" s="116"/>
      <c r="EQ259" s="116"/>
      <c r="ER259" s="116"/>
      <c r="ES259" s="116"/>
      <c r="ET259" s="116"/>
      <c r="EU259" s="116"/>
      <c r="EV259" s="116"/>
      <c r="EW259" s="116"/>
      <c r="EX259" s="116"/>
      <c r="EY259" s="116"/>
      <c r="EZ259" s="116"/>
      <c r="FA259" s="116"/>
      <c r="FB259" s="116"/>
      <c r="FC259" s="116"/>
      <c r="FD259" s="116"/>
      <c r="FE259" s="116"/>
      <c r="FF259" s="116"/>
      <c r="FG259" s="116"/>
      <c r="FH259" s="116"/>
      <c r="FI259" s="116"/>
      <c r="FJ259" s="116"/>
      <c r="FK259" s="116"/>
      <c r="FL259" s="116"/>
      <c r="FM259" s="116"/>
      <c r="FN259" s="116"/>
      <c r="FO259" s="116"/>
      <c r="FP259" s="116"/>
      <c r="FQ259" s="116"/>
      <c r="FR259" s="116"/>
      <c r="FS259" s="116"/>
      <c r="FT259" s="116"/>
      <c r="FU259" s="116"/>
      <c r="FV259" s="116"/>
      <c r="FW259" s="116"/>
      <c r="FX259" s="116"/>
      <c r="FY259" s="116"/>
      <c r="FZ259" s="116"/>
      <c r="GA259" s="116"/>
      <c r="GB259" s="116"/>
      <c r="GC259" s="116"/>
      <c r="GD259" s="116"/>
      <c r="GE259" s="116"/>
      <c r="GF259" s="116"/>
      <c r="GG259" s="116"/>
      <c r="GH259" s="116"/>
    </row>
    <row r="260" spans="2:190" ht="12.75">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c r="DS260" s="116"/>
      <c r="DT260" s="116"/>
      <c r="DU260" s="116"/>
      <c r="DV260" s="116"/>
      <c r="DW260" s="116"/>
      <c r="DX260" s="116"/>
      <c r="DY260" s="116"/>
      <c r="DZ260" s="116"/>
      <c r="EA260" s="116"/>
      <c r="EB260" s="116"/>
      <c r="EC260" s="116"/>
      <c r="ED260" s="116"/>
      <c r="EE260" s="116"/>
      <c r="EF260" s="116"/>
      <c r="EG260" s="116"/>
      <c r="EH260" s="116"/>
      <c r="EI260" s="116"/>
      <c r="EJ260" s="116"/>
      <c r="EK260" s="116"/>
      <c r="EL260" s="116"/>
      <c r="EM260" s="116"/>
      <c r="EN260" s="116"/>
      <c r="EO260" s="116"/>
      <c r="EP260" s="116"/>
      <c r="EQ260" s="116"/>
      <c r="ER260" s="116"/>
      <c r="ES260" s="116"/>
      <c r="ET260" s="116"/>
      <c r="EU260" s="116"/>
      <c r="EV260" s="116"/>
      <c r="EW260" s="116"/>
      <c r="EX260" s="116"/>
      <c r="EY260" s="116"/>
      <c r="EZ260" s="116"/>
      <c r="FA260" s="116"/>
      <c r="FB260" s="116"/>
      <c r="FC260" s="116"/>
      <c r="FD260" s="116"/>
      <c r="FE260" s="116"/>
      <c r="FF260" s="116"/>
      <c r="FG260" s="116"/>
      <c r="FH260" s="116"/>
      <c r="FI260" s="116"/>
      <c r="FJ260" s="116"/>
      <c r="FK260" s="116"/>
      <c r="FL260" s="116"/>
      <c r="FM260" s="116"/>
      <c r="FN260" s="116"/>
      <c r="FO260" s="116"/>
      <c r="FP260" s="116"/>
      <c r="FQ260" s="116"/>
      <c r="FR260" s="116"/>
      <c r="FS260" s="116"/>
      <c r="FT260" s="116"/>
      <c r="FU260" s="116"/>
      <c r="FV260" s="116"/>
      <c r="FW260" s="116"/>
      <c r="FX260" s="116"/>
      <c r="FY260" s="116"/>
      <c r="FZ260" s="116"/>
      <c r="GA260" s="116"/>
      <c r="GB260" s="116"/>
      <c r="GC260" s="116"/>
      <c r="GD260" s="116"/>
      <c r="GE260" s="116"/>
      <c r="GF260" s="116"/>
      <c r="GG260" s="116"/>
      <c r="GH260" s="116"/>
    </row>
    <row r="261" spans="2:190" ht="12.75">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c r="CA261" s="116"/>
      <c r="CB261" s="116"/>
      <c r="CC261" s="116"/>
      <c r="CD261" s="116"/>
      <c r="CE261" s="116"/>
      <c r="CF261" s="116"/>
      <c r="CG261" s="116"/>
      <c r="CH261" s="116"/>
      <c r="CI261" s="116"/>
      <c r="CJ261" s="116"/>
      <c r="CK261" s="116"/>
      <c r="CL261" s="116"/>
      <c r="CM261" s="116"/>
      <c r="CN261" s="116"/>
      <c r="CO261" s="116"/>
      <c r="CP261" s="116"/>
      <c r="CQ261" s="116"/>
      <c r="CR261" s="116"/>
      <c r="CS261" s="116"/>
      <c r="CT261" s="116"/>
      <c r="CU261" s="116"/>
      <c r="CV261" s="116"/>
      <c r="CW261" s="116"/>
      <c r="CX261" s="116"/>
      <c r="CY261" s="116"/>
      <c r="CZ261" s="116"/>
      <c r="DA261" s="116"/>
      <c r="DB261" s="116"/>
      <c r="DC261" s="116"/>
      <c r="DD261" s="116"/>
      <c r="DE261" s="116"/>
      <c r="DF261" s="116"/>
      <c r="DG261" s="116"/>
      <c r="DH261" s="116"/>
      <c r="DI261" s="116"/>
      <c r="DJ261" s="116"/>
      <c r="DK261" s="116"/>
      <c r="DL261" s="116"/>
      <c r="DM261" s="116"/>
      <c r="DN261" s="116"/>
      <c r="DO261" s="116"/>
      <c r="DP261" s="116"/>
      <c r="DQ261" s="116"/>
      <c r="DR261" s="116"/>
      <c r="DS261" s="116"/>
      <c r="DT261" s="116"/>
      <c r="DU261" s="116"/>
      <c r="DV261" s="116"/>
      <c r="DW261" s="116"/>
      <c r="DX261" s="116"/>
      <c r="DY261" s="116"/>
      <c r="DZ261" s="116"/>
      <c r="EA261" s="116"/>
      <c r="EB261" s="116"/>
      <c r="EC261" s="116"/>
      <c r="ED261" s="116"/>
      <c r="EE261" s="116"/>
      <c r="EF261" s="116"/>
      <c r="EG261" s="116"/>
      <c r="EH261" s="116"/>
      <c r="EI261" s="116"/>
      <c r="EJ261" s="116"/>
      <c r="EK261" s="116"/>
      <c r="EL261" s="116"/>
      <c r="EM261" s="116"/>
      <c r="EN261" s="116"/>
      <c r="EO261" s="116"/>
      <c r="EP261" s="116"/>
      <c r="EQ261" s="116"/>
      <c r="ER261" s="116"/>
      <c r="ES261" s="116"/>
      <c r="ET261" s="116"/>
      <c r="EU261" s="116"/>
      <c r="EV261" s="116"/>
      <c r="EW261" s="116"/>
      <c r="EX261" s="116"/>
      <c r="EY261" s="116"/>
      <c r="EZ261" s="116"/>
      <c r="FA261" s="116"/>
      <c r="FB261" s="116"/>
      <c r="FC261" s="116"/>
      <c r="FD261" s="116"/>
      <c r="FE261" s="116"/>
      <c r="FF261" s="116"/>
      <c r="FG261" s="116"/>
      <c r="FH261" s="116"/>
      <c r="FI261" s="116"/>
      <c r="FJ261" s="116"/>
      <c r="FK261" s="116"/>
      <c r="FL261" s="116"/>
      <c r="FM261" s="116"/>
      <c r="FN261" s="116"/>
      <c r="FO261" s="116"/>
      <c r="FP261" s="116"/>
      <c r="FQ261" s="116"/>
      <c r="FR261" s="116"/>
      <c r="FS261" s="116"/>
      <c r="FT261" s="116"/>
      <c r="FU261" s="116"/>
      <c r="FV261" s="116"/>
      <c r="FW261" s="116"/>
      <c r="FX261" s="116"/>
      <c r="FY261" s="116"/>
      <c r="FZ261" s="116"/>
      <c r="GA261" s="116"/>
      <c r="GB261" s="116"/>
      <c r="GC261" s="116"/>
      <c r="GD261" s="116"/>
      <c r="GE261" s="116"/>
      <c r="GF261" s="116"/>
      <c r="GG261" s="116"/>
      <c r="GH261" s="116"/>
    </row>
    <row r="262" spans="2:190" ht="12.75">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c r="CA262" s="116"/>
      <c r="CB262" s="116"/>
      <c r="CC262" s="116"/>
      <c r="CD262" s="116"/>
      <c r="CE262" s="116"/>
      <c r="CF262" s="116"/>
      <c r="CG262" s="116"/>
      <c r="CH262" s="116"/>
      <c r="CI262" s="116"/>
      <c r="CJ262" s="116"/>
      <c r="CK262" s="116"/>
      <c r="CL262" s="116"/>
      <c r="CM262" s="116"/>
      <c r="CN262" s="116"/>
      <c r="CO262" s="116"/>
      <c r="CP262" s="116"/>
      <c r="CQ262" s="116"/>
      <c r="CR262" s="116"/>
      <c r="CS262" s="116"/>
      <c r="CT262" s="116"/>
      <c r="CU262" s="116"/>
      <c r="CV262" s="116"/>
      <c r="CW262" s="116"/>
      <c r="CX262" s="116"/>
      <c r="CY262" s="116"/>
      <c r="CZ262" s="116"/>
      <c r="DA262" s="116"/>
      <c r="DB262" s="116"/>
      <c r="DC262" s="116"/>
      <c r="DD262" s="116"/>
      <c r="DE262" s="116"/>
      <c r="DF262" s="116"/>
      <c r="DG262" s="116"/>
      <c r="DH262" s="116"/>
      <c r="DI262" s="116"/>
      <c r="DJ262" s="116"/>
      <c r="DK262" s="116"/>
      <c r="DL262" s="116"/>
      <c r="DM262" s="116"/>
      <c r="DN262" s="116"/>
      <c r="DO262" s="116"/>
      <c r="DP262" s="116"/>
      <c r="DQ262" s="116"/>
      <c r="DR262" s="116"/>
      <c r="DS262" s="116"/>
      <c r="DT262" s="116"/>
      <c r="DU262" s="116"/>
      <c r="DV262" s="116"/>
      <c r="DW262" s="116"/>
      <c r="DX262" s="116"/>
      <c r="DY262" s="116"/>
      <c r="DZ262" s="116"/>
      <c r="EA262" s="116"/>
      <c r="EB262" s="116"/>
      <c r="EC262" s="116"/>
      <c r="ED262" s="116"/>
      <c r="EE262" s="116"/>
      <c r="EF262" s="116"/>
      <c r="EG262" s="116"/>
      <c r="EH262" s="116"/>
      <c r="EI262" s="116"/>
      <c r="EJ262" s="116"/>
      <c r="EK262" s="116"/>
      <c r="EL262" s="116"/>
      <c r="EM262" s="116"/>
      <c r="EN262" s="116"/>
      <c r="EO262" s="116"/>
      <c r="EP262" s="116"/>
      <c r="EQ262" s="116"/>
      <c r="ER262" s="116"/>
      <c r="ES262" s="116"/>
      <c r="ET262" s="116"/>
      <c r="EU262" s="116"/>
      <c r="EV262" s="116"/>
      <c r="EW262" s="116"/>
      <c r="EX262" s="116"/>
      <c r="EY262" s="116"/>
      <c r="EZ262" s="116"/>
      <c r="FA262" s="116"/>
      <c r="FB262" s="116"/>
      <c r="FC262" s="116"/>
      <c r="FD262" s="116"/>
      <c r="FE262" s="116"/>
      <c r="FF262" s="116"/>
      <c r="FG262" s="116"/>
      <c r="FH262" s="116"/>
      <c r="FI262" s="116"/>
      <c r="FJ262" s="116"/>
      <c r="FK262" s="116"/>
      <c r="FL262" s="116"/>
      <c r="FM262" s="116"/>
      <c r="FN262" s="116"/>
      <c r="FO262" s="116"/>
      <c r="FP262" s="116"/>
      <c r="FQ262" s="116"/>
      <c r="FR262" s="116"/>
      <c r="FS262" s="116"/>
      <c r="FT262" s="116"/>
      <c r="FU262" s="116"/>
      <c r="FV262" s="116"/>
      <c r="FW262" s="116"/>
      <c r="FX262" s="116"/>
      <c r="FY262" s="116"/>
      <c r="FZ262" s="116"/>
      <c r="GA262" s="116"/>
      <c r="GB262" s="116"/>
      <c r="GC262" s="116"/>
      <c r="GD262" s="116"/>
      <c r="GE262" s="116"/>
      <c r="GF262" s="116"/>
      <c r="GG262" s="116"/>
      <c r="GH262" s="116"/>
    </row>
    <row r="263" spans="2:190" ht="12.75">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c r="CA263" s="116"/>
      <c r="CB263" s="116"/>
      <c r="CC263" s="116"/>
      <c r="CD263" s="116"/>
      <c r="CE263" s="116"/>
      <c r="CF263" s="116"/>
      <c r="CG263" s="116"/>
      <c r="CH263" s="116"/>
      <c r="CI263" s="116"/>
      <c r="CJ263" s="116"/>
      <c r="CK263" s="116"/>
      <c r="CL263" s="116"/>
      <c r="CM263" s="116"/>
      <c r="CN263" s="116"/>
      <c r="CO263" s="116"/>
      <c r="CP263" s="116"/>
      <c r="CQ263" s="116"/>
      <c r="CR263" s="116"/>
      <c r="CS263" s="116"/>
      <c r="CT263" s="116"/>
      <c r="CU263" s="116"/>
      <c r="CV263" s="116"/>
      <c r="CW263" s="116"/>
      <c r="CX263" s="116"/>
      <c r="CY263" s="116"/>
      <c r="CZ263" s="116"/>
      <c r="DA263" s="116"/>
      <c r="DB263" s="116"/>
      <c r="DC263" s="116"/>
      <c r="DD263" s="116"/>
      <c r="DE263" s="116"/>
      <c r="DF263" s="116"/>
      <c r="DG263" s="116"/>
      <c r="DH263" s="116"/>
      <c r="DI263" s="116"/>
      <c r="DJ263" s="116"/>
      <c r="DK263" s="116"/>
      <c r="DL263" s="116"/>
      <c r="DM263" s="116"/>
      <c r="DN263" s="116"/>
      <c r="DO263" s="116"/>
      <c r="DP263" s="116"/>
      <c r="DQ263" s="116"/>
      <c r="DR263" s="116"/>
      <c r="DS263" s="116"/>
      <c r="DT263" s="116"/>
      <c r="DU263" s="116"/>
      <c r="DV263" s="116"/>
      <c r="DW263" s="116"/>
      <c r="DX263" s="116"/>
      <c r="DY263" s="116"/>
      <c r="DZ263" s="116"/>
      <c r="EA263" s="116"/>
      <c r="EB263" s="116"/>
      <c r="EC263" s="116"/>
      <c r="ED263" s="116"/>
      <c r="EE263" s="116"/>
      <c r="EF263" s="116"/>
      <c r="EG263" s="116"/>
      <c r="EH263" s="116"/>
      <c r="EI263" s="116"/>
      <c r="EJ263" s="116"/>
      <c r="EK263" s="116"/>
      <c r="EL263" s="116"/>
      <c r="EM263" s="116"/>
      <c r="EN263" s="116"/>
      <c r="EO263" s="116"/>
      <c r="EP263" s="116"/>
      <c r="EQ263" s="116"/>
      <c r="ER263" s="116"/>
      <c r="ES263" s="116"/>
      <c r="ET263" s="116"/>
      <c r="EU263" s="116"/>
      <c r="EV263" s="116"/>
      <c r="EW263" s="116"/>
      <c r="EX263" s="116"/>
      <c r="EY263" s="116"/>
      <c r="EZ263" s="116"/>
      <c r="FA263" s="116"/>
      <c r="FB263" s="116"/>
      <c r="FC263" s="116"/>
      <c r="FD263" s="116"/>
      <c r="FE263" s="116"/>
      <c r="FF263" s="116"/>
      <c r="FG263" s="116"/>
      <c r="FH263" s="116"/>
      <c r="FI263" s="116"/>
      <c r="FJ263" s="116"/>
      <c r="FK263" s="116"/>
      <c r="FL263" s="116"/>
      <c r="FM263" s="116"/>
      <c r="FN263" s="116"/>
      <c r="FO263" s="116"/>
      <c r="FP263" s="116"/>
      <c r="FQ263" s="116"/>
      <c r="FR263" s="116"/>
      <c r="FS263" s="116"/>
      <c r="FT263" s="116"/>
      <c r="FU263" s="116"/>
      <c r="FV263" s="116"/>
      <c r="FW263" s="116"/>
      <c r="FX263" s="116"/>
      <c r="FY263" s="116"/>
      <c r="FZ263" s="116"/>
      <c r="GA263" s="116"/>
      <c r="GB263" s="116"/>
      <c r="GC263" s="116"/>
      <c r="GD263" s="116"/>
      <c r="GE263" s="116"/>
      <c r="GF263" s="116"/>
      <c r="GG263" s="116"/>
      <c r="GH263" s="116"/>
    </row>
    <row r="264" spans="2:190" ht="12.75">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c r="BR264" s="116"/>
      <c r="BS264" s="116"/>
      <c r="BT264" s="116"/>
      <c r="BU264" s="116"/>
      <c r="BV264" s="116"/>
      <c r="BW264" s="116"/>
      <c r="BX264" s="116"/>
      <c r="BY264" s="116"/>
      <c r="BZ264" s="116"/>
      <c r="CA264" s="116"/>
      <c r="CB264" s="116"/>
      <c r="CC264" s="116"/>
      <c r="CD264" s="116"/>
      <c r="CE264" s="116"/>
      <c r="CF264" s="116"/>
      <c r="CG264" s="116"/>
      <c r="CH264" s="116"/>
      <c r="CI264" s="116"/>
      <c r="CJ264" s="116"/>
      <c r="CK264" s="116"/>
      <c r="CL264" s="116"/>
      <c r="CM264" s="116"/>
      <c r="CN264" s="116"/>
      <c r="CO264" s="116"/>
      <c r="CP264" s="116"/>
      <c r="CQ264" s="116"/>
      <c r="CR264" s="116"/>
      <c r="CS264" s="116"/>
      <c r="CT264" s="116"/>
      <c r="CU264" s="116"/>
      <c r="CV264" s="116"/>
      <c r="CW264" s="116"/>
      <c r="CX264" s="116"/>
      <c r="CY264" s="116"/>
      <c r="CZ264" s="116"/>
      <c r="DA264" s="116"/>
      <c r="DB264" s="116"/>
      <c r="DC264" s="116"/>
      <c r="DD264" s="116"/>
      <c r="DE264" s="116"/>
      <c r="DF264" s="116"/>
      <c r="DG264" s="116"/>
      <c r="DH264" s="116"/>
      <c r="DI264" s="116"/>
      <c r="DJ264" s="116"/>
      <c r="DK264" s="116"/>
      <c r="DL264" s="116"/>
      <c r="DM264" s="116"/>
      <c r="DN264" s="116"/>
      <c r="DO264" s="116"/>
      <c r="DP264" s="116"/>
      <c r="DQ264" s="116"/>
      <c r="DR264" s="116"/>
      <c r="DS264" s="116"/>
      <c r="DT264" s="116"/>
      <c r="DU264" s="116"/>
      <c r="DV264" s="116"/>
      <c r="DW264" s="116"/>
      <c r="DX264" s="116"/>
      <c r="DY264" s="116"/>
      <c r="DZ264" s="116"/>
      <c r="EA264" s="116"/>
      <c r="EB264" s="116"/>
      <c r="EC264" s="116"/>
      <c r="ED264" s="116"/>
      <c r="EE264" s="116"/>
      <c r="EF264" s="116"/>
      <c r="EG264" s="116"/>
      <c r="EH264" s="116"/>
      <c r="EI264" s="116"/>
      <c r="EJ264" s="116"/>
      <c r="EK264" s="116"/>
      <c r="EL264" s="116"/>
      <c r="EM264" s="116"/>
      <c r="EN264" s="116"/>
      <c r="EO264" s="116"/>
      <c r="EP264" s="116"/>
      <c r="EQ264" s="116"/>
      <c r="ER264" s="116"/>
      <c r="ES264" s="116"/>
      <c r="ET264" s="116"/>
      <c r="EU264" s="116"/>
      <c r="EV264" s="116"/>
      <c r="EW264" s="116"/>
      <c r="EX264" s="116"/>
      <c r="EY264" s="116"/>
      <c r="EZ264" s="116"/>
      <c r="FA264" s="116"/>
      <c r="FB264" s="116"/>
      <c r="FC264" s="116"/>
      <c r="FD264" s="116"/>
      <c r="FE264" s="116"/>
      <c r="FF264" s="116"/>
      <c r="FG264" s="116"/>
      <c r="FH264" s="116"/>
      <c r="FI264" s="116"/>
      <c r="FJ264" s="116"/>
      <c r="FK264" s="116"/>
      <c r="FL264" s="116"/>
      <c r="FM264" s="116"/>
      <c r="FN264" s="116"/>
      <c r="FO264" s="116"/>
      <c r="FP264" s="116"/>
      <c r="FQ264" s="116"/>
      <c r="FR264" s="116"/>
      <c r="FS264" s="116"/>
      <c r="FT264" s="116"/>
      <c r="FU264" s="116"/>
      <c r="FV264" s="116"/>
      <c r="FW264" s="116"/>
      <c r="FX264" s="116"/>
      <c r="FY264" s="116"/>
      <c r="FZ264" s="116"/>
      <c r="GA264" s="116"/>
      <c r="GB264" s="116"/>
      <c r="GC264" s="116"/>
      <c r="GD264" s="116"/>
      <c r="GE264" s="116"/>
      <c r="GF264" s="116"/>
      <c r="GG264" s="116"/>
      <c r="GH264" s="116"/>
    </row>
    <row r="265" spans="2:190" ht="12.75">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c r="BR265" s="116"/>
      <c r="BS265" s="116"/>
      <c r="BT265" s="116"/>
      <c r="BU265" s="116"/>
      <c r="BV265" s="116"/>
      <c r="BW265" s="116"/>
      <c r="BX265" s="116"/>
      <c r="BY265" s="116"/>
      <c r="BZ265" s="116"/>
      <c r="CA265" s="116"/>
      <c r="CB265" s="116"/>
      <c r="CC265" s="116"/>
      <c r="CD265" s="116"/>
      <c r="CE265" s="116"/>
      <c r="CF265" s="116"/>
      <c r="CG265" s="116"/>
      <c r="CH265" s="116"/>
      <c r="CI265" s="116"/>
      <c r="CJ265" s="116"/>
      <c r="CK265" s="116"/>
      <c r="CL265" s="116"/>
      <c r="CM265" s="116"/>
      <c r="CN265" s="116"/>
      <c r="CO265" s="116"/>
      <c r="CP265" s="116"/>
      <c r="CQ265" s="116"/>
      <c r="CR265" s="116"/>
      <c r="CS265" s="116"/>
      <c r="CT265" s="116"/>
      <c r="CU265" s="116"/>
      <c r="CV265" s="116"/>
      <c r="CW265" s="116"/>
      <c r="CX265" s="116"/>
      <c r="CY265" s="116"/>
      <c r="CZ265" s="116"/>
      <c r="DA265" s="116"/>
      <c r="DB265" s="116"/>
      <c r="DC265" s="116"/>
      <c r="DD265" s="116"/>
      <c r="DE265" s="116"/>
      <c r="DF265" s="116"/>
      <c r="DG265" s="116"/>
      <c r="DH265" s="116"/>
      <c r="DI265" s="116"/>
      <c r="DJ265" s="116"/>
      <c r="DK265" s="116"/>
      <c r="DL265" s="116"/>
      <c r="DM265" s="116"/>
      <c r="DN265" s="116"/>
      <c r="DO265" s="116"/>
      <c r="DP265" s="116"/>
      <c r="DQ265" s="116"/>
      <c r="DR265" s="116"/>
      <c r="DS265" s="116"/>
      <c r="DT265" s="116"/>
      <c r="DU265" s="116"/>
      <c r="DV265" s="116"/>
      <c r="DW265" s="116"/>
      <c r="DX265" s="116"/>
      <c r="DY265" s="116"/>
      <c r="DZ265" s="116"/>
      <c r="EA265" s="116"/>
      <c r="EB265" s="116"/>
      <c r="EC265" s="116"/>
      <c r="ED265" s="116"/>
      <c r="EE265" s="116"/>
      <c r="EF265" s="116"/>
      <c r="EG265" s="116"/>
      <c r="EH265" s="116"/>
      <c r="EI265" s="116"/>
      <c r="EJ265" s="116"/>
      <c r="EK265" s="116"/>
      <c r="EL265" s="116"/>
      <c r="EM265" s="116"/>
      <c r="EN265" s="116"/>
      <c r="EO265" s="116"/>
      <c r="EP265" s="116"/>
      <c r="EQ265" s="116"/>
      <c r="ER265" s="116"/>
      <c r="ES265" s="116"/>
      <c r="ET265" s="116"/>
      <c r="EU265" s="116"/>
      <c r="EV265" s="116"/>
      <c r="EW265" s="116"/>
      <c r="EX265" s="116"/>
      <c r="EY265" s="116"/>
      <c r="EZ265" s="116"/>
      <c r="FA265" s="116"/>
      <c r="FB265" s="116"/>
      <c r="FC265" s="116"/>
      <c r="FD265" s="116"/>
      <c r="FE265" s="116"/>
      <c r="FF265" s="116"/>
      <c r="FG265" s="116"/>
      <c r="FH265" s="116"/>
      <c r="FI265" s="116"/>
      <c r="FJ265" s="116"/>
      <c r="FK265" s="116"/>
      <c r="FL265" s="116"/>
      <c r="FM265" s="116"/>
      <c r="FN265" s="116"/>
      <c r="FO265" s="116"/>
      <c r="FP265" s="116"/>
      <c r="FQ265" s="116"/>
      <c r="FR265" s="116"/>
      <c r="FS265" s="116"/>
      <c r="FT265" s="116"/>
      <c r="FU265" s="116"/>
      <c r="FV265" s="116"/>
      <c r="FW265" s="116"/>
      <c r="FX265" s="116"/>
      <c r="FY265" s="116"/>
      <c r="FZ265" s="116"/>
      <c r="GA265" s="116"/>
      <c r="GB265" s="116"/>
      <c r="GC265" s="116"/>
      <c r="GD265" s="116"/>
      <c r="GE265" s="116"/>
      <c r="GF265" s="116"/>
      <c r="GG265" s="116"/>
      <c r="GH265" s="116"/>
    </row>
    <row r="266" spans="2:190" ht="12.75">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c r="BR266" s="116"/>
      <c r="BS266" s="116"/>
      <c r="BT266" s="116"/>
      <c r="BU266" s="116"/>
      <c r="BV266" s="116"/>
      <c r="BW266" s="116"/>
      <c r="BX266" s="116"/>
      <c r="BY266" s="116"/>
      <c r="BZ266" s="116"/>
      <c r="CA266" s="116"/>
      <c r="CB266" s="116"/>
      <c r="CC266" s="116"/>
      <c r="CD266" s="116"/>
      <c r="CE266" s="116"/>
      <c r="CF266" s="116"/>
      <c r="CG266" s="116"/>
      <c r="CH266" s="116"/>
      <c r="CI266" s="116"/>
      <c r="CJ266" s="116"/>
      <c r="CK266" s="116"/>
      <c r="CL266" s="116"/>
      <c r="CM266" s="116"/>
      <c r="CN266" s="116"/>
      <c r="CO266" s="116"/>
      <c r="CP266" s="116"/>
      <c r="CQ266" s="116"/>
      <c r="CR266" s="116"/>
      <c r="CS266" s="116"/>
      <c r="CT266" s="116"/>
      <c r="CU266" s="116"/>
      <c r="CV266" s="116"/>
      <c r="CW266" s="116"/>
      <c r="CX266" s="116"/>
      <c r="CY266" s="116"/>
      <c r="CZ266" s="116"/>
      <c r="DA266" s="116"/>
      <c r="DB266" s="116"/>
      <c r="DC266" s="116"/>
      <c r="DD266" s="116"/>
      <c r="DE266" s="116"/>
      <c r="DF266" s="116"/>
      <c r="DG266" s="116"/>
      <c r="DH266" s="116"/>
      <c r="DI266" s="116"/>
      <c r="DJ266" s="116"/>
      <c r="DK266" s="116"/>
      <c r="DL266" s="116"/>
      <c r="DM266" s="116"/>
      <c r="DN266" s="116"/>
      <c r="DO266" s="116"/>
      <c r="DP266" s="116"/>
      <c r="DQ266" s="116"/>
      <c r="DR266" s="116"/>
      <c r="DS266" s="116"/>
      <c r="DT266" s="116"/>
      <c r="DU266" s="116"/>
      <c r="DV266" s="116"/>
      <c r="DW266" s="116"/>
      <c r="DX266" s="116"/>
      <c r="DY266" s="116"/>
      <c r="DZ266" s="116"/>
      <c r="EA266" s="116"/>
      <c r="EB266" s="116"/>
      <c r="EC266" s="116"/>
      <c r="ED266" s="116"/>
      <c r="EE266" s="116"/>
      <c r="EF266" s="116"/>
      <c r="EG266" s="116"/>
      <c r="EH266" s="116"/>
      <c r="EI266" s="116"/>
      <c r="EJ266" s="116"/>
      <c r="EK266" s="116"/>
      <c r="EL266" s="116"/>
      <c r="EM266" s="116"/>
      <c r="EN266" s="116"/>
      <c r="EO266" s="116"/>
      <c r="EP266" s="116"/>
      <c r="EQ266" s="116"/>
      <c r="ER266" s="116"/>
      <c r="ES266" s="116"/>
      <c r="ET266" s="116"/>
      <c r="EU266" s="116"/>
      <c r="EV266" s="116"/>
      <c r="EW266" s="116"/>
      <c r="EX266" s="116"/>
      <c r="EY266" s="116"/>
      <c r="EZ266" s="116"/>
      <c r="FA266" s="116"/>
      <c r="FB266" s="116"/>
      <c r="FC266" s="116"/>
      <c r="FD266" s="116"/>
      <c r="FE266" s="116"/>
      <c r="FF266" s="116"/>
      <c r="FG266" s="116"/>
      <c r="FH266" s="116"/>
      <c r="FI266" s="116"/>
      <c r="FJ266" s="116"/>
      <c r="FK266" s="116"/>
      <c r="FL266" s="116"/>
      <c r="FM266" s="116"/>
      <c r="FN266" s="116"/>
      <c r="FO266" s="116"/>
      <c r="FP266" s="116"/>
      <c r="FQ266" s="116"/>
      <c r="FR266" s="116"/>
      <c r="FS266" s="116"/>
      <c r="FT266" s="116"/>
      <c r="FU266" s="116"/>
      <c r="FV266" s="116"/>
      <c r="FW266" s="116"/>
      <c r="FX266" s="116"/>
      <c r="FY266" s="116"/>
      <c r="FZ266" s="116"/>
      <c r="GA266" s="116"/>
      <c r="GB266" s="116"/>
      <c r="GC266" s="116"/>
      <c r="GD266" s="116"/>
      <c r="GE266" s="116"/>
      <c r="GF266" s="116"/>
      <c r="GG266" s="116"/>
      <c r="GH266" s="116"/>
    </row>
    <row r="267" spans="2:190" ht="12.75">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c r="BR267" s="116"/>
      <c r="BS267" s="116"/>
      <c r="BT267" s="116"/>
      <c r="BU267" s="116"/>
      <c r="BV267" s="116"/>
      <c r="BW267" s="116"/>
      <c r="BX267" s="116"/>
      <c r="BY267" s="116"/>
      <c r="BZ267" s="116"/>
      <c r="CA267" s="116"/>
      <c r="CB267" s="116"/>
      <c r="CC267" s="116"/>
      <c r="CD267" s="116"/>
      <c r="CE267" s="116"/>
      <c r="CF267" s="116"/>
      <c r="CG267" s="116"/>
      <c r="CH267" s="116"/>
      <c r="CI267" s="116"/>
      <c r="CJ267" s="116"/>
      <c r="CK267" s="116"/>
      <c r="CL267" s="116"/>
      <c r="CM267" s="116"/>
      <c r="CN267" s="116"/>
      <c r="CO267" s="116"/>
      <c r="CP267" s="116"/>
      <c r="CQ267" s="116"/>
      <c r="CR267" s="116"/>
      <c r="CS267" s="116"/>
      <c r="CT267" s="116"/>
      <c r="CU267" s="116"/>
      <c r="CV267" s="116"/>
      <c r="CW267" s="116"/>
      <c r="CX267" s="116"/>
      <c r="CY267" s="116"/>
      <c r="CZ267" s="116"/>
      <c r="DA267" s="116"/>
      <c r="DB267" s="116"/>
      <c r="DC267" s="116"/>
      <c r="DD267" s="116"/>
      <c r="DE267" s="116"/>
      <c r="DF267" s="116"/>
      <c r="DG267" s="116"/>
      <c r="DH267" s="116"/>
      <c r="DI267" s="116"/>
      <c r="DJ267" s="116"/>
      <c r="DK267" s="116"/>
      <c r="DL267" s="116"/>
      <c r="DM267" s="116"/>
      <c r="DN267" s="116"/>
      <c r="DO267" s="116"/>
      <c r="DP267" s="116"/>
      <c r="DQ267" s="116"/>
      <c r="DR267" s="116"/>
      <c r="DS267" s="116"/>
      <c r="DT267" s="116"/>
      <c r="DU267" s="116"/>
      <c r="DV267" s="116"/>
      <c r="DW267" s="116"/>
      <c r="DX267" s="116"/>
      <c r="DY267" s="116"/>
      <c r="DZ267" s="116"/>
      <c r="EA267" s="116"/>
      <c r="EB267" s="116"/>
      <c r="EC267" s="116"/>
      <c r="ED267" s="116"/>
      <c r="EE267" s="116"/>
      <c r="EF267" s="116"/>
      <c r="EG267" s="116"/>
      <c r="EH267" s="116"/>
      <c r="EI267" s="116"/>
      <c r="EJ267" s="116"/>
      <c r="EK267" s="116"/>
      <c r="EL267" s="116"/>
      <c r="EM267" s="116"/>
      <c r="EN267" s="116"/>
      <c r="EO267" s="116"/>
      <c r="EP267" s="116"/>
      <c r="EQ267" s="116"/>
      <c r="ER267" s="116"/>
      <c r="ES267" s="116"/>
      <c r="ET267" s="116"/>
      <c r="EU267" s="116"/>
      <c r="EV267" s="116"/>
      <c r="EW267" s="116"/>
      <c r="EX267" s="116"/>
      <c r="EY267" s="116"/>
      <c r="EZ267" s="116"/>
      <c r="FA267" s="116"/>
      <c r="FB267" s="116"/>
      <c r="FC267" s="116"/>
      <c r="FD267" s="116"/>
      <c r="FE267" s="116"/>
      <c r="FF267" s="116"/>
      <c r="FG267" s="116"/>
      <c r="FH267" s="116"/>
      <c r="FI267" s="116"/>
      <c r="FJ267" s="116"/>
      <c r="FK267" s="116"/>
      <c r="FL267" s="116"/>
      <c r="FM267" s="116"/>
      <c r="FN267" s="116"/>
      <c r="FO267" s="116"/>
      <c r="FP267" s="116"/>
      <c r="FQ267" s="116"/>
      <c r="FR267" s="116"/>
      <c r="FS267" s="116"/>
      <c r="FT267" s="116"/>
      <c r="FU267" s="116"/>
      <c r="FV267" s="116"/>
      <c r="FW267" s="116"/>
      <c r="FX267" s="116"/>
      <c r="FY267" s="116"/>
      <c r="FZ267" s="116"/>
      <c r="GA267" s="116"/>
      <c r="GB267" s="116"/>
      <c r="GC267" s="116"/>
      <c r="GD267" s="116"/>
      <c r="GE267" s="116"/>
      <c r="GF267" s="116"/>
      <c r="GG267" s="116"/>
      <c r="GH267" s="116"/>
    </row>
    <row r="268" spans="2:190" ht="12.75">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6"/>
      <c r="AQ268" s="116"/>
      <c r="AR268" s="116"/>
      <c r="AS268" s="116"/>
      <c r="AT268" s="116"/>
      <c r="AU268" s="116"/>
      <c r="AV268" s="116"/>
      <c r="AW268" s="116"/>
      <c r="AX268" s="116"/>
      <c r="AY268" s="116"/>
      <c r="AZ268" s="116"/>
      <c r="BA268" s="116"/>
      <c r="BB268" s="116"/>
      <c r="BC268" s="116"/>
      <c r="BD268" s="116"/>
      <c r="BE268" s="116"/>
      <c r="BF268" s="116"/>
      <c r="BG268" s="116"/>
      <c r="BH268" s="116"/>
      <c r="BI268" s="116"/>
      <c r="BJ268" s="116"/>
      <c r="BK268" s="116"/>
      <c r="BL268" s="116"/>
      <c r="BM268" s="116"/>
      <c r="BN268" s="116"/>
      <c r="BO268" s="116"/>
      <c r="BP268" s="116"/>
      <c r="BQ268" s="116"/>
      <c r="BR268" s="116"/>
      <c r="BS268" s="116"/>
      <c r="BT268" s="116"/>
      <c r="BU268" s="116"/>
      <c r="BV268" s="116"/>
      <c r="BW268" s="116"/>
      <c r="BX268" s="116"/>
      <c r="BY268" s="116"/>
      <c r="BZ268" s="116"/>
      <c r="CA268" s="116"/>
      <c r="CB268" s="116"/>
      <c r="CC268" s="116"/>
      <c r="CD268" s="116"/>
      <c r="CE268" s="116"/>
      <c r="CF268" s="116"/>
      <c r="CG268" s="116"/>
      <c r="CH268" s="116"/>
      <c r="CI268" s="116"/>
      <c r="CJ268" s="116"/>
      <c r="CK268" s="116"/>
      <c r="CL268" s="116"/>
      <c r="CM268" s="116"/>
      <c r="CN268" s="116"/>
      <c r="CO268" s="116"/>
      <c r="CP268" s="116"/>
      <c r="CQ268" s="116"/>
      <c r="CR268" s="116"/>
      <c r="CS268" s="116"/>
      <c r="CT268" s="116"/>
      <c r="CU268" s="116"/>
      <c r="CV268" s="116"/>
      <c r="CW268" s="116"/>
      <c r="CX268" s="116"/>
      <c r="CY268" s="116"/>
      <c r="CZ268" s="116"/>
      <c r="DA268" s="116"/>
      <c r="DB268" s="116"/>
      <c r="DC268" s="116"/>
      <c r="DD268" s="116"/>
      <c r="DE268" s="116"/>
      <c r="DF268" s="116"/>
      <c r="DG268" s="116"/>
      <c r="DH268" s="116"/>
      <c r="DI268" s="116"/>
      <c r="DJ268" s="116"/>
      <c r="DK268" s="116"/>
      <c r="DL268" s="116"/>
      <c r="DM268" s="116"/>
      <c r="DN268" s="116"/>
      <c r="DO268" s="116"/>
      <c r="DP268" s="116"/>
      <c r="DQ268" s="116"/>
      <c r="DR268" s="116"/>
      <c r="DS268" s="116"/>
      <c r="DT268" s="116"/>
      <c r="DU268" s="116"/>
      <c r="DV268" s="116"/>
      <c r="DW268" s="116"/>
      <c r="DX268" s="116"/>
      <c r="DY268" s="116"/>
      <c r="DZ268" s="116"/>
      <c r="EA268" s="116"/>
      <c r="EB268" s="116"/>
      <c r="EC268" s="116"/>
      <c r="ED268" s="116"/>
      <c r="EE268" s="116"/>
      <c r="EF268" s="116"/>
      <c r="EG268" s="116"/>
      <c r="EH268" s="116"/>
      <c r="EI268" s="116"/>
      <c r="EJ268" s="116"/>
      <c r="EK268" s="116"/>
      <c r="EL268" s="116"/>
      <c r="EM268" s="116"/>
      <c r="EN268" s="116"/>
      <c r="EO268" s="116"/>
      <c r="EP268" s="116"/>
      <c r="EQ268" s="116"/>
      <c r="ER268" s="116"/>
      <c r="ES268" s="116"/>
      <c r="ET268" s="116"/>
      <c r="EU268" s="116"/>
      <c r="EV268" s="116"/>
      <c r="EW268" s="116"/>
      <c r="EX268" s="116"/>
      <c r="EY268" s="116"/>
      <c r="EZ268" s="116"/>
      <c r="FA268" s="116"/>
      <c r="FB268" s="116"/>
      <c r="FC268" s="116"/>
      <c r="FD268" s="116"/>
      <c r="FE268" s="116"/>
      <c r="FF268" s="116"/>
      <c r="FG268" s="116"/>
      <c r="FH268" s="116"/>
      <c r="FI268" s="116"/>
      <c r="FJ268" s="116"/>
      <c r="FK268" s="116"/>
      <c r="FL268" s="116"/>
      <c r="FM268" s="116"/>
      <c r="FN268" s="116"/>
      <c r="FO268" s="116"/>
      <c r="FP268" s="116"/>
      <c r="FQ268" s="116"/>
      <c r="FR268" s="116"/>
      <c r="FS268" s="116"/>
      <c r="FT268" s="116"/>
      <c r="FU268" s="116"/>
      <c r="FV268" s="116"/>
      <c r="FW268" s="116"/>
      <c r="FX268" s="116"/>
      <c r="FY268" s="116"/>
      <c r="FZ268" s="116"/>
      <c r="GA268" s="116"/>
      <c r="GB268" s="116"/>
      <c r="GC268" s="116"/>
      <c r="GD268" s="116"/>
      <c r="GE268" s="116"/>
      <c r="GF268" s="116"/>
      <c r="GG268" s="116"/>
      <c r="GH268" s="116"/>
    </row>
    <row r="269" spans="2:190" ht="12.75">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6"/>
      <c r="AQ269" s="116"/>
      <c r="AR269" s="116"/>
      <c r="AS269" s="116"/>
      <c r="AT269" s="116"/>
      <c r="AU269" s="116"/>
      <c r="AV269" s="116"/>
      <c r="AW269" s="116"/>
      <c r="AX269" s="116"/>
      <c r="AY269" s="116"/>
      <c r="AZ269" s="116"/>
      <c r="BA269" s="116"/>
      <c r="BB269" s="116"/>
      <c r="BC269" s="116"/>
      <c r="BD269" s="116"/>
      <c r="BE269" s="116"/>
      <c r="BF269" s="116"/>
      <c r="BG269" s="116"/>
      <c r="BH269" s="116"/>
      <c r="BI269" s="116"/>
      <c r="BJ269" s="116"/>
      <c r="BK269" s="116"/>
      <c r="BL269" s="116"/>
      <c r="BM269" s="116"/>
      <c r="BN269" s="116"/>
      <c r="BO269" s="116"/>
      <c r="BP269" s="116"/>
      <c r="BQ269" s="116"/>
      <c r="BR269" s="116"/>
      <c r="BS269" s="116"/>
      <c r="BT269" s="116"/>
      <c r="BU269" s="116"/>
      <c r="BV269" s="116"/>
      <c r="BW269" s="116"/>
      <c r="BX269" s="116"/>
      <c r="BY269" s="116"/>
      <c r="BZ269" s="116"/>
      <c r="CA269" s="116"/>
      <c r="CB269" s="116"/>
      <c r="CC269" s="116"/>
      <c r="CD269" s="116"/>
      <c r="CE269" s="116"/>
      <c r="CF269" s="116"/>
      <c r="CG269" s="116"/>
      <c r="CH269" s="116"/>
      <c r="CI269" s="116"/>
      <c r="CJ269" s="116"/>
      <c r="CK269" s="116"/>
      <c r="CL269" s="116"/>
      <c r="CM269" s="116"/>
      <c r="CN269" s="116"/>
      <c r="CO269" s="116"/>
      <c r="CP269" s="116"/>
      <c r="CQ269" s="116"/>
      <c r="CR269" s="116"/>
      <c r="CS269" s="116"/>
      <c r="CT269" s="116"/>
      <c r="CU269" s="116"/>
      <c r="CV269" s="116"/>
      <c r="CW269" s="116"/>
      <c r="CX269" s="116"/>
      <c r="CY269" s="116"/>
      <c r="CZ269" s="116"/>
      <c r="DA269" s="116"/>
      <c r="DB269" s="116"/>
      <c r="DC269" s="116"/>
      <c r="DD269" s="116"/>
      <c r="DE269" s="116"/>
      <c r="DF269" s="116"/>
      <c r="DG269" s="116"/>
      <c r="DH269" s="116"/>
      <c r="DI269" s="116"/>
      <c r="DJ269" s="116"/>
      <c r="DK269" s="116"/>
      <c r="DL269" s="116"/>
      <c r="DM269" s="116"/>
      <c r="DN269" s="116"/>
      <c r="DO269" s="116"/>
      <c r="DP269" s="116"/>
      <c r="DQ269" s="116"/>
      <c r="DR269" s="116"/>
      <c r="DS269" s="116"/>
      <c r="DT269" s="116"/>
      <c r="DU269" s="116"/>
      <c r="DV269" s="116"/>
      <c r="DW269" s="116"/>
      <c r="DX269" s="116"/>
      <c r="DY269" s="116"/>
      <c r="DZ269" s="116"/>
      <c r="EA269" s="116"/>
      <c r="EB269" s="116"/>
      <c r="EC269" s="116"/>
      <c r="ED269" s="116"/>
      <c r="EE269" s="116"/>
      <c r="EF269" s="116"/>
      <c r="EG269" s="116"/>
      <c r="EH269" s="116"/>
      <c r="EI269" s="116"/>
      <c r="EJ269" s="116"/>
      <c r="EK269" s="116"/>
      <c r="EL269" s="116"/>
      <c r="EM269" s="116"/>
      <c r="EN269" s="116"/>
      <c r="EO269" s="116"/>
      <c r="EP269" s="116"/>
      <c r="EQ269" s="116"/>
      <c r="ER269" s="116"/>
      <c r="ES269" s="116"/>
      <c r="ET269" s="116"/>
      <c r="EU269" s="116"/>
      <c r="EV269" s="116"/>
      <c r="EW269" s="116"/>
      <c r="EX269" s="116"/>
      <c r="EY269" s="116"/>
      <c r="EZ269" s="116"/>
      <c r="FA269" s="116"/>
      <c r="FB269" s="116"/>
      <c r="FC269" s="116"/>
      <c r="FD269" s="116"/>
      <c r="FE269" s="116"/>
      <c r="FF269" s="116"/>
      <c r="FG269" s="116"/>
      <c r="FH269" s="116"/>
      <c r="FI269" s="116"/>
      <c r="FJ269" s="116"/>
      <c r="FK269" s="116"/>
      <c r="FL269" s="116"/>
      <c r="FM269" s="116"/>
      <c r="FN269" s="116"/>
      <c r="FO269" s="116"/>
      <c r="FP269" s="116"/>
      <c r="FQ269" s="116"/>
      <c r="FR269" s="116"/>
      <c r="FS269" s="116"/>
      <c r="FT269" s="116"/>
      <c r="FU269" s="116"/>
      <c r="FV269" s="116"/>
      <c r="FW269" s="116"/>
      <c r="FX269" s="116"/>
      <c r="FY269" s="116"/>
      <c r="FZ269" s="116"/>
      <c r="GA269" s="116"/>
      <c r="GB269" s="116"/>
      <c r="GC269" s="116"/>
      <c r="GD269" s="116"/>
      <c r="GE269" s="116"/>
      <c r="GF269" s="116"/>
      <c r="GG269" s="116"/>
      <c r="GH269" s="116"/>
    </row>
    <row r="270" spans="2:190" ht="12.75">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c r="BR270" s="116"/>
      <c r="BS270" s="116"/>
      <c r="BT270" s="116"/>
      <c r="BU270" s="116"/>
      <c r="BV270" s="116"/>
      <c r="BW270" s="116"/>
      <c r="BX270" s="116"/>
      <c r="BY270" s="116"/>
      <c r="BZ270" s="116"/>
      <c r="CA270" s="116"/>
      <c r="CB270" s="116"/>
      <c r="CC270" s="116"/>
      <c r="CD270" s="116"/>
      <c r="CE270" s="116"/>
      <c r="CF270" s="116"/>
      <c r="CG270" s="116"/>
      <c r="CH270" s="116"/>
      <c r="CI270" s="116"/>
      <c r="CJ270" s="116"/>
      <c r="CK270" s="116"/>
      <c r="CL270" s="116"/>
      <c r="CM270" s="116"/>
      <c r="CN270" s="116"/>
      <c r="CO270" s="116"/>
      <c r="CP270" s="116"/>
      <c r="CQ270" s="116"/>
      <c r="CR270" s="116"/>
      <c r="CS270" s="116"/>
      <c r="CT270" s="116"/>
      <c r="CU270" s="116"/>
      <c r="CV270" s="116"/>
      <c r="CW270" s="116"/>
      <c r="CX270" s="116"/>
      <c r="CY270" s="116"/>
      <c r="CZ270" s="116"/>
      <c r="DA270" s="116"/>
      <c r="DB270" s="116"/>
      <c r="DC270" s="116"/>
      <c r="DD270" s="116"/>
      <c r="DE270" s="116"/>
      <c r="DF270" s="116"/>
      <c r="DG270" s="116"/>
      <c r="DH270" s="116"/>
      <c r="DI270" s="116"/>
      <c r="DJ270" s="116"/>
      <c r="DK270" s="116"/>
      <c r="DL270" s="116"/>
      <c r="DM270" s="116"/>
      <c r="DN270" s="116"/>
      <c r="DO270" s="116"/>
      <c r="DP270" s="116"/>
      <c r="DQ270" s="116"/>
      <c r="DR270" s="116"/>
      <c r="DS270" s="116"/>
      <c r="DT270" s="116"/>
      <c r="DU270" s="116"/>
      <c r="DV270" s="116"/>
      <c r="DW270" s="116"/>
      <c r="DX270" s="116"/>
      <c r="DY270" s="116"/>
      <c r="DZ270" s="116"/>
      <c r="EA270" s="116"/>
      <c r="EB270" s="116"/>
      <c r="EC270" s="116"/>
      <c r="ED270" s="116"/>
      <c r="EE270" s="116"/>
      <c r="EF270" s="116"/>
      <c r="EG270" s="116"/>
      <c r="EH270" s="116"/>
      <c r="EI270" s="116"/>
      <c r="EJ270" s="116"/>
      <c r="EK270" s="116"/>
      <c r="EL270" s="116"/>
      <c r="EM270" s="116"/>
      <c r="EN270" s="116"/>
      <c r="EO270" s="116"/>
      <c r="EP270" s="116"/>
      <c r="EQ270" s="116"/>
      <c r="ER270" s="116"/>
      <c r="ES270" s="116"/>
      <c r="ET270" s="116"/>
      <c r="EU270" s="116"/>
      <c r="EV270" s="116"/>
      <c r="EW270" s="116"/>
      <c r="EX270" s="116"/>
      <c r="EY270" s="116"/>
      <c r="EZ270" s="116"/>
      <c r="FA270" s="116"/>
      <c r="FB270" s="116"/>
      <c r="FC270" s="116"/>
      <c r="FD270" s="116"/>
      <c r="FE270" s="116"/>
      <c r="FF270" s="116"/>
      <c r="FG270" s="116"/>
      <c r="FH270" s="116"/>
      <c r="FI270" s="116"/>
      <c r="FJ270" s="116"/>
      <c r="FK270" s="116"/>
      <c r="FL270" s="116"/>
      <c r="FM270" s="116"/>
      <c r="FN270" s="116"/>
      <c r="FO270" s="116"/>
      <c r="FP270" s="116"/>
      <c r="FQ270" s="116"/>
      <c r="FR270" s="116"/>
      <c r="FS270" s="116"/>
      <c r="FT270" s="116"/>
      <c r="FU270" s="116"/>
      <c r="FV270" s="116"/>
      <c r="FW270" s="116"/>
      <c r="FX270" s="116"/>
      <c r="FY270" s="116"/>
      <c r="FZ270" s="116"/>
      <c r="GA270" s="116"/>
      <c r="GB270" s="116"/>
      <c r="GC270" s="116"/>
      <c r="GD270" s="116"/>
      <c r="GE270" s="116"/>
      <c r="GF270" s="116"/>
      <c r="GG270" s="116"/>
      <c r="GH270" s="116"/>
    </row>
    <row r="271" spans="2:190" ht="12.75">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c r="BR271" s="116"/>
      <c r="BS271" s="116"/>
      <c r="BT271" s="116"/>
      <c r="BU271" s="116"/>
      <c r="BV271" s="116"/>
      <c r="BW271" s="116"/>
      <c r="BX271" s="116"/>
      <c r="BY271" s="116"/>
      <c r="BZ271" s="116"/>
      <c r="CA271" s="116"/>
      <c r="CB271" s="116"/>
      <c r="CC271" s="116"/>
      <c r="CD271" s="116"/>
      <c r="CE271" s="116"/>
      <c r="CF271" s="116"/>
      <c r="CG271" s="116"/>
      <c r="CH271" s="116"/>
      <c r="CI271" s="116"/>
      <c r="CJ271" s="116"/>
      <c r="CK271" s="116"/>
      <c r="CL271" s="116"/>
      <c r="CM271" s="116"/>
      <c r="CN271" s="116"/>
      <c r="CO271" s="116"/>
      <c r="CP271" s="116"/>
      <c r="CQ271" s="116"/>
      <c r="CR271" s="116"/>
      <c r="CS271" s="116"/>
      <c r="CT271" s="116"/>
      <c r="CU271" s="116"/>
      <c r="CV271" s="116"/>
      <c r="CW271" s="116"/>
      <c r="CX271" s="116"/>
      <c r="CY271" s="116"/>
      <c r="CZ271" s="116"/>
      <c r="DA271" s="116"/>
      <c r="DB271" s="116"/>
      <c r="DC271" s="116"/>
      <c r="DD271" s="116"/>
      <c r="DE271" s="116"/>
      <c r="DF271" s="116"/>
      <c r="DG271" s="116"/>
      <c r="DH271" s="116"/>
      <c r="DI271" s="116"/>
      <c r="DJ271" s="116"/>
      <c r="DK271" s="116"/>
      <c r="DL271" s="116"/>
      <c r="DM271" s="116"/>
      <c r="DN271" s="116"/>
      <c r="DO271" s="116"/>
      <c r="DP271" s="116"/>
      <c r="DQ271" s="116"/>
      <c r="DR271" s="116"/>
      <c r="DS271" s="116"/>
      <c r="DT271" s="116"/>
      <c r="DU271" s="116"/>
      <c r="DV271" s="116"/>
      <c r="DW271" s="116"/>
      <c r="DX271" s="116"/>
      <c r="DY271" s="116"/>
      <c r="DZ271" s="116"/>
      <c r="EA271" s="116"/>
      <c r="EB271" s="116"/>
      <c r="EC271" s="116"/>
      <c r="ED271" s="116"/>
      <c r="EE271" s="116"/>
      <c r="EF271" s="116"/>
      <c r="EG271" s="116"/>
      <c r="EH271" s="116"/>
      <c r="EI271" s="116"/>
      <c r="EJ271" s="116"/>
      <c r="EK271" s="116"/>
      <c r="EL271" s="116"/>
      <c r="EM271" s="116"/>
      <c r="EN271" s="116"/>
      <c r="EO271" s="116"/>
      <c r="EP271" s="116"/>
      <c r="EQ271" s="116"/>
      <c r="ER271" s="116"/>
      <c r="ES271" s="116"/>
      <c r="ET271" s="116"/>
      <c r="EU271" s="116"/>
      <c r="EV271" s="116"/>
      <c r="EW271" s="116"/>
      <c r="EX271" s="116"/>
      <c r="EY271" s="116"/>
      <c r="EZ271" s="116"/>
      <c r="FA271" s="116"/>
      <c r="FB271" s="116"/>
      <c r="FC271" s="116"/>
      <c r="FD271" s="116"/>
      <c r="FE271" s="116"/>
      <c r="FF271" s="116"/>
      <c r="FG271" s="116"/>
      <c r="FH271" s="116"/>
      <c r="FI271" s="116"/>
      <c r="FJ271" s="116"/>
      <c r="FK271" s="116"/>
      <c r="FL271" s="116"/>
      <c r="FM271" s="116"/>
      <c r="FN271" s="116"/>
      <c r="FO271" s="116"/>
      <c r="FP271" s="116"/>
      <c r="FQ271" s="116"/>
      <c r="FR271" s="116"/>
      <c r="FS271" s="116"/>
      <c r="FT271" s="116"/>
      <c r="FU271" s="116"/>
      <c r="FV271" s="116"/>
      <c r="FW271" s="116"/>
      <c r="FX271" s="116"/>
      <c r="FY271" s="116"/>
      <c r="FZ271" s="116"/>
      <c r="GA271" s="116"/>
      <c r="GB271" s="116"/>
      <c r="GC271" s="116"/>
      <c r="GD271" s="116"/>
      <c r="GE271" s="116"/>
      <c r="GF271" s="116"/>
      <c r="GG271" s="116"/>
      <c r="GH271" s="116"/>
    </row>
    <row r="272" spans="2:190" ht="12.75">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c r="BR272" s="116"/>
      <c r="BS272" s="116"/>
      <c r="BT272" s="116"/>
      <c r="BU272" s="116"/>
      <c r="BV272" s="116"/>
      <c r="BW272" s="116"/>
      <c r="BX272" s="116"/>
      <c r="BY272" s="116"/>
      <c r="BZ272" s="116"/>
      <c r="CA272" s="116"/>
      <c r="CB272" s="116"/>
      <c r="CC272" s="116"/>
      <c r="CD272" s="116"/>
      <c r="CE272" s="116"/>
      <c r="CF272" s="116"/>
      <c r="CG272" s="116"/>
      <c r="CH272" s="116"/>
      <c r="CI272" s="116"/>
      <c r="CJ272" s="116"/>
      <c r="CK272" s="116"/>
      <c r="CL272" s="116"/>
      <c r="CM272" s="116"/>
      <c r="CN272" s="116"/>
      <c r="CO272" s="116"/>
      <c r="CP272" s="116"/>
      <c r="CQ272" s="116"/>
      <c r="CR272" s="116"/>
      <c r="CS272" s="116"/>
      <c r="CT272" s="116"/>
      <c r="CU272" s="116"/>
      <c r="CV272" s="116"/>
      <c r="CW272" s="116"/>
      <c r="CX272" s="116"/>
      <c r="CY272" s="116"/>
      <c r="CZ272" s="116"/>
      <c r="DA272" s="116"/>
      <c r="DB272" s="116"/>
      <c r="DC272" s="116"/>
      <c r="DD272" s="116"/>
      <c r="DE272" s="116"/>
      <c r="DF272" s="116"/>
      <c r="DG272" s="116"/>
      <c r="DH272" s="116"/>
      <c r="DI272" s="116"/>
      <c r="DJ272" s="116"/>
      <c r="DK272" s="116"/>
      <c r="DL272" s="116"/>
      <c r="DM272" s="116"/>
      <c r="DN272" s="116"/>
      <c r="DO272" s="116"/>
      <c r="DP272" s="116"/>
      <c r="DQ272" s="116"/>
      <c r="DR272" s="116"/>
      <c r="DS272" s="116"/>
      <c r="DT272" s="116"/>
      <c r="DU272" s="116"/>
      <c r="DV272" s="116"/>
      <c r="DW272" s="116"/>
      <c r="DX272" s="116"/>
      <c r="DY272" s="116"/>
      <c r="DZ272" s="116"/>
      <c r="EA272" s="116"/>
      <c r="EB272" s="116"/>
      <c r="EC272" s="116"/>
      <c r="ED272" s="116"/>
      <c r="EE272" s="116"/>
      <c r="EF272" s="116"/>
      <c r="EG272" s="116"/>
      <c r="EH272" s="116"/>
      <c r="EI272" s="116"/>
      <c r="EJ272" s="116"/>
      <c r="EK272" s="116"/>
      <c r="EL272" s="116"/>
      <c r="EM272" s="116"/>
      <c r="EN272" s="116"/>
      <c r="EO272" s="116"/>
      <c r="EP272" s="116"/>
      <c r="EQ272" s="116"/>
      <c r="ER272" s="116"/>
      <c r="ES272" s="116"/>
      <c r="ET272" s="116"/>
      <c r="EU272" s="116"/>
      <c r="EV272" s="116"/>
      <c r="EW272" s="116"/>
      <c r="EX272" s="116"/>
      <c r="EY272" s="116"/>
      <c r="EZ272" s="116"/>
      <c r="FA272" s="116"/>
      <c r="FB272" s="116"/>
      <c r="FC272" s="116"/>
      <c r="FD272" s="116"/>
      <c r="FE272" s="116"/>
      <c r="FF272" s="116"/>
      <c r="FG272" s="116"/>
      <c r="FH272" s="116"/>
      <c r="FI272" s="116"/>
      <c r="FJ272" s="116"/>
      <c r="FK272" s="116"/>
      <c r="FL272" s="116"/>
      <c r="FM272" s="116"/>
      <c r="FN272" s="116"/>
      <c r="FO272" s="116"/>
      <c r="FP272" s="116"/>
      <c r="FQ272" s="116"/>
      <c r="FR272" s="116"/>
      <c r="FS272" s="116"/>
      <c r="FT272" s="116"/>
      <c r="FU272" s="116"/>
      <c r="FV272" s="116"/>
      <c r="FW272" s="116"/>
      <c r="FX272" s="116"/>
      <c r="FY272" s="116"/>
      <c r="FZ272" s="116"/>
      <c r="GA272" s="116"/>
      <c r="GB272" s="116"/>
      <c r="GC272" s="116"/>
      <c r="GD272" s="116"/>
      <c r="GE272" s="116"/>
      <c r="GF272" s="116"/>
      <c r="GG272" s="116"/>
      <c r="GH272" s="116"/>
    </row>
    <row r="273" spans="2:190" ht="12.75">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c r="BR273" s="116"/>
      <c r="BS273" s="116"/>
      <c r="BT273" s="116"/>
      <c r="BU273" s="116"/>
      <c r="BV273" s="116"/>
      <c r="BW273" s="116"/>
      <c r="BX273" s="116"/>
      <c r="BY273" s="116"/>
      <c r="BZ273" s="116"/>
      <c r="CA273" s="116"/>
      <c r="CB273" s="116"/>
      <c r="CC273" s="116"/>
      <c r="CD273" s="116"/>
      <c r="CE273" s="116"/>
      <c r="CF273" s="116"/>
      <c r="CG273" s="116"/>
      <c r="CH273" s="116"/>
      <c r="CI273" s="116"/>
      <c r="CJ273" s="116"/>
      <c r="CK273" s="116"/>
      <c r="CL273" s="116"/>
      <c r="CM273" s="116"/>
      <c r="CN273" s="116"/>
      <c r="CO273" s="116"/>
      <c r="CP273" s="116"/>
      <c r="CQ273" s="116"/>
      <c r="CR273" s="116"/>
      <c r="CS273" s="116"/>
      <c r="CT273" s="116"/>
      <c r="CU273" s="116"/>
      <c r="CV273" s="116"/>
      <c r="CW273" s="116"/>
      <c r="CX273" s="116"/>
      <c r="CY273" s="116"/>
      <c r="CZ273" s="116"/>
      <c r="DA273" s="116"/>
      <c r="DB273" s="116"/>
      <c r="DC273" s="116"/>
      <c r="DD273" s="116"/>
      <c r="DE273" s="116"/>
      <c r="DF273" s="116"/>
      <c r="DG273" s="116"/>
      <c r="DH273" s="116"/>
      <c r="DI273" s="116"/>
      <c r="DJ273" s="116"/>
      <c r="DK273" s="116"/>
      <c r="DL273" s="116"/>
      <c r="DM273" s="116"/>
      <c r="DN273" s="116"/>
      <c r="DO273" s="116"/>
      <c r="DP273" s="116"/>
      <c r="DQ273" s="116"/>
      <c r="DR273" s="116"/>
      <c r="DS273" s="116"/>
      <c r="DT273" s="116"/>
      <c r="DU273" s="116"/>
      <c r="DV273" s="116"/>
      <c r="DW273" s="116"/>
      <c r="DX273" s="116"/>
      <c r="DY273" s="116"/>
      <c r="DZ273" s="116"/>
      <c r="EA273" s="116"/>
      <c r="EB273" s="116"/>
      <c r="EC273" s="116"/>
      <c r="ED273" s="116"/>
      <c r="EE273" s="116"/>
      <c r="EF273" s="116"/>
      <c r="EG273" s="116"/>
      <c r="EH273" s="116"/>
      <c r="EI273" s="116"/>
      <c r="EJ273" s="116"/>
      <c r="EK273" s="116"/>
      <c r="EL273" s="116"/>
      <c r="EM273" s="116"/>
      <c r="EN273" s="116"/>
      <c r="EO273" s="116"/>
      <c r="EP273" s="116"/>
      <c r="EQ273" s="116"/>
      <c r="ER273" s="116"/>
      <c r="ES273" s="116"/>
      <c r="ET273" s="116"/>
      <c r="EU273" s="116"/>
      <c r="EV273" s="116"/>
      <c r="EW273" s="116"/>
      <c r="EX273" s="116"/>
      <c r="EY273" s="116"/>
      <c r="EZ273" s="116"/>
      <c r="FA273" s="116"/>
      <c r="FB273" s="116"/>
      <c r="FC273" s="116"/>
      <c r="FD273" s="116"/>
      <c r="FE273" s="116"/>
      <c r="FF273" s="116"/>
      <c r="FG273" s="116"/>
      <c r="FH273" s="116"/>
      <c r="FI273" s="116"/>
      <c r="FJ273" s="116"/>
      <c r="FK273" s="116"/>
      <c r="FL273" s="116"/>
      <c r="FM273" s="116"/>
      <c r="FN273" s="116"/>
      <c r="FO273" s="116"/>
      <c r="FP273" s="116"/>
      <c r="FQ273" s="116"/>
      <c r="FR273" s="116"/>
      <c r="FS273" s="116"/>
      <c r="FT273" s="116"/>
      <c r="FU273" s="116"/>
      <c r="FV273" s="116"/>
      <c r="FW273" s="116"/>
      <c r="FX273" s="116"/>
      <c r="FY273" s="116"/>
      <c r="FZ273" s="116"/>
      <c r="GA273" s="116"/>
      <c r="GB273" s="116"/>
      <c r="GC273" s="116"/>
      <c r="GD273" s="116"/>
      <c r="GE273" s="116"/>
      <c r="GF273" s="116"/>
      <c r="GG273" s="116"/>
      <c r="GH273" s="116"/>
    </row>
    <row r="274" spans="2:190" ht="12.75">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6"/>
      <c r="AQ274" s="116"/>
      <c r="AR274" s="116"/>
      <c r="AS274" s="116"/>
      <c r="AT274" s="116"/>
      <c r="AU274" s="116"/>
      <c r="AV274" s="116"/>
      <c r="AW274" s="116"/>
      <c r="AX274" s="116"/>
      <c r="AY274" s="116"/>
      <c r="AZ274" s="116"/>
      <c r="BA274" s="116"/>
      <c r="BB274" s="116"/>
      <c r="BC274" s="116"/>
      <c r="BD274" s="116"/>
      <c r="BE274" s="116"/>
      <c r="BF274" s="116"/>
      <c r="BG274" s="116"/>
      <c r="BH274" s="116"/>
      <c r="BI274" s="116"/>
      <c r="BJ274" s="116"/>
      <c r="BK274" s="116"/>
      <c r="BL274" s="116"/>
      <c r="BM274" s="116"/>
      <c r="BN274" s="116"/>
      <c r="BO274" s="116"/>
      <c r="BP274" s="116"/>
      <c r="BQ274" s="116"/>
      <c r="BR274" s="116"/>
      <c r="BS274" s="116"/>
      <c r="BT274" s="116"/>
      <c r="BU274" s="116"/>
      <c r="BV274" s="116"/>
      <c r="BW274" s="116"/>
      <c r="BX274" s="116"/>
      <c r="BY274" s="116"/>
      <c r="BZ274" s="116"/>
      <c r="CA274" s="116"/>
      <c r="CB274" s="116"/>
      <c r="CC274" s="116"/>
      <c r="CD274" s="116"/>
      <c r="CE274" s="116"/>
      <c r="CF274" s="116"/>
      <c r="CG274" s="116"/>
      <c r="CH274" s="116"/>
      <c r="CI274" s="116"/>
      <c r="CJ274" s="116"/>
      <c r="CK274" s="116"/>
      <c r="CL274" s="116"/>
      <c r="CM274" s="116"/>
      <c r="CN274" s="116"/>
      <c r="CO274" s="116"/>
      <c r="CP274" s="116"/>
      <c r="CQ274" s="116"/>
      <c r="CR274" s="116"/>
      <c r="CS274" s="116"/>
      <c r="CT274" s="116"/>
      <c r="CU274" s="116"/>
      <c r="CV274" s="116"/>
      <c r="CW274" s="116"/>
      <c r="CX274" s="116"/>
      <c r="CY274" s="116"/>
      <c r="CZ274" s="116"/>
      <c r="DA274" s="116"/>
      <c r="DB274" s="116"/>
      <c r="DC274" s="116"/>
      <c r="DD274" s="116"/>
      <c r="DE274" s="116"/>
      <c r="DF274" s="116"/>
      <c r="DG274" s="116"/>
      <c r="DH274" s="116"/>
      <c r="DI274" s="116"/>
      <c r="DJ274" s="116"/>
      <c r="DK274" s="116"/>
      <c r="DL274" s="116"/>
      <c r="DM274" s="116"/>
      <c r="DN274" s="116"/>
      <c r="DO274" s="116"/>
      <c r="DP274" s="116"/>
      <c r="DQ274" s="116"/>
      <c r="DR274" s="116"/>
      <c r="DS274" s="116"/>
      <c r="DT274" s="116"/>
      <c r="DU274" s="116"/>
      <c r="DV274" s="116"/>
      <c r="DW274" s="116"/>
      <c r="DX274" s="116"/>
      <c r="DY274" s="116"/>
      <c r="DZ274" s="116"/>
      <c r="EA274" s="116"/>
      <c r="EB274" s="116"/>
      <c r="EC274" s="116"/>
      <c r="ED274" s="116"/>
      <c r="EE274" s="116"/>
      <c r="EF274" s="116"/>
      <c r="EG274" s="116"/>
      <c r="EH274" s="116"/>
      <c r="EI274" s="116"/>
      <c r="EJ274" s="116"/>
      <c r="EK274" s="116"/>
      <c r="EL274" s="116"/>
      <c r="EM274" s="116"/>
      <c r="EN274" s="116"/>
      <c r="EO274" s="116"/>
      <c r="EP274" s="116"/>
      <c r="EQ274" s="116"/>
      <c r="ER274" s="116"/>
      <c r="ES274" s="116"/>
      <c r="ET274" s="116"/>
      <c r="EU274" s="116"/>
      <c r="EV274" s="116"/>
      <c r="EW274" s="116"/>
      <c r="EX274" s="116"/>
      <c r="EY274" s="116"/>
      <c r="EZ274" s="116"/>
      <c r="FA274" s="116"/>
      <c r="FB274" s="116"/>
      <c r="FC274" s="116"/>
      <c r="FD274" s="116"/>
      <c r="FE274" s="116"/>
      <c r="FF274" s="116"/>
      <c r="FG274" s="116"/>
      <c r="FH274" s="116"/>
      <c r="FI274" s="116"/>
      <c r="FJ274" s="116"/>
      <c r="FK274" s="116"/>
      <c r="FL274" s="116"/>
      <c r="FM274" s="116"/>
      <c r="FN274" s="116"/>
      <c r="FO274" s="116"/>
      <c r="FP274" s="116"/>
      <c r="FQ274" s="116"/>
      <c r="FR274" s="116"/>
      <c r="FS274" s="116"/>
      <c r="FT274" s="116"/>
      <c r="FU274" s="116"/>
      <c r="FV274" s="116"/>
      <c r="FW274" s="116"/>
      <c r="FX274" s="116"/>
      <c r="FY274" s="116"/>
      <c r="FZ274" s="116"/>
      <c r="GA274" s="116"/>
      <c r="GB274" s="116"/>
      <c r="GC274" s="116"/>
      <c r="GD274" s="116"/>
      <c r="GE274" s="116"/>
      <c r="GF274" s="116"/>
      <c r="GG274" s="116"/>
      <c r="GH274" s="116"/>
    </row>
    <row r="275" spans="2:190" ht="12.75">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c r="BR275" s="116"/>
      <c r="BS275" s="116"/>
      <c r="BT275" s="116"/>
      <c r="BU275" s="116"/>
      <c r="BV275" s="116"/>
      <c r="BW275" s="116"/>
      <c r="BX275" s="116"/>
      <c r="BY275" s="116"/>
      <c r="BZ275" s="116"/>
      <c r="CA275" s="116"/>
      <c r="CB275" s="116"/>
      <c r="CC275" s="116"/>
      <c r="CD275" s="116"/>
      <c r="CE275" s="116"/>
      <c r="CF275" s="116"/>
      <c r="CG275" s="116"/>
      <c r="CH275" s="116"/>
      <c r="CI275" s="116"/>
      <c r="CJ275" s="116"/>
      <c r="CK275" s="116"/>
      <c r="CL275" s="116"/>
      <c r="CM275" s="116"/>
      <c r="CN275" s="116"/>
      <c r="CO275" s="116"/>
      <c r="CP275" s="116"/>
      <c r="CQ275" s="116"/>
      <c r="CR275" s="116"/>
      <c r="CS275" s="116"/>
      <c r="CT275" s="116"/>
      <c r="CU275" s="116"/>
      <c r="CV275" s="116"/>
      <c r="CW275" s="116"/>
      <c r="CX275" s="116"/>
      <c r="CY275" s="116"/>
      <c r="CZ275" s="116"/>
      <c r="DA275" s="116"/>
      <c r="DB275" s="116"/>
      <c r="DC275" s="116"/>
      <c r="DD275" s="116"/>
      <c r="DE275" s="116"/>
      <c r="DF275" s="116"/>
      <c r="DG275" s="116"/>
      <c r="DH275" s="116"/>
      <c r="DI275" s="116"/>
      <c r="DJ275" s="116"/>
      <c r="DK275" s="116"/>
      <c r="DL275" s="116"/>
      <c r="DM275" s="116"/>
      <c r="DN275" s="116"/>
      <c r="DO275" s="116"/>
      <c r="DP275" s="116"/>
      <c r="DQ275" s="116"/>
      <c r="DR275" s="116"/>
      <c r="DS275" s="116"/>
      <c r="DT275" s="116"/>
      <c r="DU275" s="116"/>
      <c r="DV275" s="116"/>
      <c r="DW275" s="116"/>
      <c r="DX275" s="116"/>
      <c r="DY275" s="116"/>
      <c r="DZ275" s="116"/>
      <c r="EA275" s="116"/>
      <c r="EB275" s="116"/>
      <c r="EC275" s="116"/>
      <c r="ED275" s="116"/>
      <c r="EE275" s="116"/>
      <c r="EF275" s="116"/>
      <c r="EG275" s="116"/>
      <c r="EH275" s="116"/>
      <c r="EI275" s="116"/>
      <c r="EJ275" s="116"/>
      <c r="EK275" s="116"/>
      <c r="EL275" s="116"/>
      <c r="EM275" s="116"/>
      <c r="EN275" s="116"/>
      <c r="EO275" s="116"/>
      <c r="EP275" s="116"/>
      <c r="EQ275" s="116"/>
      <c r="ER275" s="116"/>
      <c r="ES275" s="116"/>
      <c r="ET275" s="116"/>
      <c r="EU275" s="116"/>
      <c r="EV275" s="116"/>
      <c r="EW275" s="116"/>
      <c r="EX275" s="116"/>
      <c r="EY275" s="116"/>
      <c r="EZ275" s="116"/>
      <c r="FA275" s="116"/>
      <c r="FB275" s="116"/>
      <c r="FC275" s="116"/>
      <c r="FD275" s="116"/>
      <c r="FE275" s="116"/>
      <c r="FF275" s="116"/>
      <c r="FG275" s="116"/>
      <c r="FH275" s="116"/>
      <c r="FI275" s="116"/>
      <c r="FJ275" s="116"/>
      <c r="FK275" s="116"/>
      <c r="FL275" s="116"/>
      <c r="FM275" s="116"/>
      <c r="FN275" s="116"/>
      <c r="FO275" s="116"/>
      <c r="FP275" s="116"/>
      <c r="FQ275" s="116"/>
      <c r="FR275" s="116"/>
      <c r="FS275" s="116"/>
      <c r="FT275" s="116"/>
      <c r="FU275" s="116"/>
      <c r="FV275" s="116"/>
      <c r="FW275" s="116"/>
      <c r="FX275" s="116"/>
      <c r="FY275" s="116"/>
      <c r="FZ275" s="116"/>
      <c r="GA275" s="116"/>
      <c r="GB275" s="116"/>
      <c r="GC275" s="116"/>
      <c r="GD275" s="116"/>
      <c r="GE275" s="116"/>
      <c r="GF275" s="116"/>
      <c r="GG275" s="116"/>
      <c r="GH275" s="116"/>
    </row>
    <row r="276" spans="2:190" ht="12.75">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c r="BR276" s="116"/>
      <c r="BS276" s="116"/>
      <c r="BT276" s="116"/>
      <c r="BU276" s="116"/>
      <c r="BV276" s="116"/>
      <c r="BW276" s="116"/>
      <c r="BX276" s="116"/>
      <c r="BY276" s="116"/>
      <c r="BZ276" s="116"/>
      <c r="CA276" s="116"/>
      <c r="CB276" s="116"/>
      <c r="CC276" s="116"/>
      <c r="CD276" s="116"/>
      <c r="CE276" s="116"/>
      <c r="CF276" s="116"/>
      <c r="CG276" s="116"/>
      <c r="CH276" s="116"/>
      <c r="CI276" s="116"/>
      <c r="CJ276" s="116"/>
      <c r="CK276" s="116"/>
      <c r="CL276" s="116"/>
      <c r="CM276" s="116"/>
      <c r="CN276" s="116"/>
      <c r="CO276" s="116"/>
      <c r="CP276" s="116"/>
      <c r="CQ276" s="116"/>
      <c r="CR276" s="116"/>
      <c r="CS276" s="116"/>
      <c r="CT276" s="116"/>
      <c r="CU276" s="116"/>
      <c r="CV276" s="116"/>
      <c r="CW276" s="116"/>
      <c r="CX276" s="116"/>
      <c r="CY276" s="116"/>
      <c r="CZ276" s="116"/>
      <c r="DA276" s="116"/>
      <c r="DB276" s="116"/>
      <c r="DC276" s="116"/>
      <c r="DD276" s="116"/>
      <c r="DE276" s="116"/>
      <c r="DF276" s="116"/>
      <c r="DG276" s="116"/>
      <c r="DH276" s="116"/>
      <c r="DI276" s="116"/>
      <c r="DJ276" s="116"/>
      <c r="DK276" s="116"/>
      <c r="DL276" s="116"/>
      <c r="DM276" s="116"/>
      <c r="DN276" s="116"/>
      <c r="DO276" s="116"/>
      <c r="DP276" s="116"/>
      <c r="DQ276" s="116"/>
      <c r="DR276" s="116"/>
      <c r="DS276" s="116"/>
      <c r="DT276" s="116"/>
      <c r="DU276" s="116"/>
      <c r="DV276" s="116"/>
      <c r="DW276" s="116"/>
      <c r="DX276" s="116"/>
      <c r="DY276" s="116"/>
      <c r="DZ276" s="116"/>
      <c r="EA276" s="116"/>
      <c r="EB276" s="116"/>
      <c r="EC276" s="116"/>
      <c r="ED276" s="116"/>
      <c r="EE276" s="116"/>
      <c r="EF276" s="116"/>
      <c r="EG276" s="116"/>
      <c r="EH276" s="116"/>
      <c r="EI276" s="116"/>
      <c r="EJ276" s="116"/>
      <c r="EK276" s="116"/>
      <c r="EL276" s="116"/>
      <c r="EM276" s="116"/>
      <c r="EN276" s="116"/>
      <c r="EO276" s="116"/>
      <c r="EP276" s="116"/>
      <c r="EQ276" s="116"/>
      <c r="ER276" s="116"/>
      <c r="ES276" s="116"/>
      <c r="ET276" s="116"/>
      <c r="EU276" s="116"/>
      <c r="EV276" s="116"/>
      <c r="EW276" s="116"/>
      <c r="EX276" s="116"/>
      <c r="EY276" s="116"/>
      <c r="EZ276" s="116"/>
      <c r="FA276" s="116"/>
      <c r="FB276" s="116"/>
      <c r="FC276" s="116"/>
      <c r="FD276" s="116"/>
      <c r="FE276" s="116"/>
      <c r="FF276" s="116"/>
      <c r="FG276" s="116"/>
      <c r="FH276" s="116"/>
      <c r="FI276" s="116"/>
      <c r="FJ276" s="116"/>
      <c r="FK276" s="116"/>
      <c r="FL276" s="116"/>
      <c r="FM276" s="116"/>
      <c r="FN276" s="116"/>
      <c r="FO276" s="116"/>
      <c r="FP276" s="116"/>
      <c r="FQ276" s="116"/>
      <c r="FR276" s="116"/>
      <c r="FS276" s="116"/>
      <c r="FT276" s="116"/>
      <c r="FU276" s="116"/>
      <c r="FV276" s="116"/>
      <c r="FW276" s="116"/>
      <c r="FX276" s="116"/>
      <c r="FY276" s="116"/>
      <c r="FZ276" s="116"/>
      <c r="GA276" s="116"/>
      <c r="GB276" s="116"/>
      <c r="GC276" s="116"/>
      <c r="GD276" s="116"/>
      <c r="GE276" s="116"/>
      <c r="GF276" s="116"/>
      <c r="GG276" s="116"/>
      <c r="GH276" s="116"/>
    </row>
    <row r="277" spans="2:190" ht="12.75">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c r="BR277" s="116"/>
      <c r="BS277" s="116"/>
      <c r="BT277" s="116"/>
      <c r="BU277" s="116"/>
      <c r="BV277" s="116"/>
      <c r="BW277" s="116"/>
      <c r="BX277" s="116"/>
      <c r="BY277" s="116"/>
      <c r="BZ277" s="116"/>
      <c r="CA277" s="116"/>
      <c r="CB277" s="116"/>
      <c r="CC277" s="116"/>
      <c r="CD277" s="116"/>
      <c r="CE277" s="116"/>
      <c r="CF277" s="116"/>
      <c r="CG277" s="116"/>
      <c r="CH277" s="116"/>
      <c r="CI277" s="116"/>
      <c r="CJ277" s="116"/>
      <c r="CK277" s="116"/>
      <c r="CL277" s="116"/>
      <c r="CM277" s="116"/>
      <c r="CN277" s="116"/>
      <c r="CO277" s="116"/>
      <c r="CP277" s="116"/>
      <c r="CQ277" s="116"/>
      <c r="CR277" s="116"/>
      <c r="CS277" s="116"/>
      <c r="CT277" s="116"/>
      <c r="CU277" s="116"/>
      <c r="CV277" s="116"/>
      <c r="CW277" s="116"/>
      <c r="CX277" s="116"/>
      <c r="CY277" s="116"/>
      <c r="CZ277" s="116"/>
      <c r="DA277" s="116"/>
      <c r="DB277" s="116"/>
      <c r="DC277" s="116"/>
      <c r="DD277" s="116"/>
      <c r="DE277" s="116"/>
      <c r="DF277" s="116"/>
      <c r="DG277" s="116"/>
      <c r="DH277" s="116"/>
      <c r="DI277" s="116"/>
      <c r="DJ277" s="116"/>
      <c r="DK277" s="116"/>
      <c r="DL277" s="116"/>
      <c r="DM277" s="116"/>
      <c r="DN277" s="116"/>
      <c r="DO277" s="116"/>
      <c r="DP277" s="116"/>
      <c r="DQ277" s="116"/>
      <c r="DR277" s="116"/>
      <c r="DS277" s="116"/>
      <c r="DT277" s="116"/>
      <c r="DU277" s="116"/>
      <c r="DV277" s="116"/>
      <c r="DW277" s="116"/>
      <c r="DX277" s="116"/>
      <c r="DY277" s="116"/>
      <c r="DZ277" s="116"/>
      <c r="EA277" s="116"/>
      <c r="EB277" s="116"/>
      <c r="EC277" s="116"/>
      <c r="ED277" s="116"/>
      <c r="EE277" s="116"/>
      <c r="EF277" s="116"/>
      <c r="EG277" s="116"/>
      <c r="EH277" s="116"/>
      <c r="EI277" s="116"/>
      <c r="EJ277" s="116"/>
      <c r="EK277" s="116"/>
      <c r="EL277" s="116"/>
      <c r="EM277" s="116"/>
      <c r="EN277" s="116"/>
      <c r="EO277" s="116"/>
      <c r="EP277" s="116"/>
      <c r="EQ277" s="116"/>
      <c r="ER277" s="116"/>
      <c r="ES277" s="116"/>
      <c r="ET277" s="116"/>
      <c r="EU277" s="116"/>
      <c r="EV277" s="116"/>
      <c r="EW277" s="116"/>
      <c r="EX277" s="116"/>
      <c r="EY277" s="116"/>
      <c r="EZ277" s="116"/>
      <c r="FA277" s="116"/>
      <c r="FB277" s="116"/>
      <c r="FC277" s="116"/>
      <c r="FD277" s="116"/>
      <c r="FE277" s="116"/>
      <c r="FF277" s="116"/>
      <c r="FG277" s="116"/>
      <c r="FH277" s="116"/>
      <c r="FI277" s="116"/>
      <c r="FJ277" s="116"/>
      <c r="FK277" s="116"/>
      <c r="FL277" s="116"/>
      <c r="FM277" s="116"/>
      <c r="FN277" s="116"/>
      <c r="FO277" s="116"/>
      <c r="FP277" s="116"/>
      <c r="FQ277" s="116"/>
      <c r="FR277" s="116"/>
      <c r="FS277" s="116"/>
      <c r="FT277" s="116"/>
      <c r="FU277" s="116"/>
      <c r="FV277" s="116"/>
      <c r="FW277" s="116"/>
      <c r="FX277" s="116"/>
      <c r="FY277" s="116"/>
      <c r="FZ277" s="116"/>
      <c r="GA277" s="116"/>
      <c r="GB277" s="116"/>
      <c r="GC277" s="116"/>
      <c r="GD277" s="116"/>
      <c r="GE277" s="116"/>
      <c r="GF277" s="116"/>
      <c r="GG277" s="116"/>
      <c r="GH277" s="116"/>
    </row>
    <row r="278" spans="2:190" ht="12.75">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c r="BR278" s="116"/>
      <c r="BS278" s="116"/>
      <c r="BT278" s="116"/>
      <c r="BU278" s="116"/>
      <c r="BV278" s="116"/>
      <c r="BW278" s="116"/>
      <c r="BX278" s="116"/>
      <c r="BY278" s="116"/>
      <c r="BZ278" s="116"/>
      <c r="CA278" s="116"/>
      <c r="CB278" s="116"/>
      <c r="CC278" s="116"/>
      <c r="CD278" s="116"/>
      <c r="CE278" s="116"/>
      <c r="CF278" s="116"/>
      <c r="CG278" s="116"/>
      <c r="CH278" s="116"/>
      <c r="CI278" s="116"/>
      <c r="CJ278" s="116"/>
      <c r="CK278" s="116"/>
      <c r="CL278" s="116"/>
      <c r="CM278" s="116"/>
      <c r="CN278" s="116"/>
      <c r="CO278" s="116"/>
      <c r="CP278" s="116"/>
      <c r="CQ278" s="116"/>
      <c r="CR278" s="116"/>
      <c r="CS278" s="116"/>
      <c r="CT278" s="116"/>
      <c r="CU278" s="116"/>
      <c r="CV278" s="116"/>
      <c r="CW278" s="116"/>
      <c r="CX278" s="116"/>
      <c r="CY278" s="116"/>
      <c r="CZ278" s="116"/>
      <c r="DA278" s="116"/>
      <c r="DB278" s="116"/>
      <c r="DC278" s="116"/>
      <c r="DD278" s="116"/>
      <c r="DE278" s="116"/>
      <c r="DF278" s="116"/>
      <c r="DG278" s="116"/>
      <c r="DH278" s="116"/>
      <c r="DI278" s="116"/>
      <c r="DJ278" s="116"/>
      <c r="DK278" s="116"/>
      <c r="DL278" s="116"/>
      <c r="DM278" s="116"/>
      <c r="DN278" s="116"/>
      <c r="DO278" s="116"/>
      <c r="DP278" s="116"/>
      <c r="DQ278" s="116"/>
      <c r="DR278" s="116"/>
      <c r="DS278" s="116"/>
      <c r="DT278" s="116"/>
      <c r="DU278" s="116"/>
      <c r="DV278" s="116"/>
      <c r="DW278" s="116"/>
      <c r="DX278" s="116"/>
      <c r="DY278" s="116"/>
      <c r="DZ278" s="116"/>
      <c r="EA278" s="116"/>
      <c r="EB278" s="116"/>
      <c r="EC278" s="116"/>
      <c r="ED278" s="116"/>
      <c r="EE278" s="116"/>
      <c r="EF278" s="116"/>
      <c r="EG278" s="116"/>
      <c r="EH278" s="116"/>
      <c r="EI278" s="116"/>
      <c r="EJ278" s="116"/>
      <c r="EK278" s="116"/>
      <c r="EL278" s="116"/>
      <c r="EM278" s="116"/>
      <c r="EN278" s="116"/>
      <c r="EO278" s="116"/>
      <c r="EP278" s="116"/>
      <c r="EQ278" s="116"/>
      <c r="ER278" s="116"/>
      <c r="ES278" s="116"/>
      <c r="ET278" s="116"/>
      <c r="EU278" s="116"/>
      <c r="EV278" s="116"/>
      <c r="EW278" s="116"/>
      <c r="EX278" s="116"/>
      <c r="EY278" s="116"/>
      <c r="EZ278" s="116"/>
      <c r="FA278" s="116"/>
      <c r="FB278" s="116"/>
      <c r="FC278" s="116"/>
      <c r="FD278" s="116"/>
      <c r="FE278" s="116"/>
      <c r="FF278" s="116"/>
      <c r="FG278" s="116"/>
      <c r="FH278" s="116"/>
      <c r="FI278" s="116"/>
      <c r="FJ278" s="116"/>
      <c r="FK278" s="116"/>
      <c r="FL278" s="116"/>
      <c r="FM278" s="116"/>
      <c r="FN278" s="116"/>
      <c r="FO278" s="116"/>
      <c r="FP278" s="116"/>
      <c r="FQ278" s="116"/>
      <c r="FR278" s="116"/>
      <c r="FS278" s="116"/>
      <c r="FT278" s="116"/>
      <c r="FU278" s="116"/>
      <c r="FV278" s="116"/>
      <c r="FW278" s="116"/>
      <c r="FX278" s="116"/>
      <c r="FY278" s="116"/>
      <c r="FZ278" s="116"/>
      <c r="GA278" s="116"/>
      <c r="GB278" s="116"/>
      <c r="GC278" s="116"/>
      <c r="GD278" s="116"/>
      <c r="GE278" s="116"/>
      <c r="GF278" s="116"/>
      <c r="GG278" s="116"/>
      <c r="GH278" s="116"/>
    </row>
    <row r="279" spans="2:190" ht="12.75">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6"/>
      <c r="AL279" s="116"/>
      <c r="AM279" s="116"/>
      <c r="AN279" s="116"/>
      <c r="AO279" s="116"/>
      <c r="AP279" s="116"/>
      <c r="AQ279" s="116"/>
      <c r="AR279" s="116"/>
      <c r="AS279" s="116"/>
      <c r="AT279" s="116"/>
      <c r="AU279" s="116"/>
      <c r="AV279" s="116"/>
      <c r="AW279" s="116"/>
      <c r="AX279" s="116"/>
      <c r="AY279" s="116"/>
      <c r="AZ279" s="116"/>
      <c r="BA279" s="116"/>
      <c r="BB279" s="116"/>
      <c r="BC279" s="116"/>
      <c r="BD279" s="116"/>
      <c r="BE279" s="116"/>
      <c r="BF279" s="116"/>
      <c r="BG279" s="116"/>
      <c r="BH279" s="116"/>
      <c r="BI279" s="116"/>
      <c r="BJ279" s="116"/>
      <c r="BK279" s="116"/>
      <c r="BL279" s="116"/>
      <c r="BM279" s="116"/>
      <c r="BN279" s="116"/>
      <c r="BO279" s="116"/>
      <c r="BP279" s="116"/>
      <c r="BQ279" s="116"/>
      <c r="BR279" s="116"/>
      <c r="BS279" s="116"/>
      <c r="BT279" s="116"/>
      <c r="BU279" s="116"/>
      <c r="BV279" s="116"/>
      <c r="BW279" s="116"/>
      <c r="BX279" s="116"/>
      <c r="BY279" s="116"/>
      <c r="BZ279" s="116"/>
      <c r="CA279" s="116"/>
      <c r="CB279" s="116"/>
      <c r="CC279" s="116"/>
      <c r="CD279" s="116"/>
      <c r="CE279" s="116"/>
      <c r="CF279" s="116"/>
      <c r="CG279" s="116"/>
      <c r="CH279" s="116"/>
      <c r="CI279" s="116"/>
      <c r="CJ279" s="116"/>
      <c r="CK279" s="116"/>
      <c r="CL279" s="116"/>
      <c r="CM279" s="116"/>
      <c r="CN279" s="116"/>
      <c r="CO279" s="116"/>
      <c r="CP279" s="116"/>
      <c r="CQ279" s="116"/>
      <c r="CR279" s="116"/>
      <c r="CS279" s="116"/>
      <c r="CT279" s="116"/>
      <c r="CU279" s="116"/>
      <c r="CV279" s="116"/>
      <c r="CW279" s="116"/>
      <c r="CX279" s="116"/>
      <c r="CY279" s="116"/>
      <c r="CZ279" s="116"/>
      <c r="DA279" s="116"/>
      <c r="DB279" s="116"/>
      <c r="DC279" s="116"/>
      <c r="DD279" s="116"/>
      <c r="DE279" s="116"/>
      <c r="DF279" s="116"/>
      <c r="DG279" s="116"/>
      <c r="DH279" s="116"/>
      <c r="DI279" s="116"/>
      <c r="DJ279" s="116"/>
      <c r="DK279" s="116"/>
      <c r="DL279" s="116"/>
      <c r="DM279" s="116"/>
      <c r="DN279" s="116"/>
      <c r="DO279" s="116"/>
      <c r="DP279" s="116"/>
      <c r="DQ279" s="116"/>
      <c r="DR279" s="116"/>
      <c r="DS279" s="116"/>
      <c r="DT279" s="116"/>
      <c r="DU279" s="116"/>
      <c r="DV279" s="116"/>
      <c r="DW279" s="116"/>
      <c r="DX279" s="116"/>
      <c r="DY279" s="116"/>
      <c r="DZ279" s="116"/>
      <c r="EA279" s="116"/>
      <c r="EB279" s="116"/>
      <c r="EC279" s="116"/>
      <c r="ED279" s="116"/>
      <c r="EE279" s="116"/>
      <c r="EF279" s="116"/>
      <c r="EG279" s="116"/>
      <c r="EH279" s="116"/>
      <c r="EI279" s="116"/>
      <c r="EJ279" s="116"/>
      <c r="EK279" s="116"/>
      <c r="EL279" s="116"/>
      <c r="EM279" s="116"/>
      <c r="EN279" s="116"/>
      <c r="EO279" s="116"/>
      <c r="EP279" s="116"/>
      <c r="EQ279" s="116"/>
      <c r="ER279" s="116"/>
      <c r="ES279" s="116"/>
      <c r="ET279" s="116"/>
      <c r="EU279" s="116"/>
      <c r="EV279" s="116"/>
      <c r="EW279" s="116"/>
      <c r="EX279" s="116"/>
      <c r="EY279" s="116"/>
      <c r="EZ279" s="116"/>
      <c r="FA279" s="116"/>
      <c r="FB279" s="116"/>
      <c r="FC279" s="116"/>
      <c r="FD279" s="116"/>
      <c r="FE279" s="116"/>
      <c r="FF279" s="116"/>
      <c r="FG279" s="116"/>
      <c r="FH279" s="116"/>
      <c r="FI279" s="116"/>
      <c r="FJ279" s="116"/>
      <c r="FK279" s="116"/>
      <c r="FL279" s="116"/>
      <c r="FM279" s="116"/>
      <c r="FN279" s="116"/>
      <c r="FO279" s="116"/>
      <c r="FP279" s="116"/>
      <c r="FQ279" s="116"/>
      <c r="FR279" s="116"/>
      <c r="FS279" s="116"/>
      <c r="FT279" s="116"/>
      <c r="FU279" s="116"/>
      <c r="FV279" s="116"/>
      <c r="FW279" s="116"/>
      <c r="FX279" s="116"/>
      <c r="FY279" s="116"/>
      <c r="FZ279" s="116"/>
      <c r="GA279" s="116"/>
      <c r="GB279" s="116"/>
      <c r="GC279" s="116"/>
      <c r="GD279" s="116"/>
      <c r="GE279" s="116"/>
      <c r="GF279" s="116"/>
      <c r="GG279" s="116"/>
      <c r="GH279" s="116"/>
    </row>
    <row r="280" spans="2:190" ht="12.75">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c r="BJ280" s="116"/>
      <c r="BK280" s="116"/>
      <c r="BL280" s="116"/>
      <c r="BM280" s="116"/>
      <c r="BN280" s="116"/>
      <c r="BO280" s="116"/>
      <c r="BP280" s="116"/>
      <c r="BQ280" s="116"/>
      <c r="BR280" s="116"/>
      <c r="BS280" s="116"/>
      <c r="BT280" s="116"/>
      <c r="BU280" s="116"/>
      <c r="BV280" s="116"/>
      <c r="BW280" s="116"/>
      <c r="BX280" s="116"/>
      <c r="BY280" s="116"/>
      <c r="BZ280" s="116"/>
      <c r="CA280" s="116"/>
      <c r="CB280" s="116"/>
      <c r="CC280" s="116"/>
      <c r="CD280" s="116"/>
      <c r="CE280" s="116"/>
      <c r="CF280" s="116"/>
      <c r="CG280" s="116"/>
      <c r="CH280" s="116"/>
      <c r="CI280" s="116"/>
      <c r="CJ280" s="116"/>
      <c r="CK280" s="116"/>
      <c r="CL280" s="116"/>
      <c r="CM280" s="116"/>
      <c r="CN280" s="116"/>
      <c r="CO280" s="116"/>
      <c r="CP280" s="116"/>
      <c r="CQ280" s="116"/>
      <c r="CR280" s="116"/>
      <c r="CS280" s="116"/>
      <c r="CT280" s="116"/>
      <c r="CU280" s="116"/>
      <c r="CV280" s="116"/>
      <c r="CW280" s="116"/>
      <c r="CX280" s="116"/>
      <c r="CY280" s="116"/>
      <c r="CZ280" s="116"/>
      <c r="DA280" s="116"/>
      <c r="DB280" s="116"/>
      <c r="DC280" s="116"/>
      <c r="DD280" s="116"/>
      <c r="DE280" s="116"/>
      <c r="DF280" s="116"/>
      <c r="DG280" s="116"/>
      <c r="DH280" s="116"/>
      <c r="DI280" s="116"/>
      <c r="DJ280" s="116"/>
      <c r="DK280" s="116"/>
      <c r="DL280" s="116"/>
      <c r="DM280" s="116"/>
      <c r="DN280" s="116"/>
      <c r="DO280" s="116"/>
      <c r="DP280" s="116"/>
      <c r="DQ280" s="116"/>
      <c r="DR280" s="116"/>
      <c r="DS280" s="116"/>
      <c r="DT280" s="116"/>
      <c r="DU280" s="116"/>
      <c r="DV280" s="116"/>
      <c r="DW280" s="116"/>
      <c r="DX280" s="116"/>
      <c r="DY280" s="116"/>
      <c r="DZ280" s="116"/>
      <c r="EA280" s="116"/>
      <c r="EB280" s="116"/>
      <c r="EC280" s="116"/>
      <c r="ED280" s="116"/>
      <c r="EE280" s="116"/>
      <c r="EF280" s="116"/>
      <c r="EG280" s="116"/>
      <c r="EH280" s="116"/>
      <c r="EI280" s="116"/>
      <c r="EJ280" s="116"/>
      <c r="EK280" s="116"/>
      <c r="EL280" s="116"/>
      <c r="EM280" s="116"/>
      <c r="EN280" s="116"/>
      <c r="EO280" s="116"/>
      <c r="EP280" s="116"/>
      <c r="EQ280" s="116"/>
      <c r="ER280" s="116"/>
      <c r="ES280" s="116"/>
      <c r="ET280" s="116"/>
      <c r="EU280" s="116"/>
      <c r="EV280" s="116"/>
      <c r="EW280" s="116"/>
      <c r="EX280" s="116"/>
      <c r="EY280" s="116"/>
      <c r="EZ280" s="116"/>
      <c r="FA280" s="116"/>
      <c r="FB280" s="116"/>
      <c r="FC280" s="116"/>
      <c r="FD280" s="116"/>
      <c r="FE280" s="116"/>
      <c r="FF280" s="116"/>
      <c r="FG280" s="116"/>
      <c r="FH280" s="116"/>
      <c r="FI280" s="116"/>
      <c r="FJ280" s="116"/>
      <c r="FK280" s="116"/>
      <c r="FL280" s="116"/>
      <c r="FM280" s="116"/>
      <c r="FN280" s="116"/>
      <c r="FO280" s="116"/>
      <c r="FP280" s="116"/>
      <c r="FQ280" s="116"/>
      <c r="FR280" s="116"/>
      <c r="FS280" s="116"/>
      <c r="FT280" s="116"/>
      <c r="FU280" s="116"/>
      <c r="FV280" s="116"/>
      <c r="FW280" s="116"/>
      <c r="FX280" s="116"/>
      <c r="FY280" s="116"/>
      <c r="FZ280" s="116"/>
      <c r="GA280" s="116"/>
      <c r="GB280" s="116"/>
      <c r="GC280" s="116"/>
      <c r="GD280" s="116"/>
      <c r="GE280" s="116"/>
      <c r="GF280" s="116"/>
      <c r="GG280" s="116"/>
      <c r="GH280" s="116"/>
    </row>
    <row r="281" spans="2:190" ht="12.75">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c r="BR281" s="116"/>
      <c r="BS281" s="116"/>
      <c r="BT281" s="116"/>
      <c r="BU281" s="116"/>
      <c r="BV281" s="116"/>
      <c r="BW281" s="116"/>
      <c r="BX281" s="116"/>
      <c r="BY281" s="116"/>
      <c r="BZ281" s="116"/>
      <c r="CA281" s="116"/>
      <c r="CB281" s="116"/>
      <c r="CC281" s="116"/>
      <c r="CD281" s="116"/>
      <c r="CE281" s="116"/>
      <c r="CF281" s="116"/>
      <c r="CG281" s="116"/>
      <c r="CH281" s="116"/>
      <c r="CI281" s="116"/>
      <c r="CJ281" s="116"/>
      <c r="CK281" s="116"/>
      <c r="CL281" s="116"/>
      <c r="CM281" s="116"/>
      <c r="CN281" s="116"/>
      <c r="CO281" s="116"/>
      <c r="CP281" s="116"/>
      <c r="CQ281" s="116"/>
      <c r="CR281" s="116"/>
      <c r="CS281" s="116"/>
      <c r="CT281" s="116"/>
      <c r="CU281" s="116"/>
      <c r="CV281" s="116"/>
      <c r="CW281" s="116"/>
      <c r="CX281" s="116"/>
      <c r="CY281" s="116"/>
      <c r="CZ281" s="116"/>
      <c r="DA281" s="116"/>
      <c r="DB281" s="116"/>
      <c r="DC281" s="116"/>
      <c r="DD281" s="116"/>
      <c r="DE281" s="116"/>
      <c r="DF281" s="116"/>
      <c r="DG281" s="116"/>
      <c r="DH281" s="116"/>
      <c r="DI281" s="116"/>
      <c r="DJ281" s="116"/>
      <c r="DK281" s="116"/>
      <c r="DL281" s="116"/>
      <c r="DM281" s="116"/>
      <c r="DN281" s="116"/>
      <c r="DO281" s="116"/>
      <c r="DP281" s="116"/>
      <c r="DQ281" s="116"/>
      <c r="DR281" s="116"/>
      <c r="DS281" s="116"/>
      <c r="DT281" s="116"/>
      <c r="DU281" s="116"/>
      <c r="DV281" s="116"/>
      <c r="DW281" s="116"/>
      <c r="DX281" s="116"/>
      <c r="DY281" s="116"/>
      <c r="DZ281" s="116"/>
      <c r="EA281" s="116"/>
      <c r="EB281" s="116"/>
      <c r="EC281" s="116"/>
      <c r="ED281" s="116"/>
      <c r="EE281" s="116"/>
      <c r="EF281" s="116"/>
      <c r="EG281" s="116"/>
      <c r="EH281" s="116"/>
      <c r="EI281" s="116"/>
      <c r="EJ281" s="116"/>
      <c r="EK281" s="116"/>
      <c r="EL281" s="116"/>
      <c r="EM281" s="116"/>
      <c r="EN281" s="116"/>
      <c r="EO281" s="116"/>
      <c r="EP281" s="116"/>
      <c r="EQ281" s="116"/>
      <c r="ER281" s="116"/>
      <c r="ES281" s="116"/>
      <c r="ET281" s="116"/>
      <c r="EU281" s="116"/>
      <c r="EV281" s="116"/>
      <c r="EW281" s="116"/>
      <c r="EX281" s="116"/>
      <c r="EY281" s="116"/>
      <c r="EZ281" s="116"/>
      <c r="FA281" s="116"/>
      <c r="FB281" s="116"/>
      <c r="FC281" s="116"/>
      <c r="FD281" s="116"/>
      <c r="FE281" s="116"/>
      <c r="FF281" s="116"/>
      <c r="FG281" s="116"/>
      <c r="FH281" s="116"/>
      <c r="FI281" s="116"/>
      <c r="FJ281" s="116"/>
      <c r="FK281" s="116"/>
      <c r="FL281" s="116"/>
      <c r="FM281" s="116"/>
      <c r="FN281" s="116"/>
      <c r="FO281" s="116"/>
      <c r="FP281" s="116"/>
      <c r="FQ281" s="116"/>
      <c r="FR281" s="116"/>
      <c r="FS281" s="116"/>
      <c r="FT281" s="116"/>
      <c r="FU281" s="116"/>
      <c r="FV281" s="116"/>
      <c r="FW281" s="116"/>
      <c r="FX281" s="116"/>
      <c r="FY281" s="116"/>
      <c r="FZ281" s="116"/>
      <c r="GA281" s="116"/>
      <c r="GB281" s="116"/>
      <c r="GC281" s="116"/>
      <c r="GD281" s="116"/>
      <c r="GE281" s="116"/>
      <c r="GF281" s="116"/>
      <c r="GG281" s="116"/>
      <c r="GH281" s="116"/>
    </row>
    <row r="282" spans="2:190" ht="12.75">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c r="BR282" s="116"/>
      <c r="BS282" s="116"/>
      <c r="BT282" s="116"/>
      <c r="BU282" s="116"/>
      <c r="BV282" s="116"/>
      <c r="BW282" s="116"/>
      <c r="BX282" s="116"/>
      <c r="BY282" s="116"/>
      <c r="BZ282" s="116"/>
      <c r="CA282" s="116"/>
      <c r="CB282" s="116"/>
      <c r="CC282" s="116"/>
      <c r="CD282" s="116"/>
      <c r="CE282" s="116"/>
      <c r="CF282" s="116"/>
      <c r="CG282" s="116"/>
      <c r="CH282" s="116"/>
      <c r="CI282" s="116"/>
      <c r="CJ282" s="116"/>
      <c r="CK282" s="116"/>
      <c r="CL282" s="116"/>
      <c r="CM282" s="116"/>
      <c r="CN282" s="116"/>
      <c r="CO282" s="116"/>
      <c r="CP282" s="116"/>
      <c r="CQ282" s="116"/>
      <c r="CR282" s="116"/>
      <c r="CS282" s="116"/>
      <c r="CT282" s="116"/>
      <c r="CU282" s="116"/>
      <c r="CV282" s="116"/>
      <c r="CW282" s="116"/>
      <c r="CX282" s="116"/>
      <c r="CY282" s="116"/>
      <c r="CZ282" s="116"/>
      <c r="DA282" s="116"/>
      <c r="DB282" s="116"/>
      <c r="DC282" s="116"/>
      <c r="DD282" s="116"/>
      <c r="DE282" s="116"/>
      <c r="DF282" s="116"/>
      <c r="DG282" s="116"/>
      <c r="DH282" s="116"/>
      <c r="DI282" s="116"/>
      <c r="DJ282" s="116"/>
      <c r="DK282" s="116"/>
      <c r="DL282" s="116"/>
      <c r="DM282" s="116"/>
      <c r="DN282" s="116"/>
      <c r="DO282" s="116"/>
      <c r="DP282" s="116"/>
      <c r="DQ282" s="116"/>
      <c r="DR282" s="116"/>
      <c r="DS282" s="116"/>
      <c r="DT282" s="116"/>
      <c r="DU282" s="116"/>
      <c r="DV282" s="116"/>
      <c r="DW282" s="116"/>
      <c r="DX282" s="116"/>
      <c r="DY282" s="116"/>
      <c r="DZ282" s="116"/>
      <c r="EA282" s="116"/>
      <c r="EB282" s="116"/>
      <c r="EC282" s="116"/>
      <c r="ED282" s="116"/>
      <c r="EE282" s="116"/>
      <c r="EF282" s="116"/>
      <c r="EG282" s="116"/>
      <c r="EH282" s="116"/>
      <c r="EI282" s="116"/>
      <c r="EJ282" s="116"/>
      <c r="EK282" s="116"/>
      <c r="EL282" s="116"/>
      <c r="EM282" s="116"/>
      <c r="EN282" s="116"/>
      <c r="EO282" s="116"/>
      <c r="EP282" s="116"/>
      <c r="EQ282" s="116"/>
      <c r="ER282" s="116"/>
      <c r="ES282" s="116"/>
      <c r="ET282" s="116"/>
      <c r="EU282" s="116"/>
      <c r="EV282" s="116"/>
      <c r="EW282" s="116"/>
      <c r="EX282" s="116"/>
      <c r="EY282" s="116"/>
      <c r="EZ282" s="116"/>
      <c r="FA282" s="116"/>
      <c r="FB282" s="116"/>
      <c r="FC282" s="116"/>
      <c r="FD282" s="116"/>
      <c r="FE282" s="116"/>
      <c r="FF282" s="116"/>
      <c r="FG282" s="116"/>
      <c r="FH282" s="116"/>
      <c r="FI282" s="116"/>
      <c r="FJ282" s="116"/>
      <c r="FK282" s="116"/>
      <c r="FL282" s="116"/>
      <c r="FM282" s="116"/>
      <c r="FN282" s="116"/>
      <c r="FO282" s="116"/>
      <c r="FP282" s="116"/>
      <c r="FQ282" s="116"/>
      <c r="FR282" s="116"/>
      <c r="FS282" s="116"/>
      <c r="FT282" s="116"/>
      <c r="FU282" s="116"/>
      <c r="FV282" s="116"/>
      <c r="FW282" s="116"/>
      <c r="FX282" s="116"/>
      <c r="FY282" s="116"/>
      <c r="FZ282" s="116"/>
      <c r="GA282" s="116"/>
      <c r="GB282" s="116"/>
      <c r="GC282" s="116"/>
      <c r="GD282" s="116"/>
      <c r="GE282" s="116"/>
      <c r="GF282" s="116"/>
      <c r="GG282" s="116"/>
      <c r="GH282" s="116"/>
    </row>
    <row r="283" spans="2:190" ht="12.75">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c r="BR283" s="116"/>
      <c r="BS283" s="116"/>
      <c r="BT283" s="116"/>
      <c r="BU283" s="116"/>
      <c r="BV283" s="116"/>
      <c r="BW283" s="116"/>
      <c r="BX283" s="116"/>
      <c r="BY283" s="116"/>
      <c r="BZ283" s="116"/>
      <c r="CA283" s="116"/>
      <c r="CB283" s="116"/>
      <c r="CC283" s="116"/>
      <c r="CD283" s="116"/>
      <c r="CE283" s="116"/>
      <c r="CF283" s="116"/>
      <c r="CG283" s="116"/>
      <c r="CH283" s="116"/>
      <c r="CI283" s="116"/>
      <c r="CJ283" s="116"/>
      <c r="CK283" s="116"/>
      <c r="CL283" s="116"/>
      <c r="CM283" s="116"/>
      <c r="CN283" s="116"/>
      <c r="CO283" s="116"/>
      <c r="CP283" s="116"/>
      <c r="CQ283" s="116"/>
      <c r="CR283" s="116"/>
      <c r="CS283" s="116"/>
      <c r="CT283" s="116"/>
      <c r="CU283" s="116"/>
      <c r="CV283" s="116"/>
      <c r="CW283" s="116"/>
      <c r="CX283" s="116"/>
      <c r="CY283" s="116"/>
      <c r="CZ283" s="116"/>
      <c r="DA283" s="116"/>
      <c r="DB283" s="116"/>
      <c r="DC283" s="116"/>
      <c r="DD283" s="116"/>
      <c r="DE283" s="116"/>
      <c r="DF283" s="116"/>
      <c r="DG283" s="116"/>
      <c r="DH283" s="116"/>
      <c r="DI283" s="116"/>
      <c r="DJ283" s="116"/>
      <c r="DK283" s="116"/>
      <c r="DL283" s="116"/>
      <c r="DM283" s="116"/>
      <c r="DN283" s="116"/>
      <c r="DO283" s="116"/>
      <c r="DP283" s="116"/>
      <c r="DQ283" s="116"/>
      <c r="DR283" s="116"/>
      <c r="DS283" s="116"/>
      <c r="DT283" s="116"/>
      <c r="DU283" s="116"/>
      <c r="DV283" s="116"/>
      <c r="DW283" s="116"/>
      <c r="DX283" s="116"/>
      <c r="DY283" s="116"/>
      <c r="DZ283" s="116"/>
      <c r="EA283" s="116"/>
      <c r="EB283" s="116"/>
      <c r="EC283" s="116"/>
      <c r="ED283" s="116"/>
      <c r="EE283" s="116"/>
      <c r="EF283" s="116"/>
      <c r="EG283" s="116"/>
      <c r="EH283" s="116"/>
      <c r="EI283" s="116"/>
      <c r="EJ283" s="116"/>
      <c r="EK283" s="116"/>
      <c r="EL283" s="116"/>
      <c r="EM283" s="116"/>
      <c r="EN283" s="116"/>
      <c r="EO283" s="116"/>
      <c r="EP283" s="116"/>
      <c r="EQ283" s="116"/>
      <c r="ER283" s="116"/>
      <c r="ES283" s="116"/>
      <c r="ET283" s="116"/>
      <c r="EU283" s="116"/>
      <c r="EV283" s="116"/>
      <c r="EW283" s="116"/>
      <c r="EX283" s="116"/>
      <c r="EY283" s="116"/>
      <c r="EZ283" s="116"/>
      <c r="FA283" s="116"/>
      <c r="FB283" s="116"/>
      <c r="FC283" s="116"/>
      <c r="FD283" s="116"/>
      <c r="FE283" s="116"/>
      <c r="FF283" s="116"/>
      <c r="FG283" s="116"/>
      <c r="FH283" s="116"/>
      <c r="FI283" s="116"/>
      <c r="FJ283" s="116"/>
      <c r="FK283" s="116"/>
      <c r="FL283" s="116"/>
      <c r="FM283" s="116"/>
      <c r="FN283" s="116"/>
      <c r="FO283" s="116"/>
      <c r="FP283" s="116"/>
      <c r="FQ283" s="116"/>
      <c r="FR283" s="116"/>
      <c r="FS283" s="116"/>
      <c r="FT283" s="116"/>
      <c r="FU283" s="116"/>
      <c r="FV283" s="116"/>
      <c r="FW283" s="116"/>
      <c r="FX283" s="116"/>
      <c r="FY283" s="116"/>
      <c r="FZ283" s="116"/>
      <c r="GA283" s="116"/>
      <c r="GB283" s="116"/>
      <c r="GC283" s="116"/>
      <c r="GD283" s="116"/>
      <c r="GE283" s="116"/>
      <c r="GF283" s="116"/>
      <c r="GG283" s="116"/>
      <c r="GH283" s="116"/>
    </row>
    <row r="284" spans="2:190" ht="12.75">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c r="BR284" s="116"/>
      <c r="BS284" s="116"/>
      <c r="BT284" s="116"/>
      <c r="BU284" s="116"/>
      <c r="BV284" s="116"/>
      <c r="BW284" s="116"/>
      <c r="BX284" s="116"/>
      <c r="BY284" s="116"/>
      <c r="BZ284" s="116"/>
      <c r="CA284" s="116"/>
      <c r="CB284" s="116"/>
      <c r="CC284" s="116"/>
      <c r="CD284" s="116"/>
      <c r="CE284" s="116"/>
      <c r="CF284" s="116"/>
      <c r="CG284" s="116"/>
      <c r="CH284" s="116"/>
      <c r="CI284" s="116"/>
      <c r="CJ284" s="116"/>
      <c r="CK284" s="116"/>
      <c r="CL284" s="116"/>
      <c r="CM284" s="116"/>
      <c r="CN284" s="116"/>
      <c r="CO284" s="116"/>
      <c r="CP284" s="116"/>
      <c r="CQ284" s="116"/>
      <c r="CR284" s="116"/>
      <c r="CS284" s="116"/>
      <c r="CT284" s="116"/>
      <c r="CU284" s="116"/>
      <c r="CV284" s="116"/>
      <c r="CW284" s="116"/>
      <c r="CX284" s="116"/>
      <c r="CY284" s="116"/>
      <c r="CZ284" s="116"/>
      <c r="DA284" s="116"/>
      <c r="DB284" s="116"/>
      <c r="DC284" s="116"/>
      <c r="DD284" s="116"/>
      <c r="DE284" s="116"/>
      <c r="DF284" s="116"/>
      <c r="DG284" s="116"/>
      <c r="DH284" s="116"/>
      <c r="DI284" s="116"/>
      <c r="DJ284" s="116"/>
      <c r="DK284" s="116"/>
      <c r="DL284" s="116"/>
      <c r="DM284" s="116"/>
      <c r="DN284" s="116"/>
      <c r="DO284" s="116"/>
      <c r="DP284" s="116"/>
      <c r="DQ284" s="116"/>
      <c r="DR284" s="116"/>
      <c r="DS284" s="116"/>
      <c r="DT284" s="116"/>
      <c r="DU284" s="116"/>
      <c r="DV284" s="116"/>
      <c r="DW284" s="116"/>
      <c r="DX284" s="116"/>
      <c r="DY284" s="116"/>
      <c r="DZ284" s="116"/>
      <c r="EA284" s="116"/>
      <c r="EB284" s="116"/>
      <c r="EC284" s="116"/>
      <c r="ED284" s="116"/>
      <c r="EE284" s="116"/>
      <c r="EF284" s="116"/>
      <c r="EG284" s="116"/>
      <c r="EH284" s="116"/>
      <c r="EI284" s="116"/>
      <c r="EJ284" s="116"/>
      <c r="EK284" s="116"/>
      <c r="EL284" s="116"/>
      <c r="EM284" s="116"/>
      <c r="EN284" s="116"/>
      <c r="EO284" s="116"/>
      <c r="EP284" s="116"/>
      <c r="EQ284" s="116"/>
      <c r="ER284" s="116"/>
      <c r="ES284" s="116"/>
      <c r="ET284" s="116"/>
      <c r="EU284" s="116"/>
      <c r="EV284" s="116"/>
      <c r="EW284" s="116"/>
      <c r="EX284" s="116"/>
      <c r="EY284" s="116"/>
      <c r="EZ284" s="116"/>
      <c r="FA284" s="116"/>
      <c r="FB284" s="116"/>
      <c r="FC284" s="116"/>
      <c r="FD284" s="116"/>
      <c r="FE284" s="116"/>
      <c r="FF284" s="116"/>
      <c r="FG284" s="116"/>
      <c r="FH284" s="116"/>
      <c r="FI284" s="116"/>
      <c r="FJ284" s="116"/>
      <c r="FK284" s="116"/>
      <c r="FL284" s="116"/>
      <c r="FM284" s="116"/>
      <c r="FN284" s="116"/>
      <c r="FO284" s="116"/>
      <c r="FP284" s="116"/>
      <c r="FQ284" s="116"/>
      <c r="FR284" s="116"/>
      <c r="FS284" s="116"/>
      <c r="FT284" s="116"/>
      <c r="FU284" s="116"/>
      <c r="FV284" s="116"/>
      <c r="FW284" s="116"/>
      <c r="FX284" s="116"/>
      <c r="FY284" s="116"/>
      <c r="FZ284" s="116"/>
      <c r="GA284" s="116"/>
      <c r="GB284" s="116"/>
      <c r="GC284" s="116"/>
      <c r="GD284" s="116"/>
      <c r="GE284" s="116"/>
      <c r="GF284" s="116"/>
      <c r="GG284" s="116"/>
      <c r="GH284" s="116"/>
    </row>
    <row r="285" spans="2:190" ht="12.75">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c r="BJ285" s="116"/>
      <c r="BK285" s="116"/>
      <c r="BL285" s="116"/>
      <c r="BM285" s="116"/>
      <c r="BN285" s="116"/>
      <c r="BO285" s="116"/>
      <c r="BP285" s="116"/>
      <c r="BQ285" s="116"/>
      <c r="BR285" s="116"/>
      <c r="BS285" s="116"/>
      <c r="BT285" s="116"/>
      <c r="BU285" s="116"/>
      <c r="BV285" s="116"/>
      <c r="BW285" s="116"/>
      <c r="BX285" s="116"/>
      <c r="BY285" s="116"/>
      <c r="BZ285" s="116"/>
      <c r="CA285" s="116"/>
      <c r="CB285" s="116"/>
      <c r="CC285" s="116"/>
      <c r="CD285" s="116"/>
      <c r="CE285" s="116"/>
      <c r="CF285" s="116"/>
      <c r="CG285" s="116"/>
      <c r="CH285" s="116"/>
      <c r="CI285" s="116"/>
      <c r="CJ285" s="116"/>
      <c r="CK285" s="116"/>
      <c r="CL285" s="116"/>
      <c r="CM285" s="116"/>
      <c r="CN285" s="116"/>
      <c r="CO285" s="116"/>
      <c r="CP285" s="116"/>
      <c r="CQ285" s="116"/>
      <c r="CR285" s="116"/>
      <c r="CS285" s="116"/>
      <c r="CT285" s="116"/>
      <c r="CU285" s="116"/>
      <c r="CV285" s="116"/>
      <c r="CW285" s="116"/>
      <c r="CX285" s="116"/>
      <c r="CY285" s="116"/>
      <c r="CZ285" s="116"/>
      <c r="DA285" s="116"/>
      <c r="DB285" s="116"/>
      <c r="DC285" s="116"/>
      <c r="DD285" s="116"/>
      <c r="DE285" s="116"/>
      <c r="DF285" s="116"/>
      <c r="DG285" s="116"/>
      <c r="DH285" s="116"/>
      <c r="DI285" s="116"/>
      <c r="DJ285" s="116"/>
      <c r="DK285" s="116"/>
      <c r="DL285" s="116"/>
      <c r="DM285" s="116"/>
      <c r="DN285" s="116"/>
      <c r="DO285" s="116"/>
      <c r="DP285" s="116"/>
      <c r="DQ285" s="116"/>
      <c r="DR285" s="116"/>
      <c r="DS285" s="116"/>
      <c r="DT285" s="116"/>
      <c r="DU285" s="116"/>
      <c r="DV285" s="116"/>
      <c r="DW285" s="116"/>
      <c r="DX285" s="116"/>
      <c r="DY285" s="116"/>
      <c r="DZ285" s="116"/>
      <c r="EA285" s="116"/>
      <c r="EB285" s="116"/>
      <c r="EC285" s="116"/>
      <c r="ED285" s="116"/>
      <c r="EE285" s="116"/>
      <c r="EF285" s="116"/>
      <c r="EG285" s="116"/>
      <c r="EH285" s="116"/>
      <c r="EI285" s="116"/>
      <c r="EJ285" s="116"/>
      <c r="EK285" s="116"/>
      <c r="EL285" s="116"/>
      <c r="EM285" s="116"/>
      <c r="EN285" s="116"/>
      <c r="EO285" s="116"/>
      <c r="EP285" s="116"/>
      <c r="EQ285" s="116"/>
      <c r="ER285" s="116"/>
      <c r="ES285" s="116"/>
      <c r="ET285" s="116"/>
      <c r="EU285" s="116"/>
      <c r="EV285" s="116"/>
      <c r="EW285" s="116"/>
      <c r="EX285" s="116"/>
      <c r="EY285" s="116"/>
      <c r="EZ285" s="116"/>
      <c r="FA285" s="116"/>
      <c r="FB285" s="116"/>
      <c r="FC285" s="116"/>
      <c r="FD285" s="116"/>
      <c r="FE285" s="116"/>
      <c r="FF285" s="116"/>
      <c r="FG285" s="116"/>
      <c r="FH285" s="116"/>
      <c r="FI285" s="116"/>
      <c r="FJ285" s="116"/>
      <c r="FK285" s="116"/>
      <c r="FL285" s="116"/>
      <c r="FM285" s="116"/>
      <c r="FN285" s="116"/>
      <c r="FO285" s="116"/>
      <c r="FP285" s="116"/>
      <c r="FQ285" s="116"/>
      <c r="FR285" s="116"/>
      <c r="FS285" s="116"/>
      <c r="FT285" s="116"/>
      <c r="FU285" s="116"/>
      <c r="FV285" s="116"/>
      <c r="FW285" s="116"/>
      <c r="FX285" s="116"/>
      <c r="FY285" s="116"/>
      <c r="FZ285" s="116"/>
      <c r="GA285" s="116"/>
      <c r="GB285" s="116"/>
      <c r="GC285" s="116"/>
      <c r="GD285" s="116"/>
      <c r="GE285" s="116"/>
      <c r="GF285" s="116"/>
      <c r="GG285" s="116"/>
      <c r="GH285" s="116"/>
    </row>
    <row r="286" spans="2:190" ht="12.75">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c r="BR286" s="116"/>
      <c r="BS286" s="116"/>
      <c r="BT286" s="116"/>
      <c r="BU286" s="116"/>
      <c r="BV286" s="116"/>
      <c r="BW286" s="116"/>
      <c r="BX286" s="116"/>
      <c r="BY286" s="116"/>
      <c r="BZ286" s="116"/>
      <c r="CA286" s="116"/>
      <c r="CB286" s="116"/>
      <c r="CC286" s="116"/>
      <c r="CD286" s="116"/>
      <c r="CE286" s="116"/>
      <c r="CF286" s="116"/>
      <c r="CG286" s="116"/>
      <c r="CH286" s="116"/>
      <c r="CI286" s="116"/>
      <c r="CJ286" s="116"/>
      <c r="CK286" s="116"/>
      <c r="CL286" s="116"/>
      <c r="CM286" s="116"/>
      <c r="CN286" s="116"/>
      <c r="CO286" s="116"/>
      <c r="CP286" s="116"/>
      <c r="CQ286" s="116"/>
      <c r="CR286" s="116"/>
      <c r="CS286" s="116"/>
      <c r="CT286" s="116"/>
      <c r="CU286" s="116"/>
      <c r="CV286" s="116"/>
      <c r="CW286" s="116"/>
      <c r="CX286" s="116"/>
      <c r="CY286" s="116"/>
      <c r="CZ286" s="116"/>
      <c r="DA286" s="116"/>
      <c r="DB286" s="116"/>
      <c r="DC286" s="116"/>
      <c r="DD286" s="116"/>
      <c r="DE286" s="116"/>
      <c r="DF286" s="116"/>
      <c r="DG286" s="116"/>
      <c r="DH286" s="116"/>
      <c r="DI286" s="116"/>
      <c r="DJ286" s="116"/>
      <c r="DK286" s="116"/>
      <c r="DL286" s="116"/>
      <c r="DM286" s="116"/>
      <c r="DN286" s="116"/>
      <c r="DO286" s="116"/>
      <c r="DP286" s="116"/>
      <c r="DQ286" s="116"/>
      <c r="DR286" s="116"/>
      <c r="DS286" s="116"/>
      <c r="DT286" s="116"/>
      <c r="DU286" s="116"/>
      <c r="DV286" s="116"/>
      <c r="DW286" s="116"/>
      <c r="DX286" s="116"/>
      <c r="DY286" s="116"/>
      <c r="DZ286" s="116"/>
      <c r="EA286" s="116"/>
      <c r="EB286" s="116"/>
      <c r="EC286" s="116"/>
      <c r="ED286" s="116"/>
      <c r="EE286" s="116"/>
      <c r="EF286" s="116"/>
      <c r="EG286" s="116"/>
      <c r="EH286" s="116"/>
      <c r="EI286" s="116"/>
      <c r="EJ286" s="116"/>
      <c r="EK286" s="116"/>
      <c r="EL286" s="116"/>
      <c r="EM286" s="116"/>
      <c r="EN286" s="116"/>
      <c r="EO286" s="116"/>
      <c r="EP286" s="116"/>
      <c r="EQ286" s="116"/>
      <c r="ER286" s="116"/>
      <c r="ES286" s="116"/>
      <c r="ET286" s="116"/>
      <c r="EU286" s="116"/>
      <c r="EV286" s="116"/>
      <c r="EW286" s="116"/>
      <c r="EX286" s="116"/>
      <c r="EY286" s="116"/>
      <c r="EZ286" s="116"/>
      <c r="FA286" s="116"/>
      <c r="FB286" s="116"/>
      <c r="FC286" s="116"/>
      <c r="FD286" s="116"/>
      <c r="FE286" s="116"/>
      <c r="FF286" s="116"/>
      <c r="FG286" s="116"/>
      <c r="FH286" s="116"/>
      <c r="FI286" s="116"/>
      <c r="FJ286" s="116"/>
      <c r="FK286" s="116"/>
      <c r="FL286" s="116"/>
      <c r="FM286" s="116"/>
      <c r="FN286" s="116"/>
      <c r="FO286" s="116"/>
      <c r="FP286" s="116"/>
      <c r="FQ286" s="116"/>
      <c r="FR286" s="116"/>
      <c r="FS286" s="116"/>
      <c r="FT286" s="116"/>
      <c r="FU286" s="116"/>
      <c r="FV286" s="116"/>
      <c r="FW286" s="116"/>
      <c r="FX286" s="116"/>
      <c r="FY286" s="116"/>
      <c r="FZ286" s="116"/>
      <c r="GA286" s="116"/>
      <c r="GB286" s="116"/>
      <c r="GC286" s="116"/>
      <c r="GD286" s="116"/>
      <c r="GE286" s="116"/>
      <c r="GF286" s="116"/>
      <c r="GG286" s="116"/>
      <c r="GH286" s="116"/>
    </row>
    <row r="287" spans="2:190" ht="12.75">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c r="DS287" s="116"/>
      <c r="DT287" s="116"/>
      <c r="DU287" s="116"/>
      <c r="DV287" s="116"/>
      <c r="DW287" s="116"/>
      <c r="DX287" s="116"/>
      <c r="DY287" s="116"/>
      <c r="DZ287" s="116"/>
      <c r="EA287" s="116"/>
      <c r="EB287" s="116"/>
      <c r="EC287" s="116"/>
      <c r="ED287" s="116"/>
      <c r="EE287" s="116"/>
      <c r="EF287" s="116"/>
      <c r="EG287" s="116"/>
      <c r="EH287" s="116"/>
      <c r="EI287" s="116"/>
      <c r="EJ287" s="116"/>
      <c r="EK287" s="116"/>
      <c r="EL287" s="116"/>
      <c r="EM287" s="116"/>
      <c r="EN287" s="116"/>
      <c r="EO287" s="116"/>
      <c r="EP287" s="116"/>
      <c r="EQ287" s="116"/>
      <c r="ER287" s="116"/>
      <c r="ES287" s="116"/>
      <c r="ET287" s="116"/>
      <c r="EU287" s="116"/>
      <c r="EV287" s="116"/>
      <c r="EW287" s="116"/>
      <c r="EX287" s="116"/>
      <c r="EY287" s="116"/>
      <c r="EZ287" s="116"/>
      <c r="FA287" s="116"/>
      <c r="FB287" s="116"/>
      <c r="FC287" s="116"/>
      <c r="FD287" s="116"/>
      <c r="FE287" s="116"/>
      <c r="FF287" s="116"/>
      <c r="FG287" s="116"/>
      <c r="FH287" s="116"/>
      <c r="FI287" s="116"/>
      <c r="FJ287" s="116"/>
      <c r="FK287" s="116"/>
      <c r="FL287" s="116"/>
      <c r="FM287" s="116"/>
      <c r="FN287" s="116"/>
      <c r="FO287" s="116"/>
      <c r="FP287" s="116"/>
      <c r="FQ287" s="116"/>
      <c r="FR287" s="116"/>
      <c r="FS287" s="116"/>
      <c r="FT287" s="116"/>
      <c r="FU287" s="116"/>
      <c r="FV287" s="116"/>
      <c r="FW287" s="116"/>
      <c r="FX287" s="116"/>
      <c r="FY287" s="116"/>
      <c r="FZ287" s="116"/>
      <c r="GA287" s="116"/>
      <c r="GB287" s="116"/>
      <c r="GC287" s="116"/>
      <c r="GD287" s="116"/>
      <c r="GE287" s="116"/>
      <c r="GF287" s="116"/>
      <c r="GG287" s="116"/>
      <c r="GH287" s="116"/>
    </row>
    <row r="288" spans="2:190" ht="12.75">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c r="DS288" s="116"/>
      <c r="DT288" s="116"/>
      <c r="DU288" s="116"/>
      <c r="DV288" s="116"/>
      <c r="DW288" s="116"/>
      <c r="DX288" s="116"/>
      <c r="DY288" s="116"/>
      <c r="DZ288" s="116"/>
      <c r="EA288" s="116"/>
      <c r="EB288" s="116"/>
      <c r="EC288" s="116"/>
      <c r="ED288" s="116"/>
      <c r="EE288" s="116"/>
      <c r="EF288" s="116"/>
      <c r="EG288" s="116"/>
      <c r="EH288" s="116"/>
      <c r="EI288" s="116"/>
      <c r="EJ288" s="116"/>
      <c r="EK288" s="116"/>
      <c r="EL288" s="116"/>
      <c r="EM288" s="116"/>
      <c r="EN288" s="116"/>
      <c r="EO288" s="116"/>
      <c r="EP288" s="116"/>
      <c r="EQ288" s="116"/>
      <c r="ER288" s="116"/>
      <c r="ES288" s="116"/>
      <c r="ET288" s="116"/>
      <c r="EU288" s="116"/>
      <c r="EV288" s="116"/>
      <c r="EW288" s="116"/>
      <c r="EX288" s="116"/>
      <c r="EY288" s="116"/>
      <c r="EZ288" s="116"/>
      <c r="FA288" s="116"/>
      <c r="FB288" s="116"/>
      <c r="FC288" s="116"/>
      <c r="FD288" s="116"/>
      <c r="FE288" s="116"/>
      <c r="FF288" s="116"/>
      <c r="FG288" s="116"/>
      <c r="FH288" s="116"/>
      <c r="FI288" s="116"/>
      <c r="FJ288" s="116"/>
      <c r="FK288" s="116"/>
      <c r="FL288" s="116"/>
      <c r="FM288" s="116"/>
      <c r="FN288" s="116"/>
      <c r="FO288" s="116"/>
      <c r="FP288" s="116"/>
      <c r="FQ288" s="116"/>
      <c r="FR288" s="116"/>
      <c r="FS288" s="116"/>
      <c r="FT288" s="116"/>
      <c r="FU288" s="116"/>
      <c r="FV288" s="116"/>
      <c r="FW288" s="116"/>
      <c r="FX288" s="116"/>
      <c r="FY288" s="116"/>
      <c r="FZ288" s="116"/>
      <c r="GA288" s="116"/>
      <c r="GB288" s="116"/>
      <c r="GC288" s="116"/>
      <c r="GD288" s="116"/>
      <c r="GE288" s="116"/>
      <c r="GF288" s="116"/>
      <c r="GG288" s="116"/>
      <c r="GH288" s="116"/>
    </row>
    <row r="289" spans="2:190" ht="12.75">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c r="DS289" s="116"/>
      <c r="DT289" s="116"/>
      <c r="DU289" s="116"/>
      <c r="DV289" s="116"/>
      <c r="DW289" s="116"/>
      <c r="DX289" s="116"/>
      <c r="DY289" s="116"/>
      <c r="DZ289" s="116"/>
      <c r="EA289" s="116"/>
      <c r="EB289" s="116"/>
      <c r="EC289" s="116"/>
      <c r="ED289" s="116"/>
      <c r="EE289" s="116"/>
      <c r="EF289" s="116"/>
      <c r="EG289" s="116"/>
      <c r="EH289" s="116"/>
      <c r="EI289" s="116"/>
      <c r="EJ289" s="116"/>
      <c r="EK289" s="116"/>
      <c r="EL289" s="116"/>
      <c r="EM289" s="116"/>
      <c r="EN289" s="116"/>
      <c r="EO289" s="116"/>
      <c r="EP289" s="116"/>
      <c r="EQ289" s="116"/>
      <c r="ER289" s="116"/>
      <c r="ES289" s="116"/>
      <c r="ET289" s="116"/>
      <c r="EU289" s="116"/>
      <c r="EV289" s="116"/>
      <c r="EW289" s="116"/>
      <c r="EX289" s="116"/>
      <c r="EY289" s="116"/>
      <c r="EZ289" s="116"/>
      <c r="FA289" s="116"/>
      <c r="FB289" s="116"/>
      <c r="FC289" s="116"/>
      <c r="FD289" s="116"/>
      <c r="FE289" s="116"/>
      <c r="FF289" s="116"/>
      <c r="FG289" s="116"/>
      <c r="FH289" s="116"/>
      <c r="FI289" s="116"/>
      <c r="FJ289" s="116"/>
      <c r="FK289" s="116"/>
      <c r="FL289" s="116"/>
      <c r="FM289" s="116"/>
      <c r="FN289" s="116"/>
      <c r="FO289" s="116"/>
      <c r="FP289" s="116"/>
      <c r="FQ289" s="116"/>
      <c r="FR289" s="116"/>
      <c r="FS289" s="116"/>
      <c r="FT289" s="116"/>
      <c r="FU289" s="116"/>
      <c r="FV289" s="116"/>
      <c r="FW289" s="116"/>
      <c r="FX289" s="116"/>
      <c r="FY289" s="116"/>
      <c r="FZ289" s="116"/>
      <c r="GA289" s="116"/>
      <c r="GB289" s="116"/>
      <c r="GC289" s="116"/>
      <c r="GD289" s="116"/>
      <c r="GE289" s="116"/>
      <c r="GF289" s="116"/>
      <c r="GG289" s="116"/>
      <c r="GH289" s="116"/>
    </row>
    <row r="290" spans="2:190" ht="12.75">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c r="DS290" s="116"/>
      <c r="DT290" s="116"/>
      <c r="DU290" s="116"/>
      <c r="DV290" s="116"/>
      <c r="DW290" s="116"/>
      <c r="DX290" s="116"/>
      <c r="DY290" s="116"/>
      <c r="DZ290" s="116"/>
      <c r="EA290" s="116"/>
      <c r="EB290" s="116"/>
      <c r="EC290" s="116"/>
      <c r="ED290" s="116"/>
      <c r="EE290" s="116"/>
      <c r="EF290" s="116"/>
      <c r="EG290" s="116"/>
      <c r="EH290" s="116"/>
      <c r="EI290" s="116"/>
      <c r="EJ290" s="116"/>
      <c r="EK290" s="116"/>
      <c r="EL290" s="116"/>
      <c r="EM290" s="116"/>
      <c r="EN290" s="116"/>
      <c r="EO290" s="116"/>
      <c r="EP290" s="116"/>
      <c r="EQ290" s="116"/>
      <c r="ER290" s="116"/>
      <c r="ES290" s="116"/>
      <c r="ET290" s="116"/>
      <c r="EU290" s="116"/>
      <c r="EV290" s="116"/>
      <c r="EW290" s="116"/>
      <c r="EX290" s="116"/>
      <c r="EY290" s="116"/>
      <c r="EZ290" s="116"/>
      <c r="FA290" s="116"/>
      <c r="FB290" s="116"/>
      <c r="FC290" s="116"/>
      <c r="FD290" s="116"/>
      <c r="FE290" s="116"/>
      <c r="FF290" s="116"/>
      <c r="FG290" s="116"/>
      <c r="FH290" s="116"/>
      <c r="FI290" s="116"/>
      <c r="FJ290" s="116"/>
      <c r="FK290" s="116"/>
      <c r="FL290" s="116"/>
      <c r="FM290" s="116"/>
      <c r="FN290" s="116"/>
      <c r="FO290" s="116"/>
      <c r="FP290" s="116"/>
      <c r="FQ290" s="116"/>
      <c r="FR290" s="116"/>
      <c r="FS290" s="116"/>
      <c r="FT290" s="116"/>
      <c r="FU290" s="116"/>
      <c r="FV290" s="116"/>
      <c r="FW290" s="116"/>
      <c r="FX290" s="116"/>
      <c r="FY290" s="116"/>
      <c r="FZ290" s="116"/>
      <c r="GA290" s="116"/>
      <c r="GB290" s="116"/>
      <c r="GC290" s="116"/>
      <c r="GD290" s="116"/>
      <c r="GE290" s="116"/>
      <c r="GF290" s="116"/>
      <c r="GG290" s="116"/>
      <c r="GH290" s="116"/>
    </row>
    <row r="291" spans="2:190" ht="12.75">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c r="DS291" s="116"/>
      <c r="DT291" s="116"/>
      <c r="DU291" s="116"/>
      <c r="DV291" s="116"/>
      <c r="DW291" s="116"/>
      <c r="DX291" s="116"/>
      <c r="DY291" s="116"/>
      <c r="DZ291" s="116"/>
      <c r="EA291" s="116"/>
      <c r="EB291" s="116"/>
      <c r="EC291" s="116"/>
      <c r="ED291" s="116"/>
      <c r="EE291" s="116"/>
      <c r="EF291" s="116"/>
      <c r="EG291" s="116"/>
      <c r="EH291" s="116"/>
      <c r="EI291" s="116"/>
      <c r="EJ291" s="116"/>
      <c r="EK291" s="116"/>
      <c r="EL291" s="116"/>
      <c r="EM291" s="116"/>
      <c r="EN291" s="116"/>
      <c r="EO291" s="116"/>
      <c r="EP291" s="116"/>
      <c r="EQ291" s="116"/>
      <c r="ER291" s="116"/>
      <c r="ES291" s="116"/>
      <c r="ET291" s="116"/>
      <c r="EU291" s="116"/>
      <c r="EV291" s="116"/>
      <c r="EW291" s="116"/>
      <c r="EX291" s="116"/>
      <c r="EY291" s="116"/>
      <c r="EZ291" s="116"/>
      <c r="FA291" s="116"/>
      <c r="FB291" s="116"/>
      <c r="FC291" s="116"/>
      <c r="FD291" s="116"/>
      <c r="FE291" s="116"/>
      <c r="FF291" s="116"/>
      <c r="FG291" s="116"/>
      <c r="FH291" s="116"/>
      <c r="FI291" s="116"/>
      <c r="FJ291" s="116"/>
      <c r="FK291" s="116"/>
      <c r="FL291" s="116"/>
      <c r="FM291" s="116"/>
      <c r="FN291" s="116"/>
      <c r="FO291" s="116"/>
      <c r="FP291" s="116"/>
      <c r="FQ291" s="116"/>
      <c r="FR291" s="116"/>
      <c r="FS291" s="116"/>
      <c r="FT291" s="116"/>
      <c r="FU291" s="116"/>
      <c r="FV291" s="116"/>
      <c r="FW291" s="116"/>
      <c r="FX291" s="116"/>
      <c r="FY291" s="116"/>
      <c r="FZ291" s="116"/>
      <c r="GA291" s="116"/>
      <c r="GB291" s="116"/>
      <c r="GC291" s="116"/>
      <c r="GD291" s="116"/>
      <c r="GE291" s="116"/>
      <c r="GF291" s="116"/>
      <c r="GG291" s="116"/>
      <c r="GH291" s="116"/>
    </row>
    <row r="292" spans="2:190" ht="12.75">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c r="BR292" s="116"/>
      <c r="BS292" s="116"/>
      <c r="BT292" s="116"/>
      <c r="BU292" s="116"/>
      <c r="BV292" s="116"/>
      <c r="BW292" s="116"/>
      <c r="BX292" s="116"/>
      <c r="BY292" s="116"/>
      <c r="BZ292" s="116"/>
      <c r="CA292" s="116"/>
      <c r="CB292" s="116"/>
      <c r="CC292" s="116"/>
      <c r="CD292" s="116"/>
      <c r="CE292" s="116"/>
      <c r="CF292" s="116"/>
      <c r="CG292" s="116"/>
      <c r="CH292" s="116"/>
      <c r="CI292" s="116"/>
      <c r="CJ292" s="116"/>
      <c r="CK292" s="116"/>
      <c r="CL292" s="116"/>
      <c r="CM292" s="116"/>
      <c r="CN292" s="116"/>
      <c r="CO292" s="116"/>
      <c r="CP292" s="116"/>
      <c r="CQ292" s="116"/>
      <c r="CR292" s="116"/>
      <c r="CS292" s="116"/>
      <c r="CT292" s="116"/>
      <c r="CU292" s="116"/>
      <c r="CV292" s="116"/>
      <c r="CW292" s="116"/>
      <c r="CX292" s="116"/>
      <c r="CY292" s="116"/>
      <c r="CZ292" s="116"/>
      <c r="DA292" s="116"/>
      <c r="DB292" s="116"/>
      <c r="DC292" s="116"/>
      <c r="DD292" s="116"/>
      <c r="DE292" s="116"/>
      <c r="DF292" s="116"/>
      <c r="DG292" s="116"/>
      <c r="DH292" s="116"/>
      <c r="DI292" s="116"/>
      <c r="DJ292" s="116"/>
      <c r="DK292" s="116"/>
      <c r="DL292" s="116"/>
      <c r="DM292" s="116"/>
      <c r="DN292" s="116"/>
      <c r="DO292" s="116"/>
      <c r="DP292" s="116"/>
      <c r="DQ292" s="116"/>
      <c r="DR292" s="116"/>
      <c r="DS292" s="116"/>
      <c r="DT292" s="116"/>
      <c r="DU292" s="116"/>
      <c r="DV292" s="116"/>
      <c r="DW292" s="116"/>
      <c r="DX292" s="116"/>
      <c r="DY292" s="116"/>
      <c r="DZ292" s="116"/>
      <c r="EA292" s="116"/>
      <c r="EB292" s="116"/>
      <c r="EC292" s="116"/>
      <c r="ED292" s="116"/>
      <c r="EE292" s="116"/>
      <c r="EF292" s="116"/>
      <c r="EG292" s="116"/>
      <c r="EH292" s="116"/>
      <c r="EI292" s="116"/>
      <c r="EJ292" s="116"/>
      <c r="EK292" s="116"/>
      <c r="EL292" s="116"/>
      <c r="EM292" s="116"/>
      <c r="EN292" s="116"/>
      <c r="EO292" s="116"/>
      <c r="EP292" s="116"/>
      <c r="EQ292" s="116"/>
      <c r="ER292" s="116"/>
      <c r="ES292" s="116"/>
      <c r="ET292" s="116"/>
      <c r="EU292" s="116"/>
      <c r="EV292" s="116"/>
      <c r="EW292" s="116"/>
      <c r="EX292" s="116"/>
      <c r="EY292" s="116"/>
      <c r="EZ292" s="116"/>
      <c r="FA292" s="116"/>
      <c r="FB292" s="116"/>
      <c r="FC292" s="116"/>
      <c r="FD292" s="116"/>
      <c r="FE292" s="116"/>
      <c r="FF292" s="116"/>
      <c r="FG292" s="116"/>
      <c r="FH292" s="116"/>
      <c r="FI292" s="116"/>
      <c r="FJ292" s="116"/>
      <c r="FK292" s="116"/>
      <c r="FL292" s="116"/>
      <c r="FM292" s="116"/>
      <c r="FN292" s="116"/>
      <c r="FO292" s="116"/>
      <c r="FP292" s="116"/>
      <c r="FQ292" s="116"/>
      <c r="FR292" s="116"/>
      <c r="FS292" s="116"/>
      <c r="FT292" s="116"/>
      <c r="FU292" s="116"/>
      <c r="FV292" s="116"/>
      <c r="FW292" s="116"/>
      <c r="FX292" s="116"/>
      <c r="FY292" s="116"/>
      <c r="FZ292" s="116"/>
      <c r="GA292" s="116"/>
      <c r="GB292" s="116"/>
      <c r="GC292" s="116"/>
      <c r="GD292" s="116"/>
      <c r="GE292" s="116"/>
      <c r="GF292" s="116"/>
      <c r="GG292" s="116"/>
      <c r="GH292" s="116"/>
    </row>
    <row r="293" spans="2:190" ht="12.75">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c r="BR293" s="116"/>
      <c r="BS293" s="116"/>
      <c r="BT293" s="116"/>
      <c r="BU293" s="116"/>
      <c r="BV293" s="116"/>
      <c r="BW293" s="116"/>
      <c r="BX293" s="116"/>
      <c r="BY293" s="116"/>
      <c r="BZ293" s="116"/>
      <c r="CA293" s="116"/>
      <c r="CB293" s="116"/>
      <c r="CC293" s="116"/>
      <c r="CD293" s="116"/>
      <c r="CE293" s="116"/>
      <c r="CF293" s="116"/>
      <c r="CG293" s="116"/>
      <c r="CH293" s="116"/>
      <c r="CI293" s="116"/>
      <c r="CJ293" s="116"/>
      <c r="CK293" s="116"/>
      <c r="CL293" s="116"/>
      <c r="CM293" s="116"/>
      <c r="CN293" s="116"/>
      <c r="CO293" s="116"/>
      <c r="CP293" s="116"/>
      <c r="CQ293" s="116"/>
      <c r="CR293" s="116"/>
      <c r="CS293" s="116"/>
      <c r="CT293" s="116"/>
      <c r="CU293" s="116"/>
      <c r="CV293" s="116"/>
      <c r="CW293" s="116"/>
      <c r="CX293" s="116"/>
      <c r="CY293" s="116"/>
      <c r="CZ293" s="116"/>
      <c r="DA293" s="116"/>
      <c r="DB293" s="116"/>
      <c r="DC293" s="116"/>
      <c r="DD293" s="116"/>
      <c r="DE293" s="116"/>
      <c r="DF293" s="116"/>
      <c r="DG293" s="116"/>
      <c r="DH293" s="116"/>
      <c r="DI293" s="116"/>
      <c r="DJ293" s="116"/>
      <c r="DK293" s="116"/>
      <c r="DL293" s="116"/>
      <c r="DM293" s="116"/>
      <c r="DN293" s="116"/>
      <c r="DO293" s="116"/>
      <c r="DP293" s="116"/>
      <c r="DQ293" s="116"/>
      <c r="DR293" s="116"/>
      <c r="DS293" s="116"/>
      <c r="DT293" s="116"/>
      <c r="DU293" s="116"/>
      <c r="DV293" s="116"/>
      <c r="DW293" s="116"/>
      <c r="DX293" s="116"/>
      <c r="DY293" s="116"/>
      <c r="DZ293" s="116"/>
      <c r="EA293" s="116"/>
      <c r="EB293" s="116"/>
      <c r="EC293" s="116"/>
      <c r="ED293" s="116"/>
      <c r="EE293" s="116"/>
      <c r="EF293" s="116"/>
      <c r="EG293" s="116"/>
      <c r="EH293" s="116"/>
      <c r="EI293" s="116"/>
      <c r="EJ293" s="116"/>
      <c r="EK293" s="116"/>
      <c r="EL293" s="116"/>
      <c r="EM293" s="116"/>
      <c r="EN293" s="116"/>
      <c r="EO293" s="116"/>
      <c r="EP293" s="116"/>
      <c r="EQ293" s="116"/>
      <c r="ER293" s="116"/>
      <c r="ES293" s="116"/>
      <c r="ET293" s="116"/>
      <c r="EU293" s="116"/>
      <c r="EV293" s="116"/>
      <c r="EW293" s="116"/>
      <c r="EX293" s="116"/>
      <c r="EY293" s="116"/>
      <c r="EZ293" s="116"/>
      <c r="FA293" s="116"/>
      <c r="FB293" s="116"/>
      <c r="FC293" s="116"/>
      <c r="FD293" s="116"/>
      <c r="FE293" s="116"/>
      <c r="FF293" s="116"/>
      <c r="FG293" s="116"/>
      <c r="FH293" s="116"/>
      <c r="FI293" s="116"/>
      <c r="FJ293" s="116"/>
      <c r="FK293" s="116"/>
      <c r="FL293" s="116"/>
      <c r="FM293" s="116"/>
      <c r="FN293" s="116"/>
      <c r="FO293" s="116"/>
      <c r="FP293" s="116"/>
      <c r="FQ293" s="116"/>
      <c r="FR293" s="116"/>
      <c r="FS293" s="116"/>
      <c r="FT293" s="116"/>
      <c r="FU293" s="116"/>
      <c r="FV293" s="116"/>
      <c r="FW293" s="116"/>
      <c r="FX293" s="116"/>
      <c r="FY293" s="116"/>
      <c r="FZ293" s="116"/>
      <c r="GA293" s="116"/>
      <c r="GB293" s="116"/>
      <c r="GC293" s="116"/>
      <c r="GD293" s="116"/>
      <c r="GE293" s="116"/>
      <c r="GF293" s="116"/>
      <c r="GG293" s="116"/>
      <c r="GH293" s="116"/>
    </row>
    <row r="294" spans="2:190" ht="12.75">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c r="BR294" s="116"/>
      <c r="BS294" s="116"/>
      <c r="BT294" s="116"/>
      <c r="BU294" s="116"/>
      <c r="BV294" s="116"/>
      <c r="BW294" s="116"/>
      <c r="BX294" s="116"/>
      <c r="BY294" s="116"/>
      <c r="BZ294" s="116"/>
      <c r="CA294" s="116"/>
      <c r="CB294" s="116"/>
      <c r="CC294" s="116"/>
      <c r="CD294" s="116"/>
      <c r="CE294" s="116"/>
      <c r="CF294" s="116"/>
      <c r="CG294" s="116"/>
      <c r="CH294" s="116"/>
      <c r="CI294" s="116"/>
      <c r="CJ294" s="116"/>
      <c r="CK294" s="116"/>
      <c r="CL294" s="116"/>
      <c r="CM294" s="116"/>
      <c r="CN294" s="116"/>
      <c r="CO294" s="116"/>
      <c r="CP294" s="116"/>
      <c r="CQ294" s="116"/>
      <c r="CR294" s="116"/>
      <c r="CS294" s="116"/>
      <c r="CT294" s="116"/>
      <c r="CU294" s="116"/>
      <c r="CV294" s="116"/>
      <c r="CW294" s="116"/>
      <c r="CX294" s="116"/>
      <c r="CY294" s="116"/>
      <c r="CZ294" s="116"/>
      <c r="DA294" s="116"/>
      <c r="DB294" s="116"/>
      <c r="DC294" s="116"/>
      <c r="DD294" s="116"/>
      <c r="DE294" s="116"/>
      <c r="DF294" s="116"/>
      <c r="DG294" s="116"/>
      <c r="DH294" s="116"/>
      <c r="DI294" s="116"/>
      <c r="DJ294" s="116"/>
      <c r="DK294" s="116"/>
      <c r="DL294" s="116"/>
      <c r="DM294" s="116"/>
      <c r="DN294" s="116"/>
      <c r="DO294" s="116"/>
      <c r="DP294" s="116"/>
      <c r="DQ294" s="116"/>
      <c r="DR294" s="116"/>
      <c r="DS294" s="116"/>
      <c r="DT294" s="116"/>
      <c r="DU294" s="116"/>
      <c r="DV294" s="116"/>
      <c r="DW294" s="116"/>
      <c r="DX294" s="116"/>
      <c r="DY294" s="116"/>
      <c r="DZ294" s="116"/>
      <c r="EA294" s="116"/>
      <c r="EB294" s="116"/>
      <c r="EC294" s="116"/>
      <c r="ED294" s="116"/>
      <c r="EE294" s="116"/>
      <c r="EF294" s="116"/>
      <c r="EG294" s="116"/>
      <c r="EH294" s="116"/>
      <c r="EI294" s="116"/>
      <c r="EJ294" s="116"/>
      <c r="EK294" s="116"/>
      <c r="EL294" s="116"/>
      <c r="EM294" s="116"/>
      <c r="EN294" s="116"/>
      <c r="EO294" s="116"/>
      <c r="EP294" s="116"/>
      <c r="EQ294" s="116"/>
      <c r="ER294" s="116"/>
      <c r="ES294" s="116"/>
      <c r="ET294" s="116"/>
      <c r="EU294" s="116"/>
      <c r="EV294" s="116"/>
      <c r="EW294" s="116"/>
      <c r="EX294" s="116"/>
      <c r="EY294" s="116"/>
      <c r="EZ294" s="116"/>
      <c r="FA294" s="116"/>
      <c r="FB294" s="116"/>
      <c r="FC294" s="116"/>
      <c r="FD294" s="116"/>
      <c r="FE294" s="116"/>
      <c r="FF294" s="116"/>
      <c r="FG294" s="116"/>
      <c r="FH294" s="116"/>
      <c r="FI294" s="116"/>
      <c r="FJ294" s="116"/>
      <c r="FK294" s="116"/>
      <c r="FL294" s="116"/>
      <c r="FM294" s="116"/>
      <c r="FN294" s="116"/>
      <c r="FO294" s="116"/>
      <c r="FP294" s="116"/>
      <c r="FQ294" s="116"/>
      <c r="FR294" s="116"/>
      <c r="FS294" s="116"/>
      <c r="FT294" s="116"/>
      <c r="FU294" s="116"/>
      <c r="FV294" s="116"/>
      <c r="FW294" s="116"/>
      <c r="FX294" s="116"/>
      <c r="FY294" s="116"/>
      <c r="FZ294" s="116"/>
      <c r="GA294" s="116"/>
      <c r="GB294" s="116"/>
      <c r="GC294" s="116"/>
      <c r="GD294" s="116"/>
      <c r="GE294" s="116"/>
      <c r="GF294" s="116"/>
      <c r="GG294" s="116"/>
      <c r="GH294" s="116"/>
    </row>
    <row r="295" spans="2:190" ht="12.75">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c r="BR295" s="116"/>
      <c r="BS295" s="116"/>
      <c r="BT295" s="116"/>
      <c r="BU295" s="116"/>
      <c r="BV295" s="116"/>
      <c r="BW295" s="116"/>
      <c r="BX295" s="116"/>
      <c r="BY295" s="116"/>
      <c r="BZ295" s="116"/>
      <c r="CA295" s="116"/>
      <c r="CB295" s="116"/>
      <c r="CC295" s="116"/>
      <c r="CD295" s="116"/>
      <c r="CE295" s="116"/>
      <c r="CF295" s="116"/>
      <c r="CG295" s="116"/>
      <c r="CH295" s="116"/>
      <c r="CI295" s="116"/>
      <c r="CJ295" s="116"/>
      <c r="CK295" s="116"/>
      <c r="CL295" s="116"/>
      <c r="CM295" s="116"/>
      <c r="CN295" s="116"/>
      <c r="CO295" s="116"/>
      <c r="CP295" s="116"/>
      <c r="CQ295" s="116"/>
      <c r="CR295" s="116"/>
      <c r="CS295" s="116"/>
      <c r="CT295" s="116"/>
      <c r="CU295" s="116"/>
      <c r="CV295" s="116"/>
      <c r="CW295" s="116"/>
      <c r="CX295" s="116"/>
      <c r="CY295" s="116"/>
      <c r="CZ295" s="116"/>
      <c r="DA295" s="116"/>
      <c r="DB295" s="116"/>
      <c r="DC295" s="116"/>
      <c r="DD295" s="116"/>
      <c r="DE295" s="116"/>
      <c r="DF295" s="116"/>
      <c r="DG295" s="116"/>
      <c r="DH295" s="116"/>
      <c r="DI295" s="116"/>
      <c r="DJ295" s="116"/>
      <c r="DK295" s="116"/>
      <c r="DL295" s="116"/>
      <c r="DM295" s="116"/>
      <c r="DN295" s="116"/>
      <c r="DO295" s="116"/>
      <c r="DP295" s="116"/>
      <c r="DQ295" s="116"/>
      <c r="DR295" s="116"/>
      <c r="DS295" s="116"/>
      <c r="DT295" s="116"/>
      <c r="DU295" s="116"/>
      <c r="DV295" s="116"/>
      <c r="DW295" s="116"/>
      <c r="DX295" s="116"/>
      <c r="DY295" s="116"/>
      <c r="DZ295" s="116"/>
      <c r="EA295" s="116"/>
      <c r="EB295" s="116"/>
      <c r="EC295" s="116"/>
      <c r="ED295" s="116"/>
      <c r="EE295" s="116"/>
      <c r="EF295" s="116"/>
      <c r="EG295" s="116"/>
      <c r="EH295" s="116"/>
      <c r="EI295" s="116"/>
      <c r="EJ295" s="116"/>
      <c r="EK295" s="116"/>
      <c r="EL295" s="116"/>
      <c r="EM295" s="116"/>
      <c r="EN295" s="116"/>
      <c r="EO295" s="116"/>
      <c r="EP295" s="116"/>
      <c r="EQ295" s="116"/>
      <c r="ER295" s="116"/>
      <c r="ES295" s="116"/>
      <c r="ET295" s="116"/>
      <c r="EU295" s="116"/>
      <c r="EV295" s="116"/>
      <c r="EW295" s="116"/>
      <c r="EX295" s="116"/>
      <c r="EY295" s="116"/>
      <c r="EZ295" s="116"/>
      <c r="FA295" s="116"/>
      <c r="FB295" s="116"/>
      <c r="FC295" s="116"/>
      <c r="FD295" s="116"/>
      <c r="FE295" s="116"/>
      <c r="FF295" s="116"/>
      <c r="FG295" s="116"/>
      <c r="FH295" s="116"/>
      <c r="FI295" s="116"/>
      <c r="FJ295" s="116"/>
      <c r="FK295" s="116"/>
      <c r="FL295" s="116"/>
      <c r="FM295" s="116"/>
      <c r="FN295" s="116"/>
      <c r="FO295" s="116"/>
      <c r="FP295" s="116"/>
      <c r="FQ295" s="116"/>
      <c r="FR295" s="116"/>
      <c r="FS295" s="116"/>
      <c r="FT295" s="116"/>
      <c r="FU295" s="116"/>
      <c r="FV295" s="116"/>
      <c r="FW295" s="116"/>
      <c r="FX295" s="116"/>
      <c r="FY295" s="116"/>
      <c r="FZ295" s="116"/>
      <c r="GA295" s="116"/>
      <c r="GB295" s="116"/>
      <c r="GC295" s="116"/>
      <c r="GD295" s="116"/>
      <c r="GE295" s="116"/>
      <c r="GF295" s="116"/>
      <c r="GG295" s="116"/>
      <c r="GH295" s="116"/>
    </row>
    <row r="296" spans="2:190" ht="12.75">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6"/>
      <c r="AQ296" s="116"/>
      <c r="AR296" s="116"/>
      <c r="AS296" s="116"/>
      <c r="AT296" s="116"/>
      <c r="AU296" s="116"/>
      <c r="AV296" s="116"/>
      <c r="AW296" s="116"/>
      <c r="AX296" s="116"/>
      <c r="AY296" s="116"/>
      <c r="AZ296" s="116"/>
      <c r="BA296" s="116"/>
      <c r="BB296" s="116"/>
      <c r="BC296" s="116"/>
      <c r="BD296" s="116"/>
      <c r="BE296" s="116"/>
      <c r="BF296" s="116"/>
      <c r="BG296" s="116"/>
      <c r="BH296" s="116"/>
      <c r="BI296" s="116"/>
      <c r="BJ296" s="116"/>
      <c r="BK296" s="116"/>
      <c r="BL296" s="116"/>
      <c r="BM296" s="116"/>
      <c r="BN296" s="116"/>
      <c r="BO296" s="116"/>
      <c r="BP296" s="116"/>
      <c r="BQ296" s="116"/>
      <c r="BR296" s="116"/>
      <c r="BS296" s="116"/>
      <c r="BT296" s="116"/>
      <c r="BU296" s="116"/>
      <c r="BV296" s="116"/>
      <c r="BW296" s="116"/>
      <c r="BX296" s="116"/>
      <c r="BY296" s="116"/>
      <c r="BZ296" s="116"/>
      <c r="CA296" s="116"/>
      <c r="CB296" s="116"/>
      <c r="CC296" s="116"/>
      <c r="CD296" s="116"/>
      <c r="CE296" s="116"/>
      <c r="CF296" s="116"/>
      <c r="CG296" s="116"/>
      <c r="CH296" s="116"/>
      <c r="CI296" s="116"/>
      <c r="CJ296" s="116"/>
      <c r="CK296" s="116"/>
      <c r="CL296" s="116"/>
      <c r="CM296" s="116"/>
      <c r="CN296" s="116"/>
      <c r="CO296" s="116"/>
      <c r="CP296" s="116"/>
      <c r="CQ296" s="116"/>
      <c r="CR296" s="116"/>
      <c r="CS296" s="116"/>
      <c r="CT296" s="116"/>
      <c r="CU296" s="116"/>
      <c r="CV296" s="116"/>
      <c r="CW296" s="116"/>
      <c r="CX296" s="116"/>
      <c r="CY296" s="116"/>
      <c r="CZ296" s="116"/>
      <c r="DA296" s="116"/>
      <c r="DB296" s="116"/>
      <c r="DC296" s="116"/>
      <c r="DD296" s="116"/>
      <c r="DE296" s="116"/>
      <c r="DF296" s="116"/>
      <c r="DG296" s="116"/>
      <c r="DH296" s="116"/>
      <c r="DI296" s="116"/>
      <c r="DJ296" s="116"/>
      <c r="DK296" s="116"/>
      <c r="DL296" s="116"/>
      <c r="DM296" s="116"/>
      <c r="DN296" s="116"/>
      <c r="DO296" s="116"/>
      <c r="DP296" s="116"/>
      <c r="DQ296" s="116"/>
      <c r="DR296" s="116"/>
      <c r="DS296" s="116"/>
      <c r="DT296" s="116"/>
      <c r="DU296" s="116"/>
      <c r="DV296" s="116"/>
      <c r="DW296" s="116"/>
      <c r="DX296" s="116"/>
      <c r="DY296" s="116"/>
      <c r="DZ296" s="116"/>
      <c r="EA296" s="116"/>
      <c r="EB296" s="116"/>
      <c r="EC296" s="116"/>
      <c r="ED296" s="116"/>
      <c r="EE296" s="116"/>
      <c r="EF296" s="116"/>
      <c r="EG296" s="116"/>
      <c r="EH296" s="116"/>
      <c r="EI296" s="116"/>
      <c r="EJ296" s="116"/>
      <c r="EK296" s="116"/>
      <c r="EL296" s="116"/>
      <c r="EM296" s="116"/>
      <c r="EN296" s="116"/>
      <c r="EO296" s="116"/>
      <c r="EP296" s="116"/>
      <c r="EQ296" s="116"/>
      <c r="ER296" s="116"/>
      <c r="ES296" s="116"/>
      <c r="ET296" s="116"/>
      <c r="EU296" s="116"/>
      <c r="EV296" s="116"/>
      <c r="EW296" s="116"/>
      <c r="EX296" s="116"/>
      <c r="EY296" s="116"/>
      <c r="EZ296" s="116"/>
      <c r="FA296" s="116"/>
      <c r="FB296" s="116"/>
      <c r="FC296" s="116"/>
      <c r="FD296" s="116"/>
      <c r="FE296" s="116"/>
      <c r="FF296" s="116"/>
      <c r="FG296" s="116"/>
      <c r="FH296" s="116"/>
      <c r="FI296" s="116"/>
      <c r="FJ296" s="116"/>
      <c r="FK296" s="116"/>
      <c r="FL296" s="116"/>
      <c r="FM296" s="116"/>
      <c r="FN296" s="116"/>
      <c r="FO296" s="116"/>
      <c r="FP296" s="116"/>
      <c r="FQ296" s="116"/>
      <c r="FR296" s="116"/>
      <c r="FS296" s="116"/>
      <c r="FT296" s="116"/>
      <c r="FU296" s="116"/>
      <c r="FV296" s="116"/>
      <c r="FW296" s="116"/>
      <c r="FX296" s="116"/>
      <c r="FY296" s="116"/>
      <c r="FZ296" s="116"/>
      <c r="GA296" s="116"/>
      <c r="GB296" s="116"/>
      <c r="GC296" s="116"/>
      <c r="GD296" s="116"/>
      <c r="GE296" s="116"/>
      <c r="GF296" s="116"/>
      <c r="GG296" s="116"/>
      <c r="GH296" s="116"/>
    </row>
    <row r="297" spans="2:190" ht="12.75">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c r="BR297" s="116"/>
      <c r="BS297" s="116"/>
      <c r="BT297" s="116"/>
      <c r="BU297" s="116"/>
      <c r="BV297" s="116"/>
      <c r="BW297" s="116"/>
      <c r="BX297" s="116"/>
      <c r="BY297" s="116"/>
      <c r="BZ297" s="116"/>
      <c r="CA297" s="116"/>
      <c r="CB297" s="116"/>
      <c r="CC297" s="116"/>
      <c r="CD297" s="116"/>
      <c r="CE297" s="116"/>
      <c r="CF297" s="116"/>
      <c r="CG297" s="116"/>
      <c r="CH297" s="116"/>
      <c r="CI297" s="116"/>
      <c r="CJ297" s="116"/>
      <c r="CK297" s="116"/>
      <c r="CL297" s="116"/>
      <c r="CM297" s="116"/>
      <c r="CN297" s="116"/>
      <c r="CO297" s="116"/>
      <c r="CP297" s="116"/>
      <c r="CQ297" s="116"/>
      <c r="CR297" s="116"/>
      <c r="CS297" s="116"/>
      <c r="CT297" s="116"/>
      <c r="CU297" s="116"/>
      <c r="CV297" s="116"/>
      <c r="CW297" s="116"/>
      <c r="CX297" s="116"/>
      <c r="CY297" s="116"/>
      <c r="CZ297" s="116"/>
      <c r="DA297" s="116"/>
      <c r="DB297" s="116"/>
      <c r="DC297" s="116"/>
      <c r="DD297" s="116"/>
      <c r="DE297" s="116"/>
      <c r="DF297" s="116"/>
      <c r="DG297" s="116"/>
      <c r="DH297" s="116"/>
      <c r="DI297" s="116"/>
      <c r="DJ297" s="116"/>
      <c r="DK297" s="116"/>
      <c r="DL297" s="116"/>
      <c r="DM297" s="116"/>
      <c r="DN297" s="116"/>
      <c r="DO297" s="116"/>
      <c r="DP297" s="116"/>
      <c r="DQ297" s="116"/>
      <c r="DR297" s="116"/>
      <c r="DS297" s="116"/>
      <c r="DT297" s="116"/>
      <c r="DU297" s="116"/>
      <c r="DV297" s="116"/>
      <c r="DW297" s="116"/>
      <c r="DX297" s="116"/>
      <c r="DY297" s="116"/>
      <c r="DZ297" s="116"/>
      <c r="EA297" s="116"/>
      <c r="EB297" s="116"/>
      <c r="EC297" s="116"/>
      <c r="ED297" s="116"/>
      <c r="EE297" s="116"/>
      <c r="EF297" s="116"/>
      <c r="EG297" s="116"/>
      <c r="EH297" s="116"/>
      <c r="EI297" s="116"/>
      <c r="EJ297" s="116"/>
      <c r="EK297" s="116"/>
      <c r="EL297" s="116"/>
      <c r="EM297" s="116"/>
      <c r="EN297" s="116"/>
      <c r="EO297" s="116"/>
      <c r="EP297" s="116"/>
      <c r="EQ297" s="116"/>
      <c r="ER297" s="116"/>
      <c r="ES297" s="116"/>
      <c r="ET297" s="116"/>
      <c r="EU297" s="116"/>
      <c r="EV297" s="116"/>
      <c r="EW297" s="116"/>
      <c r="EX297" s="116"/>
      <c r="EY297" s="116"/>
      <c r="EZ297" s="116"/>
      <c r="FA297" s="116"/>
      <c r="FB297" s="116"/>
      <c r="FC297" s="116"/>
      <c r="FD297" s="116"/>
      <c r="FE297" s="116"/>
      <c r="FF297" s="116"/>
      <c r="FG297" s="116"/>
      <c r="FH297" s="116"/>
      <c r="FI297" s="116"/>
      <c r="FJ297" s="116"/>
      <c r="FK297" s="116"/>
      <c r="FL297" s="116"/>
      <c r="FM297" s="116"/>
      <c r="FN297" s="116"/>
      <c r="FO297" s="116"/>
      <c r="FP297" s="116"/>
      <c r="FQ297" s="116"/>
      <c r="FR297" s="116"/>
      <c r="FS297" s="116"/>
      <c r="FT297" s="116"/>
      <c r="FU297" s="116"/>
      <c r="FV297" s="116"/>
      <c r="FW297" s="116"/>
      <c r="FX297" s="116"/>
      <c r="FY297" s="116"/>
      <c r="FZ297" s="116"/>
      <c r="GA297" s="116"/>
      <c r="GB297" s="116"/>
      <c r="GC297" s="116"/>
      <c r="GD297" s="116"/>
      <c r="GE297" s="116"/>
      <c r="GF297" s="116"/>
      <c r="GG297" s="116"/>
      <c r="GH297" s="116"/>
    </row>
    <row r="298" spans="2:190" ht="12.75">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c r="BR298" s="116"/>
      <c r="BS298" s="116"/>
      <c r="BT298" s="116"/>
      <c r="BU298" s="116"/>
      <c r="BV298" s="116"/>
      <c r="BW298" s="116"/>
      <c r="BX298" s="116"/>
      <c r="BY298" s="116"/>
      <c r="BZ298" s="116"/>
      <c r="CA298" s="116"/>
      <c r="CB298" s="116"/>
      <c r="CC298" s="116"/>
      <c r="CD298" s="116"/>
      <c r="CE298" s="116"/>
      <c r="CF298" s="116"/>
      <c r="CG298" s="116"/>
      <c r="CH298" s="116"/>
      <c r="CI298" s="116"/>
      <c r="CJ298" s="116"/>
      <c r="CK298" s="116"/>
      <c r="CL298" s="116"/>
      <c r="CM298" s="116"/>
      <c r="CN298" s="116"/>
      <c r="CO298" s="116"/>
      <c r="CP298" s="116"/>
      <c r="CQ298" s="116"/>
      <c r="CR298" s="116"/>
      <c r="CS298" s="116"/>
      <c r="CT298" s="116"/>
      <c r="CU298" s="116"/>
      <c r="CV298" s="116"/>
      <c r="CW298" s="116"/>
      <c r="CX298" s="116"/>
      <c r="CY298" s="116"/>
      <c r="CZ298" s="116"/>
      <c r="DA298" s="116"/>
      <c r="DB298" s="116"/>
      <c r="DC298" s="116"/>
      <c r="DD298" s="116"/>
      <c r="DE298" s="116"/>
      <c r="DF298" s="116"/>
      <c r="DG298" s="116"/>
      <c r="DH298" s="116"/>
      <c r="DI298" s="116"/>
      <c r="DJ298" s="116"/>
      <c r="DK298" s="116"/>
      <c r="DL298" s="116"/>
      <c r="DM298" s="116"/>
      <c r="DN298" s="116"/>
      <c r="DO298" s="116"/>
      <c r="DP298" s="116"/>
      <c r="DQ298" s="116"/>
      <c r="DR298" s="116"/>
      <c r="DS298" s="116"/>
      <c r="DT298" s="116"/>
      <c r="DU298" s="116"/>
      <c r="DV298" s="116"/>
      <c r="DW298" s="116"/>
      <c r="DX298" s="116"/>
      <c r="DY298" s="116"/>
      <c r="DZ298" s="116"/>
      <c r="EA298" s="116"/>
      <c r="EB298" s="116"/>
      <c r="EC298" s="116"/>
      <c r="ED298" s="116"/>
      <c r="EE298" s="116"/>
      <c r="EF298" s="116"/>
      <c r="EG298" s="116"/>
      <c r="EH298" s="116"/>
      <c r="EI298" s="116"/>
      <c r="EJ298" s="116"/>
      <c r="EK298" s="116"/>
      <c r="EL298" s="116"/>
      <c r="EM298" s="116"/>
      <c r="EN298" s="116"/>
      <c r="EO298" s="116"/>
      <c r="EP298" s="116"/>
      <c r="EQ298" s="116"/>
      <c r="ER298" s="116"/>
      <c r="ES298" s="116"/>
      <c r="ET298" s="116"/>
      <c r="EU298" s="116"/>
      <c r="EV298" s="116"/>
      <c r="EW298" s="116"/>
      <c r="EX298" s="116"/>
      <c r="EY298" s="116"/>
      <c r="EZ298" s="116"/>
      <c r="FA298" s="116"/>
      <c r="FB298" s="116"/>
      <c r="FC298" s="116"/>
      <c r="FD298" s="116"/>
      <c r="FE298" s="116"/>
      <c r="FF298" s="116"/>
      <c r="FG298" s="116"/>
      <c r="FH298" s="116"/>
      <c r="FI298" s="116"/>
      <c r="FJ298" s="116"/>
      <c r="FK298" s="116"/>
      <c r="FL298" s="116"/>
      <c r="FM298" s="116"/>
      <c r="FN298" s="116"/>
      <c r="FO298" s="116"/>
      <c r="FP298" s="116"/>
      <c r="FQ298" s="116"/>
      <c r="FR298" s="116"/>
      <c r="FS298" s="116"/>
      <c r="FT298" s="116"/>
      <c r="FU298" s="116"/>
      <c r="FV298" s="116"/>
      <c r="FW298" s="116"/>
      <c r="FX298" s="116"/>
      <c r="FY298" s="116"/>
      <c r="FZ298" s="116"/>
      <c r="GA298" s="116"/>
      <c r="GB298" s="116"/>
      <c r="GC298" s="116"/>
      <c r="GD298" s="116"/>
      <c r="GE298" s="116"/>
      <c r="GF298" s="116"/>
      <c r="GG298" s="116"/>
      <c r="GH298" s="116"/>
    </row>
    <row r="299" spans="2:190" ht="12.75">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c r="BR299" s="116"/>
      <c r="BS299" s="116"/>
      <c r="BT299" s="116"/>
      <c r="BU299" s="116"/>
      <c r="BV299" s="116"/>
      <c r="BW299" s="116"/>
      <c r="BX299" s="116"/>
      <c r="BY299" s="116"/>
      <c r="BZ299" s="116"/>
      <c r="CA299" s="116"/>
      <c r="CB299" s="116"/>
      <c r="CC299" s="116"/>
      <c r="CD299" s="116"/>
      <c r="CE299" s="116"/>
      <c r="CF299" s="116"/>
      <c r="CG299" s="116"/>
      <c r="CH299" s="116"/>
      <c r="CI299" s="116"/>
      <c r="CJ299" s="116"/>
      <c r="CK299" s="116"/>
      <c r="CL299" s="116"/>
      <c r="CM299" s="116"/>
      <c r="CN299" s="116"/>
      <c r="CO299" s="116"/>
      <c r="CP299" s="116"/>
      <c r="CQ299" s="116"/>
      <c r="CR299" s="116"/>
      <c r="CS299" s="116"/>
      <c r="CT299" s="116"/>
      <c r="CU299" s="116"/>
      <c r="CV299" s="116"/>
      <c r="CW299" s="116"/>
      <c r="CX299" s="116"/>
      <c r="CY299" s="116"/>
      <c r="CZ299" s="116"/>
      <c r="DA299" s="116"/>
      <c r="DB299" s="116"/>
      <c r="DC299" s="116"/>
      <c r="DD299" s="116"/>
      <c r="DE299" s="116"/>
      <c r="DF299" s="116"/>
      <c r="DG299" s="116"/>
      <c r="DH299" s="116"/>
      <c r="DI299" s="116"/>
      <c r="DJ299" s="116"/>
      <c r="DK299" s="116"/>
      <c r="DL299" s="116"/>
      <c r="DM299" s="116"/>
      <c r="DN299" s="116"/>
      <c r="DO299" s="116"/>
      <c r="DP299" s="116"/>
      <c r="DQ299" s="116"/>
      <c r="DR299" s="116"/>
      <c r="DS299" s="116"/>
      <c r="DT299" s="116"/>
      <c r="DU299" s="116"/>
      <c r="DV299" s="116"/>
      <c r="DW299" s="116"/>
      <c r="DX299" s="116"/>
      <c r="DY299" s="116"/>
      <c r="DZ299" s="116"/>
      <c r="EA299" s="116"/>
      <c r="EB299" s="116"/>
      <c r="EC299" s="116"/>
      <c r="ED299" s="116"/>
      <c r="EE299" s="116"/>
      <c r="EF299" s="116"/>
      <c r="EG299" s="116"/>
      <c r="EH299" s="116"/>
      <c r="EI299" s="116"/>
      <c r="EJ299" s="116"/>
      <c r="EK299" s="116"/>
      <c r="EL299" s="116"/>
      <c r="EM299" s="116"/>
      <c r="EN299" s="116"/>
      <c r="EO299" s="116"/>
      <c r="EP299" s="116"/>
      <c r="EQ299" s="116"/>
      <c r="ER299" s="116"/>
      <c r="ES299" s="116"/>
      <c r="ET299" s="116"/>
      <c r="EU299" s="116"/>
      <c r="EV299" s="116"/>
      <c r="EW299" s="116"/>
      <c r="EX299" s="116"/>
      <c r="EY299" s="116"/>
      <c r="EZ299" s="116"/>
      <c r="FA299" s="116"/>
      <c r="FB299" s="116"/>
      <c r="FC299" s="116"/>
      <c r="FD299" s="116"/>
      <c r="FE299" s="116"/>
      <c r="FF299" s="116"/>
      <c r="FG299" s="116"/>
      <c r="FH299" s="116"/>
      <c r="FI299" s="116"/>
      <c r="FJ299" s="116"/>
      <c r="FK299" s="116"/>
      <c r="FL299" s="116"/>
      <c r="FM299" s="116"/>
      <c r="FN299" s="116"/>
      <c r="FO299" s="116"/>
      <c r="FP299" s="116"/>
      <c r="FQ299" s="116"/>
      <c r="FR299" s="116"/>
      <c r="FS299" s="116"/>
      <c r="FT299" s="116"/>
      <c r="FU299" s="116"/>
      <c r="FV299" s="116"/>
      <c r="FW299" s="116"/>
      <c r="FX299" s="116"/>
      <c r="FY299" s="116"/>
      <c r="FZ299" s="116"/>
      <c r="GA299" s="116"/>
      <c r="GB299" s="116"/>
      <c r="GC299" s="116"/>
      <c r="GD299" s="116"/>
      <c r="GE299" s="116"/>
      <c r="GF299" s="116"/>
      <c r="GG299" s="116"/>
      <c r="GH299" s="116"/>
    </row>
    <row r="300" spans="2:190" ht="12.75">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c r="BR300" s="116"/>
      <c r="BS300" s="116"/>
      <c r="BT300" s="116"/>
      <c r="BU300" s="116"/>
      <c r="BV300" s="116"/>
      <c r="BW300" s="116"/>
      <c r="BX300" s="116"/>
      <c r="BY300" s="116"/>
      <c r="BZ300" s="116"/>
      <c r="CA300" s="116"/>
      <c r="CB300" s="116"/>
      <c r="CC300" s="116"/>
      <c r="CD300" s="116"/>
      <c r="CE300" s="116"/>
      <c r="CF300" s="116"/>
      <c r="CG300" s="116"/>
      <c r="CH300" s="116"/>
      <c r="CI300" s="116"/>
      <c r="CJ300" s="116"/>
      <c r="CK300" s="116"/>
      <c r="CL300" s="116"/>
      <c r="CM300" s="116"/>
      <c r="CN300" s="116"/>
      <c r="CO300" s="116"/>
      <c r="CP300" s="116"/>
      <c r="CQ300" s="116"/>
      <c r="CR300" s="116"/>
      <c r="CS300" s="116"/>
      <c r="CT300" s="116"/>
      <c r="CU300" s="116"/>
      <c r="CV300" s="116"/>
      <c r="CW300" s="116"/>
      <c r="CX300" s="116"/>
      <c r="CY300" s="116"/>
      <c r="CZ300" s="116"/>
      <c r="DA300" s="116"/>
      <c r="DB300" s="116"/>
      <c r="DC300" s="116"/>
      <c r="DD300" s="116"/>
      <c r="DE300" s="116"/>
      <c r="DF300" s="116"/>
      <c r="DG300" s="116"/>
      <c r="DH300" s="116"/>
      <c r="DI300" s="116"/>
      <c r="DJ300" s="116"/>
      <c r="DK300" s="116"/>
      <c r="DL300" s="116"/>
      <c r="DM300" s="116"/>
      <c r="DN300" s="116"/>
      <c r="DO300" s="116"/>
      <c r="DP300" s="116"/>
      <c r="DQ300" s="116"/>
      <c r="DR300" s="116"/>
      <c r="DS300" s="116"/>
      <c r="DT300" s="116"/>
      <c r="DU300" s="116"/>
      <c r="DV300" s="116"/>
      <c r="DW300" s="116"/>
      <c r="DX300" s="116"/>
      <c r="DY300" s="116"/>
      <c r="DZ300" s="116"/>
      <c r="EA300" s="116"/>
      <c r="EB300" s="116"/>
      <c r="EC300" s="116"/>
      <c r="ED300" s="116"/>
      <c r="EE300" s="116"/>
      <c r="EF300" s="116"/>
      <c r="EG300" s="116"/>
      <c r="EH300" s="116"/>
      <c r="EI300" s="116"/>
      <c r="EJ300" s="116"/>
      <c r="EK300" s="116"/>
      <c r="EL300" s="116"/>
      <c r="EM300" s="116"/>
      <c r="EN300" s="116"/>
      <c r="EO300" s="116"/>
      <c r="EP300" s="116"/>
      <c r="EQ300" s="116"/>
      <c r="ER300" s="116"/>
      <c r="ES300" s="116"/>
      <c r="ET300" s="116"/>
      <c r="EU300" s="116"/>
      <c r="EV300" s="116"/>
      <c r="EW300" s="116"/>
      <c r="EX300" s="116"/>
      <c r="EY300" s="116"/>
      <c r="EZ300" s="116"/>
      <c r="FA300" s="116"/>
      <c r="FB300" s="116"/>
      <c r="FC300" s="116"/>
      <c r="FD300" s="116"/>
      <c r="FE300" s="116"/>
      <c r="FF300" s="116"/>
      <c r="FG300" s="116"/>
      <c r="FH300" s="116"/>
      <c r="FI300" s="116"/>
      <c r="FJ300" s="116"/>
      <c r="FK300" s="116"/>
      <c r="FL300" s="116"/>
      <c r="FM300" s="116"/>
      <c r="FN300" s="116"/>
      <c r="FO300" s="116"/>
      <c r="FP300" s="116"/>
      <c r="FQ300" s="116"/>
      <c r="FR300" s="116"/>
      <c r="FS300" s="116"/>
      <c r="FT300" s="116"/>
      <c r="FU300" s="116"/>
      <c r="FV300" s="116"/>
      <c r="FW300" s="116"/>
      <c r="FX300" s="116"/>
      <c r="FY300" s="116"/>
      <c r="FZ300" s="116"/>
      <c r="GA300" s="116"/>
      <c r="GB300" s="116"/>
      <c r="GC300" s="116"/>
      <c r="GD300" s="116"/>
      <c r="GE300" s="116"/>
      <c r="GF300" s="116"/>
      <c r="GG300" s="116"/>
      <c r="GH300" s="116"/>
    </row>
    <row r="301" spans="2:190" ht="12.75">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16"/>
      <c r="BG301" s="116"/>
      <c r="BH301" s="116"/>
      <c r="BI301" s="116"/>
      <c r="BJ301" s="116"/>
      <c r="BK301" s="116"/>
      <c r="BL301" s="116"/>
      <c r="BM301" s="116"/>
      <c r="BN301" s="116"/>
      <c r="BO301" s="116"/>
      <c r="BP301" s="116"/>
      <c r="BQ301" s="116"/>
      <c r="BR301" s="116"/>
      <c r="BS301" s="116"/>
      <c r="BT301" s="116"/>
      <c r="BU301" s="116"/>
      <c r="BV301" s="116"/>
      <c r="BW301" s="116"/>
      <c r="BX301" s="116"/>
      <c r="BY301" s="116"/>
      <c r="BZ301" s="116"/>
      <c r="CA301" s="116"/>
      <c r="CB301" s="116"/>
      <c r="CC301" s="116"/>
      <c r="CD301" s="116"/>
      <c r="CE301" s="116"/>
      <c r="CF301" s="116"/>
      <c r="CG301" s="116"/>
      <c r="CH301" s="116"/>
      <c r="CI301" s="116"/>
      <c r="CJ301" s="116"/>
      <c r="CK301" s="116"/>
      <c r="CL301" s="116"/>
      <c r="CM301" s="116"/>
      <c r="CN301" s="116"/>
      <c r="CO301" s="116"/>
      <c r="CP301" s="116"/>
      <c r="CQ301" s="116"/>
      <c r="CR301" s="116"/>
      <c r="CS301" s="116"/>
      <c r="CT301" s="116"/>
      <c r="CU301" s="116"/>
      <c r="CV301" s="116"/>
      <c r="CW301" s="116"/>
      <c r="CX301" s="116"/>
      <c r="CY301" s="116"/>
      <c r="CZ301" s="116"/>
      <c r="DA301" s="116"/>
      <c r="DB301" s="116"/>
      <c r="DC301" s="116"/>
      <c r="DD301" s="116"/>
      <c r="DE301" s="116"/>
      <c r="DF301" s="116"/>
      <c r="DG301" s="116"/>
      <c r="DH301" s="116"/>
      <c r="DI301" s="116"/>
      <c r="DJ301" s="116"/>
      <c r="DK301" s="116"/>
      <c r="DL301" s="116"/>
      <c r="DM301" s="116"/>
      <c r="DN301" s="116"/>
      <c r="DO301" s="116"/>
      <c r="DP301" s="116"/>
      <c r="DQ301" s="116"/>
      <c r="DR301" s="116"/>
      <c r="DS301" s="116"/>
      <c r="DT301" s="116"/>
      <c r="DU301" s="116"/>
      <c r="DV301" s="116"/>
      <c r="DW301" s="116"/>
      <c r="DX301" s="116"/>
      <c r="DY301" s="116"/>
      <c r="DZ301" s="116"/>
      <c r="EA301" s="116"/>
      <c r="EB301" s="116"/>
      <c r="EC301" s="116"/>
      <c r="ED301" s="116"/>
      <c r="EE301" s="116"/>
      <c r="EF301" s="116"/>
      <c r="EG301" s="116"/>
      <c r="EH301" s="116"/>
      <c r="EI301" s="116"/>
      <c r="EJ301" s="116"/>
      <c r="EK301" s="116"/>
      <c r="EL301" s="116"/>
      <c r="EM301" s="116"/>
      <c r="EN301" s="116"/>
      <c r="EO301" s="116"/>
      <c r="EP301" s="116"/>
      <c r="EQ301" s="116"/>
      <c r="ER301" s="116"/>
      <c r="ES301" s="116"/>
      <c r="ET301" s="116"/>
      <c r="EU301" s="116"/>
      <c r="EV301" s="116"/>
      <c r="EW301" s="116"/>
      <c r="EX301" s="116"/>
      <c r="EY301" s="116"/>
      <c r="EZ301" s="116"/>
      <c r="FA301" s="116"/>
      <c r="FB301" s="116"/>
      <c r="FC301" s="116"/>
      <c r="FD301" s="116"/>
      <c r="FE301" s="116"/>
      <c r="FF301" s="116"/>
      <c r="FG301" s="116"/>
      <c r="FH301" s="116"/>
      <c r="FI301" s="116"/>
      <c r="FJ301" s="116"/>
      <c r="FK301" s="116"/>
      <c r="FL301" s="116"/>
      <c r="FM301" s="116"/>
      <c r="FN301" s="116"/>
      <c r="FO301" s="116"/>
      <c r="FP301" s="116"/>
      <c r="FQ301" s="116"/>
      <c r="FR301" s="116"/>
      <c r="FS301" s="116"/>
      <c r="FT301" s="116"/>
      <c r="FU301" s="116"/>
      <c r="FV301" s="116"/>
      <c r="FW301" s="116"/>
      <c r="FX301" s="116"/>
      <c r="FY301" s="116"/>
      <c r="FZ301" s="116"/>
      <c r="GA301" s="116"/>
      <c r="GB301" s="116"/>
      <c r="GC301" s="116"/>
      <c r="GD301" s="116"/>
      <c r="GE301" s="116"/>
      <c r="GF301" s="116"/>
      <c r="GG301" s="116"/>
      <c r="GH301" s="116"/>
    </row>
    <row r="302" spans="2:190" ht="12.75">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6"/>
      <c r="AL302" s="116"/>
      <c r="AM302" s="116"/>
      <c r="AN302" s="116"/>
      <c r="AO302" s="116"/>
      <c r="AP302" s="116"/>
      <c r="AQ302" s="116"/>
      <c r="AR302" s="116"/>
      <c r="AS302" s="116"/>
      <c r="AT302" s="116"/>
      <c r="AU302" s="116"/>
      <c r="AV302" s="116"/>
      <c r="AW302" s="116"/>
      <c r="AX302" s="116"/>
      <c r="AY302" s="116"/>
      <c r="AZ302" s="116"/>
      <c r="BA302" s="116"/>
      <c r="BB302" s="116"/>
      <c r="BC302" s="116"/>
      <c r="BD302" s="116"/>
      <c r="BE302" s="116"/>
      <c r="BF302" s="116"/>
      <c r="BG302" s="116"/>
      <c r="BH302" s="116"/>
      <c r="BI302" s="116"/>
      <c r="BJ302" s="116"/>
      <c r="BK302" s="116"/>
      <c r="BL302" s="116"/>
      <c r="BM302" s="116"/>
      <c r="BN302" s="116"/>
      <c r="BO302" s="116"/>
      <c r="BP302" s="116"/>
      <c r="BQ302" s="116"/>
      <c r="BR302" s="116"/>
      <c r="BS302" s="116"/>
      <c r="BT302" s="116"/>
      <c r="BU302" s="116"/>
      <c r="BV302" s="116"/>
      <c r="BW302" s="116"/>
      <c r="BX302" s="116"/>
      <c r="BY302" s="116"/>
      <c r="BZ302" s="116"/>
      <c r="CA302" s="116"/>
      <c r="CB302" s="116"/>
      <c r="CC302" s="116"/>
      <c r="CD302" s="116"/>
      <c r="CE302" s="116"/>
      <c r="CF302" s="116"/>
      <c r="CG302" s="116"/>
      <c r="CH302" s="116"/>
      <c r="CI302" s="116"/>
      <c r="CJ302" s="116"/>
      <c r="CK302" s="116"/>
      <c r="CL302" s="116"/>
      <c r="CM302" s="116"/>
      <c r="CN302" s="116"/>
      <c r="CO302" s="116"/>
      <c r="CP302" s="116"/>
      <c r="CQ302" s="116"/>
      <c r="CR302" s="116"/>
      <c r="CS302" s="116"/>
      <c r="CT302" s="116"/>
      <c r="CU302" s="116"/>
      <c r="CV302" s="116"/>
      <c r="CW302" s="116"/>
      <c r="CX302" s="116"/>
      <c r="CY302" s="116"/>
      <c r="CZ302" s="116"/>
      <c r="DA302" s="116"/>
      <c r="DB302" s="116"/>
      <c r="DC302" s="116"/>
      <c r="DD302" s="116"/>
      <c r="DE302" s="116"/>
      <c r="DF302" s="116"/>
      <c r="DG302" s="116"/>
      <c r="DH302" s="116"/>
      <c r="DI302" s="116"/>
      <c r="DJ302" s="116"/>
      <c r="DK302" s="116"/>
      <c r="DL302" s="116"/>
      <c r="DM302" s="116"/>
      <c r="DN302" s="116"/>
      <c r="DO302" s="116"/>
      <c r="DP302" s="116"/>
      <c r="DQ302" s="116"/>
      <c r="DR302" s="116"/>
      <c r="DS302" s="116"/>
      <c r="DT302" s="116"/>
      <c r="DU302" s="116"/>
      <c r="DV302" s="116"/>
      <c r="DW302" s="116"/>
      <c r="DX302" s="116"/>
      <c r="DY302" s="116"/>
      <c r="DZ302" s="116"/>
      <c r="EA302" s="116"/>
      <c r="EB302" s="116"/>
      <c r="EC302" s="116"/>
      <c r="ED302" s="116"/>
      <c r="EE302" s="116"/>
      <c r="EF302" s="116"/>
      <c r="EG302" s="116"/>
      <c r="EH302" s="116"/>
      <c r="EI302" s="116"/>
      <c r="EJ302" s="116"/>
      <c r="EK302" s="116"/>
      <c r="EL302" s="116"/>
      <c r="EM302" s="116"/>
      <c r="EN302" s="116"/>
      <c r="EO302" s="116"/>
      <c r="EP302" s="116"/>
      <c r="EQ302" s="116"/>
      <c r="ER302" s="116"/>
      <c r="ES302" s="116"/>
      <c r="ET302" s="116"/>
      <c r="EU302" s="116"/>
      <c r="EV302" s="116"/>
      <c r="EW302" s="116"/>
      <c r="EX302" s="116"/>
      <c r="EY302" s="116"/>
      <c r="EZ302" s="116"/>
      <c r="FA302" s="116"/>
      <c r="FB302" s="116"/>
      <c r="FC302" s="116"/>
      <c r="FD302" s="116"/>
      <c r="FE302" s="116"/>
      <c r="FF302" s="116"/>
      <c r="FG302" s="116"/>
      <c r="FH302" s="116"/>
      <c r="FI302" s="116"/>
      <c r="FJ302" s="116"/>
      <c r="FK302" s="116"/>
      <c r="FL302" s="116"/>
      <c r="FM302" s="116"/>
      <c r="FN302" s="116"/>
      <c r="FO302" s="116"/>
      <c r="FP302" s="116"/>
      <c r="FQ302" s="116"/>
      <c r="FR302" s="116"/>
      <c r="FS302" s="116"/>
      <c r="FT302" s="116"/>
      <c r="FU302" s="116"/>
      <c r="FV302" s="116"/>
      <c r="FW302" s="116"/>
      <c r="FX302" s="116"/>
      <c r="FY302" s="116"/>
      <c r="FZ302" s="116"/>
      <c r="GA302" s="116"/>
      <c r="GB302" s="116"/>
      <c r="GC302" s="116"/>
      <c r="GD302" s="116"/>
      <c r="GE302" s="116"/>
      <c r="GF302" s="116"/>
      <c r="GG302" s="116"/>
      <c r="GH302" s="116"/>
    </row>
    <row r="303" spans="2:190" ht="12.75">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c r="BR303" s="116"/>
      <c r="BS303" s="116"/>
      <c r="BT303" s="116"/>
      <c r="BU303" s="116"/>
      <c r="BV303" s="116"/>
      <c r="BW303" s="116"/>
      <c r="BX303" s="116"/>
      <c r="BY303" s="116"/>
      <c r="BZ303" s="116"/>
      <c r="CA303" s="116"/>
      <c r="CB303" s="116"/>
      <c r="CC303" s="116"/>
      <c r="CD303" s="116"/>
      <c r="CE303" s="116"/>
      <c r="CF303" s="116"/>
      <c r="CG303" s="116"/>
      <c r="CH303" s="116"/>
      <c r="CI303" s="116"/>
      <c r="CJ303" s="116"/>
      <c r="CK303" s="116"/>
      <c r="CL303" s="116"/>
      <c r="CM303" s="116"/>
      <c r="CN303" s="116"/>
      <c r="CO303" s="116"/>
      <c r="CP303" s="116"/>
      <c r="CQ303" s="116"/>
      <c r="CR303" s="116"/>
      <c r="CS303" s="116"/>
      <c r="CT303" s="116"/>
      <c r="CU303" s="116"/>
      <c r="CV303" s="116"/>
      <c r="CW303" s="116"/>
      <c r="CX303" s="116"/>
      <c r="CY303" s="116"/>
      <c r="CZ303" s="116"/>
      <c r="DA303" s="116"/>
      <c r="DB303" s="116"/>
      <c r="DC303" s="116"/>
      <c r="DD303" s="116"/>
      <c r="DE303" s="116"/>
      <c r="DF303" s="116"/>
      <c r="DG303" s="116"/>
      <c r="DH303" s="116"/>
      <c r="DI303" s="116"/>
      <c r="DJ303" s="116"/>
      <c r="DK303" s="116"/>
      <c r="DL303" s="116"/>
      <c r="DM303" s="116"/>
      <c r="DN303" s="116"/>
      <c r="DO303" s="116"/>
      <c r="DP303" s="116"/>
      <c r="DQ303" s="116"/>
      <c r="DR303" s="116"/>
      <c r="DS303" s="116"/>
      <c r="DT303" s="116"/>
      <c r="DU303" s="116"/>
      <c r="DV303" s="116"/>
      <c r="DW303" s="116"/>
      <c r="DX303" s="116"/>
      <c r="DY303" s="116"/>
      <c r="DZ303" s="116"/>
      <c r="EA303" s="116"/>
      <c r="EB303" s="116"/>
      <c r="EC303" s="116"/>
      <c r="ED303" s="116"/>
      <c r="EE303" s="116"/>
      <c r="EF303" s="116"/>
      <c r="EG303" s="116"/>
      <c r="EH303" s="116"/>
      <c r="EI303" s="116"/>
      <c r="EJ303" s="116"/>
      <c r="EK303" s="116"/>
      <c r="EL303" s="116"/>
      <c r="EM303" s="116"/>
      <c r="EN303" s="116"/>
      <c r="EO303" s="116"/>
      <c r="EP303" s="116"/>
      <c r="EQ303" s="116"/>
      <c r="ER303" s="116"/>
      <c r="ES303" s="116"/>
      <c r="ET303" s="116"/>
      <c r="EU303" s="116"/>
      <c r="EV303" s="116"/>
      <c r="EW303" s="116"/>
      <c r="EX303" s="116"/>
      <c r="EY303" s="116"/>
      <c r="EZ303" s="116"/>
      <c r="FA303" s="116"/>
      <c r="FB303" s="116"/>
      <c r="FC303" s="116"/>
      <c r="FD303" s="116"/>
      <c r="FE303" s="116"/>
      <c r="FF303" s="116"/>
      <c r="FG303" s="116"/>
      <c r="FH303" s="116"/>
      <c r="FI303" s="116"/>
      <c r="FJ303" s="116"/>
      <c r="FK303" s="116"/>
      <c r="FL303" s="116"/>
      <c r="FM303" s="116"/>
      <c r="FN303" s="116"/>
      <c r="FO303" s="116"/>
      <c r="FP303" s="116"/>
      <c r="FQ303" s="116"/>
      <c r="FR303" s="116"/>
      <c r="FS303" s="116"/>
      <c r="FT303" s="116"/>
      <c r="FU303" s="116"/>
      <c r="FV303" s="116"/>
      <c r="FW303" s="116"/>
      <c r="FX303" s="116"/>
      <c r="FY303" s="116"/>
      <c r="FZ303" s="116"/>
      <c r="GA303" s="116"/>
      <c r="GB303" s="116"/>
      <c r="GC303" s="116"/>
      <c r="GD303" s="116"/>
      <c r="GE303" s="116"/>
      <c r="GF303" s="116"/>
      <c r="GG303" s="116"/>
      <c r="GH303" s="116"/>
    </row>
    <row r="304" spans="2:190" ht="12.75">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c r="BR304" s="116"/>
      <c r="BS304" s="116"/>
      <c r="BT304" s="116"/>
      <c r="BU304" s="116"/>
      <c r="BV304" s="116"/>
      <c r="BW304" s="116"/>
      <c r="BX304" s="116"/>
      <c r="BY304" s="116"/>
      <c r="BZ304" s="116"/>
      <c r="CA304" s="116"/>
      <c r="CB304" s="116"/>
      <c r="CC304" s="116"/>
      <c r="CD304" s="116"/>
      <c r="CE304" s="116"/>
      <c r="CF304" s="116"/>
      <c r="CG304" s="116"/>
      <c r="CH304" s="116"/>
      <c r="CI304" s="116"/>
      <c r="CJ304" s="116"/>
      <c r="CK304" s="116"/>
      <c r="CL304" s="116"/>
      <c r="CM304" s="116"/>
      <c r="CN304" s="116"/>
      <c r="CO304" s="116"/>
      <c r="CP304" s="116"/>
      <c r="CQ304" s="116"/>
      <c r="CR304" s="116"/>
      <c r="CS304" s="116"/>
      <c r="CT304" s="116"/>
      <c r="CU304" s="116"/>
      <c r="CV304" s="116"/>
      <c r="CW304" s="116"/>
      <c r="CX304" s="116"/>
      <c r="CY304" s="116"/>
      <c r="CZ304" s="116"/>
      <c r="DA304" s="116"/>
      <c r="DB304" s="116"/>
      <c r="DC304" s="116"/>
      <c r="DD304" s="116"/>
      <c r="DE304" s="116"/>
      <c r="DF304" s="116"/>
      <c r="DG304" s="116"/>
      <c r="DH304" s="116"/>
      <c r="DI304" s="116"/>
      <c r="DJ304" s="116"/>
      <c r="DK304" s="116"/>
      <c r="DL304" s="116"/>
      <c r="DM304" s="116"/>
      <c r="DN304" s="116"/>
      <c r="DO304" s="116"/>
      <c r="DP304" s="116"/>
      <c r="DQ304" s="116"/>
      <c r="DR304" s="116"/>
      <c r="DS304" s="116"/>
      <c r="DT304" s="116"/>
      <c r="DU304" s="116"/>
      <c r="DV304" s="116"/>
      <c r="DW304" s="116"/>
      <c r="DX304" s="116"/>
      <c r="DY304" s="116"/>
      <c r="DZ304" s="116"/>
      <c r="EA304" s="116"/>
      <c r="EB304" s="116"/>
      <c r="EC304" s="116"/>
      <c r="ED304" s="116"/>
      <c r="EE304" s="116"/>
      <c r="EF304" s="116"/>
      <c r="EG304" s="116"/>
      <c r="EH304" s="116"/>
      <c r="EI304" s="116"/>
      <c r="EJ304" s="116"/>
      <c r="EK304" s="116"/>
      <c r="EL304" s="116"/>
      <c r="EM304" s="116"/>
      <c r="EN304" s="116"/>
      <c r="EO304" s="116"/>
      <c r="EP304" s="116"/>
      <c r="EQ304" s="116"/>
      <c r="ER304" s="116"/>
      <c r="ES304" s="116"/>
      <c r="ET304" s="116"/>
      <c r="EU304" s="116"/>
      <c r="EV304" s="116"/>
      <c r="EW304" s="116"/>
      <c r="EX304" s="116"/>
      <c r="EY304" s="116"/>
      <c r="EZ304" s="116"/>
      <c r="FA304" s="116"/>
      <c r="FB304" s="116"/>
      <c r="FC304" s="116"/>
      <c r="FD304" s="116"/>
      <c r="FE304" s="116"/>
      <c r="FF304" s="116"/>
      <c r="FG304" s="116"/>
      <c r="FH304" s="116"/>
      <c r="FI304" s="116"/>
      <c r="FJ304" s="116"/>
      <c r="FK304" s="116"/>
      <c r="FL304" s="116"/>
      <c r="FM304" s="116"/>
      <c r="FN304" s="116"/>
      <c r="FO304" s="116"/>
      <c r="FP304" s="116"/>
      <c r="FQ304" s="116"/>
      <c r="FR304" s="116"/>
      <c r="FS304" s="116"/>
      <c r="FT304" s="116"/>
      <c r="FU304" s="116"/>
      <c r="FV304" s="116"/>
      <c r="FW304" s="116"/>
      <c r="FX304" s="116"/>
      <c r="FY304" s="116"/>
      <c r="FZ304" s="116"/>
      <c r="GA304" s="116"/>
      <c r="GB304" s="116"/>
      <c r="GC304" s="116"/>
      <c r="GD304" s="116"/>
      <c r="GE304" s="116"/>
      <c r="GF304" s="116"/>
      <c r="GG304" s="116"/>
      <c r="GH304" s="116"/>
    </row>
    <row r="305" spans="2:190" ht="12.75">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c r="BR305" s="116"/>
      <c r="BS305" s="116"/>
      <c r="BT305" s="116"/>
      <c r="BU305" s="116"/>
      <c r="BV305" s="116"/>
      <c r="BW305" s="116"/>
      <c r="BX305" s="116"/>
      <c r="BY305" s="116"/>
      <c r="BZ305" s="116"/>
      <c r="CA305" s="116"/>
      <c r="CB305" s="116"/>
      <c r="CC305" s="116"/>
      <c r="CD305" s="116"/>
      <c r="CE305" s="116"/>
      <c r="CF305" s="116"/>
      <c r="CG305" s="116"/>
      <c r="CH305" s="116"/>
      <c r="CI305" s="116"/>
      <c r="CJ305" s="116"/>
      <c r="CK305" s="116"/>
      <c r="CL305" s="116"/>
      <c r="CM305" s="116"/>
      <c r="CN305" s="116"/>
      <c r="CO305" s="116"/>
      <c r="CP305" s="116"/>
      <c r="CQ305" s="116"/>
      <c r="CR305" s="116"/>
      <c r="CS305" s="116"/>
      <c r="CT305" s="116"/>
      <c r="CU305" s="116"/>
      <c r="CV305" s="116"/>
      <c r="CW305" s="116"/>
      <c r="CX305" s="116"/>
      <c r="CY305" s="116"/>
      <c r="CZ305" s="116"/>
      <c r="DA305" s="116"/>
      <c r="DB305" s="116"/>
      <c r="DC305" s="116"/>
      <c r="DD305" s="116"/>
      <c r="DE305" s="116"/>
      <c r="DF305" s="116"/>
      <c r="DG305" s="116"/>
      <c r="DH305" s="116"/>
      <c r="DI305" s="116"/>
      <c r="DJ305" s="116"/>
      <c r="DK305" s="116"/>
      <c r="DL305" s="116"/>
      <c r="DM305" s="116"/>
      <c r="DN305" s="116"/>
      <c r="DO305" s="116"/>
      <c r="DP305" s="116"/>
      <c r="DQ305" s="116"/>
      <c r="DR305" s="116"/>
      <c r="DS305" s="116"/>
      <c r="DT305" s="116"/>
      <c r="DU305" s="116"/>
      <c r="DV305" s="116"/>
      <c r="DW305" s="116"/>
      <c r="DX305" s="116"/>
      <c r="DY305" s="116"/>
      <c r="DZ305" s="116"/>
      <c r="EA305" s="116"/>
      <c r="EB305" s="116"/>
      <c r="EC305" s="116"/>
      <c r="ED305" s="116"/>
      <c r="EE305" s="116"/>
      <c r="EF305" s="116"/>
      <c r="EG305" s="116"/>
      <c r="EH305" s="116"/>
      <c r="EI305" s="116"/>
      <c r="EJ305" s="116"/>
      <c r="EK305" s="116"/>
      <c r="EL305" s="116"/>
      <c r="EM305" s="116"/>
      <c r="EN305" s="116"/>
      <c r="EO305" s="116"/>
      <c r="EP305" s="116"/>
      <c r="EQ305" s="116"/>
      <c r="ER305" s="116"/>
      <c r="ES305" s="116"/>
      <c r="ET305" s="116"/>
      <c r="EU305" s="116"/>
      <c r="EV305" s="116"/>
      <c r="EW305" s="116"/>
      <c r="EX305" s="116"/>
      <c r="EY305" s="116"/>
      <c r="EZ305" s="116"/>
      <c r="FA305" s="116"/>
      <c r="FB305" s="116"/>
      <c r="FC305" s="116"/>
      <c r="FD305" s="116"/>
      <c r="FE305" s="116"/>
      <c r="FF305" s="116"/>
      <c r="FG305" s="116"/>
      <c r="FH305" s="116"/>
      <c r="FI305" s="116"/>
      <c r="FJ305" s="116"/>
      <c r="FK305" s="116"/>
      <c r="FL305" s="116"/>
      <c r="FM305" s="116"/>
      <c r="FN305" s="116"/>
      <c r="FO305" s="116"/>
      <c r="FP305" s="116"/>
      <c r="FQ305" s="116"/>
      <c r="FR305" s="116"/>
      <c r="FS305" s="116"/>
      <c r="FT305" s="116"/>
      <c r="FU305" s="116"/>
      <c r="FV305" s="116"/>
      <c r="FW305" s="116"/>
      <c r="FX305" s="116"/>
      <c r="FY305" s="116"/>
      <c r="FZ305" s="116"/>
      <c r="GA305" s="116"/>
      <c r="GB305" s="116"/>
      <c r="GC305" s="116"/>
      <c r="GD305" s="116"/>
      <c r="GE305" s="116"/>
      <c r="GF305" s="116"/>
      <c r="GG305" s="116"/>
      <c r="GH305" s="116"/>
    </row>
    <row r="306" spans="2:190" ht="12.75">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c r="BR306" s="116"/>
      <c r="BS306" s="116"/>
      <c r="BT306" s="116"/>
      <c r="BU306" s="116"/>
      <c r="BV306" s="116"/>
      <c r="BW306" s="116"/>
      <c r="BX306" s="116"/>
      <c r="BY306" s="116"/>
      <c r="BZ306" s="116"/>
      <c r="CA306" s="116"/>
      <c r="CB306" s="116"/>
      <c r="CC306" s="116"/>
      <c r="CD306" s="116"/>
      <c r="CE306" s="116"/>
      <c r="CF306" s="116"/>
      <c r="CG306" s="116"/>
      <c r="CH306" s="116"/>
      <c r="CI306" s="116"/>
      <c r="CJ306" s="116"/>
      <c r="CK306" s="116"/>
      <c r="CL306" s="116"/>
      <c r="CM306" s="116"/>
      <c r="CN306" s="116"/>
      <c r="CO306" s="116"/>
      <c r="CP306" s="116"/>
      <c r="CQ306" s="116"/>
      <c r="CR306" s="116"/>
      <c r="CS306" s="116"/>
      <c r="CT306" s="116"/>
      <c r="CU306" s="116"/>
      <c r="CV306" s="116"/>
      <c r="CW306" s="116"/>
      <c r="CX306" s="116"/>
      <c r="CY306" s="116"/>
      <c r="CZ306" s="116"/>
      <c r="DA306" s="116"/>
      <c r="DB306" s="116"/>
      <c r="DC306" s="116"/>
      <c r="DD306" s="116"/>
      <c r="DE306" s="116"/>
      <c r="DF306" s="116"/>
      <c r="DG306" s="116"/>
      <c r="DH306" s="116"/>
      <c r="DI306" s="116"/>
      <c r="DJ306" s="116"/>
      <c r="DK306" s="116"/>
      <c r="DL306" s="116"/>
      <c r="DM306" s="116"/>
      <c r="DN306" s="116"/>
      <c r="DO306" s="116"/>
      <c r="DP306" s="116"/>
      <c r="DQ306" s="116"/>
      <c r="DR306" s="116"/>
      <c r="DS306" s="116"/>
      <c r="DT306" s="116"/>
      <c r="DU306" s="116"/>
      <c r="DV306" s="116"/>
      <c r="DW306" s="116"/>
      <c r="DX306" s="116"/>
      <c r="DY306" s="116"/>
      <c r="DZ306" s="116"/>
      <c r="EA306" s="116"/>
      <c r="EB306" s="116"/>
      <c r="EC306" s="116"/>
      <c r="ED306" s="116"/>
      <c r="EE306" s="116"/>
      <c r="EF306" s="116"/>
      <c r="EG306" s="116"/>
      <c r="EH306" s="116"/>
      <c r="EI306" s="116"/>
      <c r="EJ306" s="116"/>
      <c r="EK306" s="116"/>
      <c r="EL306" s="116"/>
      <c r="EM306" s="116"/>
      <c r="EN306" s="116"/>
      <c r="EO306" s="116"/>
      <c r="EP306" s="116"/>
      <c r="EQ306" s="116"/>
      <c r="ER306" s="116"/>
      <c r="ES306" s="116"/>
      <c r="ET306" s="116"/>
      <c r="EU306" s="116"/>
      <c r="EV306" s="116"/>
      <c r="EW306" s="116"/>
      <c r="EX306" s="116"/>
      <c r="EY306" s="116"/>
      <c r="EZ306" s="116"/>
      <c r="FA306" s="116"/>
      <c r="FB306" s="116"/>
      <c r="FC306" s="116"/>
      <c r="FD306" s="116"/>
      <c r="FE306" s="116"/>
      <c r="FF306" s="116"/>
      <c r="FG306" s="116"/>
      <c r="FH306" s="116"/>
      <c r="FI306" s="116"/>
      <c r="FJ306" s="116"/>
      <c r="FK306" s="116"/>
      <c r="FL306" s="116"/>
      <c r="FM306" s="116"/>
      <c r="FN306" s="116"/>
      <c r="FO306" s="116"/>
      <c r="FP306" s="116"/>
      <c r="FQ306" s="116"/>
      <c r="FR306" s="116"/>
      <c r="FS306" s="116"/>
      <c r="FT306" s="116"/>
      <c r="FU306" s="116"/>
      <c r="FV306" s="116"/>
      <c r="FW306" s="116"/>
      <c r="FX306" s="116"/>
      <c r="FY306" s="116"/>
      <c r="FZ306" s="116"/>
      <c r="GA306" s="116"/>
      <c r="GB306" s="116"/>
      <c r="GC306" s="116"/>
      <c r="GD306" s="116"/>
      <c r="GE306" s="116"/>
      <c r="GF306" s="116"/>
      <c r="GG306" s="116"/>
      <c r="GH306" s="116"/>
    </row>
    <row r="307" spans="2:190" ht="12.75">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16"/>
      <c r="BG307" s="116"/>
      <c r="BH307" s="116"/>
      <c r="BI307" s="116"/>
      <c r="BJ307" s="116"/>
      <c r="BK307" s="116"/>
      <c r="BL307" s="116"/>
      <c r="BM307" s="116"/>
      <c r="BN307" s="116"/>
      <c r="BO307" s="116"/>
      <c r="BP307" s="116"/>
      <c r="BQ307" s="116"/>
      <c r="BR307" s="116"/>
      <c r="BS307" s="116"/>
      <c r="BT307" s="116"/>
      <c r="BU307" s="116"/>
      <c r="BV307" s="116"/>
      <c r="BW307" s="116"/>
      <c r="BX307" s="116"/>
      <c r="BY307" s="116"/>
      <c r="BZ307" s="116"/>
      <c r="CA307" s="116"/>
      <c r="CB307" s="116"/>
      <c r="CC307" s="116"/>
      <c r="CD307" s="116"/>
      <c r="CE307" s="116"/>
      <c r="CF307" s="116"/>
      <c r="CG307" s="116"/>
      <c r="CH307" s="116"/>
      <c r="CI307" s="116"/>
      <c r="CJ307" s="116"/>
      <c r="CK307" s="116"/>
      <c r="CL307" s="116"/>
      <c r="CM307" s="116"/>
      <c r="CN307" s="116"/>
      <c r="CO307" s="116"/>
      <c r="CP307" s="116"/>
      <c r="CQ307" s="116"/>
      <c r="CR307" s="116"/>
      <c r="CS307" s="116"/>
      <c r="CT307" s="116"/>
      <c r="CU307" s="116"/>
      <c r="CV307" s="116"/>
      <c r="CW307" s="116"/>
      <c r="CX307" s="116"/>
      <c r="CY307" s="116"/>
      <c r="CZ307" s="116"/>
      <c r="DA307" s="116"/>
      <c r="DB307" s="116"/>
      <c r="DC307" s="116"/>
      <c r="DD307" s="116"/>
      <c r="DE307" s="116"/>
      <c r="DF307" s="116"/>
      <c r="DG307" s="116"/>
      <c r="DH307" s="116"/>
      <c r="DI307" s="116"/>
      <c r="DJ307" s="116"/>
      <c r="DK307" s="116"/>
      <c r="DL307" s="116"/>
      <c r="DM307" s="116"/>
      <c r="DN307" s="116"/>
      <c r="DO307" s="116"/>
      <c r="DP307" s="116"/>
      <c r="DQ307" s="116"/>
      <c r="DR307" s="116"/>
      <c r="DS307" s="116"/>
      <c r="DT307" s="116"/>
      <c r="DU307" s="116"/>
      <c r="DV307" s="116"/>
      <c r="DW307" s="116"/>
      <c r="DX307" s="116"/>
      <c r="DY307" s="116"/>
      <c r="DZ307" s="116"/>
      <c r="EA307" s="116"/>
      <c r="EB307" s="116"/>
      <c r="EC307" s="116"/>
      <c r="ED307" s="116"/>
      <c r="EE307" s="116"/>
      <c r="EF307" s="116"/>
      <c r="EG307" s="116"/>
      <c r="EH307" s="116"/>
      <c r="EI307" s="116"/>
      <c r="EJ307" s="116"/>
      <c r="EK307" s="116"/>
      <c r="EL307" s="116"/>
      <c r="EM307" s="116"/>
      <c r="EN307" s="116"/>
      <c r="EO307" s="116"/>
      <c r="EP307" s="116"/>
      <c r="EQ307" s="116"/>
      <c r="ER307" s="116"/>
      <c r="ES307" s="116"/>
      <c r="ET307" s="116"/>
      <c r="EU307" s="116"/>
      <c r="EV307" s="116"/>
      <c r="EW307" s="116"/>
      <c r="EX307" s="116"/>
      <c r="EY307" s="116"/>
      <c r="EZ307" s="116"/>
      <c r="FA307" s="116"/>
      <c r="FB307" s="116"/>
      <c r="FC307" s="116"/>
      <c r="FD307" s="116"/>
      <c r="FE307" s="116"/>
      <c r="FF307" s="116"/>
      <c r="FG307" s="116"/>
      <c r="FH307" s="116"/>
      <c r="FI307" s="116"/>
      <c r="FJ307" s="116"/>
      <c r="FK307" s="116"/>
      <c r="FL307" s="116"/>
      <c r="FM307" s="116"/>
      <c r="FN307" s="116"/>
      <c r="FO307" s="116"/>
      <c r="FP307" s="116"/>
      <c r="FQ307" s="116"/>
      <c r="FR307" s="116"/>
      <c r="FS307" s="116"/>
      <c r="FT307" s="116"/>
      <c r="FU307" s="116"/>
      <c r="FV307" s="116"/>
      <c r="FW307" s="116"/>
      <c r="FX307" s="116"/>
      <c r="FY307" s="116"/>
      <c r="FZ307" s="116"/>
      <c r="GA307" s="116"/>
      <c r="GB307" s="116"/>
      <c r="GC307" s="116"/>
      <c r="GD307" s="116"/>
      <c r="GE307" s="116"/>
      <c r="GF307" s="116"/>
      <c r="GG307" s="116"/>
      <c r="GH307" s="116"/>
    </row>
    <row r="308" spans="2:190" ht="12.75">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c r="BR308" s="116"/>
      <c r="BS308" s="116"/>
      <c r="BT308" s="116"/>
      <c r="BU308" s="116"/>
      <c r="BV308" s="116"/>
      <c r="BW308" s="116"/>
      <c r="BX308" s="116"/>
      <c r="BY308" s="116"/>
      <c r="BZ308" s="116"/>
      <c r="CA308" s="116"/>
      <c r="CB308" s="116"/>
      <c r="CC308" s="116"/>
      <c r="CD308" s="116"/>
      <c r="CE308" s="116"/>
      <c r="CF308" s="116"/>
      <c r="CG308" s="116"/>
      <c r="CH308" s="116"/>
      <c r="CI308" s="116"/>
      <c r="CJ308" s="116"/>
      <c r="CK308" s="116"/>
      <c r="CL308" s="116"/>
      <c r="CM308" s="116"/>
      <c r="CN308" s="116"/>
      <c r="CO308" s="116"/>
      <c r="CP308" s="116"/>
      <c r="CQ308" s="116"/>
      <c r="CR308" s="116"/>
      <c r="CS308" s="116"/>
      <c r="CT308" s="116"/>
      <c r="CU308" s="116"/>
      <c r="CV308" s="116"/>
      <c r="CW308" s="116"/>
      <c r="CX308" s="116"/>
      <c r="CY308" s="116"/>
      <c r="CZ308" s="116"/>
      <c r="DA308" s="116"/>
      <c r="DB308" s="116"/>
      <c r="DC308" s="116"/>
      <c r="DD308" s="116"/>
      <c r="DE308" s="116"/>
      <c r="DF308" s="116"/>
      <c r="DG308" s="116"/>
      <c r="DH308" s="116"/>
      <c r="DI308" s="116"/>
      <c r="DJ308" s="116"/>
      <c r="DK308" s="116"/>
      <c r="DL308" s="116"/>
      <c r="DM308" s="116"/>
      <c r="DN308" s="116"/>
      <c r="DO308" s="116"/>
      <c r="DP308" s="116"/>
      <c r="DQ308" s="116"/>
      <c r="DR308" s="116"/>
      <c r="DS308" s="116"/>
      <c r="DT308" s="116"/>
      <c r="DU308" s="116"/>
      <c r="DV308" s="116"/>
      <c r="DW308" s="116"/>
      <c r="DX308" s="116"/>
      <c r="DY308" s="116"/>
      <c r="DZ308" s="116"/>
      <c r="EA308" s="116"/>
      <c r="EB308" s="116"/>
      <c r="EC308" s="116"/>
      <c r="ED308" s="116"/>
      <c r="EE308" s="116"/>
      <c r="EF308" s="116"/>
      <c r="EG308" s="116"/>
      <c r="EH308" s="116"/>
      <c r="EI308" s="116"/>
      <c r="EJ308" s="116"/>
      <c r="EK308" s="116"/>
      <c r="EL308" s="116"/>
      <c r="EM308" s="116"/>
      <c r="EN308" s="116"/>
      <c r="EO308" s="116"/>
      <c r="EP308" s="116"/>
      <c r="EQ308" s="116"/>
      <c r="ER308" s="116"/>
      <c r="ES308" s="116"/>
      <c r="ET308" s="116"/>
      <c r="EU308" s="116"/>
      <c r="EV308" s="116"/>
      <c r="EW308" s="116"/>
      <c r="EX308" s="116"/>
      <c r="EY308" s="116"/>
      <c r="EZ308" s="116"/>
      <c r="FA308" s="116"/>
      <c r="FB308" s="116"/>
      <c r="FC308" s="116"/>
      <c r="FD308" s="116"/>
      <c r="FE308" s="116"/>
      <c r="FF308" s="116"/>
      <c r="FG308" s="116"/>
      <c r="FH308" s="116"/>
      <c r="FI308" s="116"/>
      <c r="FJ308" s="116"/>
      <c r="FK308" s="116"/>
      <c r="FL308" s="116"/>
      <c r="FM308" s="116"/>
      <c r="FN308" s="116"/>
      <c r="FO308" s="116"/>
      <c r="FP308" s="116"/>
      <c r="FQ308" s="116"/>
      <c r="FR308" s="116"/>
      <c r="FS308" s="116"/>
      <c r="FT308" s="116"/>
      <c r="FU308" s="116"/>
      <c r="FV308" s="116"/>
      <c r="FW308" s="116"/>
      <c r="FX308" s="116"/>
      <c r="FY308" s="116"/>
      <c r="FZ308" s="116"/>
      <c r="GA308" s="116"/>
      <c r="GB308" s="116"/>
      <c r="GC308" s="116"/>
      <c r="GD308" s="116"/>
      <c r="GE308" s="116"/>
      <c r="GF308" s="116"/>
      <c r="GG308" s="116"/>
      <c r="GH308" s="116"/>
    </row>
    <row r="309" spans="2:190" ht="12.75">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c r="BR309" s="116"/>
      <c r="BS309" s="116"/>
      <c r="BT309" s="116"/>
      <c r="BU309" s="116"/>
      <c r="BV309" s="116"/>
      <c r="BW309" s="116"/>
      <c r="BX309" s="116"/>
      <c r="BY309" s="116"/>
      <c r="BZ309" s="116"/>
      <c r="CA309" s="116"/>
      <c r="CB309" s="116"/>
      <c r="CC309" s="116"/>
      <c r="CD309" s="116"/>
      <c r="CE309" s="116"/>
      <c r="CF309" s="116"/>
      <c r="CG309" s="116"/>
      <c r="CH309" s="116"/>
      <c r="CI309" s="116"/>
      <c r="CJ309" s="116"/>
      <c r="CK309" s="116"/>
      <c r="CL309" s="116"/>
      <c r="CM309" s="116"/>
      <c r="CN309" s="116"/>
      <c r="CO309" s="116"/>
      <c r="CP309" s="116"/>
      <c r="CQ309" s="116"/>
      <c r="CR309" s="116"/>
      <c r="CS309" s="116"/>
      <c r="CT309" s="116"/>
      <c r="CU309" s="116"/>
      <c r="CV309" s="116"/>
      <c r="CW309" s="116"/>
      <c r="CX309" s="116"/>
      <c r="CY309" s="116"/>
      <c r="CZ309" s="116"/>
      <c r="DA309" s="116"/>
      <c r="DB309" s="116"/>
      <c r="DC309" s="116"/>
      <c r="DD309" s="116"/>
      <c r="DE309" s="116"/>
      <c r="DF309" s="116"/>
      <c r="DG309" s="116"/>
      <c r="DH309" s="116"/>
      <c r="DI309" s="116"/>
      <c r="DJ309" s="116"/>
      <c r="DK309" s="116"/>
      <c r="DL309" s="116"/>
      <c r="DM309" s="116"/>
      <c r="DN309" s="116"/>
      <c r="DO309" s="116"/>
      <c r="DP309" s="116"/>
      <c r="DQ309" s="116"/>
      <c r="DR309" s="116"/>
      <c r="DS309" s="116"/>
      <c r="DT309" s="116"/>
      <c r="DU309" s="116"/>
      <c r="DV309" s="116"/>
      <c r="DW309" s="116"/>
      <c r="DX309" s="116"/>
      <c r="DY309" s="116"/>
      <c r="DZ309" s="116"/>
      <c r="EA309" s="116"/>
      <c r="EB309" s="116"/>
      <c r="EC309" s="116"/>
      <c r="ED309" s="116"/>
      <c r="EE309" s="116"/>
      <c r="EF309" s="116"/>
      <c r="EG309" s="116"/>
      <c r="EH309" s="116"/>
      <c r="EI309" s="116"/>
      <c r="EJ309" s="116"/>
      <c r="EK309" s="116"/>
      <c r="EL309" s="116"/>
      <c r="EM309" s="116"/>
      <c r="EN309" s="116"/>
      <c r="EO309" s="116"/>
      <c r="EP309" s="116"/>
      <c r="EQ309" s="116"/>
      <c r="ER309" s="116"/>
      <c r="ES309" s="116"/>
      <c r="ET309" s="116"/>
      <c r="EU309" s="116"/>
      <c r="EV309" s="116"/>
      <c r="EW309" s="116"/>
      <c r="EX309" s="116"/>
      <c r="EY309" s="116"/>
      <c r="EZ309" s="116"/>
      <c r="FA309" s="116"/>
      <c r="FB309" s="116"/>
      <c r="FC309" s="116"/>
      <c r="FD309" s="116"/>
      <c r="FE309" s="116"/>
      <c r="FF309" s="116"/>
      <c r="FG309" s="116"/>
      <c r="FH309" s="116"/>
      <c r="FI309" s="116"/>
      <c r="FJ309" s="116"/>
      <c r="FK309" s="116"/>
      <c r="FL309" s="116"/>
      <c r="FM309" s="116"/>
      <c r="FN309" s="116"/>
      <c r="FO309" s="116"/>
      <c r="FP309" s="116"/>
      <c r="FQ309" s="116"/>
      <c r="FR309" s="116"/>
      <c r="FS309" s="116"/>
      <c r="FT309" s="116"/>
      <c r="FU309" s="116"/>
      <c r="FV309" s="116"/>
      <c r="FW309" s="116"/>
      <c r="FX309" s="116"/>
      <c r="FY309" s="116"/>
      <c r="FZ309" s="116"/>
      <c r="GA309" s="116"/>
      <c r="GB309" s="116"/>
      <c r="GC309" s="116"/>
      <c r="GD309" s="116"/>
      <c r="GE309" s="116"/>
      <c r="GF309" s="116"/>
      <c r="GG309" s="116"/>
      <c r="GH309" s="116"/>
    </row>
    <row r="310" spans="2:190" ht="12.75">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c r="BR310" s="116"/>
      <c r="BS310" s="116"/>
      <c r="BT310" s="116"/>
      <c r="BU310" s="116"/>
      <c r="BV310" s="116"/>
      <c r="BW310" s="116"/>
      <c r="BX310" s="116"/>
      <c r="BY310" s="116"/>
      <c r="BZ310" s="116"/>
      <c r="CA310" s="116"/>
      <c r="CB310" s="116"/>
      <c r="CC310" s="116"/>
      <c r="CD310" s="116"/>
      <c r="CE310" s="116"/>
      <c r="CF310" s="116"/>
      <c r="CG310" s="116"/>
      <c r="CH310" s="116"/>
      <c r="CI310" s="116"/>
      <c r="CJ310" s="116"/>
      <c r="CK310" s="116"/>
      <c r="CL310" s="116"/>
      <c r="CM310" s="116"/>
      <c r="CN310" s="116"/>
      <c r="CO310" s="116"/>
      <c r="CP310" s="116"/>
      <c r="CQ310" s="116"/>
      <c r="CR310" s="116"/>
      <c r="CS310" s="116"/>
      <c r="CT310" s="116"/>
      <c r="CU310" s="116"/>
      <c r="CV310" s="116"/>
      <c r="CW310" s="116"/>
      <c r="CX310" s="116"/>
      <c r="CY310" s="116"/>
      <c r="CZ310" s="116"/>
      <c r="DA310" s="116"/>
      <c r="DB310" s="116"/>
      <c r="DC310" s="116"/>
      <c r="DD310" s="116"/>
      <c r="DE310" s="116"/>
      <c r="DF310" s="116"/>
      <c r="DG310" s="116"/>
      <c r="DH310" s="116"/>
      <c r="DI310" s="116"/>
      <c r="DJ310" s="116"/>
      <c r="DK310" s="116"/>
      <c r="DL310" s="116"/>
      <c r="DM310" s="116"/>
      <c r="DN310" s="116"/>
      <c r="DO310" s="116"/>
      <c r="DP310" s="116"/>
      <c r="DQ310" s="116"/>
      <c r="DR310" s="116"/>
      <c r="DS310" s="116"/>
      <c r="DT310" s="116"/>
      <c r="DU310" s="116"/>
      <c r="DV310" s="116"/>
      <c r="DW310" s="116"/>
      <c r="DX310" s="116"/>
      <c r="DY310" s="116"/>
      <c r="DZ310" s="116"/>
      <c r="EA310" s="116"/>
      <c r="EB310" s="116"/>
      <c r="EC310" s="116"/>
      <c r="ED310" s="116"/>
      <c r="EE310" s="116"/>
      <c r="EF310" s="116"/>
      <c r="EG310" s="116"/>
      <c r="EH310" s="116"/>
      <c r="EI310" s="116"/>
      <c r="EJ310" s="116"/>
      <c r="EK310" s="116"/>
      <c r="EL310" s="116"/>
      <c r="EM310" s="116"/>
      <c r="EN310" s="116"/>
      <c r="EO310" s="116"/>
      <c r="EP310" s="116"/>
      <c r="EQ310" s="116"/>
      <c r="ER310" s="116"/>
      <c r="ES310" s="116"/>
      <c r="ET310" s="116"/>
      <c r="EU310" s="116"/>
      <c r="EV310" s="116"/>
      <c r="EW310" s="116"/>
      <c r="EX310" s="116"/>
      <c r="EY310" s="116"/>
      <c r="EZ310" s="116"/>
      <c r="FA310" s="116"/>
      <c r="FB310" s="116"/>
      <c r="FC310" s="116"/>
      <c r="FD310" s="116"/>
      <c r="FE310" s="116"/>
      <c r="FF310" s="116"/>
      <c r="FG310" s="116"/>
      <c r="FH310" s="116"/>
      <c r="FI310" s="116"/>
      <c r="FJ310" s="116"/>
      <c r="FK310" s="116"/>
      <c r="FL310" s="116"/>
      <c r="FM310" s="116"/>
      <c r="FN310" s="116"/>
      <c r="FO310" s="116"/>
      <c r="FP310" s="116"/>
      <c r="FQ310" s="116"/>
      <c r="FR310" s="116"/>
      <c r="FS310" s="116"/>
      <c r="FT310" s="116"/>
      <c r="FU310" s="116"/>
      <c r="FV310" s="116"/>
      <c r="FW310" s="116"/>
      <c r="FX310" s="116"/>
      <c r="FY310" s="116"/>
      <c r="FZ310" s="116"/>
      <c r="GA310" s="116"/>
      <c r="GB310" s="116"/>
      <c r="GC310" s="116"/>
      <c r="GD310" s="116"/>
      <c r="GE310" s="116"/>
      <c r="GF310" s="116"/>
      <c r="GG310" s="116"/>
      <c r="GH310" s="116"/>
    </row>
    <row r="311" spans="2:190" ht="12.75">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c r="BR311" s="116"/>
      <c r="BS311" s="116"/>
      <c r="BT311" s="116"/>
      <c r="BU311" s="116"/>
      <c r="BV311" s="116"/>
      <c r="BW311" s="116"/>
      <c r="BX311" s="116"/>
      <c r="BY311" s="116"/>
      <c r="BZ311" s="116"/>
      <c r="CA311" s="116"/>
      <c r="CB311" s="116"/>
      <c r="CC311" s="116"/>
      <c r="CD311" s="116"/>
      <c r="CE311" s="116"/>
      <c r="CF311" s="116"/>
      <c r="CG311" s="116"/>
      <c r="CH311" s="116"/>
      <c r="CI311" s="116"/>
      <c r="CJ311" s="116"/>
      <c r="CK311" s="116"/>
      <c r="CL311" s="116"/>
      <c r="CM311" s="116"/>
      <c r="CN311" s="116"/>
      <c r="CO311" s="116"/>
      <c r="CP311" s="116"/>
      <c r="CQ311" s="116"/>
      <c r="CR311" s="116"/>
      <c r="CS311" s="116"/>
      <c r="CT311" s="116"/>
      <c r="CU311" s="116"/>
      <c r="CV311" s="116"/>
      <c r="CW311" s="116"/>
      <c r="CX311" s="116"/>
      <c r="CY311" s="116"/>
      <c r="CZ311" s="116"/>
      <c r="DA311" s="116"/>
      <c r="DB311" s="116"/>
      <c r="DC311" s="116"/>
      <c r="DD311" s="116"/>
      <c r="DE311" s="116"/>
      <c r="DF311" s="116"/>
      <c r="DG311" s="116"/>
      <c r="DH311" s="116"/>
      <c r="DI311" s="116"/>
      <c r="DJ311" s="116"/>
      <c r="DK311" s="116"/>
      <c r="DL311" s="116"/>
      <c r="DM311" s="116"/>
      <c r="DN311" s="116"/>
      <c r="DO311" s="116"/>
      <c r="DP311" s="116"/>
      <c r="DQ311" s="116"/>
      <c r="DR311" s="116"/>
      <c r="DS311" s="116"/>
      <c r="DT311" s="116"/>
      <c r="DU311" s="116"/>
      <c r="DV311" s="116"/>
      <c r="DW311" s="116"/>
      <c r="DX311" s="116"/>
      <c r="DY311" s="116"/>
      <c r="DZ311" s="116"/>
      <c r="EA311" s="116"/>
      <c r="EB311" s="116"/>
      <c r="EC311" s="116"/>
      <c r="ED311" s="116"/>
      <c r="EE311" s="116"/>
      <c r="EF311" s="116"/>
      <c r="EG311" s="116"/>
      <c r="EH311" s="116"/>
      <c r="EI311" s="116"/>
      <c r="EJ311" s="116"/>
      <c r="EK311" s="116"/>
      <c r="EL311" s="116"/>
      <c r="EM311" s="116"/>
      <c r="EN311" s="116"/>
      <c r="EO311" s="116"/>
      <c r="EP311" s="116"/>
      <c r="EQ311" s="116"/>
      <c r="ER311" s="116"/>
      <c r="ES311" s="116"/>
      <c r="ET311" s="116"/>
      <c r="EU311" s="116"/>
      <c r="EV311" s="116"/>
      <c r="EW311" s="116"/>
      <c r="EX311" s="116"/>
      <c r="EY311" s="116"/>
      <c r="EZ311" s="116"/>
      <c r="FA311" s="116"/>
      <c r="FB311" s="116"/>
      <c r="FC311" s="116"/>
      <c r="FD311" s="116"/>
      <c r="FE311" s="116"/>
      <c r="FF311" s="116"/>
      <c r="FG311" s="116"/>
      <c r="FH311" s="116"/>
      <c r="FI311" s="116"/>
      <c r="FJ311" s="116"/>
      <c r="FK311" s="116"/>
      <c r="FL311" s="116"/>
      <c r="FM311" s="116"/>
      <c r="FN311" s="116"/>
      <c r="FO311" s="116"/>
      <c r="FP311" s="116"/>
      <c r="FQ311" s="116"/>
      <c r="FR311" s="116"/>
      <c r="FS311" s="116"/>
      <c r="FT311" s="116"/>
      <c r="FU311" s="116"/>
      <c r="FV311" s="116"/>
      <c r="FW311" s="116"/>
      <c r="FX311" s="116"/>
      <c r="FY311" s="116"/>
      <c r="FZ311" s="116"/>
      <c r="GA311" s="116"/>
      <c r="GB311" s="116"/>
      <c r="GC311" s="116"/>
      <c r="GD311" s="116"/>
      <c r="GE311" s="116"/>
      <c r="GF311" s="116"/>
      <c r="GG311" s="116"/>
      <c r="GH311" s="116"/>
    </row>
    <row r="312" spans="2:190" ht="12.75">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16"/>
      <c r="AR312" s="116"/>
      <c r="AS312" s="116"/>
      <c r="AT312" s="116"/>
      <c r="AU312" s="116"/>
      <c r="AV312" s="116"/>
      <c r="AW312" s="116"/>
      <c r="AX312" s="116"/>
      <c r="AY312" s="116"/>
      <c r="AZ312" s="116"/>
      <c r="BA312" s="116"/>
      <c r="BB312" s="116"/>
      <c r="BC312" s="116"/>
      <c r="BD312" s="116"/>
      <c r="BE312" s="116"/>
      <c r="BF312" s="116"/>
      <c r="BG312" s="116"/>
      <c r="BH312" s="116"/>
      <c r="BI312" s="116"/>
      <c r="BJ312" s="116"/>
      <c r="BK312" s="116"/>
      <c r="BL312" s="116"/>
      <c r="BM312" s="116"/>
      <c r="BN312" s="116"/>
      <c r="BO312" s="116"/>
      <c r="BP312" s="116"/>
      <c r="BQ312" s="116"/>
      <c r="BR312" s="116"/>
      <c r="BS312" s="116"/>
      <c r="BT312" s="116"/>
      <c r="BU312" s="116"/>
      <c r="BV312" s="116"/>
      <c r="BW312" s="116"/>
      <c r="BX312" s="116"/>
      <c r="BY312" s="116"/>
      <c r="BZ312" s="116"/>
      <c r="CA312" s="116"/>
      <c r="CB312" s="116"/>
      <c r="CC312" s="116"/>
      <c r="CD312" s="116"/>
      <c r="CE312" s="116"/>
      <c r="CF312" s="116"/>
      <c r="CG312" s="116"/>
      <c r="CH312" s="116"/>
      <c r="CI312" s="116"/>
      <c r="CJ312" s="116"/>
      <c r="CK312" s="116"/>
      <c r="CL312" s="116"/>
      <c r="CM312" s="116"/>
      <c r="CN312" s="116"/>
      <c r="CO312" s="116"/>
      <c r="CP312" s="116"/>
      <c r="CQ312" s="116"/>
      <c r="CR312" s="116"/>
      <c r="CS312" s="116"/>
      <c r="CT312" s="116"/>
      <c r="CU312" s="116"/>
      <c r="CV312" s="116"/>
      <c r="CW312" s="116"/>
      <c r="CX312" s="116"/>
      <c r="CY312" s="116"/>
      <c r="CZ312" s="116"/>
      <c r="DA312" s="116"/>
      <c r="DB312" s="116"/>
      <c r="DC312" s="116"/>
      <c r="DD312" s="116"/>
      <c r="DE312" s="116"/>
      <c r="DF312" s="116"/>
      <c r="DG312" s="116"/>
      <c r="DH312" s="116"/>
      <c r="DI312" s="116"/>
      <c r="DJ312" s="116"/>
      <c r="DK312" s="116"/>
      <c r="DL312" s="116"/>
      <c r="DM312" s="116"/>
      <c r="DN312" s="116"/>
      <c r="DO312" s="116"/>
      <c r="DP312" s="116"/>
      <c r="DQ312" s="116"/>
      <c r="DR312" s="116"/>
      <c r="DS312" s="116"/>
      <c r="DT312" s="116"/>
      <c r="DU312" s="116"/>
      <c r="DV312" s="116"/>
      <c r="DW312" s="116"/>
      <c r="DX312" s="116"/>
      <c r="DY312" s="116"/>
      <c r="DZ312" s="116"/>
      <c r="EA312" s="116"/>
      <c r="EB312" s="116"/>
      <c r="EC312" s="116"/>
      <c r="ED312" s="116"/>
      <c r="EE312" s="116"/>
      <c r="EF312" s="116"/>
      <c r="EG312" s="116"/>
      <c r="EH312" s="116"/>
      <c r="EI312" s="116"/>
      <c r="EJ312" s="116"/>
      <c r="EK312" s="116"/>
      <c r="EL312" s="116"/>
      <c r="EM312" s="116"/>
      <c r="EN312" s="116"/>
      <c r="EO312" s="116"/>
      <c r="EP312" s="116"/>
      <c r="EQ312" s="116"/>
      <c r="ER312" s="116"/>
      <c r="ES312" s="116"/>
      <c r="ET312" s="116"/>
      <c r="EU312" s="116"/>
      <c r="EV312" s="116"/>
      <c r="EW312" s="116"/>
      <c r="EX312" s="116"/>
      <c r="EY312" s="116"/>
      <c r="EZ312" s="116"/>
      <c r="FA312" s="116"/>
      <c r="FB312" s="116"/>
      <c r="FC312" s="116"/>
      <c r="FD312" s="116"/>
      <c r="FE312" s="116"/>
      <c r="FF312" s="116"/>
      <c r="FG312" s="116"/>
      <c r="FH312" s="116"/>
      <c r="FI312" s="116"/>
      <c r="FJ312" s="116"/>
      <c r="FK312" s="116"/>
      <c r="FL312" s="116"/>
      <c r="FM312" s="116"/>
      <c r="FN312" s="116"/>
      <c r="FO312" s="116"/>
      <c r="FP312" s="116"/>
      <c r="FQ312" s="116"/>
      <c r="FR312" s="116"/>
      <c r="FS312" s="116"/>
      <c r="FT312" s="116"/>
      <c r="FU312" s="116"/>
      <c r="FV312" s="116"/>
      <c r="FW312" s="116"/>
      <c r="FX312" s="116"/>
      <c r="FY312" s="116"/>
      <c r="FZ312" s="116"/>
      <c r="GA312" s="116"/>
      <c r="GB312" s="116"/>
      <c r="GC312" s="116"/>
      <c r="GD312" s="116"/>
      <c r="GE312" s="116"/>
      <c r="GF312" s="116"/>
      <c r="GG312" s="116"/>
      <c r="GH312" s="116"/>
    </row>
    <row r="313" spans="2:190" ht="12.75">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6"/>
      <c r="BA313" s="116"/>
      <c r="BB313" s="116"/>
      <c r="BC313" s="116"/>
      <c r="BD313" s="116"/>
      <c r="BE313" s="116"/>
      <c r="BF313" s="116"/>
      <c r="BG313" s="116"/>
      <c r="BH313" s="116"/>
      <c r="BI313" s="116"/>
      <c r="BJ313" s="116"/>
      <c r="BK313" s="116"/>
      <c r="BL313" s="116"/>
      <c r="BM313" s="116"/>
      <c r="BN313" s="116"/>
      <c r="BO313" s="116"/>
      <c r="BP313" s="116"/>
      <c r="BQ313" s="116"/>
      <c r="BR313" s="116"/>
      <c r="BS313" s="116"/>
      <c r="BT313" s="116"/>
      <c r="BU313" s="116"/>
      <c r="BV313" s="116"/>
      <c r="BW313" s="116"/>
      <c r="BX313" s="116"/>
      <c r="BY313" s="116"/>
      <c r="BZ313" s="116"/>
      <c r="CA313" s="116"/>
      <c r="CB313" s="116"/>
      <c r="CC313" s="116"/>
      <c r="CD313" s="116"/>
      <c r="CE313" s="116"/>
      <c r="CF313" s="116"/>
      <c r="CG313" s="116"/>
      <c r="CH313" s="116"/>
      <c r="CI313" s="116"/>
      <c r="CJ313" s="116"/>
      <c r="CK313" s="116"/>
      <c r="CL313" s="116"/>
      <c r="CM313" s="116"/>
      <c r="CN313" s="116"/>
      <c r="CO313" s="116"/>
      <c r="CP313" s="116"/>
      <c r="CQ313" s="116"/>
      <c r="CR313" s="116"/>
      <c r="CS313" s="116"/>
      <c r="CT313" s="116"/>
      <c r="CU313" s="116"/>
      <c r="CV313" s="116"/>
      <c r="CW313" s="116"/>
      <c r="CX313" s="116"/>
      <c r="CY313" s="116"/>
      <c r="CZ313" s="116"/>
      <c r="DA313" s="116"/>
      <c r="DB313" s="116"/>
      <c r="DC313" s="116"/>
      <c r="DD313" s="116"/>
      <c r="DE313" s="116"/>
      <c r="DF313" s="116"/>
      <c r="DG313" s="116"/>
      <c r="DH313" s="116"/>
      <c r="DI313" s="116"/>
      <c r="DJ313" s="116"/>
      <c r="DK313" s="116"/>
      <c r="DL313" s="116"/>
      <c r="DM313" s="116"/>
      <c r="DN313" s="116"/>
      <c r="DO313" s="116"/>
      <c r="DP313" s="116"/>
      <c r="DQ313" s="116"/>
      <c r="DR313" s="116"/>
      <c r="DS313" s="116"/>
      <c r="DT313" s="116"/>
      <c r="DU313" s="116"/>
      <c r="DV313" s="116"/>
      <c r="DW313" s="116"/>
      <c r="DX313" s="116"/>
      <c r="DY313" s="116"/>
      <c r="DZ313" s="116"/>
      <c r="EA313" s="116"/>
      <c r="EB313" s="116"/>
      <c r="EC313" s="116"/>
      <c r="ED313" s="116"/>
      <c r="EE313" s="116"/>
      <c r="EF313" s="116"/>
      <c r="EG313" s="116"/>
      <c r="EH313" s="116"/>
      <c r="EI313" s="116"/>
      <c r="EJ313" s="116"/>
      <c r="EK313" s="116"/>
      <c r="EL313" s="116"/>
      <c r="EM313" s="116"/>
      <c r="EN313" s="116"/>
      <c r="EO313" s="116"/>
      <c r="EP313" s="116"/>
      <c r="EQ313" s="116"/>
      <c r="ER313" s="116"/>
      <c r="ES313" s="116"/>
      <c r="ET313" s="116"/>
      <c r="EU313" s="116"/>
      <c r="EV313" s="116"/>
      <c r="EW313" s="116"/>
      <c r="EX313" s="116"/>
      <c r="EY313" s="116"/>
      <c r="EZ313" s="116"/>
      <c r="FA313" s="116"/>
      <c r="FB313" s="116"/>
      <c r="FC313" s="116"/>
      <c r="FD313" s="116"/>
      <c r="FE313" s="116"/>
      <c r="FF313" s="116"/>
      <c r="FG313" s="116"/>
      <c r="FH313" s="116"/>
      <c r="FI313" s="116"/>
      <c r="FJ313" s="116"/>
      <c r="FK313" s="116"/>
      <c r="FL313" s="116"/>
      <c r="FM313" s="116"/>
      <c r="FN313" s="116"/>
      <c r="FO313" s="116"/>
      <c r="FP313" s="116"/>
      <c r="FQ313" s="116"/>
      <c r="FR313" s="116"/>
      <c r="FS313" s="116"/>
      <c r="FT313" s="116"/>
      <c r="FU313" s="116"/>
      <c r="FV313" s="116"/>
      <c r="FW313" s="116"/>
      <c r="FX313" s="116"/>
      <c r="FY313" s="116"/>
      <c r="FZ313" s="116"/>
      <c r="GA313" s="116"/>
      <c r="GB313" s="116"/>
      <c r="GC313" s="116"/>
      <c r="GD313" s="116"/>
      <c r="GE313" s="116"/>
      <c r="GF313" s="116"/>
      <c r="GG313" s="116"/>
      <c r="GH313" s="116"/>
    </row>
    <row r="314" spans="2:190" ht="12.75">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6"/>
      <c r="BA314" s="116"/>
      <c r="BB314" s="116"/>
      <c r="BC314" s="116"/>
      <c r="BD314" s="116"/>
      <c r="BE314" s="116"/>
      <c r="BF314" s="116"/>
      <c r="BG314" s="116"/>
      <c r="BH314" s="116"/>
      <c r="BI314" s="116"/>
      <c r="BJ314" s="116"/>
      <c r="BK314" s="116"/>
      <c r="BL314" s="116"/>
      <c r="BM314" s="116"/>
      <c r="BN314" s="116"/>
      <c r="BO314" s="116"/>
      <c r="BP314" s="116"/>
      <c r="BQ314" s="116"/>
      <c r="BR314" s="116"/>
      <c r="BS314" s="116"/>
      <c r="BT314" s="116"/>
      <c r="BU314" s="116"/>
      <c r="BV314" s="116"/>
      <c r="BW314" s="116"/>
      <c r="BX314" s="116"/>
      <c r="BY314" s="116"/>
      <c r="BZ314" s="116"/>
      <c r="CA314" s="116"/>
      <c r="CB314" s="116"/>
      <c r="CC314" s="116"/>
      <c r="CD314" s="116"/>
      <c r="CE314" s="116"/>
      <c r="CF314" s="116"/>
      <c r="CG314" s="116"/>
      <c r="CH314" s="116"/>
      <c r="CI314" s="116"/>
      <c r="CJ314" s="116"/>
      <c r="CK314" s="116"/>
      <c r="CL314" s="116"/>
      <c r="CM314" s="116"/>
      <c r="CN314" s="116"/>
      <c r="CO314" s="116"/>
      <c r="CP314" s="116"/>
      <c r="CQ314" s="116"/>
      <c r="CR314" s="116"/>
      <c r="CS314" s="116"/>
      <c r="CT314" s="116"/>
      <c r="CU314" s="116"/>
      <c r="CV314" s="116"/>
      <c r="CW314" s="116"/>
      <c r="CX314" s="116"/>
      <c r="CY314" s="116"/>
      <c r="CZ314" s="116"/>
      <c r="DA314" s="116"/>
      <c r="DB314" s="116"/>
      <c r="DC314" s="116"/>
      <c r="DD314" s="116"/>
      <c r="DE314" s="116"/>
      <c r="DF314" s="116"/>
      <c r="DG314" s="116"/>
      <c r="DH314" s="116"/>
      <c r="DI314" s="116"/>
      <c r="DJ314" s="116"/>
      <c r="DK314" s="116"/>
      <c r="DL314" s="116"/>
      <c r="DM314" s="116"/>
      <c r="DN314" s="116"/>
      <c r="DO314" s="116"/>
      <c r="DP314" s="116"/>
      <c r="DQ314" s="116"/>
      <c r="DR314" s="116"/>
      <c r="DS314" s="116"/>
      <c r="DT314" s="116"/>
      <c r="DU314" s="116"/>
      <c r="DV314" s="116"/>
      <c r="DW314" s="116"/>
      <c r="DX314" s="116"/>
      <c r="DY314" s="116"/>
      <c r="DZ314" s="116"/>
      <c r="EA314" s="116"/>
      <c r="EB314" s="116"/>
      <c r="EC314" s="116"/>
      <c r="ED314" s="116"/>
      <c r="EE314" s="116"/>
      <c r="EF314" s="116"/>
      <c r="EG314" s="116"/>
      <c r="EH314" s="116"/>
      <c r="EI314" s="116"/>
      <c r="EJ314" s="116"/>
      <c r="EK314" s="116"/>
      <c r="EL314" s="116"/>
      <c r="EM314" s="116"/>
      <c r="EN314" s="116"/>
      <c r="EO314" s="116"/>
      <c r="EP314" s="116"/>
      <c r="EQ314" s="116"/>
      <c r="ER314" s="116"/>
      <c r="ES314" s="116"/>
      <c r="ET314" s="116"/>
      <c r="EU314" s="116"/>
      <c r="EV314" s="116"/>
      <c r="EW314" s="116"/>
      <c r="EX314" s="116"/>
      <c r="EY314" s="116"/>
      <c r="EZ314" s="116"/>
      <c r="FA314" s="116"/>
      <c r="FB314" s="116"/>
      <c r="FC314" s="116"/>
      <c r="FD314" s="116"/>
      <c r="FE314" s="116"/>
      <c r="FF314" s="116"/>
      <c r="FG314" s="116"/>
      <c r="FH314" s="116"/>
      <c r="FI314" s="116"/>
      <c r="FJ314" s="116"/>
      <c r="FK314" s="116"/>
      <c r="FL314" s="116"/>
      <c r="FM314" s="116"/>
      <c r="FN314" s="116"/>
      <c r="FO314" s="116"/>
      <c r="FP314" s="116"/>
      <c r="FQ314" s="116"/>
      <c r="FR314" s="116"/>
      <c r="FS314" s="116"/>
      <c r="FT314" s="116"/>
      <c r="FU314" s="116"/>
      <c r="FV314" s="116"/>
      <c r="FW314" s="116"/>
      <c r="FX314" s="116"/>
      <c r="FY314" s="116"/>
      <c r="FZ314" s="116"/>
      <c r="GA314" s="116"/>
      <c r="GB314" s="116"/>
      <c r="GC314" s="116"/>
      <c r="GD314" s="116"/>
      <c r="GE314" s="116"/>
      <c r="GF314" s="116"/>
      <c r="GG314" s="116"/>
      <c r="GH314" s="116"/>
    </row>
    <row r="315" spans="2:190" ht="12.75">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c r="BC315" s="116"/>
      <c r="BD315" s="116"/>
      <c r="BE315" s="116"/>
      <c r="BF315" s="116"/>
      <c r="BG315" s="116"/>
      <c r="BH315" s="116"/>
      <c r="BI315" s="116"/>
      <c r="BJ315" s="116"/>
      <c r="BK315" s="116"/>
      <c r="BL315" s="116"/>
      <c r="BM315" s="116"/>
      <c r="BN315" s="116"/>
      <c r="BO315" s="116"/>
      <c r="BP315" s="116"/>
      <c r="BQ315" s="116"/>
      <c r="BR315" s="116"/>
      <c r="BS315" s="116"/>
      <c r="BT315" s="116"/>
      <c r="BU315" s="116"/>
      <c r="BV315" s="116"/>
      <c r="BW315" s="116"/>
      <c r="BX315" s="116"/>
      <c r="BY315" s="116"/>
      <c r="BZ315" s="116"/>
      <c r="CA315" s="116"/>
      <c r="CB315" s="116"/>
      <c r="CC315" s="116"/>
      <c r="CD315" s="116"/>
      <c r="CE315" s="116"/>
      <c r="CF315" s="116"/>
      <c r="CG315" s="116"/>
      <c r="CH315" s="116"/>
      <c r="CI315" s="116"/>
      <c r="CJ315" s="116"/>
      <c r="CK315" s="116"/>
      <c r="CL315" s="116"/>
      <c r="CM315" s="116"/>
      <c r="CN315" s="116"/>
      <c r="CO315" s="116"/>
      <c r="CP315" s="116"/>
      <c r="CQ315" s="116"/>
      <c r="CR315" s="116"/>
      <c r="CS315" s="116"/>
      <c r="CT315" s="116"/>
      <c r="CU315" s="116"/>
      <c r="CV315" s="116"/>
      <c r="CW315" s="116"/>
      <c r="CX315" s="116"/>
      <c r="CY315" s="116"/>
      <c r="CZ315" s="116"/>
      <c r="DA315" s="116"/>
      <c r="DB315" s="116"/>
      <c r="DC315" s="116"/>
      <c r="DD315" s="116"/>
      <c r="DE315" s="116"/>
      <c r="DF315" s="116"/>
      <c r="DG315" s="116"/>
      <c r="DH315" s="116"/>
      <c r="DI315" s="116"/>
      <c r="DJ315" s="116"/>
      <c r="DK315" s="116"/>
      <c r="DL315" s="116"/>
      <c r="DM315" s="116"/>
      <c r="DN315" s="116"/>
      <c r="DO315" s="116"/>
      <c r="DP315" s="116"/>
      <c r="DQ315" s="116"/>
      <c r="DR315" s="116"/>
      <c r="DS315" s="116"/>
      <c r="DT315" s="116"/>
      <c r="DU315" s="116"/>
      <c r="DV315" s="116"/>
      <c r="DW315" s="116"/>
      <c r="DX315" s="116"/>
      <c r="DY315" s="116"/>
      <c r="DZ315" s="116"/>
      <c r="EA315" s="116"/>
      <c r="EB315" s="116"/>
      <c r="EC315" s="116"/>
      <c r="ED315" s="116"/>
      <c r="EE315" s="116"/>
      <c r="EF315" s="116"/>
      <c r="EG315" s="116"/>
      <c r="EH315" s="116"/>
      <c r="EI315" s="116"/>
      <c r="EJ315" s="116"/>
      <c r="EK315" s="116"/>
      <c r="EL315" s="116"/>
      <c r="EM315" s="116"/>
      <c r="EN315" s="116"/>
      <c r="EO315" s="116"/>
      <c r="EP315" s="116"/>
      <c r="EQ315" s="116"/>
      <c r="ER315" s="116"/>
      <c r="ES315" s="116"/>
      <c r="ET315" s="116"/>
      <c r="EU315" s="116"/>
      <c r="EV315" s="116"/>
      <c r="EW315" s="116"/>
      <c r="EX315" s="116"/>
      <c r="EY315" s="116"/>
      <c r="EZ315" s="116"/>
      <c r="FA315" s="116"/>
      <c r="FB315" s="116"/>
      <c r="FC315" s="116"/>
      <c r="FD315" s="116"/>
      <c r="FE315" s="116"/>
      <c r="FF315" s="116"/>
      <c r="FG315" s="116"/>
      <c r="FH315" s="116"/>
      <c r="FI315" s="116"/>
      <c r="FJ315" s="116"/>
      <c r="FK315" s="116"/>
      <c r="FL315" s="116"/>
      <c r="FM315" s="116"/>
      <c r="FN315" s="116"/>
      <c r="FO315" s="116"/>
      <c r="FP315" s="116"/>
      <c r="FQ315" s="116"/>
      <c r="FR315" s="116"/>
      <c r="FS315" s="116"/>
      <c r="FT315" s="116"/>
      <c r="FU315" s="116"/>
      <c r="FV315" s="116"/>
      <c r="FW315" s="116"/>
      <c r="FX315" s="116"/>
      <c r="FY315" s="116"/>
      <c r="FZ315" s="116"/>
      <c r="GA315" s="116"/>
      <c r="GB315" s="116"/>
      <c r="GC315" s="116"/>
      <c r="GD315" s="116"/>
      <c r="GE315" s="116"/>
      <c r="GF315" s="116"/>
      <c r="GG315" s="116"/>
      <c r="GH315" s="116"/>
    </row>
    <row r="316" spans="2:190" ht="12.75">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c r="BC316" s="116"/>
      <c r="BD316" s="116"/>
      <c r="BE316" s="116"/>
      <c r="BF316" s="116"/>
      <c r="BG316" s="116"/>
      <c r="BH316" s="116"/>
      <c r="BI316" s="116"/>
      <c r="BJ316" s="116"/>
      <c r="BK316" s="116"/>
      <c r="BL316" s="116"/>
      <c r="BM316" s="116"/>
      <c r="BN316" s="116"/>
      <c r="BO316" s="116"/>
      <c r="BP316" s="116"/>
      <c r="BQ316" s="116"/>
      <c r="BR316" s="116"/>
      <c r="BS316" s="116"/>
      <c r="BT316" s="116"/>
      <c r="BU316" s="116"/>
      <c r="BV316" s="116"/>
      <c r="BW316" s="116"/>
      <c r="BX316" s="116"/>
      <c r="BY316" s="116"/>
      <c r="BZ316" s="116"/>
      <c r="CA316" s="116"/>
      <c r="CB316" s="116"/>
      <c r="CC316" s="116"/>
      <c r="CD316" s="116"/>
      <c r="CE316" s="116"/>
      <c r="CF316" s="116"/>
      <c r="CG316" s="116"/>
      <c r="CH316" s="116"/>
      <c r="CI316" s="116"/>
      <c r="CJ316" s="116"/>
      <c r="CK316" s="116"/>
      <c r="CL316" s="116"/>
      <c r="CM316" s="116"/>
      <c r="CN316" s="116"/>
      <c r="CO316" s="116"/>
      <c r="CP316" s="116"/>
      <c r="CQ316" s="116"/>
      <c r="CR316" s="116"/>
      <c r="CS316" s="116"/>
      <c r="CT316" s="116"/>
      <c r="CU316" s="116"/>
      <c r="CV316" s="116"/>
      <c r="CW316" s="116"/>
      <c r="CX316" s="116"/>
      <c r="CY316" s="116"/>
      <c r="CZ316" s="116"/>
      <c r="DA316" s="116"/>
      <c r="DB316" s="116"/>
      <c r="DC316" s="116"/>
      <c r="DD316" s="116"/>
      <c r="DE316" s="116"/>
      <c r="DF316" s="116"/>
      <c r="DG316" s="116"/>
      <c r="DH316" s="116"/>
      <c r="DI316" s="116"/>
      <c r="DJ316" s="116"/>
      <c r="DK316" s="116"/>
      <c r="DL316" s="116"/>
      <c r="DM316" s="116"/>
      <c r="DN316" s="116"/>
      <c r="DO316" s="116"/>
      <c r="DP316" s="116"/>
      <c r="DQ316" s="116"/>
      <c r="DR316" s="116"/>
      <c r="DS316" s="116"/>
      <c r="DT316" s="116"/>
      <c r="DU316" s="116"/>
      <c r="DV316" s="116"/>
      <c r="DW316" s="116"/>
      <c r="DX316" s="116"/>
      <c r="DY316" s="116"/>
      <c r="DZ316" s="116"/>
      <c r="EA316" s="116"/>
      <c r="EB316" s="116"/>
      <c r="EC316" s="116"/>
      <c r="ED316" s="116"/>
      <c r="EE316" s="116"/>
      <c r="EF316" s="116"/>
      <c r="EG316" s="116"/>
      <c r="EH316" s="116"/>
      <c r="EI316" s="116"/>
      <c r="EJ316" s="116"/>
      <c r="EK316" s="116"/>
      <c r="EL316" s="116"/>
      <c r="EM316" s="116"/>
      <c r="EN316" s="116"/>
      <c r="EO316" s="116"/>
      <c r="EP316" s="116"/>
      <c r="EQ316" s="116"/>
      <c r="ER316" s="116"/>
      <c r="ES316" s="116"/>
      <c r="ET316" s="116"/>
      <c r="EU316" s="116"/>
      <c r="EV316" s="116"/>
      <c r="EW316" s="116"/>
      <c r="EX316" s="116"/>
      <c r="EY316" s="116"/>
      <c r="EZ316" s="116"/>
      <c r="FA316" s="116"/>
      <c r="FB316" s="116"/>
      <c r="FC316" s="116"/>
      <c r="FD316" s="116"/>
      <c r="FE316" s="116"/>
      <c r="FF316" s="116"/>
      <c r="FG316" s="116"/>
      <c r="FH316" s="116"/>
      <c r="FI316" s="116"/>
      <c r="FJ316" s="116"/>
      <c r="FK316" s="116"/>
      <c r="FL316" s="116"/>
      <c r="FM316" s="116"/>
      <c r="FN316" s="116"/>
      <c r="FO316" s="116"/>
      <c r="FP316" s="116"/>
      <c r="FQ316" s="116"/>
      <c r="FR316" s="116"/>
      <c r="FS316" s="116"/>
      <c r="FT316" s="116"/>
      <c r="FU316" s="116"/>
      <c r="FV316" s="116"/>
      <c r="FW316" s="116"/>
      <c r="FX316" s="116"/>
      <c r="FY316" s="116"/>
      <c r="FZ316" s="116"/>
      <c r="GA316" s="116"/>
      <c r="GB316" s="116"/>
      <c r="GC316" s="116"/>
      <c r="GD316" s="116"/>
      <c r="GE316" s="116"/>
      <c r="GF316" s="116"/>
      <c r="GG316" s="116"/>
      <c r="GH316" s="116"/>
    </row>
    <row r="317" spans="2:190" ht="12.75">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c r="BC317" s="116"/>
      <c r="BD317" s="116"/>
      <c r="BE317" s="116"/>
      <c r="BF317" s="116"/>
      <c r="BG317" s="116"/>
      <c r="BH317" s="116"/>
      <c r="BI317" s="116"/>
      <c r="BJ317" s="116"/>
      <c r="BK317" s="116"/>
      <c r="BL317" s="116"/>
      <c r="BM317" s="116"/>
      <c r="BN317" s="116"/>
      <c r="BO317" s="116"/>
      <c r="BP317" s="116"/>
      <c r="BQ317" s="116"/>
      <c r="BR317" s="116"/>
      <c r="BS317" s="116"/>
      <c r="BT317" s="116"/>
      <c r="BU317" s="116"/>
      <c r="BV317" s="116"/>
      <c r="BW317" s="116"/>
      <c r="BX317" s="116"/>
      <c r="BY317" s="116"/>
      <c r="BZ317" s="116"/>
      <c r="CA317" s="116"/>
      <c r="CB317" s="116"/>
      <c r="CC317" s="116"/>
      <c r="CD317" s="116"/>
      <c r="CE317" s="116"/>
      <c r="CF317" s="116"/>
      <c r="CG317" s="116"/>
      <c r="CH317" s="116"/>
      <c r="CI317" s="116"/>
      <c r="CJ317" s="116"/>
      <c r="CK317" s="116"/>
      <c r="CL317" s="116"/>
      <c r="CM317" s="116"/>
      <c r="CN317" s="116"/>
      <c r="CO317" s="116"/>
      <c r="CP317" s="116"/>
      <c r="CQ317" s="116"/>
      <c r="CR317" s="116"/>
      <c r="CS317" s="116"/>
      <c r="CT317" s="116"/>
      <c r="CU317" s="116"/>
      <c r="CV317" s="116"/>
      <c r="CW317" s="116"/>
      <c r="CX317" s="116"/>
      <c r="CY317" s="116"/>
      <c r="CZ317" s="116"/>
      <c r="DA317" s="116"/>
      <c r="DB317" s="116"/>
      <c r="DC317" s="116"/>
      <c r="DD317" s="116"/>
      <c r="DE317" s="116"/>
      <c r="DF317" s="116"/>
      <c r="DG317" s="116"/>
      <c r="DH317" s="116"/>
      <c r="DI317" s="116"/>
      <c r="DJ317" s="116"/>
      <c r="DK317" s="116"/>
      <c r="DL317" s="116"/>
      <c r="DM317" s="116"/>
      <c r="DN317" s="116"/>
      <c r="DO317" s="116"/>
      <c r="DP317" s="116"/>
      <c r="DQ317" s="116"/>
      <c r="DR317" s="116"/>
      <c r="DS317" s="116"/>
      <c r="DT317" s="116"/>
      <c r="DU317" s="116"/>
      <c r="DV317" s="116"/>
      <c r="DW317" s="116"/>
      <c r="DX317" s="116"/>
      <c r="DY317" s="116"/>
      <c r="DZ317" s="116"/>
      <c r="EA317" s="116"/>
      <c r="EB317" s="116"/>
      <c r="EC317" s="116"/>
      <c r="ED317" s="116"/>
      <c r="EE317" s="116"/>
      <c r="EF317" s="116"/>
      <c r="EG317" s="116"/>
      <c r="EH317" s="116"/>
      <c r="EI317" s="116"/>
      <c r="EJ317" s="116"/>
      <c r="EK317" s="116"/>
      <c r="EL317" s="116"/>
      <c r="EM317" s="116"/>
      <c r="EN317" s="116"/>
      <c r="EO317" s="116"/>
      <c r="EP317" s="116"/>
      <c r="EQ317" s="116"/>
      <c r="ER317" s="116"/>
      <c r="ES317" s="116"/>
      <c r="ET317" s="116"/>
      <c r="EU317" s="116"/>
      <c r="EV317" s="116"/>
      <c r="EW317" s="116"/>
      <c r="EX317" s="116"/>
      <c r="EY317" s="116"/>
      <c r="EZ317" s="116"/>
      <c r="FA317" s="116"/>
      <c r="FB317" s="116"/>
      <c r="FC317" s="116"/>
      <c r="FD317" s="116"/>
      <c r="FE317" s="116"/>
      <c r="FF317" s="116"/>
      <c r="FG317" s="116"/>
      <c r="FH317" s="116"/>
      <c r="FI317" s="116"/>
      <c r="FJ317" s="116"/>
      <c r="FK317" s="116"/>
      <c r="FL317" s="116"/>
      <c r="FM317" s="116"/>
      <c r="FN317" s="116"/>
      <c r="FO317" s="116"/>
      <c r="FP317" s="116"/>
      <c r="FQ317" s="116"/>
      <c r="FR317" s="116"/>
      <c r="FS317" s="116"/>
      <c r="FT317" s="116"/>
      <c r="FU317" s="116"/>
      <c r="FV317" s="116"/>
      <c r="FW317" s="116"/>
      <c r="FX317" s="116"/>
      <c r="FY317" s="116"/>
      <c r="FZ317" s="116"/>
      <c r="GA317" s="116"/>
      <c r="GB317" s="116"/>
      <c r="GC317" s="116"/>
      <c r="GD317" s="116"/>
      <c r="GE317" s="116"/>
      <c r="GF317" s="116"/>
      <c r="GG317" s="116"/>
      <c r="GH317" s="116"/>
    </row>
    <row r="318" spans="2:190" ht="12.75">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6"/>
      <c r="BI318" s="116"/>
      <c r="BJ318" s="116"/>
      <c r="BK318" s="116"/>
      <c r="BL318" s="116"/>
      <c r="BM318" s="116"/>
      <c r="BN318" s="116"/>
      <c r="BO318" s="116"/>
      <c r="BP318" s="116"/>
      <c r="BQ318" s="116"/>
      <c r="BR318" s="116"/>
      <c r="BS318" s="116"/>
      <c r="BT318" s="116"/>
      <c r="BU318" s="116"/>
      <c r="BV318" s="116"/>
      <c r="BW318" s="116"/>
      <c r="BX318" s="116"/>
      <c r="BY318" s="116"/>
      <c r="BZ318" s="116"/>
      <c r="CA318" s="116"/>
      <c r="CB318" s="116"/>
      <c r="CC318" s="116"/>
      <c r="CD318" s="116"/>
      <c r="CE318" s="116"/>
      <c r="CF318" s="116"/>
      <c r="CG318" s="116"/>
      <c r="CH318" s="116"/>
      <c r="CI318" s="116"/>
      <c r="CJ318" s="116"/>
      <c r="CK318" s="116"/>
      <c r="CL318" s="116"/>
      <c r="CM318" s="116"/>
      <c r="CN318" s="116"/>
      <c r="CO318" s="116"/>
      <c r="CP318" s="116"/>
      <c r="CQ318" s="116"/>
      <c r="CR318" s="116"/>
      <c r="CS318" s="116"/>
      <c r="CT318" s="116"/>
      <c r="CU318" s="116"/>
      <c r="CV318" s="116"/>
      <c r="CW318" s="116"/>
      <c r="CX318" s="116"/>
      <c r="CY318" s="116"/>
      <c r="CZ318" s="116"/>
      <c r="DA318" s="116"/>
      <c r="DB318" s="116"/>
      <c r="DC318" s="116"/>
      <c r="DD318" s="116"/>
      <c r="DE318" s="116"/>
      <c r="DF318" s="116"/>
      <c r="DG318" s="116"/>
      <c r="DH318" s="116"/>
      <c r="DI318" s="116"/>
      <c r="DJ318" s="116"/>
      <c r="DK318" s="116"/>
      <c r="DL318" s="116"/>
      <c r="DM318" s="116"/>
      <c r="DN318" s="116"/>
      <c r="DO318" s="116"/>
      <c r="DP318" s="116"/>
      <c r="DQ318" s="116"/>
      <c r="DR318" s="116"/>
      <c r="DS318" s="116"/>
      <c r="DT318" s="116"/>
      <c r="DU318" s="116"/>
      <c r="DV318" s="116"/>
      <c r="DW318" s="116"/>
      <c r="DX318" s="116"/>
      <c r="DY318" s="116"/>
      <c r="DZ318" s="116"/>
      <c r="EA318" s="116"/>
      <c r="EB318" s="116"/>
      <c r="EC318" s="116"/>
      <c r="ED318" s="116"/>
      <c r="EE318" s="116"/>
      <c r="EF318" s="116"/>
      <c r="EG318" s="116"/>
      <c r="EH318" s="116"/>
      <c r="EI318" s="116"/>
      <c r="EJ318" s="116"/>
      <c r="EK318" s="116"/>
      <c r="EL318" s="116"/>
      <c r="EM318" s="116"/>
      <c r="EN318" s="116"/>
      <c r="EO318" s="116"/>
      <c r="EP318" s="116"/>
      <c r="EQ318" s="116"/>
      <c r="ER318" s="116"/>
      <c r="ES318" s="116"/>
      <c r="ET318" s="116"/>
      <c r="EU318" s="116"/>
      <c r="EV318" s="116"/>
      <c r="EW318" s="116"/>
      <c r="EX318" s="116"/>
      <c r="EY318" s="116"/>
      <c r="EZ318" s="116"/>
      <c r="FA318" s="116"/>
      <c r="FB318" s="116"/>
      <c r="FC318" s="116"/>
      <c r="FD318" s="116"/>
      <c r="FE318" s="116"/>
      <c r="FF318" s="116"/>
      <c r="FG318" s="116"/>
      <c r="FH318" s="116"/>
      <c r="FI318" s="116"/>
      <c r="FJ318" s="116"/>
      <c r="FK318" s="116"/>
      <c r="FL318" s="116"/>
      <c r="FM318" s="116"/>
      <c r="FN318" s="116"/>
      <c r="FO318" s="116"/>
      <c r="FP318" s="116"/>
      <c r="FQ318" s="116"/>
      <c r="FR318" s="116"/>
      <c r="FS318" s="116"/>
      <c r="FT318" s="116"/>
      <c r="FU318" s="116"/>
      <c r="FV318" s="116"/>
      <c r="FW318" s="116"/>
      <c r="FX318" s="116"/>
      <c r="FY318" s="116"/>
      <c r="FZ318" s="116"/>
      <c r="GA318" s="116"/>
      <c r="GB318" s="116"/>
      <c r="GC318" s="116"/>
      <c r="GD318" s="116"/>
      <c r="GE318" s="116"/>
      <c r="GF318" s="116"/>
      <c r="GG318" s="116"/>
      <c r="GH318" s="116"/>
    </row>
    <row r="319" spans="2:190" ht="12.75">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6"/>
      <c r="BI319" s="116"/>
      <c r="BJ319" s="116"/>
      <c r="BK319" s="116"/>
      <c r="BL319" s="116"/>
      <c r="BM319" s="116"/>
      <c r="BN319" s="116"/>
      <c r="BO319" s="116"/>
      <c r="BP319" s="116"/>
      <c r="BQ319" s="116"/>
      <c r="BR319" s="116"/>
      <c r="BS319" s="116"/>
      <c r="BT319" s="116"/>
      <c r="BU319" s="116"/>
      <c r="BV319" s="116"/>
      <c r="BW319" s="116"/>
      <c r="BX319" s="116"/>
      <c r="BY319" s="116"/>
      <c r="BZ319" s="116"/>
      <c r="CA319" s="116"/>
      <c r="CB319" s="116"/>
      <c r="CC319" s="116"/>
      <c r="CD319" s="116"/>
      <c r="CE319" s="116"/>
      <c r="CF319" s="116"/>
      <c r="CG319" s="116"/>
      <c r="CH319" s="116"/>
      <c r="CI319" s="116"/>
      <c r="CJ319" s="116"/>
      <c r="CK319" s="116"/>
      <c r="CL319" s="116"/>
      <c r="CM319" s="116"/>
      <c r="CN319" s="116"/>
      <c r="CO319" s="116"/>
      <c r="CP319" s="116"/>
      <c r="CQ319" s="116"/>
      <c r="CR319" s="116"/>
      <c r="CS319" s="116"/>
      <c r="CT319" s="116"/>
      <c r="CU319" s="116"/>
      <c r="CV319" s="116"/>
      <c r="CW319" s="116"/>
      <c r="CX319" s="116"/>
      <c r="CY319" s="116"/>
      <c r="CZ319" s="116"/>
      <c r="DA319" s="116"/>
      <c r="DB319" s="116"/>
      <c r="DC319" s="116"/>
      <c r="DD319" s="116"/>
      <c r="DE319" s="116"/>
      <c r="DF319" s="116"/>
      <c r="DG319" s="116"/>
      <c r="DH319" s="116"/>
      <c r="DI319" s="116"/>
      <c r="DJ319" s="116"/>
      <c r="DK319" s="116"/>
      <c r="DL319" s="116"/>
      <c r="DM319" s="116"/>
      <c r="DN319" s="116"/>
      <c r="DO319" s="116"/>
      <c r="DP319" s="116"/>
      <c r="DQ319" s="116"/>
      <c r="DR319" s="116"/>
      <c r="DS319" s="116"/>
      <c r="DT319" s="116"/>
      <c r="DU319" s="116"/>
      <c r="DV319" s="116"/>
      <c r="DW319" s="116"/>
      <c r="DX319" s="116"/>
      <c r="DY319" s="116"/>
      <c r="DZ319" s="116"/>
      <c r="EA319" s="116"/>
      <c r="EB319" s="116"/>
      <c r="EC319" s="116"/>
      <c r="ED319" s="116"/>
      <c r="EE319" s="116"/>
      <c r="EF319" s="116"/>
      <c r="EG319" s="116"/>
      <c r="EH319" s="116"/>
      <c r="EI319" s="116"/>
      <c r="EJ319" s="116"/>
      <c r="EK319" s="116"/>
      <c r="EL319" s="116"/>
      <c r="EM319" s="116"/>
      <c r="EN319" s="116"/>
      <c r="EO319" s="116"/>
      <c r="EP319" s="116"/>
      <c r="EQ319" s="116"/>
      <c r="ER319" s="116"/>
      <c r="ES319" s="116"/>
      <c r="ET319" s="116"/>
      <c r="EU319" s="116"/>
      <c r="EV319" s="116"/>
      <c r="EW319" s="116"/>
      <c r="EX319" s="116"/>
      <c r="EY319" s="116"/>
      <c r="EZ319" s="116"/>
      <c r="FA319" s="116"/>
      <c r="FB319" s="116"/>
      <c r="FC319" s="116"/>
      <c r="FD319" s="116"/>
      <c r="FE319" s="116"/>
      <c r="FF319" s="116"/>
      <c r="FG319" s="116"/>
      <c r="FH319" s="116"/>
      <c r="FI319" s="116"/>
      <c r="FJ319" s="116"/>
      <c r="FK319" s="116"/>
      <c r="FL319" s="116"/>
      <c r="FM319" s="116"/>
      <c r="FN319" s="116"/>
      <c r="FO319" s="116"/>
      <c r="FP319" s="116"/>
      <c r="FQ319" s="116"/>
      <c r="FR319" s="116"/>
      <c r="FS319" s="116"/>
      <c r="FT319" s="116"/>
      <c r="FU319" s="116"/>
      <c r="FV319" s="116"/>
      <c r="FW319" s="116"/>
      <c r="FX319" s="116"/>
      <c r="FY319" s="116"/>
      <c r="FZ319" s="116"/>
      <c r="GA319" s="116"/>
      <c r="GB319" s="116"/>
      <c r="GC319" s="116"/>
      <c r="GD319" s="116"/>
      <c r="GE319" s="116"/>
      <c r="GF319" s="116"/>
      <c r="GG319" s="116"/>
      <c r="GH319" s="116"/>
    </row>
    <row r="320" spans="2:190" ht="12.75">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6"/>
      <c r="BI320" s="116"/>
      <c r="BJ320" s="116"/>
      <c r="BK320" s="116"/>
      <c r="BL320" s="116"/>
      <c r="BM320" s="116"/>
      <c r="BN320" s="116"/>
      <c r="BO320" s="116"/>
      <c r="BP320" s="116"/>
      <c r="BQ320" s="116"/>
      <c r="BR320" s="116"/>
      <c r="BS320" s="116"/>
      <c r="BT320" s="116"/>
      <c r="BU320" s="116"/>
      <c r="BV320" s="116"/>
      <c r="BW320" s="116"/>
      <c r="BX320" s="116"/>
      <c r="BY320" s="116"/>
      <c r="BZ320" s="116"/>
      <c r="CA320" s="116"/>
      <c r="CB320" s="116"/>
      <c r="CC320" s="116"/>
      <c r="CD320" s="116"/>
      <c r="CE320" s="116"/>
      <c r="CF320" s="116"/>
      <c r="CG320" s="116"/>
      <c r="CH320" s="116"/>
      <c r="CI320" s="116"/>
      <c r="CJ320" s="116"/>
      <c r="CK320" s="116"/>
      <c r="CL320" s="116"/>
      <c r="CM320" s="116"/>
      <c r="CN320" s="116"/>
      <c r="CO320" s="116"/>
      <c r="CP320" s="116"/>
      <c r="CQ320" s="116"/>
      <c r="CR320" s="116"/>
      <c r="CS320" s="116"/>
      <c r="CT320" s="116"/>
      <c r="CU320" s="116"/>
      <c r="CV320" s="116"/>
      <c r="CW320" s="116"/>
      <c r="CX320" s="116"/>
      <c r="CY320" s="116"/>
      <c r="CZ320" s="116"/>
      <c r="DA320" s="116"/>
      <c r="DB320" s="116"/>
      <c r="DC320" s="116"/>
      <c r="DD320" s="116"/>
      <c r="DE320" s="116"/>
      <c r="DF320" s="116"/>
      <c r="DG320" s="116"/>
      <c r="DH320" s="116"/>
      <c r="DI320" s="116"/>
      <c r="DJ320" s="116"/>
      <c r="DK320" s="116"/>
      <c r="DL320" s="116"/>
      <c r="DM320" s="116"/>
      <c r="DN320" s="116"/>
      <c r="DO320" s="116"/>
      <c r="DP320" s="116"/>
      <c r="DQ320" s="116"/>
      <c r="DR320" s="116"/>
      <c r="DS320" s="116"/>
      <c r="DT320" s="116"/>
      <c r="DU320" s="116"/>
      <c r="DV320" s="116"/>
      <c r="DW320" s="116"/>
      <c r="DX320" s="116"/>
      <c r="DY320" s="116"/>
      <c r="DZ320" s="116"/>
      <c r="EA320" s="116"/>
      <c r="EB320" s="116"/>
      <c r="EC320" s="116"/>
      <c r="ED320" s="116"/>
      <c r="EE320" s="116"/>
      <c r="EF320" s="116"/>
      <c r="EG320" s="116"/>
      <c r="EH320" s="116"/>
      <c r="EI320" s="116"/>
      <c r="EJ320" s="116"/>
      <c r="EK320" s="116"/>
      <c r="EL320" s="116"/>
      <c r="EM320" s="116"/>
      <c r="EN320" s="116"/>
      <c r="EO320" s="116"/>
      <c r="EP320" s="116"/>
      <c r="EQ320" s="116"/>
      <c r="ER320" s="116"/>
      <c r="ES320" s="116"/>
      <c r="ET320" s="116"/>
      <c r="EU320" s="116"/>
      <c r="EV320" s="116"/>
      <c r="EW320" s="116"/>
      <c r="EX320" s="116"/>
      <c r="EY320" s="116"/>
      <c r="EZ320" s="116"/>
      <c r="FA320" s="116"/>
      <c r="FB320" s="116"/>
      <c r="FC320" s="116"/>
      <c r="FD320" s="116"/>
      <c r="FE320" s="116"/>
      <c r="FF320" s="116"/>
      <c r="FG320" s="116"/>
      <c r="FH320" s="116"/>
      <c r="FI320" s="116"/>
      <c r="FJ320" s="116"/>
      <c r="FK320" s="116"/>
      <c r="FL320" s="116"/>
      <c r="FM320" s="116"/>
      <c r="FN320" s="116"/>
      <c r="FO320" s="116"/>
      <c r="FP320" s="116"/>
      <c r="FQ320" s="116"/>
      <c r="FR320" s="116"/>
      <c r="FS320" s="116"/>
      <c r="FT320" s="116"/>
      <c r="FU320" s="116"/>
      <c r="FV320" s="116"/>
      <c r="FW320" s="116"/>
      <c r="FX320" s="116"/>
      <c r="FY320" s="116"/>
      <c r="FZ320" s="116"/>
      <c r="GA320" s="116"/>
      <c r="GB320" s="116"/>
      <c r="GC320" s="116"/>
      <c r="GD320" s="116"/>
      <c r="GE320" s="116"/>
      <c r="GF320" s="116"/>
      <c r="GG320" s="116"/>
      <c r="GH320" s="116"/>
    </row>
    <row r="321" spans="2:190" ht="12.75">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6"/>
      <c r="BI321" s="116"/>
      <c r="BJ321" s="116"/>
      <c r="BK321" s="116"/>
      <c r="BL321" s="116"/>
      <c r="BM321" s="116"/>
      <c r="BN321" s="116"/>
      <c r="BO321" s="116"/>
      <c r="BP321" s="116"/>
      <c r="BQ321" s="116"/>
      <c r="BR321" s="116"/>
      <c r="BS321" s="116"/>
      <c r="BT321" s="116"/>
      <c r="BU321" s="116"/>
      <c r="BV321" s="116"/>
      <c r="BW321" s="116"/>
      <c r="BX321" s="116"/>
      <c r="BY321" s="116"/>
      <c r="BZ321" s="116"/>
      <c r="CA321" s="116"/>
      <c r="CB321" s="116"/>
      <c r="CC321" s="116"/>
      <c r="CD321" s="116"/>
      <c r="CE321" s="116"/>
      <c r="CF321" s="116"/>
      <c r="CG321" s="116"/>
      <c r="CH321" s="116"/>
      <c r="CI321" s="116"/>
      <c r="CJ321" s="116"/>
      <c r="CK321" s="116"/>
      <c r="CL321" s="116"/>
      <c r="CM321" s="116"/>
      <c r="CN321" s="116"/>
      <c r="CO321" s="116"/>
      <c r="CP321" s="116"/>
      <c r="CQ321" s="116"/>
      <c r="CR321" s="116"/>
      <c r="CS321" s="116"/>
      <c r="CT321" s="116"/>
      <c r="CU321" s="116"/>
      <c r="CV321" s="116"/>
      <c r="CW321" s="116"/>
      <c r="CX321" s="116"/>
      <c r="CY321" s="116"/>
      <c r="CZ321" s="116"/>
      <c r="DA321" s="116"/>
      <c r="DB321" s="116"/>
      <c r="DC321" s="116"/>
      <c r="DD321" s="116"/>
      <c r="DE321" s="116"/>
      <c r="DF321" s="116"/>
      <c r="DG321" s="116"/>
      <c r="DH321" s="116"/>
      <c r="DI321" s="116"/>
      <c r="DJ321" s="116"/>
      <c r="DK321" s="116"/>
      <c r="DL321" s="116"/>
      <c r="DM321" s="116"/>
      <c r="DN321" s="116"/>
      <c r="DO321" s="116"/>
      <c r="DP321" s="116"/>
      <c r="DQ321" s="116"/>
      <c r="DR321" s="116"/>
      <c r="DS321" s="116"/>
      <c r="DT321" s="116"/>
      <c r="DU321" s="116"/>
      <c r="DV321" s="116"/>
      <c r="DW321" s="116"/>
      <c r="DX321" s="116"/>
      <c r="DY321" s="116"/>
      <c r="DZ321" s="116"/>
      <c r="EA321" s="116"/>
      <c r="EB321" s="116"/>
      <c r="EC321" s="116"/>
      <c r="ED321" s="116"/>
      <c r="EE321" s="116"/>
      <c r="EF321" s="116"/>
      <c r="EG321" s="116"/>
      <c r="EH321" s="116"/>
      <c r="EI321" s="116"/>
      <c r="EJ321" s="116"/>
      <c r="EK321" s="116"/>
      <c r="EL321" s="116"/>
      <c r="EM321" s="116"/>
      <c r="EN321" s="116"/>
      <c r="EO321" s="116"/>
      <c r="EP321" s="116"/>
      <c r="EQ321" s="116"/>
      <c r="ER321" s="116"/>
      <c r="ES321" s="116"/>
      <c r="ET321" s="116"/>
      <c r="EU321" s="116"/>
      <c r="EV321" s="116"/>
      <c r="EW321" s="116"/>
      <c r="EX321" s="116"/>
      <c r="EY321" s="116"/>
      <c r="EZ321" s="116"/>
      <c r="FA321" s="116"/>
      <c r="FB321" s="116"/>
      <c r="FC321" s="116"/>
      <c r="FD321" s="116"/>
      <c r="FE321" s="116"/>
      <c r="FF321" s="116"/>
      <c r="FG321" s="116"/>
      <c r="FH321" s="116"/>
      <c r="FI321" s="116"/>
      <c r="FJ321" s="116"/>
      <c r="FK321" s="116"/>
      <c r="FL321" s="116"/>
      <c r="FM321" s="116"/>
      <c r="FN321" s="116"/>
      <c r="FO321" s="116"/>
      <c r="FP321" s="116"/>
      <c r="FQ321" s="116"/>
      <c r="FR321" s="116"/>
      <c r="FS321" s="116"/>
      <c r="FT321" s="116"/>
      <c r="FU321" s="116"/>
      <c r="FV321" s="116"/>
      <c r="FW321" s="116"/>
      <c r="FX321" s="116"/>
      <c r="FY321" s="116"/>
      <c r="FZ321" s="116"/>
      <c r="GA321" s="116"/>
      <c r="GB321" s="116"/>
      <c r="GC321" s="116"/>
      <c r="GD321" s="116"/>
      <c r="GE321" s="116"/>
      <c r="GF321" s="116"/>
      <c r="GG321" s="116"/>
      <c r="GH321" s="116"/>
    </row>
    <row r="322" spans="2:190" ht="12.75">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6"/>
      <c r="BI322" s="116"/>
      <c r="BJ322" s="116"/>
      <c r="BK322" s="116"/>
      <c r="BL322" s="116"/>
      <c r="BM322" s="116"/>
      <c r="BN322" s="116"/>
      <c r="BO322" s="116"/>
      <c r="BP322" s="116"/>
      <c r="BQ322" s="116"/>
      <c r="BR322" s="116"/>
      <c r="BS322" s="116"/>
      <c r="BT322" s="116"/>
      <c r="BU322" s="116"/>
      <c r="BV322" s="116"/>
      <c r="BW322" s="116"/>
      <c r="BX322" s="116"/>
      <c r="BY322" s="116"/>
      <c r="BZ322" s="116"/>
      <c r="CA322" s="116"/>
      <c r="CB322" s="116"/>
      <c r="CC322" s="116"/>
      <c r="CD322" s="116"/>
      <c r="CE322" s="116"/>
      <c r="CF322" s="116"/>
      <c r="CG322" s="116"/>
      <c r="CH322" s="116"/>
      <c r="CI322" s="116"/>
      <c r="CJ322" s="116"/>
      <c r="CK322" s="116"/>
      <c r="CL322" s="116"/>
      <c r="CM322" s="116"/>
      <c r="CN322" s="116"/>
      <c r="CO322" s="116"/>
      <c r="CP322" s="116"/>
      <c r="CQ322" s="116"/>
      <c r="CR322" s="116"/>
      <c r="CS322" s="116"/>
      <c r="CT322" s="116"/>
      <c r="CU322" s="116"/>
      <c r="CV322" s="116"/>
      <c r="CW322" s="116"/>
      <c r="CX322" s="116"/>
      <c r="CY322" s="116"/>
      <c r="CZ322" s="116"/>
      <c r="DA322" s="116"/>
      <c r="DB322" s="116"/>
      <c r="DC322" s="116"/>
      <c r="DD322" s="116"/>
      <c r="DE322" s="116"/>
      <c r="DF322" s="116"/>
      <c r="DG322" s="116"/>
      <c r="DH322" s="116"/>
      <c r="DI322" s="116"/>
      <c r="DJ322" s="116"/>
      <c r="DK322" s="116"/>
      <c r="DL322" s="116"/>
      <c r="DM322" s="116"/>
      <c r="DN322" s="116"/>
      <c r="DO322" s="116"/>
      <c r="DP322" s="116"/>
      <c r="DQ322" s="116"/>
      <c r="DR322" s="116"/>
      <c r="DS322" s="116"/>
      <c r="DT322" s="116"/>
      <c r="DU322" s="116"/>
      <c r="DV322" s="116"/>
      <c r="DW322" s="116"/>
      <c r="DX322" s="116"/>
      <c r="DY322" s="116"/>
      <c r="DZ322" s="116"/>
      <c r="EA322" s="116"/>
      <c r="EB322" s="116"/>
      <c r="EC322" s="116"/>
      <c r="ED322" s="116"/>
      <c r="EE322" s="116"/>
      <c r="EF322" s="116"/>
      <c r="EG322" s="116"/>
      <c r="EH322" s="116"/>
      <c r="EI322" s="116"/>
      <c r="EJ322" s="116"/>
      <c r="EK322" s="116"/>
      <c r="EL322" s="116"/>
      <c r="EM322" s="116"/>
      <c r="EN322" s="116"/>
      <c r="EO322" s="116"/>
      <c r="EP322" s="116"/>
      <c r="EQ322" s="116"/>
      <c r="ER322" s="116"/>
      <c r="ES322" s="116"/>
      <c r="ET322" s="116"/>
      <c r="EU322" s="116"/>
      <c r="EV322" s="116"/>
      <c r="EW322" s="116"/>
      <c r="EX322" s="116"/>
      <c r="EY322" s="116"/>
      <c r="EZ322" s="116"/>
      <c r="FA322" s="116"/>
      <c r="FB322" s="116"/>
      <c r="FC322" s="116"/>
      <c r="FD322" s="116"/>
      <c r="FE322" s="116"/>
      <c r="FF322" s="116"/>
      <c r="FG322" s="116"/>
      <c r="FH322" s="116"/>
      <c r="FI322" s="116"/>
      <c r="FJ322" s="116"/>
      <c r="FK322" s="116"/>
      <c r="FL322" s="116"/>
      <c r="FM322" s="116"/>
      <c r="FN322" s="116"/>
      <c r="FO322" s="116"/>
      <c r="FP322" s="116"/>
      <c r="FQ322" s="116"/>
      <c r="FR322" s="116"/>
      <c r="FS322" s="116"/>
      <c r="FT322" s="116"/>
      <c r="FU322" s="116"/>
      <c r="FV322" s="116"/>
      <c r="FW322" s="116"/>
      <c r="FX322" s="116"/>
      <c r="FY322" s="116"/>
      <c r="FZ322" s="116"/>
      <c r="GA322" s="116"/>
      <c r="GB322" s="116"/>
      <c r="GC322" s="116"/>
      <c r="GD322" s="116"/>
      <c r="GE322" s="116"/>
      <c r="GF322" s="116"/>
      <c r="GG322" s="116"/>
      <c r="GH322" s="116"/>
    </row>
    <row r="323" spans="2:190" ht="12.75">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6"/>
      <c r="AQ323" s="116"/>
      <c r="AR323" s="116"/>
      <c r="AS323" s="116"/>
      <c r="AT323" s="116"/>
      <c r="AU323" s="116"/>
      <c r="AV323" s="116"/>
      <c r="AW323" s="116"/>
      <c r="AX323" s="116"/>
      <c r="AY323" s="116"/>
      <c r="AZ323" s="116"/>
      <c r="BA323" s="116"/>
      <c r="BB323" s="116"/>
      <c r="BC323" s="116"/>
      <c r="BD323" s="116"/>
      <c r="BE323" s="116"/>
      <c r="BF323" s="116"/>
      <c r="BG323" s="116"/>
      <c r="BH323" s="116"/>
      <c r="BI323" s="116"/>
      <c r="BJ323" s="116"/>
      <c r="BK323" s="116"/>
      <c r="BL323" s="116"/>
      <c r="BM323" s="116"/>
      <c r="BN323" s="116"/>
      <c r="BO323" s="116"/>
      <c r="BP323" s="116"/>
      <c r="BQ323" s="116"/>
      <c r="BR323" s="116"/>
      <c r="BS323" s="116"/>
      <c r="BT323" s="116"/>
      <c r="BU323" s="116"/>
      <c r="BV323" s="116"/>
      <c r="BW323" s="116"/>
      <c r="BX323" s="116"/>
      <c r="BY323" s="116"/>
      <c r="BZ323" s="116"/>
      <c r="CA323" s="116"/>
      <c r="CB323" s="116"/>
      <c r="CC323" s="116"/>
      <c r="CD323" s="116"/>
      <c r="CE323" s="116"/>
      <c r="CF323" s="116"/>
      <c r="CG323" s="116"/>
      <c r="CH323" s="116"/>
      <c r="CI323" s="116"/>
      <c r="CJ323" s="116"/>
      <c r="CK323" s="116"/>
      <c r="CL323" s="116"/>
      <c r="CM323" s="116"/>
      <c r="CN323" s="116"/>
      <c r="CO323" s="116"/>
      <c r="CP323" s="116"/>
      <c r="CQ323" s="116"/>
      <c r="CR323" s="116"/>
      <c r="CS323" s="116"/>
      <c r="CT323" s="116"/>
      <c r="CU323" s="116"/>
      <c r="CV323" s="116"/>
      <c r="CW323" s="116"/>
      <c r="CX323" s="116"/>
      <c r="CY323" s="116"/>
      <c r="CZ323" s="116"/>
      <c r="DA323" s="116"/>
      <c r="DB323" s="116"/>
      <c r="DC323" s="116"/>
      <c r="DD323" s="116"/>
      <c r="DE323" s="116"/>
      <c r="DF323" s="116"/>
      <c r="DG323" s="116"/>
      <c r="DH323" s="116"/>
      <c r="DI323" s="116"/>
      <c r="DJ323" s="116"/>
      <c r="DK323" s="116"/>
      <c r="DL323" s="116"/>
      <c r="DM323" s="116"/>
      <c r="DN323" s="116"/>
      <c r="DO323" s="116"/>
      <c r="DP323" s="116"/>
      <c r="DQ323" s="116"/>
      <c r="DR323" s="116"/>
      <c r="DS323" s="116"/>
      <c r="DT323" s="116"/>
      <c r="DU323" s="116"/>
      <c r="DV323" s="116"/>
      <c r="DW323" s="116"/>
      <c r="DX323" s="116"/>
      <c r="DY323" s="116"/>
      <c r="DZ323" s="116"/>
      <c r="EA323" s="116"/>
      <c r="EB323" s="116"/>
      <c r="EC323" s="116"/>
      <c r="ED323" s="116"/>
      <c r="EE323" s="116"/>
      <c r="EF323" s="116"/>
      <c r="EG323" s="116"/>
      <c r="EH323" s="116"/>
      <c r="EI323" s="116"/>
      <c r="EJ323" s="116"/>
      <c r="EK323" s="116"/>
      <c r="EL323" s="116"/>
      <c r="EM323" s="116"/>
      <c r="EN323" s="116"/>
      <c r="EO323" s="116"/>
      <c r="EP323" s="116"/>
      <c r="EQ323" s="116"/>
      <c r="ER323" s="116"/>
      <c r="ES323" s="116"/>
      <c r="ET323" s="116"/>
      <c r="EU323" s="116"/>
      <c r="EV323" s="116"/>
      <c r="EW323" s="116"/>
      <c r="EX323" s="116"/>
      <c r="EY323" s="116"/>
      <c r="EZ323" s="116"/>
      <c r="FA323" s="116"/>
      <c r="FB323" s="116"/>
      <c r="FC323" s="116"/>
      <c r="FD323" s="116"/>
      <c r="FE323" s="116"/>
      <c r="FF323" s="116"/>
      <c r="FG323" s="116"/>
      <c r="FH323" s="116"/>
      <c r="FI323" s="116"/>
      <c r="FJ323" s="116"/>
      <c r="FK323" s="116"/>
      <c r="FL323" s="116"/>
      <c r="FM323" s="116"/>
      <c r="FN323" s="116"/>
      <c r="FO323" s="116"/>
      <c r="FP323" s="116"/>
      <c r="FQ323" s="116"/>
      <c r="FR323" s="116"/>
      <c r="FS323" s="116"/>
      <c r="FT323" s="116"/>
      <c r="FU323" s="116"/>
      <c r="FV323" s="116"/>
      <c r="FW323" s="116"/>
      <c r="FX323" s="116"/>
      <c r="FY323" s="116"/>
      <c r="FZ323" s="116"/>
      <c r="GA323" s="116"/>
      <c r="GB323" s="116"/>
      <c r="GC323" s="116"/>
      <c r="GD323" s="116"/>
      <c r="GE323" s="116"/>
      <c r="GF323" s="116"/>
      <c r="GG323" s="116"/>
      <c r="GH323" s="116"/>
    </row>
    <row r="324" spans="2:190" ht="12.75">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6"/>
      <c r="AQ324" s="116"/>
      <c r="AR324" s="116"/>
      <c r="AS324" s="116"/>
      <c r="AT324" s="116"/>
      <c r="AU324" s="116"/>
      <c r="AV324" s="116"/>
      <c r="AW324" s="116"/>
      <c r="AX324" s="116"/>
      <c r="AY324" s="116"/>
      <c r="AZ324" s="116"/>
      <c r="BA324" s="116"/>
      <c r="BB324" s="116"/>
      <c r="BC324" s="116"/>
      <c r="BD324" s="116"/>
      <c r="BE324" s="116"/>
      <c r="BF324" s="116"/>
      <c r="BG324" s="116"/>
      <c r="BH324" s="116"/>
      <c r="BI324" s="116"/>
      <c r="BJ324" s="116"/>
      <c r="BK324" s="116"/>
      <c r="BL324" s="116"/>
      <c r="BM324" s="116"/>
      <c r="BN324" s="116"/>
      <c r="BO324" s="116"/>
      <c r="BP324" s="116"/>
      <c r="BQ324" s="116"/>
      <c r="BR324" s="116"/>
      <c r="BS324" s="116"/>
      <c r="BT324" s="116"/>
      <c r="BU324" s="116"/>
      <c r="BV324" s="116"/>
      <c r="BW324" s="116"/>
      <c r="BX324" s="116"/>
      <c r="BY324" s="116"/>
      <c r="BZ324" s="116"/>
      <c r="CA324" s="116"/>
      <c r="CB324" s="116"/>
      <c r="CC324" s="116"/>
      <c r="CD324" s="116"/>
      <c r="CE324" s="116"/>
      <c r="CF324" s="116"/>
      <c r="CG324" s="116"/>
      <c r="CH324" s="116"/>
      <c r="CI324" s="116"/>
      <c r="CJ324" s="116"/>
      <c r="CK324" s="116"/>
      <c r="CL324" s="116"/>
      <c r="CM324" s="116"/>
      <c r="CN324" s="116"/>
      <c r="CO324" s="116"/>
      <c r="CP324" s="116"/>
      <c r="CQ324" s="116"/>
      <c r="CR324" s="116"/>
      <c r="CS324" s="116"/>
      <c r="CT324" s="116"/>
      <c r="CU324" s="116"/>
      <c r="CV324" s="116"/>
      <c r="CW324" s="116"/>
      <c r="CX324" s="116"/>
      <c r="CY324" s="116"/>
      <c r="CZ324" s="116"/>
      <c r="DA324" s="116"/>
      <c r="DB324" s="116"/>
      <c r="DC324" s="116"/>
      <c r="DD324" s="116"/>
      <c r="DE324" s="116"/>
      <c r="DF324" s="116"/>
      <c r="DG324" s="116"/>
      <c r="DH324" s="116"/>
      <c r="DI324" s="116"/>
      <c r="DJ324" s="116"/>
      <c r="DK324" s="116"/>
      <c r="DL324" s="116"/>
      <c r="DM324" s="116"/>
      <c r="DN324" s="116"/>
      <c r="DO324" s="116"/>
      <c r="DP324" s="116"/>
      <c r="DQ324" s="116"/>
      <c r="DR324" s="116"/>
      <c r="DS324" s="116"/>
      <c r="DT324" s="116"/>
      <c r="DU324" s="116"/>
      <c r="DV324" s="116"/>
      <c r="DW324" s="116"/>
      <c r="DX324" s="116"/>
      <c r="DY324" s="116"/>
      <c r="DZ324" s="116"/>
      <c r="EA324" s="116"/>
      <c r="EB324" s="116"/>
      <c r="EC324" s="116"/>
      <c r="ED324" s="116"/>
      <c r="EE324" s="116"/>
      <c r="EF324" s="116"/>
      <c r="EG324" s="116"/>
      <c r="EH324" s="116"/>
      <c r="EI324" s="116"/>
      <c r="EJ324" s="116"/>
      <c r="EK324" s="116"/>
      <c r="EL324" s="116"/>
      <c r="EM324" s="116"/>
      <c r="EN324" s="116"/>
      <c r="EO324" s="116"/>
      <c r="EP324" s="116"/>
      <c r="EQ324" s="116"/>
      <c r="ER324" s="116"/>
      <c r="ES324" s="116"/>
      <c r="ET324" s="116"/>
      <c r="EU324" s="116"/>
      <c r="EV324" s="116"/>
      <c r="EW324" s="116"/>
      <c r="EX324" s="116"/>
      <c r="EY324" s="116"/>
      <c r="EZ324" s="116"/>
      <c r="FA324" s="116"/>
      <c r="FB324" s="116"/>
      <c r="FC324" s="116"/>
      <c r="FD324" s="116"/>
      <c r="FE324" s="116"/>
      <c r="FF324" s="116"/>
      <c r="FG324" s="116"/>
      <c r="FH324" s="116"/>
      <c r="FI324" s="116"/>
      <c r="FJ324" s="116"/>
      <c r="FK324" s="116"/>
      <c r="FL324" s="116"/>
      <c r="FM324" s="116"/>
      <c r="FN324" s="116"/>
      <c r="FO324" s="116"/>
      <c r="FP324" s="116"/>
      <c r="FQ324" s="116"/>
      <c r="FR324" s="116"/>
      <c r="FS324" s="116"/>
      <c r="FT324" s="116"/>
      <c r="FU324" s="116"/>
      <c r="FV324" s="116"/>
      <c r="FW324" s="116"/>
      <c r="FX324" s="116"/>
      <c r="FY324" s="116"/>
      <c r="FZ324" s="116"/>
      <c r="GA324" s="116"/>
      <c r="GB324" s="116"/>
      <c r="GC324" s="116"/>
      <c r="GD324" s="116"/>
      <c r="GE324" s="116"/>
      <c r="GF324" s="116"/>
      <c r="GG324" s="116"/>
      <c r="GH324" s="116"/>
    </row>
    <row r="325" spans="2:190" ht="12.75">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6"/>
      <c r="AL325" s="116"/>
      <c r="AM325" s="116"/>
      <c r="AN325" s="116"/>
      <c r="AO325" s="116"/>
      <c r="AP325" s="116"/>
      <c r="AQ325" s="116"/>
      <c r="AR325" s="116"/>
      <c r="AS325" s="116"/>
      <c r="AT325" s="116"/>
      <c r="AU325" s="116"/>
      <c r="AV325" s="116"/>
      <c r="AW325" s="116"/>
      <c r="AX325" s="116"/>
      <c r="AY325" s="116"/>
      <c r="AZ325" s="116"/>
      <c r="BA325" s="116"/>
      <c r="BB325" s="116"/>
      <c r="BC325" s="116"/>
      <c r="BD325" s="116"/>
      <c r="BE325" s="116"/>
      <c r="BF325" s="116"/>
      <c r="BG325" s="116"/>
      <c r="BH325" s="116"/>
      <c r="BI325" s="116"/>
      <c r="BJ325" s="116"/>
      <c r="BK325" s="116"/>
      <c r="BL325" s="116"/>
      <c r="BM325" s="116"/>
      <c r="BN325" s="116"/>
      <c r="BO325" s="116"/>
      <c r="BP325" s="116"/>
      <c r="BQ325" s="116"/>
      <c r="BR325" s="116"/>
      <c r="BS325" s="116"/>
      <c r="BT325" s="116"/>
      <c r="BU325" s="116"/>
      <c r="BV325" s="116"/>
      <c r="BW325" s="116"/>
      <c r="BX325" s="116"/>
      <c r="BY325" s="116"/>
      <c r="BZ325" s="116"/>
      <c r="CA325" s="116"/>
      <c r="CB325" s="116"/>
      <c r="CC325" s="116"/>
      <c r="CD325" s="116"/>
      <c r="CE325" s="116"/>
      <c r="CF325" s="116"/>
      <c r="CG325" s="116"/>
      <c r="CH325" s="116"/>
      <c r="CI325" s="116"/>
      <c r="CJ325" s="116"/>
      <c r="CK325" s="116"/>
      <c r="CL325" s="116"/>
      <c r="CM325" s="116"/>
      <c r="CN325" s="116"/>
      <c r="CO325" s="116"/>
      <c r="CP325" s="116"/>
      <c r="CQ325" s="116"/>
      <c r="CR325" s="116"/>
      <c r="CS325" s="116"/>
      <c r="CT325" s="116"/>
      <c r="CU325" s="116"/>
      <c r="CV325" s="116"/>
      <c r="CW325" s="116"/>
      <c r="CX325" s="116"/>
      <c r="CY325" s="116"/>
      <c r="CZ325" s="116"/>
      <c r="DA325" s="116"/>
      <c r="DB325" s="116"/>
      <c r="DC325" s="116"/>
      <c r="DD325" s="116"/>
      <c r="DE325" s="116"/>
      <c r="DF325" s="116"/>
      <c r="DG325" s="116"/>
      <c r="DH325" s="116"/>
      <c r="DI325" s="116"/>
      <c r="DJ325" s="116"/>
      <c r="DK325" s="116"/>
      <c r="DL325" s="116"/>
      <c r="DM325" s="116"/>
      <c r="DN325" s="116"/>
      <c r="DO325" s="116"/>
      <c r="DP325" s="116"/>
      <c r="DQ325" s="116"/>
      <c r="DR325" s="116"/>
      <c r="DS325" s="116"/>
      <c r="DT325" s="116"/>
      <c r="DU325" s="116"/>
      <c r="DV325" s="116"/>
      <c r="DW325" s="116"/>
      <c r="DX325" s="116"/>
      <c r="DY325" s="116"/>
      <c r="DZ325" s="116"/>
      <c r="EA325" s="116"/>
      <c r="EB325" s="116"/>
      <c r="EC325" s="116"/>
      <c r="ED325" s="116"/>
      <c r="EE325" s="116"/>
      <c r="EF325" s="116"/>
      <c r="EG325" s="116"/>
      <c r="EH325" s="116"/>
      <c r="EI325" s="116"/>
      <c r="EJ325" s="116"/>
      <c r="EK325" s="116"/>
      <c r="EL325" s="116"/>
      <c r="EM325" s="116"/>
      <c r="EN325" s="116"/>
      <c r="EO325" s="116"/>
      <c r="EP325" s="116"/>
      <c r="EQ325" s="116"/>
      <c r="ER325" s="116"/>
      <c r="ES325" s="116"/>
      <c r="ET325" s="116"/>
      <c r="EU325" s="116"/>
      <c r="EV325" s="116"/>
      <c r="EW325" s="116"/>
      <c r="EX325" s="116"/>
      <c r="EY325" s="116"/>
      <c r="EZ325" s="116"/>
      <c r="FA325" s="116"/>
      <c r="FB325" s="116"/>
      <c r="FC325" s="116"/>
      <c r="FD325" s="116"/>
      <c r="FE325" s="116"/>
      <c r="FF325" s="116"/>
      <c r="FG325" s="116"/>
      <c r="FH325" s="116"/>
      <c r="FI325" s="116"/>
      <c r="FJ325" s="116"/>
      <c r="FK325" s="116"/>
      <c r="FL325" s="116"/>
      <c r="FM325" s="116"/>
      <c r="FN325" s="116"/>
      <c r="FO325" s="116"/>
      <c r="FP325" s="116"/>
      <c r="FQ325" s="116"/>
      <c r="FR325" s="116"/>
      <c r="FS325" s="116"/>
      <c r="FT325" s="116"/>
      <c r="FU325" s="116"/>
      <c r="FV325" s="116"/>
      <c r="FW325" s="116"/>
      <c r="FX325" s="116"/>
      <c r="FY325" s="116"/>
      <c r="FZ325" s="116"/>
      <c r="GA325" s="116"/>
      <c r="GB325" s="116"/>
      <c r="GC325" s="116"/>
      <c r="GD325" s="116"/>
      <c r="GE325" s="116"/>
      <c r="GF325" s="116"/>
      <c r="GG325" s="116"/>
      <c r="GH325" s="116"/>
    </row>
    <row r="326" spans="2:190" ht="12.75">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6"/>
      <c r="AQ326" s="116"/>
      <c r="AR326" s="116"/>
      <c r="AS326" s="116"/>
      <c r="AT326" s="116"/>
      <c r="AU326" s="116"/>
      <c r="AV326" s="116"/>
      <c r="AW326" s="116"/>
      <c r="AX326" s="116"/>
      <c r="AY326" s="116"/>
      <c r="AZ326" s="116"/>
      <c r="BA326" s="116"/>
      <c r="BB326" s="116"/>
      <c r="BC326" s="116"/>
      <c r="BD326" s="116"/>
      <c r="BE326" s="116"/>
      <c r="BF326" s="116"/>
      <c r="BG326" s="116"/>
      <c r="BH326" s="116"/>
      <c r="BI326" s="116"/>
      <c r="BJ326" s="116"/>
      <c r="BK326" s="116"/>
      <c r="BL326" s="116"/>
      <c r="BM326" s="116"/>
      <c r="BN326" s="116"/>
      <c r="BO326" s="116"/>
      <c r="BP326" s="116"/>
      <c r="BQ326" s="116"/>
      <c r="BR326" s="116"/>
      <c r="BS326" s="116"/>
      <c r="BT326" s="116"/>
      <c r="BU326" s="116"/>
      <c r="BV326" s="116"/>
      <c r="BW326" s="116"/>
      <c r="BX326" s="116"/>
      <c r="BY326" s="116"/>
      <c r="BZ326" s="116"/>
      <c r="CA326" s="116"/>
      <c r="CB326" s="116"/>
      <c r="CC326" s="116"/>
      <c r="CD326" s="116"/>
      <c r="CE326" s="116"/>
      <c r="CF326" s="116"/>
      <c r="CG326" s="116"/>
      <c r="CH326" s="116"/>
      <c r="CI326" s="116"/>
      <c r="CJ326" s="116"/>
      <c r="CK326" s="116"/>
      <c r="CL326" s="116"/>
      <c r="CM326" s="116"/>
      <c r="CN326" s="116"/>
      <c r="CO326" s="116"/>
      <c r="CP326" s="116"/>
      <c r="CQ326" s="116"/>
      <c r="CR326" s="116"/>
      <c r="CS326" s="116"/>
      <c r="CT326" s="116"/>
      <c r="CU326" s="116"/>
      <c r="CV326" s="116"/>
      <c r="CW326" s="116"/>
      <c r="CX326" s="116"/>
      <c r="CY326" s="116"/>
      <c r="CZ326" s="116"/>
      <c r="DA326" s="116"/>
      <c r="DB326" s="116"/>
      <c r="DC326" s="116"/>
      <c r="DD326" s="116"/>
      <c r="DE326" s="116"/>
      <c r="DF326" s="116"/>
      <c r="DG326" s="116"/>
      <c r="DH326" s="116"/>
      <c r="DI326" s="116"/>
      <c r="DJ326" s="116"/>
      <c r="DK326" s="116"/>
      <c r="DL326" s="116"/>
      <c r="DM326" s="116"/>
      <c r="DN326" s="116"/>
      <c r="DO326" s="116"/>
      <c r="DP326" s="116"/>
      <c r="DQ326" s="116"/>
      <c r="DR326" s="116"/>
      <c r="DS326" s="116"/>
      <c r="DT326" s="116"/>
      <c r="DU326" s="116"/>
      <c r="DV326" s="116"/>
      <c r="DW326" s="116"/>
      <c r="DX326" s="116"/>
      <c r="DY326" s="116"/>
      <c r="DZ326" s="116"/>
      <c r="EA326" s="116"/>
      <c r="EB326" s="116"/>
      <c r="EC326" s="116"/>
      <c r="ED326" s="116"/>
      <c r="EE326" s="116"/>
      <c r="EF326" s="116"/>
      <c r="EG326" s="116"/>
      <c r="EH326" s="116"/>
      <c r="EI326" s="116"/>
      <c r="EJ326" s="116"/>
      <c r="EK326" s="116"/>
      <c r="EL326" s="116"/>
      <c r="EM326" s="116"/>
      <c r="EN326" s="116"/>
      <c r="EO326" s="116"/>
      <c r="EP326" s="116"/>
      <c r="EQ326" s="116"/>
      <c r="ER326" s="116"/>
      <c r="ES326" s="116"/>
      <c r="ET326" s="116"/>
      <c r="EU326" s="116"/>
      <c r="EV326" s="116"/>
      <c r="EW326" s="116"/>
      <c r="EX326" s="116"/>
      <c r="EY326" s="116"/>
      <c r="EZ326" s="116"/>
      <c r="FA326" s="116"/>
      <c r="FB326" s="116"/>
      <c r="FC326" s="116"/>
      <c r="FD326" s="116"/>
      <c r="FE326" s="116"/>
      <c r="FF326" s="116"/>
      <c r="FG326" s="116"/>
      <c r="FH326" s="116"/>
      <c r="FI326" s="116"/>
      <c r="FJ326" s="116"/>
      <c r="FK326" s="116"/>
      <c r="FL326" s="116"/>
      <c r="FM326" s="116"/>
      <c r="FN326" s="116"/>
      <c r="FO326" s="116"/>
      <c r="FP326" s="116"/>
      <c r="FQ326" s="116"/>
      <c r="FR326" s="116"/>
      <c r="FS326" s="116"/>
      <c r="FT326" s="116"/>
      <c r="FU326" s="116"/>
      <c r="FV326" s="116"/>
      <c r="FW326" s="116"/>
      <c r="FX326" s="116"/>
      <c r="FY326" s="116"/>
      <c r="FZ326" s="116"/>
      <c r="GA326" s="116"/>
      <c r="GB326" s="116"/>
      <c r="GC326" s="116"/>
      <c r="GD326" s="116"/>
      <c r="GE326" s="116"/>
      <c r="GF326" s="116"/>
      <c r="GG326" s="116"/>
      <c r="GH326" s="116"/>
    </row>
    <row r="327" spans="2:190" ht="12.75">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6"/>
      <c r="AL327" s="116"/>
      <c r="AM327" s="116"/>
      <c r="AN327" s="116"/>
      <c r="AO327" s="116"/>
      <c r="AP327" s="116"/>
      <c r="AQ327" s="116"/>
      <c r="AR327" s="116"/>
      <c r="AS327" s="116"/>
      <c r="AT327" s="116"/>
      <c r="AU327" s="116"/>
      <c r="AV327" s="116"/>
      <c r="AW327" s="116"/>
      <c r="AX327" s="116"/>
      <c r="AY327" s="116"/>
      <c r="AZ327" s="116"/>
      <c r="BA327" s="116"/>
      <c r="BB327" s="116"/>
      <c r="BC327" s="116"/>
      <c r="BD327" s="116"/>
      <c r="BE327" s="116"/>
      <c r="BF327" s="116"/>
      <c r="BG327" s="116"/>
      <c r="BH327" s="116"/>
      <c r="BI327" s="116"/>
      <c r="BJ327" s="116"/>
      <c r="BK327" s="116"/>
      <c r="BL327" s="116"/>
      <c r="BM327" s="116"/>
      <c r="BN327" s="116"/>
      <c r="BO327" s="116"/>
      <c r="BP327" s="116"/>
      <c r="BQ327" s="116"/>
      <c r="BR327" s="116"/>
      <c r="BS327" s="116"/>
      <c r="BT327" s="116"/>
      <c r="BU327" s="116"/>
      <c r="BV327" s="116"/>
      <c r="BW327" s="116"/>
      <c r="BX327" s="116"/>
      <c r="BY327" s="116"/>
      <c r="BZ327" s="116"/>
      <c r="CA327" s="116"/>
      <c r="CB327" s="116"/>
      <c r="CC327" s="116"/>
      <c r="CD327" s="116"/>
      <c r="CE327" s="116"/>
      <c r="CF327" s="116"/>
      <c r="CG327" s="116"/>
      <c r="CH327" s="116"/>
      <c r="CI327" s="116"/>
      <c r="CJ327" s="116"/>
      <c r="CK327" s="116"/>
      <c r="CL327" s="116"/>
      <c r="CM327" s="116"/>
      <c r="CN327" s="116"/>
      <c r="CO327" s="116"/>
      <c r="CP327" s="116"/>
      <c r="CQ327" s="116"/>
      <c r="CR327" s="116"/>
      <c r="CS327" s="116"/>
      <c r="CT327" s="116"/>
      <c r="CU327" s="116"/>
      <c r="CV327" s="116"/>
      <c r="CW327" s="116"/>
      <c r="CX327" s="116"/>
      <c r="CY327" s="116"/>
      <c r="CZ327" s="116"/>
      <c r="DA327" s="116"/>
      <c r="DB327" s="116"/>
      <c r="DC327" s="116"/>
      <c r="DD327" s="116"/>
      <c r="DE327" s="116"/>
      <c r="DF327" s="116"/>
      <c r="DG327" s="116"/>
      <c r="DH327" s="116"/>
      <c r="DI327" s="116"/>
      <c r="DJ327" s="116"/>
      <c r="DK327" s="116"/>
      <c r="DL327" s="116"/>
      <c r="DM327" s="116"/>
      <c r="DN327" s="116"/>
      <c r="DO327" s="116"/>
      <c r="DP327" s="116"/>
      <c r="DQ327" s="116"/>
      <c r="DR327" s="116"/>
      <c r="DS327" s="116"/>
      <c r="DT327" s="116"/>
      <c r="DU327" s="116"/>
      <c r="DV327" s="116"/>
      <c r="DW327" s="116"/>
      <c r="DX327" s="116"/>
      <c r="DY327" s="116"/>
      <c r="DZ327" s="116"/>
      <c r="EA327" s="116"/>
      <c r="EB327" s="116"/>
      <c r="EC327" s="116"/>
      <c r="ED327" s="116"/>
      <c r="EE327" s="116"/>
      <c r="EF327" s="116"/>
      <c r="EG327" s="116"/>
      <c r="EH327" s="116"/>
      <c r="EI327" s="116"/>
      <c r="EJ327" s="116"/>
      <c r="EK327" s="116"/>
      <c r="EL327" s="116"/>
      <c r="EM327" s="116"/>
      <c r="EN327" s="116"/>
      <c r="EO327" s="116"/>
      <c r="EP327" s="116"/>
      <c r="EQ327" s="116"/>
      <c r="ER327" s="116"/>
      <c r="ES327" s="116"/>
      <c r="ET327" s="116"/>
      <c r="EU327" s="116"/>
      <c r="EV327" s="116"/>
      <c r="EW327" s="116"/>
      <c r="EX327" s="116"/>
      <c r="EY327" s="116"/>
      <c r="EZ327" s="116"/>
      <c r="FA327" s="116"/>
      <c r="FB327" s="116"/>
      <c r="FC327" s="116"/>
      <c r="FD327" s="116"/>
      <c r="FE327" s="116"/>
      <c r="FF327" s="116"/>
      <c r="FG327" s="116"/>
      <c r="FH327" s="116"/>
      <c r="FI327" s="116"/>
      <c r="FJ327" s="116"/>
      <c r="FK327" s="116"/>
      <c r="FL327" s="116"/>
      <c r="FM327" s="116"/>
      <c r="FN327" s="116"/>
      <c r="FO327" s="116"/>
      <c r="FP327" s="116"/>
      <c r="FQ327" s="116"/>
      <c r="FR327" s="116"/>
      <c r="FS327" s="116"/>
      <c r="FT327" s="116"/>
      <c r="FU327" s="116"/>
      <c r="FV327" s="116"/>
      <c r="FW327" s="116"/>
      <c r="FX327" s="116"/>
      <c r="FY327" s="116"/>
      <c r="FZ327" s="116"/>
      <c r="GA327" s="116"/>
      <c r="GB327" s="116"/>
      <c r="GC327" s="116"/>
      <c r="GD327" s="116"/>
      <c r="GE327" s="116"/>
      <c r="GF327" s="116"/>
      <c r="GG327" s="116"/>
      <c r="GH327" s="116"/>
    </row>
    <row r="328" spans="2:190" ht="12.75">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6"/>
      <c r="AQ328" s="116"/>
      <c r="AR328" s="116"/>
      <c r="AS328" s="116"/>
      <c r="AT328" s="116"/>
      <c r="AU328" s="116"/>
      <c r="AV328" s="116"/>
      <c r="AW328" s="116"/>
      <c r="AX328" s="116"/>
      <c r="AY328" s="116"/>
      <c r="AZ328" s="116"/>
      <c r="BA328" s="116"/>
      <c r="BB328" s="116"/>
      <c r="BC328" s="116"/>
      <c r="BD328" s="116"/>
      <c r="BE328" s="116"/>
      <c r="BF328" s="116"/>
      <c r="BG328" s="116"/>
      <c r="BH328" s="116"/>
      <c r="BI328" s="116"/>
      <c r="BJ328" s="116"/>
      <c r="BK328" s="116"/>
      <c r="BL328" s="116"/>
      <c r="BM328" s="116"/>
      <c r="BN328" s="116"/>
      <c r="BO328" s="116"/>
      <c r="BP328" s="116"/>
      <c r="BQ328" s="116"/>
      <c r="BR328" s="116"/>
      <c r="BS328" s="116"/>
      <c r="BT328" s="116"/>
      <c r="BU328" s="116"/>
      <c r="BV328" s="116"/>
      <c r="BW328" s="116"/>
      <c r="BX328" s="116"/>
      <c r="BY328" s="116"/>
      <c r="BZ328" s="116"/>
      <c r="CA328" s="116"/>
      <c r="CB328" s="116"/>
      <c r="CC328" s="116"/>
      <c r="CD328" s="116"/>
      <c r="CE328" s="116"/>
      <c r="CF328" s="116"/>
      <c r="CG328" s="116"/>
      <c r="CH328" s="116"/>
      <c r="CI328" s="116"/>
      <c r="CJ328" s="116"/>
      <c r="CK328" s="116"/>
      <c r="CL328" s="116"/>
      <c r="CM328" s="116"/>
      <c r="CN328" s="116"/>
      <c r="CO328" s="116"/>
      <c r="CP328" s="116"/>
      <c r="CQ328" s="116"/>
      <c r="CR328" s="116"/>
      <c r="CS328" s="116"/>
      <c r="CT328" s="116"/>
      <c r="CU328" s="116"/>
      <c r="CV328" s="116"/>
      <c r="CW328" s="116"/>
      <c r="CX328" s="116"/>
      <c r="CY328" s="116"/>
      <c r="CZ328" s="116"/>
      <c r="DA328" s="116"/>
      <c r="DB328" s="116"/>
      <c r="DC328" s="116"/>
      <c r="DD328" s="116"/>
      <c r="DE328" s="116"/>
      <c r="DF328" s="116"/>
      <c r="DG328" s="116"/>
      <c r="DH328" s="116"/>
      <c r="DI328" s="116"/>
      <c r="DJ328" s="116"/>
      <c r="DK328" s="116"/>
      <c r="DL328" s="116"/>
      <c r="DM328" s="116"/>
      <c r="DN328" s="116"/>
      <c r="DO328" s="116"/>
      <c r="DP328" s="116"/>
      <c r="DQ328" s="116"/>
      <c r="DR328" s="116"/>
      <c r="DS328" s="116"/>
      <c r="DT328" s="116"/>
      <c r="DU328" s="116"/>
      <c r="DV328" s="116"/>
      <c r="DW328" s="116"/>
      <c r="DX328" s="116"/>
      <c r="DY328" s="116"/>
      <c r="DZ328" s="116"/>
      <c r="EA328" s="116"/>
      <c r="EB328" s="116"/>
      <c r="EC328" s="116"/>
      <c r="ED328" s="116"/>
      <c r="EE328" s="116"/>
      <c r="EF328" s="116"/>
      <c r="EG328" s="116"/>
      <c r="EH328" s="116"/>
      <c r="EI328" s="116"/>
      <c r="EJ328" s="116"/>
      <c r="EK328" s="116"/>
      <c r="EL328" s="116"/>
      <c r="EM328" s="116"/>
      <c r="EN328" s="116"/>
      <c r="EO328" s="116"/>
      <c r="EP328" s="116"/>
      <c r="EQ328" s="116"/>
      <c r="ER328" s="116"/>
      <c r="ES328" s="116"/>
      <c r="ET328" s="116"/>
      <c r="EU328" s="116"/>
      <c r="EV328" s="116"/>
      <c r="EW328" s="116"/>
      <c r="EX328" s="116"/>
      <c r="EY328" s="116"/>
      <c r="EZ328" s="116"/>
      <c r="FA328" s="116"/>
      <c r="FB328" s="116"/>
      <c r="FC328" s="116"/>
      <c r="FD328" s="116"/>
      <c r="FE328" s="116"/>
      <c r="FF328" s="116"/>
      <c r="FG328" s="116"/>
      <c r="FH328" s="116"/>
      <c r="FI328" s="116"/>
      <c r="FJ328" s="116"/>
      <c r="FK328" s="116"/>
      <c r="FL328" s="116"/>
      <c r="FM328" s="116"/>
      <c r="FN328" s="116"/>
      <c r="FO328" s="116"/>
      <c r="FP328" s="116"/>
      <c r="FQ328" s="116"/>
      <c r="FR328" s="116"/>
      <c r="FS328" s="116"/>
      <c r="FT328" s="116"/>
      <c r="FU328" s="116"/>
      <c r="FV328" s="116"/>
      <c r="FW328" s="116"/>
      <c r="FX328" s="116"/>
      <c r="FY328" s="116"/>
      <c r="FZ328" s="116"/>
      <c r="GA328" s="116"/>
      <c r="GB328" s="116"/>
      <c r="GC328" s="116"/>
      <c r="GD328" s="116"/>
      <c r="GE328" s="116"/>
      <c r="GF328" s="116"/>
      <c r="GG328" s="116"/>
      <c r="GH328" s="116"/>
    </row>
    <row r="329" spans="2:190" ht="12.75">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6"/>
      <c r="AQ329" s="116"/>
      <c r="AR329" s="116"/>
      <c r="AS329" s="116"/>
      <c r="AT329" s="116"/>
      <c r="AU329" s="116"/>
      <c r="AV329" s="116"/>
      <c r="AW329" s="116"/>
      <c r="AX329" s="116"/>
      <c r="AY329" s="116"/>
      <c r="AZ329" s="116"/>
      <c r="BA329" s="116"/>
      <c r="BB329" s="116"/>
      <c r="BC329" s="116"/>
      <c r="BD329" s="116"/>
      <c r="BE329" s="116"/>
      <c r="BF329" s="116"/>
      <c r="BG329" s="116"/>
      <c r="BH329" s="116"/>
      <c r="BI329" s="116"/>
      <c r="BJ329" s="116"/>
      <c r="BK329" s="116"/>
      <c r="BL329" s="116"/>
      <c r="BM329" s="116"/>
      <c r="BN329" s="116"/>
      <c r="BO329" s="116"/>
      <c r="BP329" s="116"/>
      <c r="BQ329" s="116"/>
      <c r="BR329" s="116"/>
      <c r="BS329" s="116"/>
      <c r="BT329" s="116"/>
      <c r="BU329" s="116"/>
      <c r="BV329" s="116"/>
      <c r="BW329" s="116"/>
      <c r="BX329" s="116"/>
      <c r="BY329" s="116"/>
      <c r="BZ329" s="116"/>
      <c r="CA329" s="116"/>
      <c r="CB329" s="116"/>
      <c r="CC329" s="116"/>
      <c r="CD329" s="116"/>
      <c r="CE329" s="116"/>
      <c r="CF329" s="116"/>
      <c r="CG329" s="116"/>
      <c r="CH329" s="116"/>
      <c r="CI329" s="116"/>
      <c r="CJ329" s="116"/>
      <c r="CK329" s="116"/>
      <c r="CL329" s="116"/>
      <c r="CM329" s="116"/>
      <c r="CN329" s="116"/>
      <c r="CO329" s="116"/>
      <c r="CP329" s="116"/>
      <c r="CQ329" s="116"/>
      <c r="CR329" s="116"/>
      <c r="CS329" s="116"/>
      <c r="CT329" s="116"/>
      <c r="CU329" s="116"/>
      <c r="CV329" s="116"/>
      <c r="CW329" s="116"/>
      <c r="CX329" s="116"/>
      <c r="CY329" s="116"/>
      <c r="CZ329" s="116"/>
      <c r="DA329" s="116"/>
      <c r="DB329" s="116"/>
      <c r="DC329" s="116"/>
      <c r="DD329" s="116"/>
      <c r="DE329" s="116"/>
      <c r="DF329" s="116"/>
      <c r="DG329" s="116"/>
      <c r="DH329" s="116"/>
      <c r="DI329" s="116"/>
      <c r="DJ329" s="116"/>
      <c r="DK329" s="116"/>
      <c r="DL329" s="116"/>
      <c r="DM329" s="116"/>
      <c r="DN329" s="116"/>
      <c r="DO329" s="116"/>
      <c r="DP329" s="116"/>
      <c r="DQ329" s="116"/>
      <c r="DR329" s="116"/>
      <c r="DS329" s="116"/>
      <c r="DT329" s="116"/>
      <c r="DU329" s="116"/>
      <c r="DV329" s="116"/>
      <c r="DW329" s="116"/>
      <c r="DX329" s="116"/>
      <c r="DY329" s="116"/>
      <c r="DZ329" s="116"/>
      <c r="EA329" s="116"/>
      <c r="EB329" s="116"/>
      <c r="EC329" s="116"/>
      <c r="ED329" s="116"/>
      <c r="EE329" s="116"/>
      <c r="EF329" s="116"/>
      <c r="EG329" s="116"/>
      <c r="EH329" s="116"/>
      <c r="EI329" s="116"/>
      <c r="EJ329" s="116"/>
      <c r="EK329" s="116"/>
      <c r="EL329" s="116"/>
      <c r="EM329" s="116"/>
      <c r="EN329" s="116"/>
      <c r="EO329" s="116"/>
      <c r="EP329" s="116"/>
      <c r="EQ329" s="116"/>
      <c r="ER329" s="116"/>
      <c r="ES329" s="116"/>
      <c r="ET329" s="116"/>
      <c r="EU329" s="116"/>
      <c r="EV329" s="116"/>
      <c r="EW329" s="116"/>
      <c r="EX329" s="116"/>
      <c r="EY329" s="116"/>
      <c r="EZ329" s="116"/>
      <c r="FA329" s="116"/>
      <c r="FB329" s="116"/>
      <c r="FC329" s="116"/>
      <c r="FD329" s="116"/>
      <c r="FE329" s="116"/>
      <c r="FF329" s="116"/>
      <c r="FG329" s="116"/>
      <c r="FH329" s="116"/>
      <c r="FI329" s="116"/>
      <c r="FJ329" s="116"/>
      <c r="FK329" s="116"/>
      <c r="FL329" s="116"/>
      <c r="FM329" s="116"/>
      <c r="FN329" s="116"/>
      <c r="FO329" s="116"/>
      <c r="FP329" s="116"/>
      <c r="FQ329" s="116"/>
      <c r="FR329" s="116"/>
      <c r="FS329" s="116"/>
      <c r="FT329" s="116"/>
      <c r="FU329" s="116"/>
      <c r="FV329" s="116"/>
      <c r="FW329" s="116"/>
      <c r="FX329" s="116"/>
      <c r="FY329" s="116"/>
      <c r="FZ329" s="116"/>
      <c r="GA329" s="116"/>
      <c r="GB329" s="116"/>
      <c r="GC329" s="116"/>
      <c r="GD329" s="116"/>
      <c r="GE329" s="116"/>
      <c r="GF329" s="116"/>
      <c r="GG329" s="116"/>
      <c r="GH329" s="116"/>
    </row>
    <row r="330" spans="2:190" ht="12.75">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116"/>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c r="DS330" s="116"/>
      <c r="DT330" s="116"/>
      <c r="DU330" s="116"/>
      <c r="DV330" s="116"/>
      <c r="DW330" s="116"/>
      <c r="DX330" s="116"/>
      <c r="DY330" s="116"/>
      <c r="DZ330" s="116"/>
      <c r="EA330" s="116"/>
      <c r="EB330" s="116"/>
      <c r="EC330" s="116"/>
      <c r="ED330" s="116"/>
      <c r="EE330" s="116"/>
      <c r="EF330" s="116"/>
      <c r="EG330" s="116"/>
      <c r="EH330" s="116"/>
      <c r="EI330" s="116"/>
      <c r="EJ330" s="116"/>
      <c r="EK330" s="116"/>
      <c r="EL330" s="116"/>
      <c r="EM330" s="116"/>
      <c r="EN330" s="116"/>
      <c r="EO330" s="116"/>
      <c r="EP330" s="116"/>
      <c r="EQ330" s="116"/>
      <c r="ER330" s="116"/>
      <c r="ES330" s="116"/>
      <c r="ET330" s="116"/>
      <c r="EU330" s="116"/>
      <c r="EV330" s="116"/>
      <c r="EW330" s="116"/>
      <c r="EX330" s="116"/>
      <c r="EY330" s="116"/>
      <c r="EZ330" s="116"/>
      <c r="FA330" s="116"/>
      <c r="FB330" s="116"/>
      <c r="FC330" s="116"/>
      <c r="FD330" s="116"/>
      <c r="FE330" s="116"/>
      <c r="FF330" s="116"/>
      <c r="FG330" s="116"/>
      <c r="FH330" s="116"/>
      <c r="FI330" s="116"/>
      <c r="FJ330" s="116"/>
      <c r="FK330" s="116"/>
      <c r="FL330" s="116"/>
      <c r="FM330" s="116"/>
      <c r="FN330" s="116"/>
      <c r="FO330" s="116"/>
      <c r="FP330" s="116"/>
      <c r="FQ330" s="116"/>
      <c r="FR330" s="116"/>
      <c r="FS330" s="116"/>
      <c r="FT330" s="116"/>
      <c r="FU330" s="116"/>
      <c r="FV330" s="116"/>
      <c r="FW330" s="116"/>
      <c r="FX330" s="116"/>
      <c r="FY330" s="116"/>
      <c r="FZ330" s="116"/>
      <c r="GA330" s="116"/>
      <c r="GB330" s="116"/>
      <c r="GC330" s="116"/>
      <c r="GD330" s="116"/>
      <c r="GE330" s="116"/>
      <c r="GF330" s="116"/>
      <c r="GG330" s="116"/>
      <c r="GH330" s="116"/>
    </row>
    <row r="331" spans="2:190" ht="12.75">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6"/>
      <c r="AQ331" s="116"/>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c r="DS331" s="116"/>
      <c r="DT331" s="116"/>
      <c r="DU331" s="116"/>
      <c r="DV331" s="116"/>
      <c r="DW331" s="116"/>
      <c r="DX331" s="116"/>
      <c r="DY331" s="116"/>
      <c r="DZ331" s="116"/>
      <c r="EA331" s="116"/>
      <c r="EB331" s="116"/>
      <c r="EC331" s="116"/>
      <c r="ED331" s="116"/>
      <c r="EE331" s="116"/>
      <c r="EF331" s="116"/>
      <c r="EG331" s="116"/>
      <c r="EH331" s="116"/>
      <c r="EI331" s="116"/>
      <c r="EJ331" s="116"/>
      <c r="EK331" s="116"/>
      <c r="EL331" s="116"/>
      <c r="EM331" s="116"/>
      <c r="EN331" s="116"/>
      <c r="EO331" s="116"/>
      <c r="EP331" s="116"/>
      <c r="EQ331" s="116"/>
      <c r="ER331" s="116"/>
      <c r="ES331" s="116"/>
      <c r="ET331" s="116"/>
      <c r="EU331" s="116"/>
      <c r="EV331" s="116"/>
      <c r="EW331" s="116"/>
      <c r="EX331" s="116"/>
      <c r="EY331" s="116"/>
      <c r="EZ331" s="116"/>
      <c r="FA331" s="116"/>
      <c r="FB331" s="116"/>
      <c r="FC331" s="116"/>
      <c r="FD331" s="116"/>
      <c r="FE331" s="116"/>
      <c r="FF331" s="116"/>
      <c r="FG331" s="116"/>
      <c r="FH331" s="116"/>
      <c r="FI331" s="116"/>
      <c r="FJ331" s="116"/>
      <c r="FK331" s="116"/>
      <c r="FL331" s="116"/>
      <c r="FM331" s="116"/>
      <c r="FN331" s="116"/>
      <c r="FO331" s="116"/>
      <c r="FP331" s="116"/>
      <c r="FQ331" s="116"/>
      <c r="FR331" s="116"/>
      <c r="FS331" s="116"/>
      <c r="FT331" s="116"/>
      <c r="FU331" s="116"/>
      <c r="FV331" s="116"/>
      <c r="FW331" s="116"/>
      <c r="FX331" s="116"/>
      <c r="FY331" s="116"/>
      <c r="FZ331" s="116"/>
      <c r="GA331" s="116"/>
      <c r="GB331" s="116"/>
      <c r="GC331" s="116"/>
      <c r="GD331" s="116"/>
      <c r="GE331" s="116"/>
      <c r="GF331" s="116"/>
      <c r="GG331" s="116"/>
      <c r="GH331" s="116"/>
    </row>
    <row r="332" spans="2:190" ht="12.75">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6"/>
      <c r="BU332" s="116"/>
      <c r="BV332" s="116"/>
      <c r="BW332" s="116"/>
      <c r="BX332" s="116"/>
      <c r="BY332" s="116"/>
      <c r="BZ332" s="116"/>
      <c r="CA332" s="116"/>
      <c r="CB332" s="116"/>
      <c r="CC332" s="116"/>
      <c r="CD332" s="116"/>
      <c r="CE332" s="116"/>
      <c r="CF332" s="116"/>
      <c r="CG332" s="116"/>
      <c r="CH332" s="116"/>
      <c r="CI332" s="116"/>
      <c r="CJ332" s="116"/>
      <c r="CK332" s="116"/>
      <c r="CL332" s="116"/>
      <c r="CM332" s="116"/>
      <c r="CN332" s="116"/>
      <c r="CO332" s="116"/>
      <c r="CP332" s="116"/>
      <c r="CQ332" s="116"/>
      <c r="CR332" s="116"/>
      <c r="CS332" s="116"/>
      <c r="CT332" s="116"/>
      <c r="CU332" s="116"/>
      <c r="CV332" s="116"/>
      <c r="CW332" s="116"/>
      <c r="CX332" s="116"/>
      <c r="CY332" s="116"/>
      <c r="CZ332" s="116"/>
      <c r="DA332" s="116"/>
      <c r="DB332" s="116"/>
      <c r="DC332" s="116"/>
      <c r="DD332" s="116"/>
      <c r="DE332" s="116"/>
      <c r="DF332" s="116"/>
      <c r="DG332" s="116"/>
      <c r="DH332" s="116"/>
      <c r="DI332" s="116"/>
      <c r="DJ332" s="116"/>
      <c r="DK332" s="116"/>
      <c r="DL332" s="116"/>
      <c r="DM332" s="116"/>
      <c r="DN332" s="116"/>
      <c r="DO332" s="116"/>
      <c r="DP332" s="116"/>
      <c r="DQ332" s="116"/>
      <c r="DR332" s="116"/>
      <c r="DS332" s="116"/>
      <c r="DT332" s="116"/>
      <c r="DU332" s="116"/>
      <c r="DV332" s="116"/>
      <c r="DW332" s="116"/>
      <c r="DX332" s="116"/>
      <c r="DY332" s="116"/>
      <c r="DZ332" s="116"/>
      <c r="EA332" s="116"/>
      <c r="EB332" s="116"/>
      <c r="EC332" s="116"/>
      <c r="ED332" s="116"/>
      <c r="EE332" s="116"/>
      <c r="EF332" s="116"/>
      <c r="EG332" s="116"/>
      <c r="EH332" s="116"/>
      <c r="EI332" s="116"/>
      <c r="EJ332" s="116"/>
      <c r="EK332" s="116"/>
      <c r="EL332" s="116"/>
      <c r="EM332" s="116"/>
      <c r="EN332" s="116"/>
      <c r="EO332" s="116"/>
      <c r="EP332" s="116"/>
      <c r="EQ332" s="116"/>
      <c r="ER332" s="116"/>
      <c r="ES332" s="116"/>
      <c r="ET332" s="116"/>
      <c r="EU332" s="116"/>
      <c r="EV332" s="116"/>
      <c r="EW332" s="116"/>
      <c r="EX332" s="116"/>
      <c r="EY332" s="116"/>
      <c r="EZ332" s="116"/>
      <c r="FA332" s="116"/>
      <c r="FB332" s="116"/>
      <c r="FC332" s="116"/>
      <c r="FD332" s="116"/>
      <c r="FE332" s="116"/>
      <c r="FF332" s="116"/>
      <c r="FG332" s="116"/>
      <c r="FH332" s="116"/>
      <c r="FI332" s="116"/>
      <c r="FJ332" s="116"/>
      <c r="FK332" s="116"/>
      <c r="FL332" s="116"/>
      <c r="FM332" s="116"/>
      <c r="FN332" s="116"/>
      <c r="FO332" s="116"/>
      <c r="FP332" s="116"/>
      <c r="FQ332" s="116"/>
      <c r="FR332" s="116"/>
      <c r="FS332" s="116"/>
      <c r="FT332" s="116"/>
      <c r="FU332" s="116"/>
      <c r="FV332" s="116"/>
      <c r="FW332" s="116"/>
      <c r="FX332" s="116"/>
      <c r="FY332" s="116"/>
      <c r="FZ332" s="116"/>
      <c r="GA332" s="116"/>
      <c r="GB332" s="116"/>
      <c r="GC332" s="116"/>
      <c r="GD332" s="116"/>
      <c r="GE332" s="116"/>
      <c r="GF332" s="116"/>
      <c r="GG332" s="116"/>
      <c r="GH332" s="116"/>
    </row>
    <row r="333" spans="2:190" ht="12.75">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6"/>
      <c r="AQ333" s="116"/>
      <c r="AR333" s="116"/>
      <c r="AS333" s="116"/>
      <c r="AT333" s="116"/>
      <c r="AU333" s="116"/>
      <c r="AV333" s="116"/>
      <c r="AW333" s="116"/>
      <c r="AX333" s="116"/>
      <c r="AY333" s="116"/>
      <c r="AZ333" s="116"/>
      <c r="BA333" s="116"/>
      <c r="BB333" s="116"/>
      <c r="BC333" s="116"/>
      <c r="BD333" s="116"/>
      <c r="BE333" s="116"/>
      <c r="BF333" s="116"/>
      <c r="BG333" s="116"/>
      <c r="BH333" s="116"/>
      <c r="BI333" s="116"/>
      <c r="BJ333" s="116"/>
      <c r="BK333" s="116"/>
      <c r="BL333" s="116"/>
      <c r="BM333" s="116"/>
      <c r="BN333" s="116"/>
      <c r="BO333" s="116"/>
      <c r="BP333" s="116"/>
      <c r="BQ333" s="116"/>
      <c r="BR333" s="116"/>
      <c r="BS333" s="116"/>
      <c r="BT333" s="116"/>
      <c r="BU333" s="116"/>
      <c r="BV333" s="116"/>
      <c r="BW333" s="116"/>
      <c r="BX333" s="116"/>
      <c r="BY333" s="116"/>
      <c r="BZ333" s="116"/>
      <c r="CA333" s="116"/>
      <c r="CB333" s="116"/>
      <c r="CC333" s="116"/>
      <c r="CD333" s="116"/>
      <c r="CE333" s="116"/>
      <c r="CF333" s="116"/>
      <c r="CG333" s="116"/>
      <c r="CH333" s="116"/>
      <c r="CI333" s="116"/>
      <c r="CJ333" s="116"/>
      <c r="CK333" s="116"/>
      <c r="CL333" s="116"/>
      <c r="CM333" s="116"/>
      <c r="CN333" s="116"/>
      <c r="CO333" s="116"/>
      <c r="CP333" s="116"/>
      <c r="CQ333" s="116"/>
      <c r="CR333" s="116"/>
      <c r="CS333" s="116"/>
      <c r="CT333" s="116"/>
      <c r="CU333" s="116"/>
      <c r="CV333" s="116"/>
      <c r="CW333" s="116"/>
      <c r="CX333" s="116"/>
      <c r="CY333" s="116"/>
      <c r="CZ333" s="116"/>
      <c r="DA333" s="116"/>
      <c r="DB333" s="116"/>
      <c r="DC333" s="116"/>
      <c r="DD333" s="116"/>
      <c r="DE333" s="116"/>
      <c r="DF333" s="116"/>
      <c r="DG333" s="116"/>
      <c r="DH333" s="116"/>
      <c r="DI333" s="116"/>
      <c r="DJ333" s="116"/>
      <c r="DK333" s="116"/>
      <c r="DL333" s="116"/>
      <c r="DM333" s="116"/>
      <c r="DN333" s="116"/>
      <c r="DO333" s="116"/>
      <c r="DP333" s="116"/>
      <c r="DQ333" s="116"/>
      <c r="DR333" s="116"/>
      <c r="DS333" s="116"/>
      <c r="DT333" s="116"/>
      <c r="DU333" s="116"/>
      <c r="DV333" s="116"/>
      <c r="DW333" s="116"/>
      <c r="DX333" s="116"/>
      <c r="DY333" s="116"/>
      <c r="DZ333" s="116"/>
      <c r="EA333" s="116"/>
      <c r="EB333" s="116"/>
      <c r="EC333" s="116"/>
      <c r="ED333" s="116"/>
      <c r="EE333" s="116"/>
      <c r="EF333" s="116"/>
      <c r="EG333" s="116"/>
      <c r="EH333" s="116"/>
      <c r="EI333" s="116"/>
      <c r="EJ333" s="116"/>
      <c r="EK333" s="116"/>
      <c r="EL333" s="116"/>
      <c r="EM333" s="116"/>
      <c r="EN333" s="116"/>
      <c r="EO333" s="116"/>
      <c r="EP333" s="116"/>
      <c r="EQ333" s="116"/>
      <c r="ER333" s="116"/>
      <c r="ES333" s="116"/>
      <c r="ET333" s="116"/>
      <c r="EU333" s="116"/>
      <c r="EV333" s="116"/>
      <c r="EW333" s="116"/>
      <c r="EX333" s="116"/>
      <c r="EY333" s="116"/>
      <c r="EZ333" s="116"/>
      <c r="FA333" s="116"/>
      <c r="FB333" s="116"/>
      <c r="FC333" s="116"/>
      <c r="FD333" s="116"/>
      <c r="FE333" s="116"/>
      <c r="FF333" s="116"/>
      <c r="FG333" s="116"/>
      <c r="FH333" s="116"/>
      <c r="FI333" s="116"/>
      <c r="FJ333" s="116"/>
      <c r="FK333" s="116"/>
      <c r="FL333" s="116"/>
      <c r="FM333" s="116"/>
      <c r="FN333" s="116"/>
      <c r="FO333" s="116"/>
      <c r="FP333" s="116"/>
      <c r="FQ333" s="116"/>
      <c r="FR333" s="116"/>
      <c r="FS333" s="116"/>
      <c r="FT333" s="116"/>
      <c r="FU333" s="116"/>
      <c r="FV333" s="116"/>
      <c r="FW333" s="116"/>
      <c r="FX333" s="116"/>
      <c r="FY333" s="116"/>
      <c r="FZ333" s="116"/>
      <c r="GA333" s="116"/>
      <c r="GB333" s="116"/>
      <c r="GC333" s="116"/>
      <c r="GD333" s="116"/>
      <c r="GE333" s="116"/>
      <c r="GF333" s="116"/>
      <c r="GG333" s="116"/>
      <c r="GH333" s="116"/>
    </row>
    <row r="334" spans="2:190" ht="12.75">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c r="BF334" s="116"/>
      <c r="BG334" s="116"/>
      <c r="BH334" s="116"/>
      <c r="BI334" s="116"/>
      <c r="BJ334" s="116"/>
      <c r="BK334" s="116"/>
      <c r="BL334" s="116"/>
      <c r="BM334" s="116"/>
      <c r="BN334" s="116"/>
      <c r="BO334" s="116"/>
      <c r="BP334" s="116"/>
      <c r="BQ334" s="116"/>
      <c r="BR334" s="116"/>
      <c r="BS334" s="116"/>
      <c r="BT334" s="116"/>
      <c r="BU334" s="116"/>
      <c r="BV334" s="116"/>
      <c r="BW334" s="116"/>
      <c r="BX334" s="116"/>
      <c r="BY334" s="116"/>
      <c r="BZ334" s="116"/>
      <c r="CA334" s="116"/>
      <c r="CB334" s="116"/>
      <c r="CC334" s="116"/>
      <c r="CD334" s="116"/>
      <c r="CE334" s="116"/>
      <c r="CF334" s="116"/>
      <c r="CG334" s="116"/>
      <c r="CH334" s="116"/>
      <c r="CI334" s="116"/>
      <c r="CJ334" s="116"/>
      <c r="CK334" s="116"/>
      <c r="CL334" s="116"/>
      <c r="CM334" s="116"/>
      <c r="CN334" s="116"/>
      <c r="CO334" s="116"/>
      <c r="CP334" s="116"/>
      <c r="CQ334" s="116"/>
      <c r="CR334" s="116"/>
      <c r="CS334" s="116"/>
      <c r="CT334" s="116"/>
      <c r="CU334" s="116"/>
      <c r="CV334" s="116"/>
      <c r="CW334" s="116"/>
      <c r="CX334" s="116"/>
      <c r="CY334" s="116"/>
      <c r="CZ334" s="116"/>
      <c r="DA334" s="116"/>
      <c r="DB334" s="116"/>
      <c r="DC334" s="116"/>
      <c r="DD334" s="116"/>
      <c r="DE334" s="116"/>
      <c r="DF334" s="116"/>
      <c r="DG334" s="116"/>
      <c r="DH334" s="116"/>
      <c r="DI334" s="116"/>
      <c r="DJ334" s="116"/>
      <c r="DK334" s="116"/>
      <c r="DL334" s="116"/>
      <c r="DM334" s="116"/>
      <c r="DN334" s="116"/>
      <c r="DO334" s="116"/>
      <c r="DP334" s="116"/>
      <c r="DQ334" s="116"/>
      <c r="DR334" s="116"/>
      <c r="DS334" s="116"/>
      <c r="DT334" s="116"/>
      <c r="DU334" s="116"/>
      <c r="DV334" s="116"/>
      <c r="DW334" s="116"/>
      <c r="DX334" s="116"/>
      <c r="DY334" s="116"/>
      <c r="DZ334" s="116"/>
      <c r="EA334" s="116"/>
      <c r="EB334" s="116"/>
      <c r="EC334" s="116"/>
      <c r="ED334" s="116"/>
      <c r="EE334" s="116"/>
      <c r="EF334" s="116"/>
      <c r="EG334" s="116"/>
      <c r="EH334" s="116"/>
      <c r="EI334" s="116"/>
      <c r="EJ334" s="116"/>
      <c r="EK334" s="116"/>
      <c r="EL334" s="116"/>
      <c r="EM334" s="116"/>
      <c r="EN334" s="116"/>
      <c r="EO334" s="116"/>
      <c r="EP334" s="116"/>
      <c r="EQ334" s="116"/>
      <c r="ER334" s="116"/>
      <c r="ES334" s="116"/>
      <c r="ET334" s="116"/>
      <c r="EU334" s="116"/>
      <c r="EV334" s="116"/>
      <c r="EW334" s="116"/>
      <c r="EX334" s="116"/>
      <c r="EY334" s="116"/>
      <c r="EZ334" s="116"/>
      <c r="FA334" s="116"/>
      <c r="FB334" s="116"/>
      <c r="FC334" s="116"/>
      <c r="FD334" s="116"/>
      <c r="FE334" s="116"/>
      <c r="FF334" s="116"/>
      <c r="FG334" s="116"/>
      <c r="FH334" s="116"/>
      <c r="FI334" s="116"/>
      <c r="FJ334" s="116"/>
      <c r="FK334" s="116"/>
      <c r="FL334" s="116"/>
      <c r="FM334" s="116"/>
      <c r="FN334" s="116"/>
      <c r="FO334" s="116"/>
      <c r="FP334" s="116"/>
      <c r="FQ334" s="116"/>
      <c r="FR334" s="116"/>
      <c r="FS334" s="116"/>
      <c r="FT334" s="116"/>
      <c r="FU334" s="116"/>
      <c r="FV334" s="116"/>
      <c r="FW334" s="116"/>
      <c r="FX334" s="116"/>
      <c r="FY334" s="116"/>
      <c r="FZ334" s="116"/>
      <c r="GA334" s="116"/>
      <c r="GB334" s="116"/>
      <c r="GC334" s="116"/>
      <c r="GD334" s="116"/>
      <c r="GE334" s="116"/>
      <c r="GF334" s="116"/>
      <c r="GG334" s="116"/>
      <c r="GH334" s="116"/>
    </row>
    <row r="335" spans="2:190" ht="12.75">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c r="BF335" s="116"/>
      <c r="BG335" s="116"/>
      <c r="BH335" s="116"/>
      <c r="BI335" s="116"/>
      <c r="BJ335" s="116"/>
      <c r="BK335" s="116"/>
      <c r="BL335" s="116"/>
      <c r="BM335" s="116"/>
      <c r="BN335" s="116"/>
      <c r="BO335" s="116"/>
      <c r="BP335" s="116"/>
      <c r="BQ335" s="116"/>
      <c r="BR335" s="116"/>
      <c r="BS335" s="116"/>
      <c r="BT335" s="116"/>
      <c r="BU335" s="116"/>
      <c r="BV335" s="116"/>
      <c r="BW335" s="116"/>
      <c r="BX335" s="116"/>
      <c r="BY335" s="116"/>
      <c r="BZ335" s="116"/>
      <c r="CA335" s="116"/>
      <c r="CB335" s="116"/>
      <c r="CC335" s="116"/>
      <c r="CD335" s="116"/>
      <c r="CE335" s="116"/>
      <c r="CF335" s="116"/>
      <c r="CG335" s="116"/>
      <c r="CH335" s="116"/>
      <c r="CI335" s="116"/>
      <c r="CJ335" s="116"/>
      <c r="CK335" s="116"/>
      <c r="CL335" s="116"/>
      <c r="CM335" s="116"/>
      <c r="CN335" s="116"/>
      <c r="CO335" s="116"/>
      <c r="CP335" s="116"/>
      <c r="CQ335" s="116"/>
      <c r="CR335" s="116"/>
      <c r="CS335" s="116"/>
      <c r="CT335" s="116"/>
      <c r="CU335" s="116"/>
      <c r="CV335" s="116"/>
      <c r="CW335" s="116"/>
      <c r="CX335" s="116"/>
      <c r="CY335" s="116"/>
      <c r="CZ335" s="116"/>
      <c r="DA335" s="116"/>
      <c r="DB335" s="116"/>
      <c r="DC335" s="116"/>
      <c r="DD335" s="116"/>
      <c r="DE335" s="116"/>
      <c r="DF335" s="116"/>
      <c r="DG335" s="116"/>
      <c r="DH335" s="116"/>
      <c r="DI335" s="116"/>
      <c r="DJ335" s="116"/>
      <c r="DK335" s="116"/>
      <c r="DL335" s="116"/>
      <c r="DM335" s="116"/>
      <c r="DN335" s="116"/>
      <c r="DO335" s="116"/>
      <c r="DP335" s="116"/>
      <c r="DQ335" s="116"/>
      <c r="DR335" s="116"/>
      <c r="DS335" s="116"/>
      <c r="DT335" s="116"/>
      <c r="DU335" s="116"/>
      <c r="DV335" s="116"/>
      <c r="DW335" s="116"/>
      <c r="DX335" s="116"/>
      <c r="DY335" s="116"/>
      <c r="DZ335" s="116"/>
      <c r="EA335" s="116"/>
      <c r="EB335" s="116"/>
      <c r="EC335" s="116"/>
      <c r="ED335" s="116"/>
      <c r="EE335" s="116"/>
      <c r="EF335" s="116"/>
      <c r="EG335" s="116"/>
      <c r="EH335" s="116"/>
      <c r="EI335" s="116"/>
      <c r="EJ335" s="116"/>
      <c r="EK335" s="116"/>
      <c r="EL335" s="116"/>
      <c r="EM335" s="116"/>
      <c r="EN335" s="116"/>
      <c r="EO335" s="116"/>
      <c r="EP335" s="116"/>
      <c r="EQ335" s="116"/>
      <c r="ER335" s="116"/>
      <c r="ES335" s="116"/>
      <c r="ET335" s="116"/>
      <c r="EU335" s="116"/>
      <c r="EV335" s="116"/>
      <c r="EW335" s="116"/>
      <c r="EX335" s="116"/>
      <c r="EY335" s="116"/>
      <c r="EZ335" s="116"/>
      <c r="FA335" s="116"/>
      <c r="FB335" s="116"/>
      <c r="FC335" s="116"/>
      <c r="FD335" s="116"/>
      <c r="FE335" s="116"/>
      <c r="FF335" s="116"/>
      <c r="FG335" s="116"/>
      <c r="FH335" s="116"/>
      <c r="FI335" s="116"/>
      <c r="FJ335" s="116"/>
      <c r="FK335" s="116"/>
      <c r="FL335" s="116"/>
      <c r="FM335" s="116"/>
      <c r="FN335" s="116"/>
      <c r="FO335" s="116"/>
      <c r="FP335" s="116"/>
      <c r="FQ335" s="116"/>
      <c r="FR335" s="116"/>
      <c r="FS335" s="116"/>
      <c r="FT335" s="116"/>
      <c r="FU335" s="116"/>
      <c r="FV335" s="116"/>
      <c r="FW335" s="116"/>
      <c r="FX335" s="116"/>
      <c r="FY335" s="116"/>
      <c r="FZ335" s="116"/>
      <c r="GA335" s="116"/>
      <c r="GB335" s="116"/>
      <c r="GC335" s="116"/>
      <c r="GD335" s="116"/>
      <c r="GE335" s="116"/>
      <c r="GF335" s="116"/>
      <c r="GG335" s="116"/>
      <c r="GH335" s="116"/>
    </row>
    <row r="336" spans="2:190" ht="12.75">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6"/>
      <c r="AQ336" s="116"/>
      <c r="AR336" s="116"/>
      <c r="AS336" s="116"/>
      <c r="AT336" s="116"/>
      <c r="AU336" s="116"/>
      <c r="AV336" s="116"/>
      <c r="AW336" s="116"/>
      <c r="AX336" s="116"/>
      <c r="AY336" s="116"/>
      <c r="AZ336" s="116"/>
      <c r="BA336" s="116"/>
      <c r="BB336" s="116"/>
      <c r="BC336" s="116"/>
      <c r="BD336" s="116"/>
      <c r="BE336" s="116"/>
      <c r="BF336" s="116"/>
      <c r="BG336" s="116"/>
      <c r="BH336" s="116"/>
      <c r="BI336" s="116"/>
      <c r="BJ336" s="116"/>
      <c r="BK336" s="116"/>
      <c r="BL336" s="116"/>
      <c r="BM336" s="116"/>
      <c r="BN336" s="116"/>
      <c r="BO336" s="116"/>
      <c r="BP336" s="116"/>
      <c r="BQ336" s="116"/>
      <c r="BR336" s="116"/>
      <c r="BS336" s="116"/>
      <c r="BT336" s="116"/>
      <c r="BU336" s="116"/>
      <c r="BV336" s="116"/>
      <c r="BW336" s="116"/>
      <c r="BX336" s="116"/>
      <c r="BY336" s="116"/>
      <c r="BZ336" s="116"/>
      <c r="CA336" s="116"/>
      <c r="CB336" s="116"/>
      <c r="CC336" s="116"/>
      <c r="CD336" s="116"/>
      <c r="CE336" s="116"/>
      <c r="CF336" s="116"/>
      <c r="CG336" s="116"/>
      <c r="CH336" s="116"/>
      <c r="CI336" s="116"/>
      <c r="CJ336" s="116"/>
      <c r="CK336" s="116"/>
      <c r="CL336" s="116"/>
      <c r="CM336" s="116"/>
      <c r="CN336" s="116"/>
      <c r="CO336" s="116"/>
      <c r="CP336" s="116"/>
      <c r="CQ336" s="116"/>
      <c r="CR336" s="116"/>
      <c r="CS336" s="116"/>
      <c r="CT336" s="116"/>
      <c r="CU336" s="116"/>
      <c r="CV336" s="116"/>
      <c r="CW336" s="116"/>
      <c r="CX336" s="116"/>
      <c r="CY336" s="116"/>
      <c r="CZ336" s="116"/>
      <c r="DA336" s="116"/>
      <c r="DB336" s="116"/>
      <c r="DC336" s="116"/>
      <c r="DD336" s="116"/>
      <c r="DE336" s="116"/>
      <c r="DF336" s="116"/>
      <c r="DG336" s="116"/>
      <c r="DH336" s="116"/>
      <c r="DI336" s="116"/>
      <c r="DJ336" s="116"/>
      <c r="DK336" s="116"/>
      <c r="DL336" s="116"/>
      <c r="DM336" s="116"/>
      <c r="DN336" s="116"/>
      <c r="DO336" s="116"/>
      <c r="DP336" s="116"/>
      <c r="DQ336" s="116"/>
      <c r="DR336" s="116"/>
      <c r="DS336" s="116"/>
      <c r="DT336" s="116"/>
      <c r="DU336" s="116"/>
      <c r="DV336" s="116"/>
      <c r="DW336" s="116"/>
      <c r="DX336" s="116"/>
      <c r="DY336" s="116"/>
      <c r="DZ336" s="116"/>
      <c r="EA336" s="116"/>
      <c r="EB336" s="116"/>
      <c r="EC336" s="116"/>
      <c r="ED336" s="116"/>
      <c r="EE336" s="116"/>
      <c r="EF336" s="116"/>
      <c r="EG336" s="116"/>
      <c r="EH336" s="116"/>
      <c r="EI336" s="116"/>
      <c r="EJ336" s="116"/>
      <c r="EK336" s="116"/>
      <c r="EL336" s="116"/>
      <c r="EM336" s="116"/>
      <c r="EN336" s="116"/>
      <c r="EO336" s="116"/>
      <c r="EP336" s="116"/>
      <c r="EQ336" s="116"/>
      <c r="ER336" s="116"/>
      <c r="ES336" s="116"/>
      <c r="ET336" s="116"/>
      <c r="EU336" s="116"/>
      <c r="EV336" s="116"/>
      <c r="EW336" s="116"/>
      <c r="EX336" s="116"/>
      <c r="EY336" s="116"/>
      <c r="EZ336" s="116"/>
      <c r="FA336" s="116"/>
      <c r="FB336" s="116"/>
      <c r="FC336" s="116"/>
      <c r="FD336" s="116"/>
      <c r="FE336" s="116"/>
      <c r="FF336" s="116"/>
      <c r="FG336" s="116"/>
      <c r="FH336" s="116"/>
      <c r="FI336" s="116"/>
      <c r="FJ336" s="116"/>
      <c r="FK336" s="116"/>
      <c r="FL336" s="116"/>
      <c r="FM336" s="116"/>
      <c r="FN336" s="116"/>
      <c r="FO336" s="116"/>
      <c r="FP336" s="116"/>
      <c r="FQ336" s="116"/>
      <c r="FR336" s="116"/>
      <c r="FS336" s="116"/>
      <c r="FT336" s="116"/>
      <c r="FU336" s="116"/>
      <c r="FV336" s="116"/>
      <c r="FW336" s="116"/>
      <c r="FX336" s="116"/>
      <c r="FY336" s="116"/>
      <c r="FZ336" s="116"/>
      <c r="GA336" s="116"/>
      <c r="GB336" s="116"/>
      <c r="GC336" s="116"/>
      <c r="GD336" s="116"/>
      <c r="GE336" s="116"/>
      <c r="GF336" s="116"/>
      <c r="GG336" s="116"/>
      <c r="GH336" s="116"/>
    </row>
    <row r="337" spans="2:190" ht="12.75">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6"/>
      <c r="AQ337" s="116"/>
      <c r="AR337" s="116"/>
      <c r="AS337" s="116"/>
      <c r="AT337" s="116"/>
      <c r="AU337" s="116"/>
      <c r="AV337" s="116"/>
      <c r="AW337" s="116"/>
      <c r="AX337" s="116"/>
      <c r="AY337" s="116"/>
      <c r="AZ337" s="116"/>
      <c r="BA337" s="116"/>
      <c r="BB337" s="116"/>
      <c r="BC337" s="116"/>
      <c r="BD337" s="116"/>
      <c r="BE337" s="116"/>
      <c r="BF337" s="116"/>
      <c r="BG337" s="116"/>
      <c r="BH337" s="116"/>
      <c r="BI337" s="116"/>
      <c r="BJ337" s="116"/>
      <c r="BK337" s="116"/>
      <c r="BL337" s="116"/>
      <c r="BM337" s="116"/>
      <c r="BN337" s="116"/>
      <c r="BO337" s="116"/>
      <c r="BP337" s="116"/>
      <c r="BQ337" s="116"/>
      <c r="BR337" s="116"/>
      <c r="BS337" s="116"/>
      <c r="BT337" s="116"/>
      <c r="BU337" s="116"/>
      <c r="BV337" s="116"/>
      <c r="BW337" s="116"/>
      <c r="BX337" s="116"/>
      <c r="BY337" s="116"/>
      <c r="BZ337" s="116"/>
      <c r="CA337" s="116"/>
      <c r="CB337" s="116"/>
      <c r="CC337" s="116"/>
      <c r="CD337" s="116"/>
      <c r="CE337" s="116"/>
      <c r="CF337" s="116"/>
      <c r="CG337" s="116"/>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c r="DG337" s="116"/>
      <c r="DH337" s="116"/>
      <c r="DI337" s="116"/>
      <c r="DJ337" s="116"/>
      <c r="DK337" s="116"/>
      <c r="DL337" s="116"/>
      <c r="DM337" s="116"/>
      <c r="DN337" s="116"/>
      <c r="DO337" s="116"/>
      <c r="DP337" s="116"/>
      <c r="DQ337" s="116"/>
      <c r="DR337" s="116"/>
      <c r="DS337" s="116"/>
      <c r="DT337" s="116"/>
      <c r="DU337" s="116"/>
      <c r="DV337" s="116"/>
      <c r="DW337" s="116"/>
      <c r="DX337" s="116"/>
      <c r="DY337" s="116"/>
      <c r="DZ337" s="116"/>
      <c r="EA337" s="116"/>
      <c r="EB337" s="116"/>
      <c r="EC337" s="116"/>
      <c r="ED337" s="116"/>
      <c r="EE337" s="116"/>
      <c r="EF337" s="116"/>
      <c r="EG337" s="116"/>
      <c r="EH337" s="116"/>
      <c r="EI337" s="116"/>
      <c r="EJ337" s="116"/>
      <c r="EK337" s="116"/>
      <c r="EL337" s="116"/>
      <c r="EM337" s="116"/>
      <c r="EN337" s="116"/>
      <c r="EO337" s="116"/>
      <c r="EP337" s="116"/>
      <c r="EQ337" s="116"/>
      <c r="ER337" s="116"/>
      <c r="ES337" s="116"/>
      <c r="ET337" s="116"/>
      <c r="EU337" s="116"/>
      <c r="EV337" s="116"/>
      <c r="EW337" s="116"/>
      <c r="EX337" s="116"/>
      <c r="EY337" s="116"/>
      <c r="EZ337" s="116"/>
      <c r="FA337" s="116"/>
      <c r="FB337" s="116"/>
      <c r="FC337" s="116"/>
      <c r="FD337" s="116"/>
      <c r="FE337" s="116"/>
      <c r="FF337" s="116"/>
      <c r="FG337" s="116"/>
      <c r="FH337" s="116"/>
      <c r="FI337" s="116"/>
      <c r="FJ337" s="116"/>
      <c r="FK337" s="116"/>
      <c r="FL337" s="116"/>
      <c r="FM337" s="116"/>
      <c r="FN337" s="116"/>
      <c r="FO337" s="116"/>
      <c r="FP337" s="116"/>
      <c r="FQ337" s="116"/>
      <c r="FR337" s="116"/>
      <c r="FS337" s="116"/>
      <c r="FT337" s="116"/>
      <c r="FU337" s="116"/>
      <c r="FV337" s="116"/>
      <c r="FW337" s="116"/>
      <c r="FX337" s="116"/>
      <c r="FY337" s="116"/>
      <c r="FZ337" s="116"/>
      <c r="GA337" s="116"/>
      <c r="GB337" s="116"/>
      <c r="GC337" s="116"/>
      <c r="GD337" s="116"/>
      <c r="GE337" s="116"/>
      <c r="GF337" s="116"/>
      <c r="GG337" s="116"/>
      <c r="GH337" s="116"/>
    </row>
    <row r="338" spans="2:190" ht="12.75">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c r="CY338" s="116"/>
      <c r="CZ338" s="116"/>
      <c r="DA338" s="116"/>
      <c r="DB338" s="116"/>
      <c r="DC338" s="116"/>
      <c r="DD338" s="116"/>
      <c r="DE338" s="116"/>
      <c r="DF338" s="116"/>
      <c r="DG338" s="116"/>
      <c r="DH338" s="116"/>
      <c r="DI338" s="116"/>
      <c r="DJ338" s="116"/>
      <c r="DK338" s="116"/>
      <c r="DL338" s="116"/>
      <c r="DM338" s="116"/>
      <c r="DN338" s="116"/>
      <c r="DO338" s="116"/>
      <c r="DP338" s="116"/>
      <c r="DQ338" s="116"/>
      <c r="DR338" s="116"/>
      <c r="DS338" s="116"/>
      <c r="DT338" s="116"/>
      <c r="DU338" s="116"/>
      <c r="DV338" s="116"/>
      <c r="DW338" s="116"/>
      <c r="DX338" s="116"/>
      <c r="DY338" s="116"/>
      <c r="DZ338" s="116"/>
      <c r="EA338" s="116"/>
      <c r="EB338" s="116"/>
      <c r="EC338" s="116"/>
      <c r="ED338" s="116"/>
      <c r="EE338" s="116"/>
      <c r="EF338" s="116"/>
      <c r="EG338" s="116"/>
      <c r="EH338" s="116"/>
      <c r="EI338" s="116"/>
      <c r="EJ338" s="116"/>
      <c r="EK338" s="116"/>
      <c r="EL338" s="116"/>
      <c r="EM338" s="116"/>
      <c r="EN338" s="116"/>
      <c r="EO338" s="116"/>
      <c r="EP338" s="116"/>
      <c r="EQ338" s="116"/>
      <c r="ER338" s="116"/>
      <c r="ES338" s="116"/>
      <c r="ET338" s="116"/>
      <c r="EU338" s="116"/>
      <c r="EV338" s="116"/>
      <c r="EW338" s="116"/>
      <c r="EX338" s="116"/>
      <c r="EY338" s="116"/>
      <c r="EZ338" s="116"/>
      <c r="FA338" s="116"/>
      <c r="FB338" s="116"/>
      <c r="FC338" s="116"/>
      <c r="FD338" s="116"/>
      <c r="FE338" s="116"/>
      <c r="FF338" s="116"/>
      <c r="FG338" s="116"/>
      <c r="FH338" s="116"/>
      <c r="FI338" s="116"/>
      <c r="FJ338" s="116"/>
      <c r="FK338" s="116"/>
      <c r="FL338" s="116"/>
      <c r="FM338" s="116"/>
      <c r="FN338" s="116"/>
      <c r="FO338" s="116"/>
      <c r="FP338" s="116"/>
      <c r="FQ338" s="116"/>
      <c r="FR338" s="116"/>
      <c r="FS338" s="116"/>
      <c r="FT338" s="116"/>
      <c r="FU338" s="116"/>
      <c r="FV338" s="116"/>
      <c r="FW338" s="116"/>
      <c r="FX338" s="116"/>
      <c r="FY338" s="116"/>
      <c r="FZ338" s="116"/>
      <c r="GA338" s="116"/>
      <c r="GB338" s="116"/>
      <c r="GC338" s="116"/>
      <c r="GD338" s="116"/>
      <c r="GE338" s="116"/>
      <c r="GF338" s="116"/>
      <c r="GG338" s="116"/>
      <c r="GH338" s="116"/>
    </row>
    <row r="339" spans="2:190" ht="12.75">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c r="BF339" s="116"/>
      <c r="BG339" s="116"/>
      <c r="BH339" s="116"/>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c r="DG339" s="116"/>
      <c r="DH339" s="116"/>
      <c r="DI339" s="116"/>
      <c r="DJ339" s="116"/>
      <c r="DK339" s="116"/>
      <c r="DL339" s="116"/>
      <c r="DM339" s="116"/>
      <c r="DN339" s="116"/>
      <c r="DO339" s="116"/>
      <c r="DP339" s="116"/>
      <c r="DQ339" s="116"/>
      <c r="DR339" s="116"/>
      <c r="DS339" s="116"/>
      <c r="DT339" s="116"/>
      <c r="DU339" s="116"/>
      <c r="DV339" s="116"/>
      <c r="DW339" s="116"/>
      <c r="DX339" s="116"/>
      <c r="DY339" s="116"/>
      <c r="DZ339" s="116"/>
      <c r="EA339" s="116"/>
      <c r="EB339" s="116"/>
      <c r="EC339" s="116"/>
      <c r="ED339" s="116"/>
      <c r="EE339" s="116"/>
      <c r="EF339" s="116"/>
      <c r="EG339" s="116"/>
      <c r="EH339" s="116"/>
      <c r="EI339" s="116"/>
      <c r="EJ339" s="116"/>
      <c r="EK339" s="116"/>
      <c r="EL339" s="116"/>
      <c r="EM339" s="116"/>
      <c r="EN339" s="116"/>
      <c r="EO339" s="116"/>
      <c r="EP339" s="116"/>
      <c r="EQ339" s="116"/>
      <c r="ER339" s="116"/>
      <c r="ES339" s="116"/>
      <c r="ET339" s="116"/>
      <c r="EU339" s="116"/>
      <c r="EV339" s="116"/>
      <c r="EW339" s="116"/>
      <c r="EX339" s="116"/>
      <c r="EY339" s="116"/>
      <c r="EZ339" s="116"/>
      <c r="FA339" s="116"/>
      <c r="FB339" s="116"/>
      <c r="FC339" s="116"/>
      <c r="FD339" s="116"/>
      <c r="FE339" s="116"/>
      <c r="FF339" s="116"/>
      <c r="FG339" s="116"/>
      <c r="FH339" s="116"/>
      <c r="FI339" s="116"/>
      <c r="FJ339" s="116"/>
      <c r="FK339" s="116"/>
      <c r="FL339" s="116"/>
      <c r="FM339" s="116"/>
      <c r="FN339" s="116"/>
      <c r="FO339" s="116"/>
      <c r="FP339" s="116"/>
      <c r="FQ339" s="116"/>
      <c r="FR339" s="116"/>
      <c r="FS339" s="116"/>
      <c r="FT339" s="116"/>
      <c r="FU339" s="116"/>
      <c r="FV339" s="116"/>
      <c r="FW339" s="116"/>
      <c r="FX339" s="116"/>
      <c r="FY339" s="116"/>
      <c r="FZ339" s="116"/>
      <c r="GA339" s="116"/>
      <c r="GB339" s="116"/>
      <c r="GC339" s="116"/>
      <c r="GD339" s="116"/>
      <c r="GE339" s="116"/>
      <c r="GF339" s="116"/>
      <c r="GG339" s="116"/>
      <c r="GH339" s="116"/>
    </row>
    <row r="340" spans="2:190" ht="12.75">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c r="BF340" s="116"/>
      <c r="BG340" s="116"/>
      <c r="BH340" s="116"/>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c r="CY340" s="116"/>
      <c r="CZ340" s="116"/>
      <c r="DA340" s="116"/>
      <c r="DB340" s="116"/>
      <c r="DC340" s="116"/>
      <c r="DD340" s="116"/>
      <c r="DE340" s="116"/>
      <c r="DF340" s="116"/>
      <c r="DG340" s="116"/>
      <c r="DH340" s="116"/>
      <c r="DI340" s="116"/>
      <c r="DJ340" s="116"/>
      <c r="DK340" s="116"/>
      <c r="DL340" s="116"/>
      <c r="DM340" s="116"/>
      <c r="DN340" s="116"/>
      <c r="DO340" s="116"/>
      <c r="DP340" s="116"/>
      <c r="DQ340" s="116"/>
      <c r="DR340" s="116"/>
      <c r="DS340" s="116"/>
      <c r="DT340" s="116"/>
      <c r="DU340" s="116"/>
      <c r="DV340" s="116"/>
      <c r="DW340" s="116"/>
      <c r="DX340" s="116"/>
      <c r="DY340" s="116"/>
      <c r="DZ340" s="116"/>
      <c r="EA340" s="116"/>
      <c r="EB340" s="116"/>
      <c r="EC340" s="116"/>
      <c r="ED340" s="116"/>
      <c r="EE340" s="116"/>
      <c r="EF340" s="116"/>
      <c r="EG340" s="116"/>
      <c r="EH340" s="116"/>
      <c r="EI340" s="116"/>
      <c r="EJ340" s="116"/>
      <c r="EK340" s="116"/>
      <c r="EL340" s="116"/>
      <c r="EM340" s="116"/>
      <c r="EN340" s="116"/>
      <c r="EO340" s="116"/>
      <c r="EP340" s="116"/>
      <c r="EQ340" s="116"/>
      <c r="ER340" s="116"/>
      <c r="ES340" s="116"/>
      <c r="ET340" s="116"/>
      <c r="EU340" s="116"/>
      <c r="EV340" s="116"/>
      <c r="EW340" s="116"/>
      <c r="EX340" s="116"/>
      <c r="EY340" s="116"/>
      <c r="EZ340" s="116"/>
      <c r="FA340" s="116"/>
      <c r="FB340" s="116"/>
      <c r="FC340" s="116"/>
      <c r="FD340" s="116"/>
      <c r="FE340" s="116"/>
      <c r="FF340" s="116"/>
      <c r="FG340" s="116"/>
      <c r="FH340" s="116"/>
      <c r="FI340" s="116"/>
      <c r="FJ340" s="116"/>
      <c r="FK340" s="116"/>
      <c r="FL340" s="116"/>
      <c r="FM340" s="116"/>
      <c r="FN340" s="116"/>
      <c r="FO340" s="116"/>
      <c r="FP340" s="116"/>
      <c r="FQ340" s="116"/>
      <c r="FR340" s="116"/>
      <c r="FS340" s="116"/>
      <c r="FT340" s="116"/>
      <c r="FU340" s="116"/>
      <c r="FV340" s="116"/>
      <c r="FW340" s="116"/>
      <c r="FX340" s="116"/>
      <c r="FY340" s="116"/>
      <c r="FZ340" s="116"/>
      <c r="GA340" s="116"/>
      <c r="GB340" s="116"/>
      <c r="GC340" s="116"/>
      <c r="GD340" s="116"/>
      <c r="GE340" s="116"/>
      <c r="GF340" s="116"/>
      <c r="GG340" s="116"/>
      <c r="GH340" s="116"/>
    </row>
    <row r="341" spans="2:190" ht="12.75">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6"/>
      <c r="AQ341" s="116"/>
      <c r="AR341" s="116"/>
      <c r="AS341" s="116"/>
      <c r="AT341" s="116"/>
      <c r="AU341" s="116"/>
      <c r="AV341" s="116"/>
      <c r="AW341" s="116"/>
      <c r="AX341" s="116"/>
      <c r="AY341" s="116"/>
      <c r="AZ341" s="116"/>
      <c r="BA341" s="116"/>
      <c r="BB341" s="116"/>
      <c r="BC341" s="116"/>
      <c r="BD341" s="116"/>
      <c r="BE341" s="116"/>
      <c r="BF341" s="116"/>
      <c r="BG341" s="116"/>
      <c r="BH341" s="116"/>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c r="DG341" s="116"/>
      <c r="DH341" s="116"/>
      <c r="DI341" s="116"/>
      <c r="DJ341" s="116"/>
      <c r="DK341" s="116"/>
      <c r="DL341" s="116"/>
      <c r="DM341" s="116"/>
      <c r="DN341" s="116"/>
      <c r="DO341" s="116"/>
      <c r="DP341" s="116"/>
      <c r="DQ341" s="116"/>
      <c r="DR341" s="116"/>
      <c r="DS341" s="116"/>
      <c r="DT341" s="116"/>
      <c r="DU341" s="116"/>
      <c r="DV341" s="116"/>
      <c r="DW341" s="116"/>
      <c r="DX341" s="116"/>
      <c r="DY341" s="116"/>
      <c r="DZ341" s="116"/>
      <c r="EA341" s="116"/>
      <c r="EB341" s="116"/>
      <c r="EC341" s="116"/>
      <c r="ED341" s="116"/>
      <c r="EE341" s="116"/>
      <c r="EF341" s="116"/>
      <c r="EG341" s="116"/>
      <c r="EH341" s="116"/>
      <c r="EI341" s="116"/>
      <c r="EJ341" s="116"/>
      <c r="EK341" s="116"/>
      <c r="EL341" s="116"/>
      <c r="EM341" s="116"/>
      <c r="EN341" s="116"/>
      <c r="EO341" s="116"/>
      <c r="EP341" s="116"/>
      <c r="EQ341" s="116"/>
      <c r="ER341" s="116"/>
      <c r="ES341" s="116"/>
      <c r="ET341" s="116"/>
      <c r="EU341" s="116"/>
      <c r="EV341" s="116"/>
      <c r="EW341" s="116"/>
      <c r="EX341" s="116"/>
      <c r="EY341" s="116"/>
      <c r="EZ341" s="116"/>
      <c r="FA341" s="116"/>
      <c r="FB341" s="116"/>
      <c r="FC341" s="116"/>
      <c r="FD341" s="116"/>
      <c r="FE341" s="116"/>
      <c r="FF341" s="116"/>
      <c r="FG341" s="116"/>
      <c r="FH341" s="116"/>
      <c r="FI341" s="116"/>
      <c r="FJ341" s="116"/>
      <c r="FK341" s="116"/>
      <c r="FL341" s="116"/>
      <c r="FM341" s="116"/>
      <c r="FN341" s="116"/>
      <c r="FO341" s="116"/>
      <c r="FP341" s="116"/>
      <c r="FQ341" s="116"/>
      <c r="FR341" s="116"/>
      <c r="FS341" s="116"/>
      <c r="FT341" s="116"/>
      <c r="FU341" s="116"/>
      <c r="FV341" s="116"/>
      <c r="FW341" s="116"/>
      <c r="FX341" s="116"/>
      <c r="FY341" s="116"/>
      <c r="FZ341" s="116"/>
      <c r="GA341" s="116"/>
      <c r="GB341" s="116"/>
      <c r="GC341" s="116"/>
      <c r="GD341" s="116"/>
      <c r="GE341" s="116"/>
      <c r="GF341" s="116"/>
      <c r="GG341" s="116"/>
      <c r="GH341" s="116"/>
    </row>
    <row r="342" spans="2:190" ht="12.75">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6"/>
      <c r="AQ342" s="116"/>
      <c r="AR342" s="116"/>
      <c r="AS342" s="116"/>
      <c r="AT342" s="116"/>
      <c r="AU342" s="116"/>
      <c r="AV342" s="116"/>
      <c r="AW342" s="116"/>
      <c r="AX342" s="116"/>
      <c r="AY342" s="116"/>
      <c r="AZ342" s="116"/>
      <c r="BA342" s="116"/>
      <c r="BB342" s="116"/>
      <c r="BC342" s="116"/>
      <c r="BD342" s="116"/>
      <c r="BE342" s="116"/>
      <c r="BF342" s="116"/>
      <c r="BG342" s="116"/>
      <c r="BH342" s="116"/>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c r="DG342" s="116"/>
      <c r="DH342" s="116"/>
      <c r="DI342" s="116"/>
      <c r="DJ342" s="116"/>
      <c r="DK342" s="116"/>
      <c r="DL342" s="116"/>
      <c r="DM342" s="116"/>
      <c r="DN342" s="116"/>
      <c r="DO342" s="116"/>
      <c r="DP342" s="116"/>
      <c r="DQ342" s="116"/>
      <c r="DR342" s="116"/>
      <c r="DS342" s="116"/>
      <c r="DT342" s="116"/>
      <c r="DU342" s="116"/>
      <c r="DV342" s="116"/>
      <c r="DW342" s="116"/>
      <c r="DX342" s="116"/>
      <c r="DY342" s="116"/>
      <c r="DZ342" s="116"/>
      <c r="EA342" s="116"/>
      <c r="EB342" s="116"/>
      <c r="EC342" s="116"/>
      <c r="ED342" s="116"/>
      <c r="EE342" s="116"/>
      <c r="EF342" s="116"/>
      <c r="EG342" s="116"/>
      <c r="EH342" s="116"/>
      <c r="EI342" s="116"/>
      <c r="EJ342" s="116"/>
      <c r="EK342" s="116"/>
      <c r="EL342" s="116"/>
      <c r="EM342" s="116"/>
      <c r="EN342" s="116"/>
      <c r="EO342" s="116"/>
      <c r="EP342" s="116"/>
      <c r="EQ342" s="116"/>
      <c r="ER342" s="116"/>
      <c r="ES342" s="116"/>
      <c r="ET342" s="116"/>
      <c r="EU342" s="116"/>
      <c r="EV342" s="116"/>
      <c r="EW342" s="116"/>
      <c r="EX342" s="116"/>
      <c r="EY342" s="116"/>
      <c r="EZ342" s="116"/>
      <c r="FA342" s="116"/>
      <c r="FB342" s="116"/>
      <c r="FC342" s="116"/>
      <c r="FD342" s="116"/>
      <c r="FE342" s="116"/>
      <c r="FF342" s="116"/>
      <c r="FG342" s="116"/>
      <c r="FH342" s="116"/>
      <c r="FI342" s="116"/>
      <c r="FJ342" s="116"/>
      <c r="FK342" s="116"/>
      <c r="FL342" s="116"/>
      <c r="FM342" s="116"/>
      <c r="FN342" s="116"/>
      <c r="FO342" s="116"/>
      <c r="FP342" s="116"/>
      <c r="FQ342" s="116"/>
      <c r="FR342" s="116"/>
      <c r="FS342" s="116"/>
      <c r="FT342" s="116"/>
      <c r="FU342" s="116"/>
      <c r="FV342" s="116"/>
      <c r="FW342" s="116"/>
      <c r="FX342" s="116"/>
      <c r="FY342" s="116"/>
      <c r="FZ342" s="116"/>
      <c r="GA342" s="116"/>
      <c r="GB342" s="116"/>
      <c r="GC342" s="116"/>
      <c r="GD342" s="116"/>
      <c r="GE342" s="116"/>
      <c r="GF342" s="116"/>
      <c r="GG342" s="116"/>
      <c r="GH342" s="116"/>
    </row>
    <row r="343" spans="2:190" ht="12.75">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6"/>
      <c r="AL343" s="116"/>
      <c r="AM343" s="116"/>
      <c r="AN343" s="116"/>
      <c r="AO343" s="116"/>
      <c r="AP343" s="116"/>
      <c r="AQ343" s="116"/>
      <c r="AR343" s="116"/>
      <c r="AS343" s="116"/>
      <c r="AT343" s="116"/>
      <c r="AU343" s="116"/>
      <c r="AV343" s="116"/>
      <c r="AW343" s="116"/>
      <c r="AX343" s="116"/>
      <c r="AY343" s="116"/>
      <c r="AZ343" s="116"/>
      <c r="BA343" s="116"/>
      <c r="BB343" s="116"/>
      <c r="BC343" s="116"/>
      <c r="BD343" s="116"/>
      <c r="BE343" s="116"/>
      <c r="BF343" s="116"/>
      <c r="BG343" s="116"/>
      <c r="BH343" s="116"/>
      <c r="BI343" s="116"/>
      <c r="BJ343" s="116"/>
      <c r="BK343" s="116"/>
      <c r="BL343" s="116"/>
      <c r="BM343" s="116"/>
      <c r="BN343" s="116"/>
      <c r="BO343" s="116"/>
      <c r="BP343" s="116"/>
      <c r="BQ343" s="116"/>
      <c r="BR343" s="116"/>
      <c r="BS343" s="116"/>
      <c r="BT343" s="116"/>
      <c r="BU343" s="116"/>
      <c r="BV343" s="116"/>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c r="DG343" s="116"/>
      <c r="DH343" s="116"/>
      <c r="DI343" s="116"/>
      <c r="DJ343" s="116"/>
      <c r="DK343" s="116"/>
      <c r="DL343" s="116"/>
      <c r="DM343" s="116"/>
      <c r="DN343" s="116"/>
      <c r="DO343" s="116"/>
      <c r="DP343" s="116"/>
      <c r="DQ343" s="116"/>
      <c r="DR343" s="116"/>
      <c r="DS343" s="116"/>
      <c r="DT343" s="116"/>
      <c r="DU343" s="116"/>
      <c r="DV343" s="116"/>
      <c r="DW343" s="116"/>
      <c r="DX343" s="116"/>
      <c r="DY343" s="116"/>
      <c r="DZ343" s="116"/>
      <c r="EA343" s="116"/>
      <c r="EB343" s="116"/>
      <c r="EC343" s="116"/>
      <c r="ED343" s="116"/>
      <c r="EE343" s="116"/>
      <c r="EF343" s="116"/>
      <c r="EG343" s="116"/>
      <c r="EH343" s="116"/>
      <c r="EI343" s="116"/>
      <c r="EJ343" s="116"/>
      <c r="EK343" s="116"/>
      <c r="EL343" s="116"/>
      <c r="EM343" s="116"/>
      <c r="EN343" s="116"/>
      <c r="EO343" s="116"/>
      <c r="EP343" s="116"/>
      <c r="EQ343" s="116"/>
      <c r="ER343" s="116"/>
      <c r="ES343" s="116"/>
      <c r="ET343" s="116"/>
      <c r="EU343" s="116"/>
      <c r="EV343" s="116"/>
      <c r="EW343" s="116"/>
      <c r="EX343" s="116"/>
      <c r="EY343" s="116"/>
      <c r="EZ343" s="116"/>
      <c r="FA343" s="116"/>
      <c r="FB343" s="116"/>
      <c r="FC343" s="116"/>
      <c r="FD343" s="116"/>
      <c r="FE343" s="116"/>
      <c r="FF343" s="116"/>
      <c r="FG343" s="116"/>
      <c r="FH343" s="116"/>
      <c r="FI343" s="116"/>
      <c r="FJ343" s="116"/>
      <c r="FK343" s="116"/>
      <c r="FL343" s="116"/>
      <c r="FM343" s="116"/>
      <c r="FN343" s="116"/>
      <c r="FO343" s="116"/>
      <c r="FP343" s="116"/>
      <c r="FQ343" s="116"/>
      <c r="FR343" s="116"/>
      <c r="FS343" s="116"/>
      <c r="FT343" s="116"/>
      <c r="FU343" s="116"/>
      <c r="FV343" s="116"/>
      <c r="FW343" s="116"/>
      <c r="FX343" s="116"/>
      <c r="FY343" s="116"/>
      <c r="FZ343" s="116"/>
      <c r="GA343" s="116"/>
      <c r="GB343" s="116"/>
      <c r="GC343" s="116"/>
      <c r="GD343" s="116"/>
      <c r="GE343" s="116"/>
      <c r="GF343" s="116"/>
      <c r="GG343" s="116"/>
      <c r="GH343" s="116"/>
    </row>
    <row r="344" spans="2:190" ht="12.75">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c r="BF344" s="116"/>
      <c r="BG344" s="116"/>
      <c r="BH344" s="116"/>
      <c r="BI344" s="116"/>
      <c r="BJ344" s="116"/>
      <c r="BK344" s="116"/>
      <c r="BL344" s="116"/>
      <c r="BM344" s="116"/>
      <c r="BN344" s="116"/>
      <c r="BO344" s="116"/>
      <c r="BP344" s="116"/>
      <c r="BQ344" s="116"/>
      <c r="BR344" s="116"/>
      <c r="BS344" s="116"/>
      <c r="BT344" s="116"/>
      <c r="BU344" s="116"/>
      <c r="BV344" s="116"/>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c r="DG344" s="116"/>
      <c r="DH344" s="116"/>
      <c r="DI344" s="116"/>
      <c r="DJ344" s="116"/>
      <c r="DK344" s="116"/>
      <c r="DL344" s="116"/>
      <c r="DM344" s="116"/>
      <c r="DN344" s="116"/>
      <c r="DO344" s="116"/>
      <c r="DP344" s="116"/>
      <c r="DQ344" s="116"/>
      <c r="DR344" s="116"/>
      <c r="DS344" s="116"/>
      <c r="DT344" s="116"/>
      <c r="DU344" s="116"/>
      <c r="DV344" s="116"/>
      <c r="DW344" s="116"/>
      <c r="DX344" s="116"/>
      <c r="DY344" s="116"/>
      <c r="DZ344" s="116"/>
      <c r="EA344" s="116"/>
      <c r="EB344" s="116"/>
      <c r="EC344" s="116"/>
      <c r="ED344" s="116"/>
      <c r="EE344" s="116"/>
      <c r="EF344" s="116"/>
      <c r="EG344" s="116"/>
      <c r="EH344" s="116"/>
      <c r="EI344" s="116"/>
      <c r="EJ344" s="116"/>
      <c r="EK344" s="116"/>
      <c r="EL344" s="116"/>
      <c r="EM344" s="116"/>
      <c r="EN344" s="116"/>
      <c r="EO344" s="116"/>
      <c r="EP344" s="116"/>
      <c r="EQ344" s="116"/>
      <c r="ER344" s="116"/>
      <c r="ES344" s="116"/>
      <c r="ET344" s="116"/>
      <c r="EU344" s="116"/>
      <c r="EV344" s="116"/>
      <c r="EW344" s="116"/>
      <c r="EX344" s="116"/>
      <c r="EY344" s="116"/>
      <c r="EZ344" s="116"/>
      <c r="FA344" s="116"/>
      <c r="FB344" s="116"/>
      <c r="FC344" s="116"/>
      <c r="FD344" s="116"/>
      <c r="FE344" s="116"/>
      <c r="FF344" s="116"/>
      <c r="FG344" s="116"/>
      <c r="FH344" s="116"/>
      <c r="FI344" s="116"/>
      <c r="FJ344" s="116"/>
      <c r="FK344" s="116"/>
      <c r="FL344" s="116"/>
      <c r="FM344" s="116"/>
      <c r="FN344" s="116"/>
      <c r="FO344" s="116"/>
      <c r="FP344" s="116"/>
      <c r="FQ344" s="116"/>
      <c r="FR344" s="116"/>
      <c r="FS344" s="116"/>
      <c r="FT344" s="116"/>
      <c r="FU344" s="116"/>
      <c r="FV344" s="116"/>
      <c r="FW344" s="116"/>
      <c r="FX344" s="116"/>
      <c r="FY344" s="116"/>
      <c r="FZ344" s="116"/>
      <c r="GA344" s="116"/>
      <c r="GB344" s="116"/>
      <c r="GC344" s="116"/>
      <c r="GD344" s="116"/>
      <c r="GE344" s="116"/>
      <c r="GF344" s="116"/>
      <c r="GG344" s="116"/>
      <c r="GH344" s="116"/>
    </row>
    <row r="345" spans="2:190" ht="12.75">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c r="BF345" s="116"/>
      <c r="BG345" s="116"/>
      <c r="BH345" s="116"/>
      <c r="BI345" s="116"/>
      <c r="BJ345" s="116"/>
      <c r="BK345" s="116"/>
      <c r="BL345" s="116"/>
      <c r="BM345" s="116"/>
      <c r="BN345" s="116"/>
      <c r="BO345" s="116"/>
      <c r="BP345" s="116"/>
      <c r="BQ345" s="116"/>
      <c r="BR345" s="116"/>
      <c r="BS345" s="116"/>
      <c r="BT345" s="116"/>
      <c r="BU345" s="116"/>
      <c r="BV345" s="116"/>
      <c r="BW345" s="116"/>
      <c r="BX345" s="116"/>
      <c r="BY345" s="116"/>
      <c r="BZ345" s="116"/>
      <c r="CA345" s="116"/>
      <c r="CB345" s="116"/>
      <c r="CC345" s="116"/>
      <c r="CD345" s="116"/>
      <c r="CE345" s="116"/>
      <c r="CF345" s="116"/>
      <c r="CG345" s="116"/>
      <c r="CH345" s="116"/>
      <c r="CI345" s="116"/>
      <c r="CJ345" s="116"/>
      <c r="CK345" s="116"/>
      <c r="CL345" s="116"/>
      <c r="CM345" s="116"/>
      <c r="CN345" s="116"/>
      <c r="CO345" s="116"/>
      <c r="CP345" s="116"/>
      <c r="CQ345" s="116"/>
      <c r="CR345" s="116"/>
      <c r="CS345" s="116"/>
      <c r="CT345" s="116"/>
      <c r="CU345" s="116"/>
      <c r="CV345" s="116"/>
      <c r="CW345" s="116"/>
      <c r="CX345" s="116"/>
      <c r="CY345" s="116"/>
      <c r="CZ345" s="116"/>
      <c r="DA345" s="116"/>
      <c r="DB345" s="116"/>
      <c r="DC345" s="116"/>
      <c r="DD345" s="116"/>
      <c r="DE345" s="116"/>
      <c r="DF345" s="116"/>
      <c r="DG345" s="116"/>
      <c r="DH345" s="116"/>
      <c r="DI345" s="116"/>
      <c r="DJ345" s="116"/>
      <c r="DK345" s="116"/>
      <c r="DL345" s="116"/>
      <c r="DM345" s="116"/>
      <c r="DN345" s="116"/>
      <c r="DO345" s="116"/>
      <c r="DP345" s="116"/>
      <c r="DQ345" s="116"/>
      <c r="DR345" s="116"/>
      <c r="DS345" s="116"/>
      <c r="DT345" s="116"/>
      <c r="DU345" s="116"/>
      <c r="DV345" s="116"/>
      <c r="DW345" s="116"/>
      <c r="DX345" s="116"/>
      <c r="DY345" s="116"/>
      <c r="DZ345" s="116"/>
      <c r="EA345" s="116"/>
      <c r="EB345" s="116"/>
      <c r="EC345" s="116"/>
      <c r="ED345" s="116"/>
      <c r="EE345" s="116"/>
      <c r="EF345" s="116"/>
      <c r="EG345" s="116"/>
      <c r="EH345" s="116"/>
      <c r="EI345" s="116"/>
      <c r="EJ345" s="116"/>
      <c r="EK345" s="116"/>
      <c r="EL345" s="116"/>
      <c r="EM345" s="116"/>
      <c r="EN345" s="116"/>
      <c r="EO345" s="116"/>
      <c r="EP345" s="116"/>
      <c r="EQ345" s="116"/>
      <c r="ER345" s="116"/>
      <c r="ES345" s="116"/>
      <c r="ET345" s="116"/>
      <c r="EU345" s="116"/>
      <c r="EV345" s="116"/>
      <c r="EW345" s="116"/>
      <c r="EX345" s="116"/>
      <c r="EY345" s="116"/>
      <c r="EZ345" s="116"/>
      <c r="FA345" s="116"/>
      <c r="FB345" s="116"/>
      <c r="FC345" s="116"/>
      <c r="FD345" s="116"/>
      <c r="FE345" s="116"/>
      <c r="FF345" s="116"/>
      <c r="FG345" s="116"/>
      <c r="FH345" s="116"/>
      <c r="FI345" s="116"/>
      <c r="FJ345" s="116"/>
      <c r="FK345" s="116"/>
      <c r="FL345" s="116"/>
      <c r="FM345" s="116"/>
      <c r="FN345" s="116"/>
      <c r="FO345" s="116"/>
      <c r="FP345" s="116"/>
      <c r="FQ345" s="116"/>
      <c r="FR345" s="116"/>
      <c r="FS345" s="116"/>
      <c r="FT345" s="116"/>
      <c r="FU345" s="116"/>
      <c r="FV345" s="116"/>
      <c r="FW345" s="116"/>
      <c r="FX345" s="116"/>
      <c r="FY345" s="116"/>
      <c r="FZ345" s="116"/>
      <c r="GA345" s="116"/>
      <c r="GB345" s="116"/>
      <c r="GC345" s="116"/>
      <c r="GD345" s="116"/>
      <c r="GE345" s="116"/>
      <c r="GF345" s="116"/>
      <c r="GG345" s="116"/>
      <c r="GH345" s="116"/>
    </row>
    <row r="346" spans="2:190" ht="12.75">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6"/>
      <c r="AL346" s="116"/>
      <c r="AM346" s="116"/>
      <c r="AN346" s="116"/>
      <c r="AO346" s="116"/>
      <c r="AP346" s="116"/>
      <c r="AQ346" s="116"/>
      <c r="AR346" s="116"/>
      <c r="AS346" s="116"/>
      <c r="AT346" s="116"/>
      <c r="AU346" s="116"/>
      <c r="AV346" s="116"/>
      <c r="AW346" s="116"/>
      <c r="AX346" s="116"/>
      <c r="AY346" s="116"/>
      <c r="AZ346" s="116"/>
      <c r="BA346" s="116"/>
      <c r="BB346" s="116"/>
      <c r="BC346" s="116"/>
      <c r="BD346" s="116"/>
      <c r="BE346" s="116"/>
      <c r="BF346" s="116"/>
      <c r="BG346" s="116"/>
      <c r="BH346" s="116"/>
      <c r="BI346" s="116"/>
      <c r="BJ346" s="116"/>
      <c r="BK346" s="116"/>
      <c r="BL346" s="116"/>
      <c r="BM346" s="116"/>
      <c r="BN346" s="116"/>
      <c r="BO346" s="116"/>
      <c r="BP346" s="116"/>
      <c r="BQ346" s="116"/>
      <c r="BR346" s="116"/>
      <c r="BS346" s="116"/>
      <c r="BT346" s="116"/>
      <c r="BU346" s="116"/>
      <c r="BV346" s="116"/>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c r="DG346" s="116"/>
      <c r="DH346" s="116"/>
      <c r="DI346" s="116"/>
      <c r="DJ346" s="116"/>
      <c r="DK346" s="116"/>
      <c r="DL346" s="116"/>
      <c r="DM346" s="116"/>
      <c r="DN346" s="116"/>
      <c r="DO346" s="116"/>
      <c r="DP346" s="116"/>
      <c r="DQ346" s="116"/>
      <c r="DR346" s="116"/>
      <c r="DS346" s="116"/>
      <c r="DT346" s="116"/>
      <c r="DU346" s="116"/>
      <c r="DV346" s="116"/>
      <c r="DW346" s="116"/>
      <c r="DX346" s="116"/>
      <c r="DY346" s="116"/>
      <c r="DZ346" s="116"/>
      <c r="EA346" s="116"/>
      <c r="EB346" s="116"/>
      <c r="EC346" s="116"/>
      <c r="ED346" s="116"/>
      <c r="EE346" s="116"/>
      <c r="EF346" s="116"/>
      <c r="EG346" s="116"/>
      <c r="EH346" s="116"/>
      <c r="EI346" s="116"/>
      <c r="EJ346" s="116"/>
      <c r="EK346" s="116"/>
      <c r="EL346" s="116"/>
      <c r="EM346" s="116"/>
      <c r="EN346" s="116"/>
      <c r="EO346" s="116"/>
      <c r="EP346" s="116"/>
      <c r="EQ346" s="116"/>
      <c r="ER346" s="116"/>
      <c r="ES346" s="116"/>
      <c r="ET346" s="116"/>
      <c r="EU346" s="116"/>
      <c r="EV346" s="116"/>
      <c r="EW346" s="116"/>
      <c r="EX346" s="116"/>
      <c r="EY346" s="116"/>
      <c r="EZ346" s="116"/>
      <c r="FA346" s="116"/>
      <c r="FB346" s="116"/>
      <c r="FC346" s="116"/>
      <c r="FD346" s="116"/>
      <c r="FE346" s="116"/>
      <c r="FF346" s="116"/>
      <c r="FG346" s="116"/>
      <c r="FH346" s="116"/>
      <c r="FI346" s="116"/>
      <c r="FJ346" s="116"/>
      <c r="FK346" s="116"/>
      <c r="FL346" s="116"/>
      <c r="FM346" s="116"/>
      <c r="FN346" s="116"/>
      <c r="FO346" s="116"/>
      <c r="FP346" s="116"/>
      <c r="FQ346" s="116"/>
      <c r="FR346" s="116"/>
      <c r="FS346" s="116"/>
      <c r="FT346" s="116"/>
      <c r="FU346" s="116"/>
      <c r="FV346" s="116"/>
      <c r="FW346" s="116"/>
      <c r="FX346" s="116"/>
      <c r="FY346" s="116"/>
      <c r="FZ346" s="116"/>
      <c r="GA346" s="116"/>
      <c r="GB346" s="116"/>
      <c r="GC346" s="116"/>
      <c r="GD346" s="116"/>
      <c r="GE346" s="116"/>
      <c r="GF346" s="116"/>
      <c r="GG346" s="116"/>
      <c r="GH346" s="116"/>
    </row>
    <row r="347" spans="2:190" ht="12.75">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6"/>
      <c r="AQ347" s="116"/>
      <c r="AR347" s="116"/>
      <c r="AS347" s="116"/>
      <c r="AT347" s="116"/>
      <c r="AU347" s="116"/>
      <c r="AV347" s="116"/>
      <c r="AW347" s="116"/>
      <c r="AX347" s="116"/>
      <c r="AY347" s="116"/>
      <c r="AZ347" s="116"/>
      <c r="BA347" s="116"/>
      <c r="BB347" s="116"/>
      <c r="BC347" s="116"/>
      <c r="BD347" s="116"/>
      <c r="BE347" s="116"/>
      <c r="BF347" s="116"/>
      <c r="BG347" s="116"/>
      <c r="BH347" s="116"/>
      <c r="BI347" s="116"/>
      <c r="BJ347" s="116"/>
      <c r="BK347" s="116"/>
      <c r="BL347" s="116"/>
      <c r="BM347" s="116"/>
      <c r="BN347" s="116"/>
      <c r="BO347" s="116"/>
      <c r="BP347" s="116"/>
      <c r="BQ347" s="116"/>
      <c r="BR347" s="116"/>
      <c r="BS347" s="116"/>
      <c r="BT347" s="116"/>
      <c r="BU347" s="116"/>
      <c r="BV347" s="116"/>
      <c r="BW347" s="116"/>
      <c r="BX347" s="116"/>
      <c r="BY347" s="116"/>
      <c r="BZ347" s="116"/>
      <c r="CA347" s="116"/>
      <c r="CB347" s="116"/>
      <c r="CC347" s="116"/>
      <c r="CD347" s="116"/>
      <c r="CE347" s="116"/>
      <c r="CF347" s="116"/>
      <c r="CG347" s="116"/>
      <c r="CH347" s="116"/>
      <c r="CI347" s="116"/>
      <c r="CJ347" s="116"/>
      <c r="CK347" s="116"/>
      <c r="CL347" s="116"/>
      <c r="CM347" s="116"/>
      <c r="CN347" s="116"/>
      <c r="CO347" s="116"/>
      <c r="CP347" s="116"/>
      <c r="CQ347" s="116"/>
      <c r="CR347" s="116"/>
      <c r="CS347" s="116"/>
      <c r="CT347" s="116"/>
      <c r="CU347" s="116"/>
      <c r="CV347" s="116"/>
      <c r="CW347" s="116"/>
      <c r="CX347" s="116"/>
      <c r="CY347" s="116"/>
      <c r="CZ347" s="116"/>
      <c r="DA347" s="116"/>
      <c r="DB347" s="116"/>
      <c r="DC347" s="116"/>
      <c r="DD347" s="116"/>
      <c r="DE347" s="116"/>
      <c r="DF347" s="116"/>
      <c r="DG347" s="116"/>
      <c r="DH347" s="116"/>
      <c r="DI347" s="116"/>
      <c r="DJ347" s="116"/>
      <c r="DK347" s="116"/>
      <c r="DL347" s="116"/>
      <c r="DM347" s="116"/>
      <c r="DN347" s="116"/>
      <c r="DO347" s="116"/>
      <c r="DP347" s="116"/>
      <c r="DQ347" s="116"/>
      <c r="DR347" s="116"/>
      <c r="DS347" s="116"/>
      <c r="DT347" s="116"/>
      <c r="DU347" s="116"/>
      <c r="DV347" s="116"/>
      <c r="DW347" s="116"/>
      <c r="DX347" s="116"/>
      <c r="DY347" s="116"/>
      <c r="DZ347" s="116"/>
      <c r="EA347" s="116"/>
      <c r="EB347" s="116"/>
      <c r="EC347" s="116"/>
      <c r="ED347" s="116"/>
      <c r="EE347" s="116"/>
      <c r="EF347" s="116"/>
      <c r="EG347" s="116"/>
      <c r="EH347" s="116"/>
      <c r="EI347" s="116"/>
      <c r="EJ347" s="116"/>
      <c r="EK347" s="116"/>
      <c r="EL347" s="116"/>
      <c r="EM347" s="116"/>
      <c r="EN347" s="116"/>
      <c r="EO347" s="116"/>
      <c r="EP347" s="116"/>
      <c r="EQ347" s="116"/>
      <c r="ER347" s="116"/>
      <c r="ES347" s="116"/>
      <c r="ET347" s="116"/>
      <c r="EU347" s="116"/>
      <c r="EV347" s="116"/>
      <c r="EW347" s="116"/>
      <c r="EX347" s="116"/>
      <c r="EY347" s="116"/>
      <c r="EZ347" s="116"/>
      <c r="FA347" s="116"/>
      <c r="FB347" s="116"/>
      <c r="FC347" s="116"/>
      <c r="FD347" s="116"/>
      <c r="FE347" s="116"/>
      <c r="FF347" s="116"/>
      <c r="FG347" s="116"/>
      <c r="FH347" s="116"/>
      <c r="FI347" s="116"/>
      <c r="FJ347" s="116"/>
      <c r="FK347" s="116"/>
      <c r="FL347" s="116"/>
      <c r="FM347" s="116"/>
      <c r="FN347" s="116"/>
      <c r="FO347" s="116"/>
      <c r="FP347" s="116"/>
      <c r="FQ347" s="116"/>
      <c r="FR347" s="116"/>
      <c r="FS347" s="116"/>
      <c r="FT347" s="116"/>
      <c r="FU347" s="116"/>
      <c r="FV347" s="116"/>
      <c r="FW347" s="116"/>
      <c r="FX347" s="116"/>
      <c r="FY347" s="116"/>
      <c r="FZ347" s="116"/>
      <c r="GA347" s="116"/>
      <c r="GB347" s="116"/>
      <c r="GC347" s="116"/>
      <c r="GD347" s="116"/>
      <c r="GE347" s="116"/>
      <c r="GF347" s="116"/>
      <c r="GG347" s="116"/>
      <c r="GH347" s="116"/>
    </row>
    <row r="348" spans="2:190" ht="12.75">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6"/>
      <c r="AY348" s="116"/>
      <c r="AZ348" s="116"/>
      <c r="BA348" s="116"/>
      <c r="BB348" s="116"/>
      <c r="BC348" s="116"/>
      <c r="BD348" s="116"/>
      <c r="BE348" s="116"/>
      <c r="BF348" s="116"/>
      <c r="BG348" s="116"/>
      <c r="BH348" s="116"/>
      <c r="BI348" s="116"/>
      <c r="BJ348" s="116"/>
      <c r="BK348" s="116"/>
      <c r="BL348" s="116"/>
      <c r="BM348" s="116"/>
      <c r="BN348" s="116"/>
      <c r="BO348" s="116"/>
      <c r="BP348" s="116"/>
      <c r="BQ348" s="116"/>
      <c r="BR348" s="116"/>
      <c r="BS348" s="116"/>
      <c r="BT348" s="116"/>
      <c r="BU348" s="116"/>
      <c r="BV348" s="116"/>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c r="DG348" s="116"/>
      <c r="DH348" s="116"/>
      <c r="DI348" s="116"/>
      <c r="DJ348" s="116"/>
      <c r="DK348" s="116"/>
      <c r="DL348" s="116"/>
      <c r="DM348" s="116"/>
      <c r="DN348" s="116"/>
      <c r="DO348" s="116"/>
      <c r="DP348" s="116"/>
      <c r="DQ348" s="116"/>
      <c r="DR348" s="116"/>
      <c r="DS348" s="116"/>
      <c r="DT348" s="116"/>
      <c r="DU348" s="116"/>
      <c r="DV348" s="116"/>
      <c r="DW348" s="116"/>
      <c r="DX348" s="116"/>
      <c r="DY348" s="116"/>
      <c r="DZ348" s="116"/>
      <c r="EA348" s="116"/>
      <c r="EB348" s="116"/>
      <c r="EC348" s="116"/>
      <c r="ED348" s="116"/>
      <c r="EE348" s="116"/>
      <c r="EF348" s="116"/>
      <c r="EG348" s="116"/>
      <c r="EH348" s="116"/>
      <c r="EI348" s="116"/>
      <c r="EJ348" s="116"/>
      <c r="EK348" s="116"/>
      <c r="EL348" s="116"/>
      <c r="EM348" s="116"/>
      <c r="EN348" s="116"/>
      <c r="EO348" s="116"/>
      <c r="EP348" s="116"/>
      <c r="EQ348" s="116"/>
      <c r="ER348" s="116"/>
      <c r="ES348" s="116"/>
      <c r="ET348" s="116"/>
      <c r="EU348" s="116"/>
      <c r="EV348" s="116"/>
      <c r="EW348" s="116"/>
      <c r="EX348" s="116"/>
      <c r="EY348" s="116"/>
      <c r="EZ348" s="116"/>
      <c r="FA348" s="116"/>
      <c r="FB348" s="116"/>
      <c r="FC348" s="116"/>
      <c r="FD348" s="116"/>
      <c r="FE348" s="116"/>
      <c r="FF348" s="116"/>
      <c r="FG348" s="116"/>
      <c r="FH348" s="116"/>
      <c r="FI348" s="116"/>
      <c r="FJ348" s="116"/>
      <c r="FK348" s="116"/>
      <c r="FL348" s="116"/>
      <c r="FM348" s="116"/>
      <c r="FN348" s="116"/>
      <c r="FO348" s="116"/>
      <c r="FP348" s="116"/>
      <c r="FQ348" s="116"/>
      <c r="FR348" s="116"/>
      <c r="FS348" s="116"/>
      <c r="FT348" s="116"/>
      <c r="FU348" s="116"/>
      <c r="FV348" s="116"/>
      <c r="FW348" s="116"/>
      <c r="FX348" s="116"/>
      <c r="FY348" s="116"/>
      <c r="FZ348" s="116"/>
      <c r="GA348" s="116"/>
      <c r="GB348" s="116"/>
      <c r="GC348" s="116"/>
      <c r="GD348" s="116"/>
      <c r="GE348" s="116"/>
      <c r="GF348" s="116"/>
      <c r="GG348" s="116"/>
      <c r="GH348" s="116"/>
    </row>
    <row r="349" spans="2:190" ht="12.75">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6"/>
      <c r="AL349" s="116"/>
      <c r="AM349" s="116"/>
      <c r="AN349" s="116"/>
      <c r="AO349" s="116"/>
      <c r="AP349" s="116"/>
      <c r="AQ349" s="116"/>
      <c r="AR349" s="116"/>
      <c r="AS349" s="116"/>
      <c r="AT349" s="116"/>
      <c r="AU349" s="116"/>
      <c r="AV349" s="116"/>
      <c r="AW349" s="116"/>
      <c r="AX349" s="116"/>
      <c r="AY349" s="116"/>
      <c r="AZ349" s="116"/>
      <c r="BA349" s="116"/>
      <c r="BB349" s="116"/>
      <c r="BC349" s="116"/>
      <c r="BD349" s="116"/>
      <c r="BE349" s="116"/>
      <c r="BF349" s="116"/>
      <c r="BG349" s="116"/>
      <c r="BH349" s="116"/>
      <c r="BI349" s="116"/>
      <c r="BJ349" s="116"/>
      <c r="BK349" s="116"/>
      <c r="BL349" s="116"/>
      <c r="BM349" s="116"/>
      <c r="BN349" s="116"/>
      <c r="BO349" s="116"/>
      <c r="BP349" s="116"/>
      <c r="BQ349" s="116"/>
      <c r="BR349" s="116"/>
      <c r="BS349" s="116"/>
      <c r="BT349" s="116"/>
      <c r="BU349" s="116"/>
      <c r="BV349" s="116"/>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c r="DG349" s="116"/>
      <c r="DH349" s="116"/>
      <c r="DI349" s="116"/>
      <c r="DJ349" s="116"/>
      <c r="DK349" s="116"/>
      <c r="DL349" s="116"/>
      <c r="DM349" s="116"/>
      <c r="DN349" s="116"/>
      <c r="DO349" s="116"/>
      <c r="DP349" s="116"/>
      <c r="DQ349" s="116"/>
      <c r="DR349" s="116"/>
      <c r="DS349" s="116"/>
      <c r="DT349" s="116"/>
      <c r="DU349" s="116"/>
      <c r="DV349" s="116"/>
      <c r="DW349" s="116"/>
      <c r="DX349" s="116"/>
      <c r="DY349" s="116"/>
      <c r="DZ349" s="116"/>
      <c r="EA349" s="116"/>
      <c r="EB349" s="116"/>
      <c r="EC349" s="116"/>
      <c r="ED349" s="116"/>
      <c r="EE349" s="116"/>
      <c r="EF349" s="116"/>
      <c r="EG349" s="116"/>
      <c r="EH349" s="116"/>
      <c r="EI349" s="116"/>
      <c r="EJ349" s="116"/>
      <c r="EK349" s="116"/>
      <c r="EL349" s="116"/>
      <c r="EM349" s="116"/>
      <c r="EN349" s="116"/>
      <c r="EO349" s="116"/>
      <c r="EP349" s="116"/>
      <c r="EQ349" s="116"/>
      <c r="ER349" s="116"/>
      <c r="ES349" s="116"/>
      <c r="ET349" s="116"/>
      <c r="EU349" s="116"/>
      <c r="EV349" s="116"/>
      <c r="EW349" s="116"/>
      <c r="EX349" s="116"/>
      <c r="EY349" s="116"/>
      <c r="EZ349" s="116"/>
      <c r="FA349" s="116"/>
      <c r="FB349" s="116"/>
      <c r="FC349" s="116"/>
      <c r="FD349" s="116"/>
      <c r="FE349" s="116"/>
      <c r="FF349" s="116"/>
      <c r="FG349" s="116"/>
      <c r="FH349" s="116"/>
      <c r="FI349" s="116"/>
      <c r="FJ349" s="116"/>
      <c r="FK349" s="116"/>
      <c r="FL349" s="116"/>
      <c r="FM349" s="116"/>
      <c r="FN349" s="116"/>
      <c r="FO349" s="116"/>
      <c r="FP349" s="116"/>
      <c r="FQ349" s="116"/>
      <c r="FR349" s="116"/>
      <c r="FS349" s="116"/>
      <c r="FT349" s="116"/>
      <c r="FU349" s="116"/>
      <c r="FV349" s="116"/>
      <c r="FW349" s="116"/>
      <c r="FX349" s="116"/>
      <c r="FY349" s="116"/>
      <c r="FZ349" s="116"/>
      <c r="GA349" s="116"/>
      <c r="GB349" s="116"/>
      <c r="GC349" s="116"/>
      <c r="GD349" s="116"/>
      <c r="GE349" s="116"/>
      <c r="GF349" s="116"/>
      <c r="GG349" s="116"/>
      <c r="GH349" s="116"/>
    </row>
    <row r="350" spans="2:190" ht="12.75">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6"/>
      <c r="AY350" s="116"/>
      <c r="AZ350" s="116"/>
      <c r="BA350" s="116"/>
      <c r="BB350" s="116"/>
      <c r="BC350" s="116"/>
      <c r="BD350" s="116"/>
      <c r="BE350" s="116"/>
      <c r="BF350" s="116"/>
      <c r="BG350" s="116"/>
      <c r="BH350" s="116"/>
      <c r="BI350" s="116"/>
      <c r="BJ350" s="116"/>
      <c r="BK350" s="116"/>
      <c r="BL350" s="116"/>
      <c r="BM350" s="116"/>
      <c r="BN350" s="116"/>
      <c r="BO350" s="116"/>
      <c r="BP350" s="116"/>
      <c r="BQ350" s="116"/>
      <c r="BR350" s="116"/>
      <c r="BS350" s="116"/>
      <c r="BT350" s="116"/>
      <c r="BU350" s="116"/>
      <c r="BV350" s="116"/>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c r="DG350" s="116"/>
      <c r="DH350" s="116"/>
      <c r="DI350" s="116"/>
      <c r="DJ350" s="116"/>
      <c r="DK350" s="116"/>
      <c r="DL350" s="116"/>
      <c r="DM350" s="116"/>
      <c r="DN350" s="116"/>
      <c r="DO350" s="116"/>
      <c r="DP350" s="116"/>
      <c r="DQ350" s="116"/>
      <c r="DR350" s="116"/>
      <c r="DS350" s="116"/>
      <c r="DT350" s="116"/>
      <c r="DU350" s="116"/>
      <c r="DV350" s="116"/>
      <c r="DW350" s="116"/>
      <c r="DX350" s="116"/>
      <c r="DY350" s="116"/>
      <c r="DZ350" s="116"/>
      <c r="EA350" s="116"/>
      <c r="EB350" s="116"/>
      <c r="EC350" s="116"/>
      <c r="ED350" s="116"/>
      <c r="EE350" s="116"/>
      <c r="EF350" s="116"/>
      <c r="EG350" s="116"/>
      <c r="EH350" s="116"/>
      <c r="EI350" s="116"/>
      <c r="EJ350" s="116"/>
      <c r="EK350" s="116"/>
      <c r="EL350" s="116"/>
      <c r="EM350" s="116"/>
      <c r="EN350" s="116"/>
      <c r="EO350" s="116"/>
      <c r="EP350" s="116"/>
      <c r="EQ350" s="116"/>
      <c r="ER350" s="116"/>
      <c r="ES350" s="116"/>
      <c r="ET350" s="116"/>
      <c r="EU350" s="116"/>
      <c r="EV350" s="116"/>
      <c r="EW350" s="116"/>
      <c r="EX350" s="116"/>
      <c r="EY350" s="116"/>
      <c r="EZ350" s="116"/>
      <c r="FA350" s="116"/>
      <c r="FB350" s="116"/>
      <c r="FC350" s="116"/>
      <c r="FD350" s="116"/>
      <c r="FE350" s="116"/>
      <c r="FF350" s="116"/>
      <c r="FG350" s="116"/>
      <c r="FH350" s="116"/>
      <c r="FI350" s="116"/>
      <c r="FJ350" s="116"/>
      <c r="FK350" s="116"/>
      <c r="FL350" s="116"/>
      <c r="FM350" s="116"/>
      <c r="FN350" s="116"/>
      <c r="FO350" s="116"/>
      <c r="FP350" s="116"/>
      <c r="FQ350" s="116"/>
      <c r="FR350" s="116"/>
      <c r="FS350" s="116"/>
      <c r="FT350" s="116"/>
      <c r="FU350" s="116"/>
      <c r="FV350" s="116"/>
      <c r="FW350" s="116"/>
      <c r="FX350" s="116"/>
      <c r="FY350" s="116"/>
      <c r="FZ350" s="116"/>
      <c r="GA350" s="116"/>
      <c r="GB350" s="116"/>
      <c r="GC350" s="116"/>
      <c r="GD350" s="116"/>
      <c r="GE350" s="116"/>
      <c r="GF350" s="116"/>
      <c r="GG350" s="116"/>
      <c r="GH350" s="116"/>
    </row>
    <row r="351" spans="2:190" ht="12.75">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116"/>
      <c r="AQ351" s="116"/>
      <c r="AR351" s="116"/>
      <c r="AS351" s="116"/>
      <c r="AT351" s="116"/>
      <c r="AU351" s="116"/>
      <c r="AV351" s="116"/>
      <c r="AW351" s="116"/>
      <c r="AX351" s="116"/>
      <c r="AY351" s="116"/>
      <c r="AZ351" s="116"/>
      <c r="BA351" s="116"/>
      <c r="BB351" s="116"/>
      <c r="BC351" s="116"/>
      <c r="BD351" s="116"/>
      <c r="BE351" s="116"/>
      <c r="BF351" s="116"/>
      <c r="BG351" s="116"/>
      <c r="BH351" s="116"/>
      <c r="BI351" s="116"/>
      <c r="BJ351" s="116"/>
      <c r="BK351" s="116"/>
      <c r="BL351" s="116"/>
      <c r="BM351" s="116"/>
      <c r="BN351" s="116"/>
      <c r="BO351" s="116"/>
      <c r="BP351" s="116"/>
      <c r="BQ351" s="116"/>
      <c r="BR351" s="116"/>
      <c r="BS351" s="116"/>
      <c r="BT351" s="116"/>
      <c r="BU351" s="116"/>
      <c r="BV351" s="116"/>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c r="DG351" s="116"/>
      <c r="DH351" s="116"/>
      <c r="DI351" s="116"/>
      <c r="DJ351" s="116"/>
      <c r="DK351" s="116"/>
      <c r="DL351" s="116"/>
      <c r="DM351" s="116"/>
      <c r="DN351" s="116"/>
      <c r="DO351" s="116"/>
      <c r="DP351" s="116"/>
      <c r="DQ351" s="116"/>
      <c r="DR351" s="116"/>
      <c r="DS351" s="116"/>
      <c r="DT351" s="116"/>
      <c r="DU351" s="116"/>
      <c r="DV351" s="116"/>
      <c r="DW351" s="116"/>
      <c r="DX351" s="116"/>
      <c r="DY351" s="116"/>
      <c r="DZ351" s="116"/>
      <c r="EA351" s="116"/>
      <c r="EB351" s="116"/>
      <c r="EC351" s="116"/>
      <c r="ED351" s="116"/>
      <c r="EE351" s="116"/>
      <c r="EF351" s="116"/>
      <c r="EG351" s="116"/>
      <c r="EH351" s="116"/>
      <c r="EI351" s="116"/>
      <c r="EJ351" s="116"/>
      <c r="EK351" s="116"/>
      <c r="EL351" s="116"/>
      <c r="EM351" s="116"/>
      <c r="EN351" s="116"/>
      <c r="EO351" s="116"/>
      <c r="EP351" s="116"/>
      <c r="EQ351" s="116"/>
      <c r="ER351" s="116"/>
      <c r="ES351" s="116"/>
      <c r="ET351" s="116"/>
      <c r="EU351" s="116"/>
      <c r="EV351" s="116"/>
      <c r="EW351" s="116"/>
      <c r="EX351" s="116"/>
      <c r="EY351" s="116"/>
      <c r="EZ351" s="116"/>
      <c r="FA351" s="116"/>
      <c r="FB351" s="116"/>
      <c r="FC351" s="116"/>
      <c r="FD351" s="116"/>
      <c r="FE351" s="116"/>
      <c r="FF351" s="116"/>
      <c r="FG351" s="116"/>
      <c r="FH351" s="116"/>
      <c r="FI351" s="116"/>
      <c r="FJ351" s="116"/>
      <c r="FK351" s="116"/>
      <c r="FL351" s="116"/>
      <c r="FM351" s="116"/>
      <c r="FN351" s="116"/>
      <c r="FO351" s="116"/>
      <c r="FP351" s="116"/>
      <c r="FQ351" s="116"/>
      <c r="FR351" s="116"/>
      <c r="FS351" s="116"/>
      <c r="FT351" s="116"/>
      <c r="FU351" s="116"/>
      <c r="FV351" s="116"/>
      <c r="FW351" s="116"/>
      <c r="FX351" s="116"/>
      <c r="FY351" s="116"/>
      <c r="FZ351" s="116"/>
      <c r="GA351" s="116"/>
      <c r="GB351" s="116"/>
      <c r="GC351" s="116"/>
      <c r="GD351" s="116"/>
      <c r="GE351" s="116"/>
      <c r="GF351" s="116"/>
      <c r="GG351" s="116"/>
      <c r="GH351" s="116"/>
    </row>
    <row r="352" spans="2:190" ht="12.75">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116"/>
      <c r="AQ352" s="116"/>
      <c r="AR352" s="116"/>
      <c r="AS352" s="116"/>
      <c r="AT352" s="116"/>
      <c r="AU352" s="116"/>
      <c r="AV352" s="116"/>
      <c r="AW352" s="116"/>
      <c r="AX352" s="116"/>
      <c r="AY352" s="116"/>
      <c r="AZ352" s="116"/>
      <c r="BA352" s="116"/>
      <c r="BB352" s="116"/>
      <c r="BC352" s="116"/>
      <c r="BD352" s="116"/>
      <c r="BE352" s="116"/>
      <c r="BF352" s="116"/>
      <c r="BG352" s="116"/>
      <c r="BH352" s="116"/>
      <c r="BI352" s="116"/>
      <c r="BJ352" s="116"/>
      <c r="BK352" s="116"/>
      <c r="BL352" s="116"/>
      <c r="BM352" s="116"/>
      <c r="BN352" s="116"/>
      <c r="BO352" s="116"/>
      <c r="BP352" s="116"/>
      <c r="BQ352" s="116"/>
      <c r="BR352" s="116"/>
      <c r="BS352" s="116"/>
      <c r="BT352" s="116"/>
      <c r="BU352" s="116"/>
      <c r="BV352" s="116"/>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c r="DG352" s="116"/>
      <c r="DH352" s="116"/>
      <c r="DI352" s="116"/>
      <c r="DJ352" s="116"/>
      <c r="DK352" s="116"/>
      <c r="DL352" s="116"/>
      <c r="DM352" s="116"/>
      <c r="DN352" s="116"/>
      <c r="DO352" s="116"/>
      <c r="DP352" s="116"/>
      <c r="DQ352" s="116"/>
      <c r="DR352" s="116"/>
      <c r="DS352" s="116"/>
      <c r="DT352" s="116"/>
      <c r="DU352" s="116"/>
      <c r="DV352" s="116"/>
      <c r="DW352" s="116"/>
      <c r="DX352" s="116"/>
      <c r="DY352" s="116"/>
      <c r="DZ352" s="116"/>
      <c r="EA352" s="116"/>
      <c r="EB352" s="116"/>
      <c r="EC352" s="116"/>
      <c r="ED352" s="116"/>
      <c r="EE352" s="116"/>
      <c r="EF352" s="116"/>
      <c r="EG352" s="116"/>
      <c r="EH352" s="116"/>
      <c r="EI352" s="116"/>
      <c r="EJ352" s="116"/>
      <c r="EK352" s="116"/>
      <c r="EL352" s="116"/>
      <c r="EM352" s="116"/>
      <c r="EN352" s="116"/>
      <c r="EO352" s="116"/>
      <c r="EP352" s="116"/>
      <c r="EQ352" s="116"/>
      <c r="ER352" s="116"/>
      <c r="ES352" s="116"/>
      <c r="ET352" s="116"/>
      <c r="EU352" s="116"/>
      <c r="EV352" s="116"/>
      <c r="EW352" s="116"/>
      <c r="EX352" s="116"/>
      <c r="EY352" s="116"/>
      <c r="EZ352" s="116"/>
      <c r="FA352" s="116"/>
      <c r="FB352" s="116"/>
      <c r="FC352" s="116"/>
      <c r="FD352" s="116"/>
      <c r="FE352" s="116"/>
      <c r="FF352" s="116"/>
      <c r="FG352" s="116"/>
      <c r="FH352" s="116"/>
      <c r="FI352" s="116"/>
      <c r="FJ352" s="116"/>
      <c r="FK352" s="116"/>
      <c r="FL352" s="116"/>
      <c r="FM352" s="116"/>
      <c r="FN352" s="116"/>
      <c r="FO352" s="116"/>
      <c r="FP352" s="116"/>
      <c r="FQ352" s="116"/>
      <c r="FR352" s="116"/>
      <c r="FS352" s="116"/>
      <c r="FT352" s="116"/>
      <c r="FU352" s="116"/>
      <c r="FV352" s="116"/>
      <c r="FW352" s="116"/>
      <c r="FX352" s="116"/>
      <c r="FY352" s="116"/>
      <c r="FZ352" s="116"/>
      <c r="GA352" s="116"/>
      <c r="GB352" s="116"/>
      <c r="GC352" s="116"/>
      <c r="GD352" s="116"/>
      <c r="GE352" s="116"/>
      <c r="GF352" s="116"/>
      <c r="GG352" s="116"/>
      <c r="GH352" s="116"/>
    </row>
    <row r="353" spans="2:190" ht="12.75">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6"/>
      <c r="AQ353" s="116"/>
      <c r="AR353" s="116"/>
      <c r="AS353" s="116"/>
      <c r="AT353" s="116"/>
      <c r="AU353" s="116"/>
      <c r="AV353" s="116"/>
      <c r="AW353" s="116"/>
      <c r="AX353" s="116"/>
      <c r="AY353" s="116"/>
      <c r="AZ353" s="116"/>
      <c r="BA353" s="116"/>
      <c r="BB353" s="116"/>
      <c r="BC353" s="116"/>
      <c r="BD353" s="116"/>
      <c r="BE353" s="116"/>
      <c r="BF353" s="116"/>
      <c r="BG353" s="116"/>
      <c r="BH353" s="116"/>
      <c r="BI353" s="116"/>
      <c r="BJ353" s="116"/>
      <c r="BK353" s="116"/>
      <c r="BL353" s="116"/>
      <c r="BM353" s="116"/>
      <c r="BN353" s="116"/>
      <c r="BO353" s="116"/>
      <c r="BP353" s="116"/>
      <c r="BQ353" s="116"/>
      <c r="BR353" s="116"/>
      <c r="BS353" s="116"/>
      <c r="BT353" s="116"/>
      <c r="BU353" s="116"/>
      <c r="BV353" s="116"/>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c r="DG353" s="116"/>
      <c r="DH353" s="116"/>
      <c r="DI353" s="116"/>
      <c r="DJ353" s="116"/>
      <c r="DK353" s="116"/>
      <c r="DL353" s="116"/>
      <c r="DM353" s="116"/>
      <c r="DN353" s="116"/>
      <c r="DO353" s="116"/>
      <c r="DP353" s="116"/>
      <c r="DQ353" s="116"/>
      <c r="DR353" s="116"/>
      <c r="DS353" s="116"/>
      <c r="DT353" s="116"/>
      <c r="DU353" s="116"/>
      <c r="DV353" s="116"/>
      <c r="DW353" s="116"/>
      <c r="DX353" s="116"/>
      <c r="DY353" s="116"/>
      <c r="DZ353" s="116"/>
      <c r="EA353" s="116"/>
      <c r="EB353" s="116"/>
      <c r="EC353" s="116"/>
      <c r="ED353" s="116"/>
      <c r="EE353" s="116"/>
      <c r="EF353" s="116"/>
      <c r="EG353" s="116"/>
      <c r="EH353" s="116"/>
      <c r="EI353" s="116"/>
      <c r="EJ353" s="116"/>
      <c r="EK353" s="116"/>
      <c r="EL353" s="116"/>
      <c r="EM353" s="116"/>
      <c r="EN353" s="116"/>
      <c r="EO353" s="116"/>
      <c r="EP353" s="116"/>
      <c r="EQ353" s="116"/>
      <c r="ER353" s="116"/>
      <c r="ES353" s="116"/>
      <c r="ET353" s="116"/>
      <c r="EU353" s="116"/>
      <c r="EV353" s="116"/>
      <c r="EW353" s="116"/>
      <c r="EX353" s="116"/>
      <c r="EY353" s="116"/>
      <c r="EZ353" s="116"/>
      <c r="FA353" s="116"/>
      <c r="FB353" s="116"/>
      <c r="FC353" s="116"/>
      <c r="FD353" s="116"/>
      <c r="FE353" s="116"/>
      <c r="FF353" s="116"/>
      <c r="FG353" s="116"/>
      <c r="FH353" s="116"/>
      <c r="FI353" s="116"/>
      <c r="FJ353" s="116"/>
      <c r="FK353" s="116"/>
      <c r="FL353" s="116"/>
      <c r="FM353" s="116"/>
      <c r="FN353" s="116"/>
      <c r="FO353" s="116"/>
      <c r="FP353" s="116"/>
      <c r="FQ353" s="116"/>
      <c r="FR353" s="116"/>
      <c r="FS353" s="116"/>
      <c r="FT353" s="116"/>
      <c r="FU353" s="116"/>
      <c r="FV353" s="116"/>
      <c r="FW353" s="116"/>
      <c r="FX353" s="116"/>
      <c r="FY353" s="116"/>
      <c r="FZ353" s="116"/>
      <c r="GA353" s="116"/>
      <c r="GB353" s="116"/>
      <c r="GC353" s="116"/>
      <c r="GD353" s="116"/>
      <c r="GE353" s="116"/>
      <c r="GF353" s="116"/>
      <c r="GG353" s="116"/>
      <c r="GH353" s="116"/>
    </row>
    <row r="354" spans="2:190" ht="12.75">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6"/>
      <c r="AL354" s="116"/>
      <c r="AM354" s="116"/>
      <c r="AN354" s="116"/>
      <c r="AO354" s="116"/>
      <c r="AP354" s="116"/>
      <c r="AQ354" s="116"/>
      <c r="AR354" s="116"/>
      <c r="AS354" s="116"/>
      <c r="AT354" s="116"/>
      <c r="AU354" s="116"/>
      <c r="AV354" s="116"/>
      <c r="AW354" s="116"/>
      <c r="AX354" s="116"/>
      <c r="AY354" s="116"/>
      <c r="AZ354" s="116"/>
      <c r="BA354" s="116"/>
      <c r="BB354" s="116"/>
      <c r="BC354" s="116"/>
      <c r="BD354" s="116"/>
      <c r="BE354" s="116"/>
      <c r="BF354" s="116"/>
      <c r="BG354" s="116"/>
      <c r="BH354" s="116"/>
      <c r="BI354" s="116"/>
      <c r="BJ354" s="116"/>
      <c r="BK354" s="116"/>
      <c r="BL354" s="116"/>
      <c r="BM354" s="116"/>
      <c r="BN354" s="116"/>
      <c r="BO354" s="116"/>
      <c r="BP354" s="116"/>
      <c r="BQ354" s="116"/>
      <c r="BR354" s="116"/>
      <c r="BS354" s="116"/>
      <c r="BT354" s="116"/>
      <c r="BU354" s="116"/>
      <c r="BV354" s="116"/>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c r="DG354" s="116"/>
      <c r="DH354" s="116"/>
      <c r="DI354" s="116"/>
      <c r="DJ354" s="116"/>
      <c r="DK354" s="116"/>
      <c r="DL354" s="116"/>
      <c r="DM354" s="116"/>
      <c r="DN354" s="116"/>
      <c r="DO354" s="116"/>
      <c r="DP354" s="116"/>
      <c r="DQ354" s="116"/>
      <c r="DR354" s="116"/>
      <c r="DS354" s="116"/>
      <c r="DT354" s="116"/>
      <c r="DU354" s="116"/>
      <c r="DV354" s="116"/>
      <c r="DW354" s="116"/>
      <c r="DX354" s="116"/>
      <c r="DY354" s="116"/>
      <c r="DZ354" s="116"/>
      <c r="EA354" s="116"/>
      <c r="EB354" s="116"/>
      <c r="EC354" s="116"/>
      <c r="ED354" s="116"/>
      <c r="EE354" s="116"/>
      <c r="EF354" s="116"/>
      <c r="EG354" s="116"/>
      <c r="EH354" s="116"/>
      <c r="EI354" s="116"/>
      <c r="EJ354" s="116"/>
      <c r="EK354" s="116"/>
      <c r="EL354" s="116"/>
      <c r="EM354" s="116"/>
      <c r="EN354" s="116"/>
      <c r="EO354" s="116"/>
      <c r="EP354" s="116"/>
      <c r="EQ354" s="116"/>
      <c r="ER354" s="116"/>
      <c r="ES354" s="116"/>
      <c r="ET354" s="116"/>
      <c r="EU354" s="116"/>
      <c r="EV354" s="116"/>
      <c r="EW354" s="116"/>
      <c r="EX354" s="116"/>
      <c r="EY354" s="116"/>
      <c r="EZ354" s="116"/>
      <c r="FA354" s="116"/>
      <c r="FB354" s="116"/>
      <c r="FC354" s="116"/>
      <c r="FD354" s="116"/>
      <c r="FE354" s="116"/>
      <c r="FF354" s="116"/>
      <c r="FG354" s="116"/>
      <c r="FH354" s="116"/>
      <c r="FI354" s="116"/>
      <c r="FJ354" s="116"/>
      <c r="FK354" s="116"/>
      <c r="FL354" s="116"/>
      <c r="FM354" s="116"/>
      <c r="FN354" s="116"/>
      <c r="FO354" s="116"/>
      <c r="FP354" s="116"/>
      <c r="FQ354" s="116"/>
      <c r="FR354" s="116"/>
      <c r="FS354" s="116"/>
      <c r="FT354" s="116"/>
      <c r="FU354" s="116"/>
      <c r="FV354" s="116"/>
      <c r="FW354" s="116"/>
      <c r="FX354" s="116"/>
      <c r="FY354" s="116"/>
      <c r="FZ354" s="116"/>
      <c r="GA354" s="116"/>
      <c r="GB354" s="116"/>
      <c r="GC354" s="116"/>
      <c r="GD354" s="116"/>
      <c r="GE354" s="116"/>
      <c r="GF354" s="116"/>
      <c r="GG354" s="116"/>
      <c r="GH354" s="116"/>
    </row>
    <row r="355" spans="2:190" ht="12.75">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6"/>
      <c r="AL355" s="116"/>
      <c r="AM355" s="116"/>
      <c r="AN355" s="116"/>
      <c r="AO355" s="116"/>
      <c r="AP355" s="116"/>
      <c r="AQ355" s="116"/>
      <c r="AR355" s="116"/>
      <c r="AS355" s="116"/>
      <c r="AT355" s="116"/>
      <c r="AU355" s="116"/>
      <c r="AV355" s="116"/>
      <c r="AW355" s="116"/>
      <c r="AX355" s="116"/>
      <c r="AY355" s="116"/>
      <c r="AZ355" s="116"/>
      <c r="BA355" s="116"/>
      <c r="BB355" s="116"/>
      <c r="BC355" s="116"/>
      <c r="BD355" s="116"/>
      <c r="BE355" s="116"/>
      <c r="BF355" s="116"/>
      <c r="BG355" s="116"/>
      <c r="BH355" s="116"/>
      <c r="BI355" s="116"/>
      <c r="BJ355" s="116"/>
      <c r="BK355" s="116"/>
      <c r="BL355" s="116"/>
      <c r="BM355" s="116"/>
      <c r="BN355" s="116"/>
      <c r="BO355" s="116"/>
      <c r="BP355" s="116"/>
      <c r="BQ355" s="116"/>
      <c r="BR355" s="116"/>
      <c r="BS355" s="116"/>
      <c r="BT355" s="116"/>
      <c r="BU355" s="116"/>
      <c r="BV355" s="116"/>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c r="DG355" s="116"/>
      <c r="DH355" s="116"/>
      <c r="DI355" s="116"/>
      <c r="DJ355" s="116"/>
      <c r="DK355" s="116"/>
      <c r="DL355" s="116"/>
      <c r="DM355" s="116"/>
      <c r="DN355" s="116"/>
      <c r="DO355" s="116"/>
      <c r="DP355" s="116"/>
      <c r="DQ355" s="116"/>
      <c r="DR355" s="116"/>
      <c r="DS355" s="116"/>
      <c r="DT355" s="116"/>
      <c r="DU355" s="116"/>
      <c r="DV355" s="116"/>
      <c r="DW355" s="116"/>
      <c r="DX355" s="116"/>
      <c r="DY355" s="116"/>
      <c r="DZ355" s="116"/>
      <c r="EA355" s="116"/>
      <c r="EB355" s="116"/>
      <c r="EC355" s="116"/>
      <c r="ED355" s="116"/>
      <c r="EE355" s="116"/>
      <c r="EF355" s="116"/>
      <c r="EG355" s="116"/>
      <c r="EH355" s="116"/>
      <c r="EI355" s="116"/>
      <c r="EJ355" s="116"/>
      <c r="EK355" s="116"/>
      <c r="EL355" s="116"/>
      <c r="EM355" s="116"/>
      <c r="EN355" s="116"/>
      <c r="EO355" s="116"/>
      <c r="EP355" s="116"/>
      <c r="EQ355" s="116"/>
      <c r="ER355" s="116"/>
      <c r="ES355" s="116"/>
      <c r="ET355" s="116"/>
      <c r="EU355" s="116"/>
      <c r="EV355" s="116"/>
      <c r="EW355" s="116"/>
      <c r="EX355" s="116"/>
      <c r="EY355" s="116"/>
      <c r="EZ355" s="116"/>
      <c r="FA355" s="116"/>
      <c r="FB355" s="116"/>
      <c r="FC355" s="116"/>
      <c r="FD355" s="116"/>
      <c r="FE355" s="116"/>
      <c r="FF355" s="116"/>
      <c r="FG355" s="116"/>
      <c r="FH355" s="116"/>
      <c r="FI355" s="116"/>
      <c r="FJ355" s="116"/>
      <c r="FK355" s="116"/>
      <c r="FL355" s="116"/>
      <c r="FM355" s="116"/>
      <c r="FN355" s="116"/>
      <c r="FO355" s="116"/>
      <c r="FP355" s="116"/>
      <c r="FQ355" s="116"/>
      <c r="FR355" s="116"/>
      <c r="FS355" s="116"/>
      <c r="FT355" s="116"/>
      <c r="FU355" s="116"/>
      <c r="FV355" s="116"/>
      <c r="FW355" s="116"/>
      <c r="FX355" s="116"/>
      <c r="FY355" s="116"/>
      <c r="FZ355" s="116"/>
      <c r="GA355" s="116"/>
      <c r="GB355" s="116"/>
      <c r="GC355" s="116"/>
      <c r="GD355" s="116"/>
      <c r="GE355" s="116"/>
      <c r="GF355" s="116"/>
      <c r="GG355" s="116"/>
      <c r="GH355" s="116"/>
    </row>
    <row r="356" spans="2:190" ht="12.75">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6"/>
      <c r="AL356" s="116"/>
      <c r="AM356" s="116"/>
      <c r="AN356" s="116"/>
      <c r="AO356" s="116"/>
      <c r="AP356" s="116"/>
      <c r="AQ356" s="116"/>
      <c r="AR356" s="116"/>
      <c r="AS356" s="116"/>
      <c r="AT356" s="116"/>
      <c r="AU356" s="116"/>
      <c r="AV356" s="116"/>
      <c r="AW356" s="116"/>
      <c r="AX356" s="116"/>
      <c r="AY356" s="116"/>
      <c r="AZ356" s="116"/>
      <c r="BA356" s="116"/>
      <c r="BB356" s="116"/>
      <c r="BC356" s="116"/>
      <c r="BD356" s="116"/>
      <c r="BE356" s="116"/>
      <c r="BF356" s="116"/>
      <c r="BG356" s="116"/>
      <c r="BH356" s="116"/>
      <c r="BI356" s="116"/>
      <c r="BJ356" s="116"/>
      <c r="BK356" s="116"/>
      <c r="BL356" s="116"/>
      <c r="BM356" s="116"/>
      <c r="BN356" s="116"/>
      <c r="BO356" s="116"/>
      <c r="BP356" s="116"/>
      <c r="BQ356" s="116"/>
      <c r="BR356" s="116"/>
      <c r="BS356" s="116"/>
      <c r="BT356" s="116"/>
      <c r="BU356" s="116"/>
      <c r="BV356" s="116"/>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c r="DG356" s="116"/>
      <c r="DH356" s="116"/>
      <c r="DI356" s="116"/>
      <c r="DJ356" s="116"/>
      <c r="DK356" s="116"/>
      <c r="DL356" s="116"/>
      <c r="DM356" s="116"/>
      <c r="DN356" s="116"/>
      <c r="DO356" s="116"/>
      <c r="DP356" s="116"/>
      <c r="DQ356" s="116"/>
      <c r="DR356" s="116"/>
      <c r="DS356" s="116"/>
      <c r="DT356" s="116"/>
      <c r="DU356" s="116"/>
      <c r="DV356" s="116"/>
      <c r="DW356" s="116"/>
      <c r="DX356" s="116"/>
      <c r="DY356" s="116"/>
      <c r="DZ356" s="116"/>
      <c r="EA356" s="116"/>
      <c r="EB356" s="116"/>
      <c r="EC356" s="116"/>
      <c r="ED356" s="116"/>
      <c r="EE356" s="116"/>
      <c r="EF356" s="116"/>
      <c r="EG356" s="116"/>
      <c r="EH356" s="116"/>
      <c r="EI356" s="116"/>
      <c r="EJ356" s="116"/>
      <c r="EK356" s="116"/>
      <c r="EL356" s="116"/>
      <c r="EM356" s="116"/>
      <c r="EN356" s="116"/>
      <c r="EO356" s="116"/>
      <c r="EP356" s="116"/>
      <c r="EQ356" s="116"/>
      <c r="ER356" s="116"/>
      <c r="ES356" s="116"/>
      <c r="ET356" s="116"/>
      <c r="EU356" s="116"/>
      <c r="EV356" s="116"/>
      <c r="EW356" s="116"/>
      <c r="EX356" s="116"/>
      <c r="EY356" s="116"/>
      <c r="EZ356" s="116"/>
      <c r="FA356" s="116"/>
      <c r="FB356" s="116"/>
      <c r="FC356" s="116"/>
      <c r="FD356" s="116"/>
      <c r="FE356" s="116"/>
      <c r="FF356" s="116"/>
      <c r="FG356" s="116"/>
      <c r="FH356" s="116"/>
      <c r="FI356" s="116"/>
      <c r="FJ356" s="116"/>
      <c r="FK356" s="116"/>
      <c r="FL356" s="116"/>
      <c r="FM356" s="116"/>
      <c r="FN356" s="116"/>
      <c r="FO356" s="116"/>
      <c r="FP356" s="116"/>
      <c r="FQ356" s="116"/>
      <c r="FR356" s="116"/>
      <c r="FS356" s="116"/>
      <c r="FT356" s="116"/>
      <c r="FU356" s="116"/>
      <c r="FV356" s="116"/>
      <c r="FW356" s="116"/>
      <c r="FX356" s="116"/>
      <c r="FY356" s="116"/>
      <c r="FZ356" s="116"/>
      <c r="GA356" s="116"/>
      <c r="GB356" s="116"/>
      <c r="GC356" s="116"/>
      <c r="GD356" s="116"/>
      <c r="GE356" s="116"/>
      <c r="GF356" s="116"/>
      <c r="GG356" s="116"/>
      <c r="GH356" s="116"/>
    </row>
    <row r="357" spans="2:190" ht="12.75">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6"/>
      <c r="AL357" s="116"/>
      <c r="AM357" s="116"/>
      <c r="AN357" s="116"/>
      <c r="AO357" s="116"/>
      <c r="AP357" s="116"/>
      <c r="AQ357" s="116"/>
      <c r="AR357" s="116"/>
      <c r="AS357" s="116"/>
      <c r="AT357" s="116"/>
      <c r="AU357" s="116"/>
      <c r="AV357" s="116"/>
      <c r="AW357" s="116"/>
      <c r="AX357" s="116"/>
      <c r="AY357" s="116"/>
      <c r="AZ357" s="116"/>
      <c r="BA357" s="116"/>
      <c r="BB357" s="116"/>
      <c r="BC357" s="116"/>
      <c r="BD357" s="116"/>
      <c r="BE357" s="116"/>
      <c r="BF357" s="116"/>
      <c r="BG357" s="116"/>
      <c r="BH357" s="116"/>
      <c r="BI357" s="116"/>
      <c r="BJ357" s="116"/>
      <c r="BK357" s="116"/>
      <c r="BL357" s="116"/>
      <c r="BM357" s="116"/>
      <c r="BN357" s="116"/>
      <c r="BO357" s="116"/>
      <c r="BP357" s="116"/>
      <c r="BQ357" s="116"/>
      <c r="BR357" s="116"/>
      <c r="BS357" s="116"/>
      <c r="BT357" s="116"/>
      <c r="BU357" s="116"/>
      <c r="BV357" s="116"/>
      <c r="BW357" s="116"/>
      <c r="BX357" s="116"/>
      <c r="BY357" s="116"/>
      <c r="BZ357" s="116"/>
      <c r="CA357" s="116"/>
      <c r="CB357" s="116"/>
      <c r="CC357" s="116"/>
      <c r="CD357" s="116"/>
      <c r="CE357" s="116"/>
      <c r="CF357" s="116"/>
      <c r="CG357" s="116"/>
      <c r="CH357" s="116"/>
      <c r="CI357" s="116"/>
      <c r="CJ357" s="116"/>
      <c r="CK357" s="116"/>
      <c r="CL357" s="116"/>
      <c r="CM357" s="116"/>
      <c r="CN357" s="116"/>
      <c r="CO357" s="116"/>
      <c r="CP357" s="116"/>
      <c r="CQ357" s="116"/>
      <c r="CR357" s="116"/>
      <c r="CS357" s="116"/>
      <c r="CT357" s="116"/>
      <c r="CU357" s="116"/>
      <c r="CV357" s="116"/>
      <c r="CW357" s="116"/>
      <c r="CX357" s="116"/>
      <c r="CY357" s="116"/>
      <c r="CZ357" s="116"/>
      <c r="DA357" s="116"/>
      <c r="DB357" s="116"/>
      <c r="DC357" s="116"/>
      <c r="DD357" s="116"/>
      <c r="DE357" s="116"/>
      <c r="DF357" s="116"/>
      <c r="DG357" s="116"/>
      <c r="DH357" s="116"/>
      <c r="DI357" s="116"/>
      <c r="DJ357" s="116"/>
      <c r="DK357" s="116"/>
      <c r="DL357" s="116"/>
      <c r="DM357" s="116"/>
      <c r="DN357" s="116"/>
      <c r="DO357" s="116"/>
      <c r="DP357" s="116"/>
      <c r="DQ357" s="116"/>
      <c r="DR357" s="116"/>
      <c r="DS357" s="116"/>
      <c r="DT357" s="116"/>
      <c r="DU357" s="116"/>
      <c r="DV357" s="116"/>
      <c r="DW357" s="116"/>
      <c r="DX357" s="116"/>
      <c r="DY357" s="116"/>
      <c r="DZ357" s="116"/>
      <c r="EA357" s="116"/>
      <c r="EB357" s="116"/>
      <c r="EC357" s="116"/>
      <c r="ED357" s="116"/>
      <c r="EE357" s="116"/>
      <c r="EF357" s="116"/>
      <c r="EG357" s="116"/>
      <c r="EH357" s="116"/>
      <c r="EI357" s="116"/>
      <c r="EJ357" s="116"/>
      <c r="EK357" s="116"/>
      <c r="EL357" s="116"/>
      <c r="EM357" s="116"/>
      <c r="EN357" s="116"/>
      <c r="EO357" s="116"/>
      <c r="EP357" s="116"/>
      <c r="EQ357" s="116"/>
      <c r="ER357" s="116"/>
      <c r="ES357" s="116"/>
      <c r="ET357" s="116"/>
      <c r="EU357" s="116"/>
      <c r="EV357" s="116"/>
      <c r="EW357" s="116"/>
      <c r="EX357" s="116"/>
      <c r="EY357" s="116"/>
      <c r="EZ357" s="116"/>
      <c r="FA357" s="116"/>
      <c r="FB357" s="116"/>
      <c r="FC357" s="116"/>
      <c r="FD357" s="116"/>
      <c r="FE357" s="116"/>
      <c r="FF357" s="116"/>
      <c r="FG357" s="116"/>
      <c r="FH357" s="116"/>
      <c r="FI357" s="116"/>
      <c r="FJ357" s="116"/>
      <c r="FK357" s="116"/>
      <c r="FL357" s="116"/>
      <c r="FM357" s="116"/>
      <c r="FN357" s="116"/>
      <c r="FO357" s="116"/>
      <c r="FP357" s="116"/>
      <c r="FQ357" s="116"/>
      <c r="FR357" s="116"/>
      <c r="FS357" s="116"/>
      <c r="FT357" s="116"/>
      <c r="FU357" s="116"/>
      <c r="FV357" s="116"/>
      <c r="FW357" s="116"/>
      <c r="FX357" s="116"/>
      <c r="FY357" s="116"/>
      <c r="FZ357" s="116"/>
      <c r="GA357" s="116"/>
      <c r="GB357" s="116"/>
      <c r="GC357" s="116"/>
      <c r="GD357" s="116"/>
      <c r="GE357" s="116"/>
      <c r="GF357" s="116"/>
      <c r="GG357" s="116"/>
      <c r="GH357" s="116"/>
    </row>
    <row r="358" spans="2:190" ht="12.75">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6"/>
      <c r="AQ358" s="116"/>
      <c r="AR358" s="116"/>
      <c r="AS358" s="116"/>
      <c r="AT358" s="116"/>
      <c r="AU358" s="116"/>
      <c r="AV358" s="116"/>
      <c r="AW358" s="116"/>
      <c r="AX358" s="116"/>
      <c r="AY358" s="116"/>
      <c r="AZ358" s="116"/>
      <c r="BA358" s="116"/>
      <c r="BB358" s="116"/>
      <c r="BC358" s="116"/>
      <c r="BD358" s="116"/>
      <c r="BE358" s="116"/>
      <c r="BF358" s="116"/>
      <c r="BG358" s="116"/>
      <c r="BH358" s="116"/>
      <c r="BI358" s="116"/>
      <c r="BJ358" s="116"/>
      <c r="BK358" s="116"/>
      <c r="BL358" s="116"/>
      <c r="BM358" s="116"/>
      <c r="BN358" s="116"/>
      <c r="BO358" s="116"/>
      <c r="BP358" s="116"/>
      <c r="BQ358" s="116"/>
      <c r="BR358" s="116"/>
      <c r="BS358" s="116"/>
      <c r="BT358" s="116"/>
      <c r="BU358" s="116"/>
      <c r="BV358" s="116"/>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c r="DG358" s="116"/>
      <c r="DH358" s="116"/>
      <c r="DI358" s="116"/>
      <c r="DJ358" s="116"/>
      <c r="DK358" s="116"/>
      <c r="DL358" s="116"/>
      <c r="DM358" s="116"/>
      <c r="DN358" s="116"/>
      <c r="DO358" s="116"/>
      <c r="DP358" s="116"/>
      <c r="DQ358" s="116"/>
      <c r="DR358" s="116"/>
      <c r="DS358" s="116"/>
      <c r="DT358" s="116"/>
      <c r="DU358" s="116"/>
      <c r="DV358" s="116"/>
      <c r="DW358" s="116"/>
      <c r="DX358" s="116"/>
      <c r="DY358" s="116"/>
      <c r="DZ358" s="116"/>
      <c r="EA358" s="116"/>
      <c r="EB358" s="116"/>
      <c r="EC358" s="116"/>
      <c r="ED358" s="116"/>
      <c r="EE358" s="116"/>
      <c r="EF358" s="116"/>
      <c r="EG358" s="116"/>
      <c r="EH358" s="116"/>
      <c r="EI358" s="116"/>
      <c r="EJ358" s="116"/>
      <c r="EK358" s="116"/>
      <c r="EL358" s="116"/>
      <c r="EM358" s="116"/>
      <c r="EN358" s="116"/>
      <c r="EO358" s="116"/>
      <c r="EP358" s="116"/>
      <c r="EQ358" s="116"/>
      <c r="ER358" s="116"/>
      <c r="ES358" s="116"/>
      <c r="ET358" s="116"/>
      <c r="EU358" s="116"/>
      <c r="EV358" s="116"/>
      <c r="EW358" s="116"/>
      <c r="EX358" s="116"/>
      <c r="EY358" s="116"/>
      <c r="EZ358" s="116"/>
      <c r="FA358" s="116"/>
      <c r="FB358" s="116"/>
      <c r="FC358" s="116"/>
      <c r="FD358" s="116"/>
      <c r="FE358" s="116"/>
      <c r="FF358" s="116"/>
      <c r="FG358" s="116"/>
      <c r="FH358" s="116"/>
      <c r="FI358" s="116"/>
      <c r="FJ358" s="116"/>
      <c r="FK358" s="116"/>
      <c r="FL358" s="116"/>
      <c r="FM358" s="116"/>
      <c r="FN358" s="116"/>
      <c r="FO358" s="116"/>
      <c r="FP358" s="116"/>
      <c r="FQ358" s="116"/>
      <c r="FR358" s="116"/>
      <c r="FS358" s="116"/>
      <c r="FT358" s="116"/>
      <c r="FU358" s="116"/>
      <c r="FV358" s="116"/>
      <c r="FW358" s="116"/>
      <c r="FX358" s="116"/>
      <c r="FY358" s="116"/>
      <c r="FZ358" s="116"/>
      <c r="GA358" s="116"/>
      <c r="GB358" s="116"/>
      <c r="GC358" s="116"/>
      <c r="GD358" s="116"/>
      <c r="GE358" s="116"/>
      <c r="GF358" s="116"/>
      <c r="GG358" s="116"/>
      <c r="GH358" s="116"/>
    </row>
    <row r="359" spans="2:190" ht="12.75">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6"/>
      <c r="AQ359" s="116"/>
      <c r="AR359" s="116"/>
      <c r="AS359" s="116"/>
      <c r="AT359" s="116"/>
      <c r="AU359" s="116"/>
      <c r="AV359" s="116"/>
      <c r="AW359" s="116"/>
      <c r="AX359" s="116"/>
      <c r="AY359" s="116"/>
      <c r="AZ359" s="116"/>
      <c r="BA359" s="116"/>
      <c r="BB359" s="116"/>
      <c r="BC359" s="116"/>
      <c r="BD359" s="116"/>
      <c r="BE359" s="116"/>
      <c r="BF359" s="116"/>
      <c r="BG359" s="116"/>
      <c r="BH359" s="116"/>
      <c r="BI359" s="116"/>
      <c r="BJ359" s="116"/>
      <c r="BK359" s="116"/>
      <c r="BL359" s="116"/>
      <c r="BM359" s="116"/>
      <c r="BN359" s="116"/>
      <c r="BO359" s="116"/>
      <c r="BP359" s="116"/>
      <c r="BQ359" s="116"/>
      <c r="BR359" s="116"/>
      <c r="BS359" s="116"/>
      <c r="BT359" s="116"/>
      <c r="BU359" s="116"/>
      <c r="BV359" s="116"/>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c r="DG359" s="116"/>
      <c r="DH359" s="116"/>
      <c r="DI359" s="116"/>
      <c r="DJ359" s="116"/>
      <c r="DK359" s="116"/>
      <c r="DL359" s="116"/>
      <c r="DM359" s="116"/>
      <c r="DN359" s="116"/>
      <c r="DO359" s="116"/>
      <c r="DP359" s="116"/>
      <c r="DQ359" s="116"/>
      <c r="DR359" s="116"/>
      <c r="DS359" s="116"/>
      <c r="DT359" s="116"/>
      <c r="DU359" s="116"/>
      <c r="DV359" s="116"/>
      <c r="DW359" s="116"/>
      <c r="DX359" s="116"/>
      <c r="DY359" s="116"/>
      <c r="DZ359" s="116"/>
      <c r="EA359" s="116"/>
      <c r="EB359" s="116"/>
      <c r="EC359" s="116"/>
      <c r="ED359" s="116"/>
      <c r="EE359" s="116"/>
      <c r="EF359" s="116"/>
      <c r="EG359" s="116"/>
      <c r="EH359" s="116"/>
      <c r="EI359" s="116"/>
      <c r="EJ359" s="116"/>
      <c r="EK359" s="116"/>
      <c r="EL359" s="116"/>
      <c r="EM359" s="116"/>
      <c r="EN359" s="116"/>
      <c r="EO359" s="116"/>
      <c r="EP359" s="116"/>
      <c r="EQ359" s="116"/>
      <c r="ER359" s="116"/>
      <c r="ES359" s="116"/>
      <c r="ET359" s="116"/>
      <c r="EU359" s="116"/>
      <c r="EV359" s="116"/>
      <c r="EW359" s="116"/>
      <c r="EX359" s="116"/>
      <c r="EY359" s="116"/>
      <c r="EZ359" s="116"/>
      <c r="FA359" s="116"/>
      <c r="FB359" s="116"/>
      <c r="FC359" s="116"/>
      <c r="FD359" s="116"/>
      <c r="FE359" s="116"/>
      <c r="FF359" s="116"/>
      <c r="FG359" s="116"/>
      <c r="FH359" s="116"/>
      <c r="FI359" s="116"/>
      <c r="FJ359" s="116"/>
      <c r="FK359" s="116"/>
      <c r="FL359" s="116"/>
      <c r="FM359" s="116"/>
      <c r="FN359" s="116"/>
      <c r="FO359" s="116"/>
      <c r="FP359" s="116"/>
      <c r="FQ359" s="116"/>
      <c r="FR359" s="116"/>
      <c r="FS359" s="116"/>
      <c r="FT359" s="116"/>
      <c r="FU359" s="116"/>
      <c r="FV359" s="116"/>
      <c r="FW359" s="116"/>
      <c r="FX359" s="116"/>
      <c r="FY359" s="116"/>
      <c r="FZ359" s="116"/>
      <c r="GA359" s="116"/>
      <c r="GB359" s="116"/>
      <c r="GC359" s="116"/>
      <c r="GD359" s="116"/>
      <c r="GE359" s="116"/>
      <c r="GF359" s="116"/>
      <c r="GG359" s="116"/>
      <c r="GH359" s="116"/>
    </row>
    <row r="360" spans="2:190" ht="12.75">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6"/>
      <c r="AL360" s="116"/>
      <c r="AM360" s="116"/>
      <c r="AN360" s="116"/>
      <c r="AO360" s="116"/>
      <c r="AP360" s="116"/>
      <c r="AQ360" s="116"/>
      <c r="AR360" s="116"/>
      <c r="AS360" s="116"/>
      <c r="AT360" s="116"/>
      <c r="AU360" s="116"/>
      <c r="AV360" s="116"/>
      <c r="AW360" s="116"/>
      <c r="AX360" s="116"/>
      <c r="AY360" s="116"/>
      <c r="AZ360" s="116"/>
      <c r="BA360" s="116"/>
      <c r="BB360" s="116"/>
      <c r="BC360" s="116"/>
      <c r="BD360" s="116"/>
      <c r="BE360" s="116"/>
      <c r="BF360" s="116"/>
      <c r="BG360" s="116"/>
      <c r="BH360" s="116"/>
      <c r="BI360" s="116"/>
      <c r="BJ360" s="116"/>
      <c r="BK360" s="116"/>
      <c r="BL360" s="116"/>
      <c r="BM360" s="116"/>
      <c r="BN360" s="116"/>
      <c r="BO360" s="116"/>
      <c r="BP360" s="116"/>
      <c r="BQ360" s="116"/>
      <c r="BR360" s="116"/>
      <c r="BS360" s="116"/>
      <c r="BT360" s="116"/>
      <c r="BU360" s="116"/>
      <c r="BV360" s="116"/>
      <c r="BW360" s="116"/>
      <c r="BX360" s="116"/>
      <c r="BY360" s="116"/>
      <c r="BZ360" s="116"/>
      <c r="CA360" s="116"/>
      <c r="CB360" s="116"/>
      <c r="CC360" s="116"/>
      <c r="CD360" s="116"/>
      <c r="CE360" s="116"/>
      <c r="CF360" s="116"/>
      <c r="CG360" s="116"/>
      <c r="CH360" s="116"/>
      <c r="CI360" s="116"/>
      <c r="CJ360" s="116"/>
      <c r="CK360" s="116"/>
      <c r="CL360" s="116"/>
      <c r="CM360" s="116"/>
      <c r="CN360" s="116"/>
      <c r="CO360" s="116"/>
      <c r="CP360" s="116"/>
      <c r="CQ360" s="116"/>
      <c r="CR360" s="116"/>
      <c r="CS360" s="116"/>
      <c r="CT360" s="116"/>
      <c r="CU360" s="116"/>
      <c r="CV360" s="116"/>
      <c r="CW360" s="116"/>
      <c r="CX360" s="116"/>
      <c r="CY360" s="116"/>
      <c r="CZ360" s="116"/>
      <c r="DA360" s="116"/>
      <c r="DB360" s="116"/>
      <c r="DC360" s="116"/>
      <c r="DD360" s="116"/>
      <c r="DE360" s="116"/>
      <c r="DF360" s="116"/>
      <c r="DG360" s="116"/>
      <c r="DH360" s="116"/>
      <c r="DI360" s="116"/>
      <c r="DJ360" s="116"/>
      <c r="DK360" s="116"/>
      <c r="DL360" s="116"/>
      <c r="DM360" s="116"/>
      <c r="DN360" s="116"/>
      <c r="DO360" s="116"/>
      <c r="DP360" s="116"/>
      <c r="DQ360" s="116"/>
      <c r="DR360" s="116"/>
      <c r="DS360" s="116"/>
      <c r="DT360" s="116"/>
      <c r="DU360" s="116"/>
      <c r="DV360" s="116"/>
      <c r="DW360" s="116"/>
      <c r="DX360" s="116"/>
      <c r="DY360" s="116"/>
      <c r="DZ360" s="116"/>
      <c r="EA360" s="116"/>
      <c r="EB360" s="116"/>
      <c r="EC360" s="116"/>
      <c r="ED360" s="116"/>
      <c r="EE360" s="116"/>
      <c r="EF360" s="116"/>
      <c r="EG360" s="116"/>
      <c r="EH360" s="116"/>
      <c r="EI360" s="116"/>
      <c r="EJ360" s="116"/>
      <c r="EK360" s="116"/>
      <c r="EL360" s="116"/>
      <c r="EM360" s="116"/>
      <c r="EN360" s="116"/>
      <c r="EO360" s="116"/>
      <c r="EP360" s="116"/>
      <c r="EQ360" s="116"/>
      <c r="ER360" s="116"/>
      <c r="ES360" s="116"/>
      <c r="ET360" s="116"/>
      <c r="EU360" s="116"/>
      <c r="EV360" s="116"/>
      <c r="EW360" s="116"/>
      <c r="EX360" s="116"/>
      <c r="EY360" s="116"/>
      <c r="EZ360" s="116"/>
      <c r="FA360" s="116"/>
      <c r="FB360" s="116"/>
      <c r="FC360" s="116"/>
      <c r="FD360" s="116"/>
      <c r="FE360" s="116"/>
      <c r="FF360" s="116"/>
      <c r="FG360" s="116"/>
      <c r="FH360" s="116"/>
      <c r="FI360" s="116"/>
      <c r="FJ360" s="116"/>
      <c r="FK360" s="116"/>
      <c r="FL360" s="116"/>
      <c r="FM360" s="116"/>
      <c r="FN360" s="116"/>
      <c r="FO360" s="116"/>
      <c r="FP360" s="116"/>
      <c r="FQ360" s="116"/>
      <c r="FR360" s="116"/>
      <c r="FS360" s="116"/>
      <c r="FT360" s="116"/>
      <c r="FU360" s="116"/>
      <c r="FV360" s="116"/>
      <c r="FW360" s="116"/>
      <c r="FX360" s="116"/>
      <c r="FY360" s="116"/>
      <c r="FZ360" s="116"/>
      <c r="GA360" s="116"/>
      <c r="GB360" s="116"/>
      <c r="GC360" s="116"/>
      <c r="GD360" s="116"/>
      <c r="GE360" s="116"/>
      <c r="GF360" s="116"/>
      <c r="GG360" s="116"/>
      <c r="GH360" s="116"/>
    </row>
    <row r="361" spans="2:190" ht="12.75">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6"/>
      <c r="AL361" s="116"/>
      <c r="AM361" s="116"/>
      <c r="AN361" s="116"/>
      <c r="AO361" s="116"/>
      <c r="AP361" s="116"/>
      <c r="AQ361" s="116"/>
      <c r="AR361" s="116"/>
      <c r="AS361" s="116"/>
      <c r="AT361" s="116"/>
      <c r="AU361" s="116"/>
      <c r="AV361" s="116"/>
      <c r="AW361" s="116"/>
      <c r="AX361" s="116"/>
      <c r="AY361" s="116"/>
      <c r="AZ361" s="116"/>
      <c r="BA361" s="116"/>
      <c r="BB361" s="116"/>
      <c r="BC361" s="116"/>
      <c r="BD361" s="116"/>
      <c r="BE361" s="116"/>
      <c r="BF361" s="116"/>
      <c r="BG361" s="116"/>
      <c r="BH361" s="116"/>
      <c r="BI361" s="116"/>
      <c r="BJ361" s="116"/>
      <c r="BK361" s="116"/>
      <c r="BL361" s="116"/>
      <c r="BM361" s="116"/>
      <c r="BN361" s="116"/>
      <c r="BO361" s="116"/>
      <c r="BP361" s="116"/>
      <c r="BQ361" s="116"/>
      <c r="BR361" s="116"/>
      <c r="BS361" s="116"/>
      <c r="BT361" s="116"/>
      <c r="BU361" s="116"/>
      <c r="BV361" s="116"/>
      <c r="BW361" s="116"/>
      <c r="BX361" s="116"/>
      <c r="BY361" s="116"/>
      <c r="BZ361" s="116"/>
      <c r="CA361" s="116"/>
      <c r="CB361" s="116"/>
      <c r="CC361" s="116"/>
      <c r="CD361" s="116"/>
      <c r="CE361" s="116"/>
      <c r="CF361" s="116"/>
      <c r="CG361" s="116"/>
      <c r="CH361" s="116"/>
      <c r="CI361" s="116"/>
      <c r="CJ361" s="116"/>
      <c r="CK361" s="116"/>
      <c r="CL361" s="116"/>
      <c r="CM361" s="116"/>
      <c r="CN361" s="116"/>
      <c r="CO361" s="116"/>
      <c r="CP361" s="116"/>
      <c r="CQ361" s="116"/>
      <c r="CR361" s="116"/>
      <c r="CS361" s="116"/>
      <c r="CT361" s="116"/>
      <c r="CU361" s="116"/>
      <c r="CV361" s="116"/>
      <c r="CW361" s="116"/>
      <c r="CX361" s="116"/>
      <c r="CY361" s="116"/>
      <c r="CZ361" s="116"/>
      <c r="DA361" s="116"/>
      <c r="DB361" s="116"/>
      <c r="DC361" s="116"/>
      <c r="DD361" s="116"/>
      <c r="DE361" s="116"/>
      <c r="DF361" s="116"/>
      <c r="DG361" s="116"/>
      <c r="DH361" s="116"/>
      <c r="DI361" s="116"/>
      <c r="DJ361" s="116"/>
      <c r="DK361" s="116"/>
      <c r="DL361" s="116"/>
      <c r="DM361" s="116"/>
      <c r="DN361" s="116"/>
      <c r="DO361" s="116"/>
      <c r="DP361" s="116"/>
      <c r="DQ361" s="116"/>
      <c r="DR361" s="116"/>
      <c r="DS361" s="116"/>
      <c r="DT361" s="116"/>
      <c r="DU361" s="116"/>
      <c r="DV361" s="116"/>
      <c r="DW361" s="116"/>
      <c r="DX361" s="116"/>
      <c r="DY361" s="116"/>
      <c r="DZ361" s="116"/>
      <c r="EA361" s="116"/>
      <c r="EB361" s="116"/>
      <c r="EC361" s="116"/>
      <c r="ED361" s="116"/>
      <c r="EE361" s="116"/>
      <c r="EF361" s="116"/>
      <c r="EG361" s="116"/>
      <c r="EH361" s="116"/>
      <c r="EI361" s="116"/>
      <c r="EJ361" s="116"/>
      <c r="EK361" s="116"/>
      <c r="EL361" s="116"/>
      <c r="EM361" s="116"/>
      <c r="EN361" s="116"/>
      <c r="EO361" s="116"/>
      <c r="EP361" s="116"/>
      <c r="EQ361" s="116"/>
      <c r="ER361" s="116"/>
      <c r="ES361" s="116"/>
      <c r="ET361" s="116"/>
      <c r="EU361" s="116"/>
      <c r="EV361" s="116"/>
      <c r="EW361" s="116"/>
      <c r="EX361" s="116"/>
      <c r="EY361" s="116"/>
      <c r="EZ361" s="116"/>
      <c r="FA361" s="116"/>
      <c r="FB361" s="116"/>
      <c r="FC361" s="116"/>
      <c r="FD361" s="116"/>
      <c r="FE361" s="116"/>
      <c r="FF361" s="116"/>
      <c r="FG361" s="116"/>
      <c r="FH361" s="116"/>
      <c r="FI361" s="116"/>
      <c r="FJ361" s="116"/>
      <c r="FK361" s="116"/>
      <c r="FL361" s="116"/>
      <c r="FM361" s="116"/>
      <c r="FN361" s="116"/>
      <c r="FO361" s="116"/>
      <c r="FP361" s="116"/>
      <c r="FQ361" s="116"/>
      <c r="FR361" s="116"/>
      <c r="FS361" s="116"/>
      <c r="FT361" s="116"/>
      <c r="FU361" s="116"/>
      <c r="FV361" s="116"/>
      <c r="FW361" s="116"/>
      <c r="FX361" s="116"/>
      <c r="FY361" s="116"/>
      <c r="FZ361" s="116"/>
      <c r="GA361" s="116"/>
      <c r="GB361" s="116"/>
      <c r="GC361" s="116"/>
      <c r="GD361" s="116"/>
      <c r="GE361" s="116"/>
      <c r="GF361" s="116"/>
      <c r="GG361" s="116"/>
      <c r="GH361" s="116"/>
    </row>
    <row r="362" spans="2:190" ht="12.75">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6"/>
      <c r="AL362" s="116"/>
      <c r="AM362" s="116"/>
      <c r="AN362" s="116"/>
      <c r="AO362" s="116"/>
      <c r="AP362" s="116"/>
      <c r="AQ362" s="116"/>
      <c r="AR362" s="116"/>
      <c r="AS362" s="116"/>
      <c r="AT362" s="116"/>
      <c r="AU362" s="116"/>
      <c r="AV362" s="116"/>
      <c r="AW362" s="116"/>
      <c r="AX362" s="116"/>
      <c r="AY362" s="116"/>
      <c r="AZ362" s="116"/>
      <c r="BA362" s="116"/>
      <c r="BB362" s="116"/>
      <c r="BC362" s="116"/>
      <c r="BD362" s="116"/>
      <c r="BE362" s="116"/>
      <c r="BF362" s="116"/>
      <c r="BG362" s="116"/>
      <c r="BH362" s="116"/>
      <c r="BI362" s="116"/>
      <c r="BJ362" s="116"/>
      <c r="BK362" s="116"/>
      <c r="BL362" s="116"/>
      <c r="BM362" s="116"/>
      <c r="BN362" s="116"/>
      <c r="BO362" s="116"/>
      <c r="BP362" s="116"/>
      <c r="BQ362" s="116"/>
      <c r="BR362" s="116"/>
      <c r="BS362" s="116"/>
      <c r="BT362" s="116"/>
      <c r="BU362" s="116"/>
      <c r="BV362" s="116"/>
      <c r="BW362" s="116"/>
      <c r="BX362" s="116"/>
      <c r="BY362" s="116"/>
      <c r="BZ362" s="116"/>
      <c r="CA362" s="116"/>
      <c r="CB362" s="116"/>
      <c r="CC362" s="116"/>
      <c r="CD362" s="116"/>
      <c r="CE362" s="116"/>
      <c r="CF362" s="116"/>
      <c r="CG362" s="116"/>
      <c r="CH362" s="116"/>
      <c r="CI362" s="116"/>
      <c r="CJ362" s="116"/>
      <c r="CK362" s="116"/>
      <c r="CL362" s="116"/>
      <c r="CM362" s="116"/>
      <c r="CN362" s="116"/>
      <c r="CO362" s="116"/>
      <c r="CP362" s="116"/>
      <c r="CQ362" s="116"/>
      <c r="CR362" s="116"/>
      <c r="CS362" s="116"/>
      <c r="CT362" s="116"/>
      <c r="CU362" s="116"/>
      <c r="CV362" s="116"/>
      <c r="CW362" s="116"/>
      <c r="CX362" s="116"/>
      <c r="CY362" s="116"/>
      <c r="CZ362" s="116"/>
      <c r="DA362" s="116"/>
      <c r="DB362" s="116"/>
      <c r="DC362" s="116"/>
      <c r="DD362" s="116"/>
      <c r="DE362" s="116"/>
      <c r="DF362" s="116"/>
      <c r="DG362" s="116"/>
      <c r="DH362" s="116"/>
      <c r="DI362" s="116"/>
      <c r="DJ362" s="116"/>
      <c r="DK362" s="116"/>
      <c r="DL362" s="116"/>
      <c r="DM362" s="116"/>
      <c r="DN362" s="116"/>
      <c r="DO362" s="116"/>
      <c r="DP362" s="116"/>
      <c r="DQ362" s="116"/>
      <c r="DR362" s="116"/>
      <c r="DS362" s="116"/>
      <c r="DT362" s="116"/>
      <c r="DU362" s="116"/>
      <c r="DV362" s="116"/>
      <c r="DW362" s="116"/>
      <c r="DX362" s="116"/>
      <c r="DY362" s="116"/>
      <c r="DZ362" s="116"/>
      <c r="EA362" s="116"/>
      <c r="EB362" s="116"/>
      <c r="EC362" s="116"/>
      <c r="ED362" s="116"/>
      <c r="EE362" s="116"/>
      <c r="EF362" s="116"/>
      <c r="EG362" s="116"/>
      <c r="EH362" s="116"/>
      <c r="EI362" s="116"/>
      <c r="EJ362" s="116"/>
      <c r="EK362" s="116"/>
      <c r="EL362" s="116"/>
      <c r="EM362" s="116"/>
      <c r="EN362" s="116"/>
      <c r="EO362" s="116"/>
      <c r="EP362" s="116"/>
      <c r="EQ362" s="116"/>
      <c r="ER362" s="116"/>
      <c r="ES362" s="116"/>
      <c r="ET362" s="116"/>
      <c r="EU362" s="116"/>
      <c r="EV362" s="116"/>
      <c r="EW362" s="116"/>
      <c r="EX362" s="116"/>
      <c r="EY362" s="116"/>
      <c r="EZ362" s="116"/>
      <c r="FA362" s="116"/>
      <c r="FB362" s="116"/>
      <c r="FC362" s="116"/>
      <c r="FD362" s="116"/>
      <c r="FE362" s="116"/>
      <c r="FF362" s="116"/>
      <c r="FG362" s="116"/>
      <c r="FH362" s="116"/>
      <c r="FI362" s="116"/>
      <c r="FJ362" s="116"/>
      <c r="FK362" s="116"/>
      <c r="FL362" s="116"/>
      <c r="FM362" s="116"/>
      <c r="FN362" s="116"/>
      <c r="FO362" s="116"/>
      <c r="FP362" s="116"/>
      <c r="FQ362" s="116"/>
      <c r="FR362" s="116"/>
      <c r="FS362" s="116"/>
      <c r="FT362" s="116"/>
      <c r="FU362" s="116"/>
      <c r="FV362" s="116"/>
      <c r="FW362" s="116"/>
      <c r="FX362" s="116"/>
      <c r="FY362" s="116"/>
      <c r="FZ362" s="116"/>
      <c r="GA362" s="116"/>
      <c r="GB362" s="116"/>
      <c r="GC362" s="116"/>
      <c r="GD362" s="116"/>
      <c r="GE362" s="116"/>
      <c r="GF362" s="116"/>
      <c r="GG362" s="116"/>
      <c r="GH362" s="116"/>
    </row>
    <row r="363" spans="2:190" ht="12.75">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6"/>
      <c r="AL363" s="116"/>
      <c r="AM363" s="116"/>
      <c r="AN363" s="116"/>
      <c r="AO363" s="116"/>
      <c r="AP363" s="116"/>
      <c r="AQ363" s="116"/>
      <c r="AR363" s="116"/>
      <c r="AS363" s="116"/>
      <c r="AT363" s="116"/>
      <c r="AU363" s="116"/>
      <c r="AV363" s="116"/>
      <c r="AW363" s="116"/>
      <c r="AX363" s="116"/>
      <c r="AY363" s="116"/>
      <c r="AZ363" s="116"/>
      <c r="BA363" s="116"/>
      <c r="BB363" s="116"/>
      <c r="BC363" s="116"/>
      <c r="BD363" s="116"/>
      <c r="BE363" s="116"/>
      <c r="BF363" s="116"/>
      <c r="BG363" s="116"/>
      <c r="BH363" s="116"/>
      <c r="BI363" s="116"/>
      <c r="BJ363" s="116"/>
      <c r="BK363" s="116"/>
      <c r="BL363" s="116"/>
      <c r="BM363" s="116"/>
      <c r="BN363" s="116"/>
      <c r="BO363" s="116"/>
      <c r="BP363" s="116"/>
      <c r="BQ363" s="116"/>
      <c r="BR363" s="116"/>
      <c r="BS363" s="116"/>
      <c r="BT363" s="116"/>
      <c r="BU363" s="116"/>
      <c r="BV363" s="116"/>
      <c r="BW363" s="116"/>
      <c r="BX363" s="116"/>
      <c r="BY363" s="116"/>
      <c r="BZ363" s="116"/>
      <c r="CA363" s="116"/>
      <c r="CB363" s="116"/>
      <c r="CC363" s="116"/>
      <c r="CD363" s="116"/>
      <c r="CE363" s="116"/>
      <c r="CF363" s="116"/>
      <c r="CG363" s="116"/>
      <c r="CH363" s="116"/>
      <c r="CI363" s="116"/>
      <c r="CJ363" s="116"/>
      <c r="CK363" s="116"/>
      <c r="CL363" s="116"/>
      <c r="CM363" s="116"/>
      <c r="CN363" s="116"/>
      <c r="CO363" s="116"/>
      <c r="CP363" s="116"/>
      <c r="CQ363" s="116"/>
      <c r="CR363" s="116"/>
      <c r="CS363" s="116"/>
      <c r="CT363" s="116"/>
      <c r="CU363" s="116"/>
      <c r="CV363" s="116"/>
      <c r="CW363" s="116"/>
      <c r="CX363" s="116"/>
      <c r="CY363" s="116"/>
      <c r="CZ363" s="116"/>
      <c r="DA363" s="116"/>
      <c r="DB363" s="116"/>
      <c r="DC363" s="116"/>
      <c r="DD363" s="116"/>
      <c r="DE363" s="116"/>
      <c r="DF363" s="116"/>
      <c r="DG363" s="116"/>
      <c r="DH363" s="116"/>
      <c r="DI363" s="116"/>
      <c r="DJ363" s="116"/>
      <c r="DK363" s="116"/>
      <c r="DL363" s="116"/>
      <c r="DM363" s="116"/>
      <c r="DN363" s="116"/>
      <c r="DO363" s="116"/>
      <c r="DP363" s="116"/>
      <c r="DQ363" s="116"/>
      <c r="DR363" s="116"/>
      <c r="DS363" s="116"/>
      <c r="DT363" s="116"/>
      <c r="DU363" s="116"/>
      <c r="DV363" s="116"/>
      <c r="DW363" s="116"/>
      <c r="DX363" s="116"/>
      <c r="DY363" s="116"/>
      <c r="DZ363" s="116"/>
      <c r="EA363" s="116"/>
      <c r="EB363" s="116"/>
      <c r="EC363" s="116"/>
      <c r="ED363" s="116"/>
      <c r="EE363" s="116"/>
      <c r="EF363" s="116"/>
      <c r="EG363" s="116"/>
      <c r="EH363" s="116"/>
      <c r="EI363" s="116"/>
      <c r="EJ363" s="116"/>
      <c r="EK363" s="116"/>
      <c r="EL363" s="116"/>
      <c r="EM363" s="116"/>
      <c r="EN363" s="116"/>
      <c r="EO363" s="116"/>
      <c r="EP363" s="116"/>
      <c r="EQ363" s="116"/>
      <c r="ER363" s="116"/>
      <c r="ES363" s="116"/>
      <c r="ET363" s="116"/>
      <c r="EU363" s="116"/>
      <c r="EV363" s="116"/>
      <c r="EW363" s="116"/>
      <c r="EX363" s="116"/>
      <c r="EY363" s="116"/>
      <c r="EZ363" s="116"/>
      <c r="FA363" s="116"/>
      <c r="FB363" s="116"/>
      <c r="FC363" s="116"/>
      <c r="FD363" s="116"/>
      <c r="FE363" s="116"/>
      <c r="FF363" s="116"/>
      <c r="FG363" s="116"/>
      <c r="FH363" s="116"/>
      <c r="FI363" s="116"/>
      <c r="FJ363" s="116"/>
      <c r="FK363" s="116"/>
      <c r="FL363" s="116"/>
      <c r="FM363" s="116"/>
      <c r="FN363" s="116"/>
      <c r="FO363" s="116"/>
      <c r="FP363" s="116"/>
      <c r="FQ363" s="116"/>
      <c r="FR363" s="116"/>
      <c r="FS363" s="116"/>
      <c r="FT363" s="116"/>
      <c r="FU363" s="116"/>
      <c r="FV363" s="116"/>
      <c r="FW363" s="116"/>
      <c r="FX363" s="116"/>
      <c r="FY363" s="116"/>
      <c r="FZ363" s="116"/>
      <c r="GA363" s="116"/>
      <c r="GB363" s="116"/>
      <c r="GC363" s="116"/>
      <c r="GD363" s="116"/>
      <c r="GE363" s="116"/>
      <c r="GF363" s="116"/>
      <c r="GG363" s="116"/>
      <c r="GH363" s="116"/>
    </row>
    <row r="364" spans="2:190" ht="12.75">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6"/>
      <c r="AL364" s="116"/>
      <c r="AM364" s="116"/>
      <c r="AN364" s="116"/>
      <c r="AO364" s="116"/>
      <c r="AP364" s="116"/>
      <c r="AQ364" s="116"/>
      <c r="AR364" s="116"/>
      <c r="AS364" s="116"/>
      <c r="AT364" s="116"/>
      <c r="AU364" s="116"/>
      <c r="AV364" s="116"/>
      <c r="AW364" s="116"/>
      <c r="AX364" s="116"/>
      <c r="AY364" s="116"/>
      <c r="AZ364" s="116"/>
      <c r="BA364" s="116"/>
      <c r="BB364" s="116"/>
      <c r="BC364" s="116"/>
      <c r="BD364" s="116"/>
      <c r="BE364" s="116"/>
      <c r="BF364" s="116"/>
      <c r="BG364" s="116"/>
      <c r="BH364" s="116"/>
      <c r="BI364" s="116"/>
      <c r="BJ364" s="116"/>
      <c r="BK364" s="116"/>
      <c r="BL364" s="116"/>
      <c r="BM364" s="116"/>
      <c r="BN364" s="116"/>
      <c r="BO364" s="116"/>
      <c r="BP364" s="116"/>
      <c r="BQ364" s="116"/>
      <c r="BR364" s="116"/>
      <c r="BS364" s="116"/>
      <c r="BT364" s="116"/>
      <c r="BU364" s="116"/>
      <c r="BV364" s="116"/>
      <c r="BW364" s="116"/>
      <c r="BX364" s="116"/>
      <c r="BY364" s="116"/>
      <c r="BZ364" s="116"/>
      <c r="CA364" s="116"/>
      <c r="CB364" s="116"/>
      <c r="CC364" s="116"/>
      <c r="CD364" s="116"/>
      <c r="CE364" s="116"/>
      <c r="CF364" s="116"/>
      <c r="CG364" s="116"/>
      <c r="CH364" s="116"/>
      <c r="CI364" s="116"/>
      <c r="CJ364" s="116"/>
      <c r="CK364" s="116"/>
      <c r="CL364" s="116"/>
      <c r="CM364" s="116"/>
      <c r="CN364" s="116"/>
      <c r="CO364" s="116"/>
      <c r="CP364" s="116"/>
      <c r="CQ364" s="116"/>
      <c r="CR364" s="116"/>
      <c r="CS364" s="116"/>
      <c r="CT364" s="116"/>
      <c r="CU364" s="116"/>
      <c r="CV364" s="116"/>
      <c r="CW364" s="116"/>
      <c r="CX364" s="116"/>
      <c r="CY364" s="116"/>
      <c r="CZ364" s="116"/>
      <c r="DA364" s="116"/>
      <c r="DB364" s="116"/>
      <c r="DC364" s="116"/>
      <c r="DD364" s="116"/>
      <c r="DE364" s="116"/>
      <c r="DF364" s="116"/>
      <c r="DG364" s="116"/>
      <c r="DH364" s="116"/>
      <c r="DI364" s="116"/>
      <c r="DJ364" s="116"/>
      <c r="DK364" s="116"/>
      <c r="DL364" s="116"/>
      <c r="DM364" s="116"/>
      <c r="DN364" s="116"/>
      <c r="DO364" s="116"/>
      <c r="DP364" s="116"/>
      <c r="DQ364" s="116"/>
      <c r="DR364" s="116"/>
      <c r="DS364" s="116"/>
      <c r="DT364" s="116"/>
      <c r="DU364" s="116"/>
      <c r="DV364" s="116"/>
      <c r="DW364" s="116"/>
      <c r="DX364" s="116"/>
      <c r="DY364" s="116"/>
      <c r="DZ364" s="116"/>
      <c r="EA364" s="116"/>
      <c r="EB364" s="116"/>
      <c r="EC364" s="116"/>
      <c r="ED364" s="116"/>
      <c r="EE364" s="116"/>
      <c r="EF364" s="116"/>
      <c r="EG364" s="116"/>
      <c r="EH364" s="116"/>
      <c r="EI364" s="116"/>
      <c r="EJ364" s="116"/>
      <c r="EK364" s="116"/>
      <c r="EL364" s="116"/>
      <c r="EM364" s="116"/>
      <c r="EN364" s="116"/>
      <c r="EO364" s="116"/>
      <c r="EP364" s="116"/>
      <c r="EQ364" s="116"/>
      <c r="ER364" s="116"/>
      <c r="ES364" s="116"/>
      <c r="ET364" s="116"/>
      <c r="EU364" s="116"/>
      <c r="EV364" s="116"/>
      <c r="EW364" s="116"/>
      <c r="EX364" s="116"/>
      <c r="EY364" s="116"/>
      <c r="EZ364" s="116"/>
      <c r="FA364" s="116"/>
      <c r="FB364" s="116"/>
      <c r="FC364" s="116"/>
      <c r="FD364" s="116"/>
      <c r="FE364" s="116"/>
      <c r="FF364" s="116"/>
      <c r="FG364" s="116"/>
      <c r="FH364" s="116"/>
      <c r="FI364" s="116"/>
      <c r="FJ364" s="116"/>
      <c r="FK364" s="116"/>
      <c r="FL364" s="116"/>
      <c r="FM364" s="116"/>
      <c r="FN364" s="116"/>
      <c r="FO364" s="116"/>
      <c r="FP364" s="116"/>
      <c r="FQ364" s="116"/>
      <c r="FR364" s="116"/>
      <c r="FS364" s="116"/>
      <c r="FT364" s="116"/>
      <c r="FU364" s="116"/>
      <c r="FV364" s="116"/>
      <c r="FW364" s="116"/>
      <c r="FX364" s="116"/>
      <c r="FY364" s="116"/>
      <c r="FZ364" s="116"/>
      <c r="GA364" s="116"/>
      <c r="GB364" s="116"/>
      <c r="GC364" s="116"/>
      <c r="GD364" s="116"/>
      <c r="GE364" s="116"/>
      <c r="GF364" s="116"/>
      <c r="GG364" s="116"/>
      <c r="GH364" s="116"/>
    </row>
    <row r="365" spans="2:190" ht="12.75">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16"/>
      <c r="BG365" s="116"/>
      <c r="BH365" s="116"/>
      <c r="BI365" s="116"/>
      <c r="BJ365" s="116"/>
      <c r="BK365" s="116"/>
      <c r="BL365" s="116"/>
      <c r="BM365" s="116"/>
      <c r="BN365" s="116"/>
      <c r="BO365" s="116"/>
      <c r="BP365" s="116"/>
      <c r="BQ365" s="116"/>
      <c r="BR365" s="116"/>
      <c r="BS365" s="116"/>
      <c r="BT365" s="116"/>
      <c r="BU365" s="116"/>
      <c r="BV365" s="116"/>
      <c r="BW365" s="116"/>
      <c r="BX365" s="116"/>
      <c r="BY365" s="116"/>
      <c r="BZ365" s="116"/>
      <c r="CA365" s="116"/>
      <c r="CB365" s="116"/>
      <c r="CC365" s="116"/>
      <c r="CD365" s="116"/>
      <c r="CE365" s="116"/>
      <c r="CF365" s="116"/>
      <c r="CG365" s="116"/>
      <c r="CH365" s="116"/>
      <c r="CI365" s="116"/>
      <c r="CJ365" s="116"/>
      <c r="CK365" s="116"/>
      <c r="CL365" s="116"/>
      <c r="CM365" s="116"/>
      <c r="CN365" s="116"/>
      <c r="CO365" s="116"/>
      <c r="CP365" s="116"/>
      <c r="CQ365" s="116"/>
      <c r="CR365" s="116"/>
      <c r="CS365" s="116"/>
      <c r="CT365" s="116"/>
      <c r="CU365" s="116"/>
      <c r="CV365" s="116"/>
      <c r="CW365" s="116"/>
      <c r="CX365" s="116"/>
      <c r="CY365" s="116"/>
      <c r="CZ365" s="116"/>
      <c r="DA365" s="116"/>
      <c r="DB365" s="116"/>
      <c r="DC365" s="116"/>
      <c r="DD365" s="116"/>
      <c r="DE365" s="116"/>
      <c r="DF365" s="116"/>
      <c r="DG365" s="116"/>
      <c r="DH365" s="116"/>
      <c r="DI365" s="116"/>
      <c r="DJ365" s="116"/>
      <c r="DK365" s="116"/>
      <c r="DL365" s="116"/>
      <c r="DM365" s="116"/>
      <c r="DN365" s="116"/>
      <c r="DO365" s="116"/>
      <c r="DP365" s="116"/>
      <c r="DQ365" s="116"/>
      <c r="DR365" s="116"/>
      <c r="DS365" s="116"/>
      <c r="DT365" s="116"/>
      <c r="DU365" s="116"/>
      <c r="DV365" s="116"/>
      <c r="DW365" s="116"/>
      <c r="DX365" s="116"/>
      <c r="DY365" s="116"/>
      <c r="DZ365" s="116"/>
      <c r="EA365" s="116"/>
      <c r="EB365" s="116"/>
      <c r="EC365" s="116"/>
      <c r="ED365" s="116"/>
      <c r="EE365" s="116"/>
      <c r="EF365" s="116"/>
      <c r="EG365" s="116"/>
      <c r="EH365" s="116"/>
      <c r="EI365" s="116"/>
      <c r="EJ365" s="116"/>
      <c r="EK365" s="116"/>
      <c r="EL365" s="116"/>
      <c r="EM365" s="116"/>
      <c r="EN365" s="116"/>
      <c r="EO365" s="116"/>
      <c r="EP365" s="116"/>
      <c r="EQ365" s="116"/>
      <c r="ER365" s="116"/>
      <c r="ES365" s="116"/>
      <c r="ET365" s="116"/>
      <c r="EU365" s="116"/>
      <c r="EV365" s="116"/>
      <c r="EW365" s="116"/>
      <c r="EX365" s="116"/>
      <c r="EY365" s="116"/>
      <c r="EZ365" s="116"/>
      <c r="FA365" s="116"/>
      <c r="FB365" s="116"/>
      <c r="FC365" s="116"/>
      <c r="FD365" s="116"/>
      <c r="FE365" s="116"/>
      <c r="FF365" s="116"/>
      <c r="FG365" s="116"/>
      <c r="FH365" s="116"/>
      <c r="FI365" s="116"/>
      <c r="FJ365" s="116"/>
      <c r="FK365" s="116"/>
      <c r="FL365" s="116"/>
      <c r="FM365" s="116"/>
      <c r="FN365" s="116"/>
      <c r="FO365" s="116"/>
      <c r="FP365" s="116"/>
      <c r="FQ365" s="116"/>
      <c r="FR365" s="116"/>
      <c r="FS365" s="116"/>
      <c r="FT365" s="116"/>
      <c r="FU365" s="116"/>
      <c r="FV365" s="116"/>
      <c r="FW365" s="116"/>
      <c r="FX365" s="116"/>
      <c r="FY365" s="116"/>
      <c r="FZ365" s="116"/>
      <c r="GA365" s="116"/>
      <c r="GB365" s="116"/>
      <c r="GC365" s="116"/>
      <c r="GD365" s="116"/>
      <c r="GE365" s="116"/>
      <c r="GF365" s="116"/>
      <c r="GG365" s="116"/>
      <c r="GH365" s="116"/>
    </row>
    <row r="366" spans="2:190" ht="12.75">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16"/>
      <c r="BG366" s="116"/>
      <c r="BH366" s="116"/>
      <c r="BI366" s="116"/>
      <c r="BJ366" s="116"/>
      <c r="BK366" s="116"/>
      <c r="BL366" s="116"/>
      <c r="BM366" s="116"/>
      <c r="BN366" s="116"/>
      <c r="BO366" s="116"/>
      <c r="BP366" s="116"/>
      <c r="BQ366" s="116"/>
      <c r="BR366" s="116"/>
      <c r="BS366" s="116"/>
      <c r="BT366" s="116"/>
      <c r="BU366" s="116"/>
      <c r="BV366" s="116"/>
      <c r="BW366" s="116"/>
      <c r="BX366" s="116"/>
      <c r="BY366" s="116"/>
      <c r="BZ366" s="116"/>
      <c r="CA366" s="116"/>
      <c r="CB366" s="116"/>
      <c r="CC366" s="116"/>
      <c r="CD366" s="116"/>
      <c r="CE366" s="116"/>
      <c r="CF366" s="116"/>
      <c r="CG366" s="116"/>
      <c r="CH366" s="116"/>
      <c r="CI366" s="116"/>
      <c r="CJ366" s="116"/>
      <c r="CK366" s="116"/>
      <c r="CL366" s="116"/>
      <c r="CM366" s="116"/>
      <c r="CN366" s="116"/>
      <c r="CO366" s="116"/>
      <c r="CP366" s="116"/>
      <c r="CQ366" s="116"/>
      <c r="CR366" s="116"/>
      <c r="CS366" s="116"/>
      <c r="CT366" s="116"/>
      <c r="CU366" s="116"/>
      <c r="CV366" s="116"/>
      <c r="CW366" s="116"/>
      <c r="CX366" s="116"/>
      <c r="CY366" s="116"/>
      <c r="CZ366" s="116"/>
      <c r="DA366" s="116"/>
      <c r="DB366" s="116"/>
      <c r="DC366" s="116"/>
      <c r="DD366" s="116"/>
      <c r="DE366" s="116"/>
      <c r="DF366" s="116"/>
      <c r="DG366" s="116"/>
      <c r="DH366" s="116"/>
      <c r="DI366" s="116"/>
      <c r="DJ366" s="116"/>
      <c r="DK366" s="116"/>
      <c r="DL366" s="116"/>
      <c r="DM366" s="116"/>
      <c r="DN366" s="116"/>
      <c r="DO366" s="116"/>
      <c r="DP366" s="116"/>
      <c r="DQ366" s="116"/>
      <c r="DR366" s="116"/>
      <c r="DS366" s="116"/>
      <c r="DT366" s="116"/>
      <c r="DU366" s="116"/>
      <c r="DV366" s="116"/>
      <c r="DW366" s="116"/>
      <c r="DX366" s="116"/>
      <c r="DY366" s="116"/>
      <c r="DZ366" s="116"/>
      <c r="EA366" s="116"/>
      <c r="EB366" s="116"/>
      <c r="EC366" s="116"/>
      <c r="ED366" s="116"/>
      <c r="EE366" s="116"/>
      <c r="EF366" s="116"/>
      <c r="EG366" s="116"/>
      <c r="EH366" s="116"/>
      <c r="EI366" s="116"/>
      <c r="EJ366" s="116"/>
      <c r="EK366" s="116"/>
      <c r="EL366" s="116"/>
      <c r="EM366" s="116"/>
      <c r="EN366" s="116"/>
      <c r="EO366" s="116"/>
      <c r="EP366" s="116"/>
      <c r="EQ366" s="116"/>
      <c r="ER366" s="116"/>
      <c r="ES366" s="116"/>
      <c r="ET366" s="116"/>
      <c r="EU366" s="116"/>
      <c r="EV366" s="116"/>
      <c r="EW366" s="116"/>
      <c r="EX366" s="116"/>
      <c r="EY366" s="116"/>
      <c r="EZ366" s="116"/>
      <c r="FA366" s="116"/>
      <c r="FB366" s="116"/>
      <c r="FC366" s="116"/>
      <c r="FD366" s="116"/>
      <c r="FE366" s="116"/>
      <c r="FF366" s="116"/>
      <c r="FG366" s="116"/>
      <c r="FH366" s="116"/>
      <c r="FI366" s="116"/>
      <c r="FJ366" s="116"/>
      <c r="FK366" s="116"/>
      <c r="FL366" s="116"/>
      <c r="FM366" s="116"/>
      <c r="FN366" s="116"/>
      <c r="FO366" s="116"/>
      <c r="FP366" s="116"/>
      <c r="FQ366" s="116"/>
      <c r="FR366" s="116"/>
      <c r="FS366" s="116"/>
      <c r="FT366" s="116"/>
      <c r="FU366" s="116"/>
      <c r="FV366" s="116"/>
      <c r="FW366" s="116"/>
      <c r="FX366" s="116"/>
      <c r="FY366" s="116"/>
      <c r="FZ366" s="116"/>
      <c r="GA366" s="116"/>
      <c r="GB366" s="116"/>
      <c r="GC366" s="116"/>
      <c r="GD366" s="116"/>
      <c r="GE366" s="116"/>
      <c r="GF366" s="116"/>
      <c r="GG366" s="116"/>
      <c r="GH366" s="116"/>
    </row>
    <row r="367" spans="2:190" ht="12.75">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16"/>
      <c r="BG367" s="116"/>
      <c r="BH367" s="116"/>
      <c r="BI367" s="116"/>
      <c r="BJ367" s="116"/>
      <c r="BK367" s="116"/>
      <c r="BL367" s="116"/>
      <c r="BM367" s="116"/>
      <c r="BN367" s="116"/>
      <c r="BO367" s="116"/>
      <c r="BP367" s="116"/>
      <c r="BQ367" s="116"/>
      <c r="BR367" s="116"/>
      <c r="BS367" s="116"/>
      <c r="BT367" s="116"/>
      <c r="BU367" s="116"/>
      <c r="BV367" s="116"/>
      <c r="BW367" s="116"/>
      <c r="BX367" s="116"/>
      <c r="BY367" s="116"/>
      <c r="BZ367" s="116"/>
      <c r="CA367" s="116"/>
      <c r="CB367" s="116"/>
      <c r="CC367" s="116"/>
      <c r="CD367" s="116"/>
      <c r="CE367" s="116"/>
      <c r="CF367" s="116"/>
      <c r="CG367" s="116"/>
      <c r="CH367" s="116"/>
      <c r="CI367" s="116"/>
      <c r="CJ367" s="116"/>
      <c r="CK367" s="116"/>
      <c r="CL367" s="116"/>
      <c r="CM367" s="116"/>
      <c r="CN367" s="116"/>
      <c r="CO367" s="116"/>
      <c r="CP367" s="116"/>
      <c r="CQ367" s="116"/>
      <c r="CR367" s="116"/>
      <c r="CS367" s="116"/>
      <c r="CT367" s="116"/>
      <c r="CU367" s="116"/>
      <c r="CV367" s="116"/>
      <c r="CW367" s="116"/>
      <c r="CX367" s="116"/>
      <c r="CY367" s="116"/>
      <c r="CZ367" s="116"/>
      <c r="DA367" s="116"/>
      <c r="DB367" s="116"/>
      <c r="DC367" s="116"/>
      <c r="DD367" s="116"/>
      <c r="DE367" s="116"/>
      <c r="DF367" s="116"/>
      <c r="DG367" s="116"/>
      <c r="DH367" s="116"/>
      <c r="DI367" s="116"/>
      <c r="DJ367" s="116"/>
      <c r="DK367" s="116"/>
      <c r="DL367" s="116"/>
      <c r="DM367" s="116"/>
      <c r="DN367" s="116"/>
      <c r="DO367" s="116"/>
      <c r="DP367" s="116"/>
      <c r="DQ367" s="116"/>
      <c r="DR367" s="116"/>
      <c r="DS367" s="116"/>
      <c r="DT367" s="116"/>
      <c r="DU367" s="116"/>
      <c r="DV367" s="116"/>
      <c r="DW367" s="116"/>
      <c r="DX367" s="116"/>
      <c r="DY367" s="116"/>
      <c r="DZ367" s="116"/>
      <c r="EA367" s="116"/>
      <c r="EB367" s="116"/>
      <c r="EC367" s="116"/>
      <c r="ED367" s="116"/>
      <c r="EE367" s="116"/>
      <c r="EF367" s="116"/>
      <c r="EG367" s="116"/>
      <c r="EH367" s="116"/>
      <c r="EI367" s="116"/>
      <c r="EJ367" s="116"/>
      <c r="EK367" s="116"/>
      <c r="EL367" s="116"/>
      <c r="EM367" s="116"/>
      <c r="EN367" s="116"/>
      <c r="EO367" s="116"/>
      <c r="EP367" s="116"/>
      <c r="EQ367" s="116"/>
      <c r="ER367" s="116"/>
      <c r="ES367" s="116"/>
      <c r="ET367" s="116"/>
      <c r="EU367" s="116"/>
      <c r="EV367" s="116"/>
      <c r="EW367" s="116"/>
      <c r="EX367" s="116"/>
      <c r="EY367" s="116"/>
      <c r="EZ367" s="116"/>
      <c r="FA367" s="116"/>
      <c r="FB367" s="116"/>
      <c r="FC367" s="116"/>
      <c r="FD367" s="116"/>
      <c r="FE367" s="116"/>
      <c r="FF367" s="116"/>
      <c r="FG367" s="116"/>
      <c r="FH367" s="116"/>
      <c r="FI367" s="116"/>
      <c r="FJ367" s="116"/>
      <c r="FK367" s="116"/>
      <c r="FL367" s="116"/>
      <c r="FM367" s="116"/>
      <c r="FN367" s="116"/>
      <c r="FO367" s="116"/>
      <c r="FP367" s="116"/>
      <c r="FQ367" s="116"/>
      <c r="FR367" s="116"/>
      <c r="FS367" s="116"/>
      <c r="FT367" s="116"/>
      <c r="FU367" s="116"/>
      <c r="FV367" s="116"/>
      <c r="FW367" s="116"/>
      <c r="FX367" s="116"/>
      <c r="FY367" s="116"/>
      <c r="FZ367" s="116"/>
      <c r="GA367" s="116"/>
      <c r="GB367" s="116"/>
      <c r="GC367" s="116"/>
      <c r="GD367" s="116"/>
      <c r="GE367" s="116"/>
      <c r="GF367" s="116"/>
      <c r="GG367" s="116"/>
      <c r="GH367" s="116"/>
    </row>
    <row r="368" spans="2:190" ht="12.75">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16"/>
      <c r="AY368" s="116"/>
      <c r="AZ368" s="116"/>
      <c r="BA368" s="116"/>
      <c r="BB368" s="116"/>
      <c r="BC368" s="116"/>
      <c r="BD368" s="116"/>
      <c r="BE368" s="116"/>
      <c r="BF368" s="116"/>
      <c r="BG368" s="116"/>
      <c r="BH368" s="116"/>
      <c r="BI368" s="116"/>
      <c r="BJ368" s="116"/>
      <c r="BK368" s="116"/>
      <c r="BL368" s="116"/>
      <c r="BM368" s="116"/>
      <c r="BN368" s="116"/>
      <c r="BO368" s="116"/>
      <c r="BP368" s="116"/>
      <c r="BQ368" s="116"/>
      <c r="BR368" s="116"/>
      <c r="BS368" s="116"/>
      <c r="BT368" s="116"/>
      <c r="BU368" s="116"/>
      <c r="BV368" s="116"/>
      <c r="BW368" s="116"/>
      <c r="BX368" s="116"/>
      <c r="BY368" s="116"/>
      <c r="BZ368" s="116"/>
      <c r="CA368" s="116"/>
      <c r="CB368" s="116"/>
      <c r="CC368" s="116"/>
      <c r="CD368" s="116"/>
      <c r="CE368" s="116"/>
      <c r="CF368" s="116"/>
      <c r="CG368" s="116"/>
      <c r="CH368" s="116"/>
      <c r="CI368" s="116"/>
      <c r="CJ368" s="116"/>
      <c r="CK368" s="116"/>
      <c r="CL368" s="116"/>
      <c r="CM368" s="116"/>
      <c r="CN368" s="116"/>
      <c r="CO368" s="116"/>
      <c r="CP368" s="116"/>
      <c r="CQ368" s="116"/>
      <c r="CR368" s="116"/>
      <c r="CS368" s="116"/>
      <c r="CT368" s="116"/>
      <c r="CU368" s="116"/>
      <c r="CV368" s="116"/>
      <c r="CW368" s="116"/>
      <c r="CX368" s="116"/>
      <c r="CY368" s="116"/>
      <c r="CZ368" s="116"/>
      <c r="DA368" s="116"/>
      <c r="DB368" s="116"/>
      <c r="DC368" s="116"/>
      <c r="DD368" s="116"/>
      <c r="DE368" s="116"/>
      <c r="DF368" s="116"/>
      <c r="DG368" s="116"/>
      <c r="DH368" s="116"/>
      <c r="DI368" s="116"/>
      <c r="DJ368" s="116"/>
      <c r="DK368" s="116"/>
      <c r="DL368" s="116"/>
      <c r="DM368" s="116"/>
      <c r="DN368" s="116"/>
      <c r="DO368" s="116"/>
      <c r="DP368" s="116"/>
      <c r="DQ368" s="116"/>
      <c r="DR368" s="116"/>
      <c r="DS368" s="116"/>
      <c r="DT368" s="116"/>
      <c r="DU368" s="116"/>
      <c r="DV368" s="116"/>
      <c r="DW368" s="116"/>
      <c r="DX368" s="116"/>
      <c r="DY368" s="116"/>
      <c r="DZ368" s="116"/>
      <c r="EA368" s="116"/>
      <c r="EB368" s="116"/>
      <c r="EC368" s="116"/>
      <c r="ED368" s="116"/>
      <c r="EE368" s="116"/>
      <c r="EF368" s="116"/>
      <c r="EG368" s="116"/>
      <c r="EH368" s="116"/>
      <c r="EI368" s="116"/>
      <c r="EJ368" s="116"/>
      <c r="EK368" s="116"/>
      <c r="EL368" s="116"/>
      <c r="EM368" s="116"/>
      <c r="EN368" s="116"/>
      <c r="EO368" s="116"/>
      <c r="EP368" s="116"/>
      <c r="EQ368" s="116"/>
      <c r="ER368" s="116"/>
      <c r="ES368" s="116"/>
      <c r="ET368" s="116"/>
      <c r="EU368" s="116"/>
      <c r="EV368" s="116"/>
      <c r="EW368" s="116"/>
      <c r="EX368" s="116"/>
      <c r="EY368" s="116"/>
      <c r="EZ368" s="116"/>
      <c r="FA368" s="116"/>
      <c r="FB368" s="116"/>
      <c r="FC368" s="116"/>
      <c r="FD368" s="116"/>
      <c r="FE368" s="116"/>
      <c r="FF368" s="116"/>
      <c r="FG368" s="116"/>
      <c r="FH368" s="116"/>
      <c r="FI368" s="116"/>
      <c r="FJ368" s="116"/>
      <c r="FK368" s="116"/>
      <c r="FL368" s="116"/>
      <c r="FM368" s="116"/>
      <c r="FN368" s="116"/>
      <c r="FO368" s="116"/>
      <c r="FP368" s="116"/>
      <c r="FQ368" s="116"/>
      <c r="FR368" s="116"/>
      <c r="FS368" s="116"/>
      <c r="FT368" s="116"/>
      <c r="FU368" s="116"/>
      <c r="FV368" s="116"/>
      <c r="FW368" s="116"/>
      <c r="FX368" s="116"/>
      <c r="FY368" s="116"/>
      <c r="FZ368" s="116"/>
      <c r="GA368" s="116"/>
      <c r="GB368" s="116"/>
      <c r="GC368" s="116"/>
      <c r="GD368" s="116"/>
      <c r="GE368" s="116"/>
      <c r="GF368" s="116"/>
      <c r="GG368" s="116"/>
      <c r="GH368" s="116"/>
    </row>
    <row r="369" spans="2:190" ht="12.75">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16"/>
      <c r="AY369" s="116"/>
      <c r="AZ369" s="116"/>
      <c r="BA369" s="116"/>
      <c r="BB369" s="116"/>
      <c r="BC369" s="116"/>
      <c r="BD369" s="116"/>
      <c r="BE369" s="116"/>
      <c r="BF369" s="116"/>
      <c r="BG369" s="116"/>
      <c r="BH369" s="116"/>
      <c r="BI369" s="116"/>
      <c r="BJ369" s="116"/>
      <c r="BK369" s="116"/>
      <c r="BL369" s="116"/>
      <c r="BM369" s="116"/>
      <c r="BN369" s="116"/>
      <c r="BO369" s="116"/>
      <c r="BP369" s="116"/>
      <c r="BQ369" s="116"/>
      <c r="BR369" s="116"/>
      <c r="BS369" s="116"/>
      <c r="BT369" s="116"/>
      <c r="BU369" s="116"/>
      <c r="BV369" s="116"/>
      <c r="BW369" s="116"/>
      <c r="BX369" s="116"/>
      <c r="BY369" s="116"/>
      <c r="BZ369" s="116"/>
      <c r="CA369" s="116"/>
      <c r="CB369" s="116"/>
      <c r="CC369" s="116"/>
      <c r="CD369" s="116"/>
      <c r="CE369" s="116"/>
      <c r="CF369" s="116"/>
      <c r="CG369" s="116"/>
      <c r="CH369" s="116"/>
      <c r="CI369" s="116"/>
      <c r="CJ369" s="116"/>
      <c r="CK369" s="116"/>
      <c r="CL369" s="116"/>
      <c r="CM369" s="116"/>
      <c r="CN369" s="116"/>
      <c r="CO369" s="116"/>
      <c r="CP369" s="116"/>
      <c r="CQ369" s="116"/>
      <c r="CR369" s="116"/>
      <c r="CS369" s="116"/>
      <c r="CT369" s="116"/>
      <c r="CU369" s="116"/>
      <c r="CV369" s="116"/>
      <c r="CW369" s="116"/>
      <c r="CX369" s="116"/>
      <c r="CY369" s="116"/>
      <c r="CZ369" s="116"/>
      <c r="DA369" s="116"/>
      <c r="DB369" s="116"/>
      <c r="DC369" s="116"/>
      <c r="DD369" s="116"/>
      <c r="DE369" s="116"/>
      <c r="DF369" s="116"/>
      <c r="DG369" s="116"/>
      <c r="DH369" s="116"/>
      <c r="DI369" s="116"/>
      <c r="DJ369" s="116"/>
      <c r="DK369" s="116"/>
      <c r="DL369" s="116"/>
      <c r="DM369" s="116"/>
      <c r="DN369" s="116"/>
      <c r="DO369" s="116"/>
      <c r="DP369" s="116"/>
      <c r="DQ369" s="116"/>
      <c r="DR369" s="116"/>
      <c r="DS369" s="116"/>
      <c r="DT369" s="116"/>
      <c r="DU369" s="116"/>
      <c r="DV369" s="116"/>
      <c r="DW369" s="116"/>
      <c r="DX369" s="116"/>
      <c r="DY369" s="116"/>
      <c r="DZ369" s="116"/>
      <c r="EA369" s="116"/>
      <c r="EB369" s="116"/>
      <c r="EC369" s="116"/>
      <c r="ED369" s="116"/>
      <c r="EE369" s="116"/>
      <c r="EF369" s="116"/>
      <c r="EG369" s="116"/>
      <c r="EH369" s="116"/>
      <c r="EI369" s="116"/>
      <c r="EJ369" s="116"/>
      <c r="EK369" s="116"/>
      <c r="EL369" s="116"/>
      <c r="EM369" s="116"/>
      <c r="EN369" s="116"/>
      <c r="EO369" s="116"/>
      <c r="EP369" s="116"/>
      <c r="EQ369" s="116"/>
      <c r="ER369" s="116"/>
      <c r="ES369" s="116"/>
      <c r="ET369" s="116"/>
      <c r="EU369" s="116"/>
      <c r="EV369" s="116"/>
      <c r="EW369" s="116"/>
      <c r="EX369" s="116"/>
      <c r="EY369" s="116"/>
      <c r="EZ369" s="116"/>
      <c r="FA369" s="116"/>
      <c r="FB369" s="116"/>
      <c r="FC369" s="116"/>
      <c r="FD369" s="116"/>
      <c r="FE369" s="116"/>
      <c r="FF369" s="116"/>
      <c r="FG369" s="116"/>
      <c r="FH369" s="116"/>
      <c r="FI369" s="116"/>
      <c r="FJ369" s="116"/>
      <c r="FK369" s="116"/>
      <c r="FL369" s="116"/>
      <c r="FM369" s="116"/>
      <c r="FN369" s="116"/>
      <c r="FO369" s="116"/>
      <c r="FP369" s="116"/>
      <c r="FQ369" s="116"/>
      <c r="FR369" s="116"/>
      <c r="FS369" s="116"/>
      <c r="FT369" s="116"/>
      <c r="FU369" s="116"/>
      <c r="FV369" s="116"/>
      <c r="FW369" s="116"/>
      <c r="FX369" s="116"/>
      <c r="FY369" s="116"/>
      <c r="FZ369" s="116"/>
      <c r="GA369" s="116"/>
      <c r="GB369" s="116"/>
      <c r="GC369" s="116"/>
      <c r="GD369" s="116"/>
      <c r="GE369" s="116"/>
      <c r="GF369" s="116"/>
      <c r="GG369" s="116"/>
      <c r="GH369" s="116"/>
    </row>
    <row r="370" spans="2:190" ht="12.75">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6"/>
      <c r="AL370" s="116"/>
      <c r="AM370" s="116"/>
      <c r="AN370" s="116"/>
      <c r="AO370" s="116"/>
      <c r="AP370" s="116"/>
      <c r="AQ370" s="116"/>
      <c r="AR370" s="116"/>
      <c r="AS370" s="116"/>
      <c r="AT370" s="116"/>
      <c r="AU370" s="116"/>
      <c r="AV370" s="116"/>
      <c r="AW370" s="116"/>
      <c r="AX370" s="116"/>
      <c r="AY370" s="116"/>
      <c r="AZ370" s="116"/>
      <c r="BA370" s="116"/>
      <c r="BB370" s="116"/>
      <c r="BC370" s="116"/>
      <c r="BD370" s="116"/>
      <c r="BE370" s="116"/>
      <c r="BF370" s="116"/>
      <c r="BG370" s="116"/>
      <c r="BH370" s="116"/>
      <c r="BI370" s="116"/>
      <c r="BJ370" s="116"/>
      <c r="BK370" s="116"/>
      <c r="BL370" s="116"/>
      <c r="BM370" s="116"/>
      <c r="BN370" s="116"/>
      <c r="BO370" s="116"/>
      <c r="BP370" s="116"/>
      <c r="BQ370" s="116"/>
      <c r="BR370" s="116"/>
      <c r="BS370" s="116"/>
      <c r="BT370" s="116"/>
      <c r="BU370" s="116"/>
      <c r="BV370" s="116"/>
      <c r="BW370" s="116"/>
      <c r="BX370" s="116"/>
      <c r="BY370" s="116"/>
      <c r="BZ370" s="116"/>
      <c r="CA370" s="116"/>
      <c r="CB370" s="116"/>
      <c r="CC370" s="116"/>
      <c r="CD370" s="116"/>
      <c r="CE370" s="116"/>
      <c r="CF370" s="116"/>
      <c r="CG370" s="116"/>
      <c r="CH370" s="116"/>
      <c r="CI370" s="116"/>
      <c r="CJ370" s="116"/>
      <c r="CK370" s="116"/>
      <c r="CL370" s="116"/>
      <c r="CM370" s="116"/>
      <c r="CN370" s="116"/>
      <c r="CO370" s="116"/>
      <c r="CP370" s="116"/>
      <c r="CQ370" s="116"/>
      <c r="CR370" s="116"/>
      <c r="CS370" s="116"/>
      <c r="CT370" s="116"/>
      <c r="CU370" s="116"/>
      <c r="CV370" s="116"/>
      <c r="CW370" s="116"/>
      <c r="CX370" s="116"/>
      <c r="CY370" s="116"/>
      <c r="CZ370" s="116"/>
      <c r="DA370" s="116"/>
      <c r="DB370" s="116"/>
      <c r="DC370" s="116"/>
      <c r="DD370" s="116"/>
      <c r="DE370" s="116"/>
      <c r="DF370" s="116"/>
      <c r="DG370" s="116"/>
      <c r="DH370" s="116"/>
      <c r="DI370" s="116"/>
      <c r="DJ370" s="116"/>
      <c r="DK370" s="116"/>
      <c r="DL370" s="116"/>
      <c r="DM370" s="116"/>
      <c r="DN370" s="116"/>
      <c r="DO370" s="116"/>
      <c r="DP370" s="116"/>
      <c r="DQ370" s="116"/>
      <c r="DR370" s="116"/>
      <c r="DS370" s="116"/>
      <c r="DT370" s="116"/>
      <c r="DU370" s="116"/>
      <c r="DV370" s="116"/>
      <c r="DW370" s="116"/>
      <c r="DX370" s="116"/>
      <c r="DY370" s="116"/>
      <c r="DZ370" s="116"/>
      <c r="EA370" s="116"/>
      <c r="EB370" s="116"/>
      <c r="EC370" s="116"/>
      <c r="ED370" s="116"/>
      <c r="EE370" s="116"/>
      <c r="EF370" s="116"/>
      <c r="EG370" s="116"/>
      <c r="EH370" s="116"/>
      <c r="EI370" s="116"/>
      <c r="EJ370" s="116"/>
      <c r="EK370" s="116"/>
      <c r="EL370" s="116"/>
      <c r="EM370" s="116"/>
      <c r="EN370" s="116"/>
      <c r="EO370" s="116"/>
      <c r="EP370" s="116"/>
      <c r="EQ370" s="116"/>
      <c r="ER370" s="116"/>
      <c r="ES370" s="116"/>
      <c r="ET370" s="116"/>
      <c r="EU370" s="116"/>
      <c r="EV370" s="116"/>
      <c r="EW370" s="116"/>
      <c r="EX370" s="116"/>
      <c r="EY370" s="116"/>
      <c r="EZ370" s="116"/>
      <c r="FA370" s="116"/>
      <c r="FB370" s="116"/>
      <c r="FC370" s="116"/>
      <c r="FD370" s="116"/>
      <c r="FE370" s="116"/>
      <c r="FF370" s="116"/>
      <c r="FG370" s="116"/>
      <c r="FH370" s="116"/>
      <c r="FI370" s="116"/>
      <c r="FJ370" s="116"/>
      <c r="FK370" s="116"/>
      <c r="FL370" s="116"/>
      <c r="FM370" s="116"/>
      <c r="FN370" s="116"/>
      <c r="FO370" s="116"/>
      <c r="FP370" s="116"/>
      <c r="FQ370" s="116"/>
      <c r="FR370" s="116"/>
      <c r="FS370" s="116"/>
      <c r="FT370" s="116"/>
      <c r="FU370" s="116"/>
      <c r="FV370" s="116"/>
      <c r="FW370" s="116"/>
      <c r="FX370" s="116"/>
      <c r="FY370" s="116"/>
      <c r="FZ370" s="116"/>
      <c r="GA370" s="116"/>
      <c r="GB370" s="116"/>
      <c r="GC370" s="116"/>
      <c r="GD370" s="116"/>
      <c r="GE370" s="116"/>
      <c r="GF370" s="116"/>
      <c r="GG370" s="116"/>
      <c r="GH370" s="116"/>
    </row>
    <row r="371" spans="2:190" ht="12.75">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6"/>
      <c r="AY371" s="116"/>
      <c r="AZ371" s="116"/>
      <c r="BA371" s="116"/>
      <c r="BB371" s="116"/>
      <c r="BC371" s="116"/>
      <c r="BD371" s="116"/>
      <c r="BE371" s="116"/>
      <c r="BF371" s="116"/>
      <c r="BG371" s="116"/>
      <c r="BH371" s="116"/>
      <c r="BI371" s="116"/>
      <c r="BJ371" s="116"/>
      <c r="BK371" s="116"/>
      <c r="BL371" s="116"/>
      <c r="BM371" s="116"/>
      <c r="BN371" s="116"/>
      <c r="BO371" s="116"/>
      <c r="BP371" s="116"/>
      <c r="BQ371" s="116"/>
      <c r="BR371" s="116"/>
      <c r="BS371" s="116"/>
      <c r="BT371" s="116"/>
      <c r="BU371" s="116"/>
      <c r="BV371" s="116"/>
      <c r="BW371" s="116"/>
      <c r="BX371" s="116"/>
      <c r="BY371" s="116"/>
      <c r="BZ371" s="116"/>
      <c r="CA371" s="116"/>
      <c r="CB371" s="116"/>
      <c r="CC371" s="116"/>
      <c r="CD371" s="116"/>
      <c r="CE371" s="116"/>
      <c r="CF371" s="116"/>
      <c r="CG371" s="116"/>
      <c r="CH371" s="116"/>
      <c r="CI371" s="116"/>
      <c r="CJ371" s="116"/>
      <c r="CK371" s="116"/>
      <c r="CL371" s="116"/>
      <c r="CM371" s="116"/>
      <c r="CN371" s="116"/>
      <c r="CO371" s="116"/>
      <c r="CP371" s="116"/>
      <c r="CQ371" s="116"/>
      <c r="CR371" s="116"/>
      <c r="CS371" s="116"/>
      <c r="CT371" s="116"/>
      <c r="CU371" s="116"/>
      <c r="CV371" s="116"/>
      <c r="CW371" s="116"/>
      <c r="CX371" s="116"/>
      <c r="CY371" s="116"/>
      <c r="CZ371" s="116"/>
      <c r="DA371" s="116"/>
      <c r="DB371" s="116"/>
      <c r="DC371" s="116"/>
      <c r="DD371" s="116"/>
      <c r="DE371" s="116"/>
      <c r="DF371" s="116"/>
      <c r="DG371" s="116"/>
      <c r="DH371" s="116"/>
      <c r="DI371" s="116"/>
      <c r="DJ371" s="116"/>
      <c r="DK371" s="116"/>
      <c r="DL371" s="116"/>
      <c r="DM371" s="116"/>
      <c r="DN371" s="116"/>
      <c r="DO371" s="116"/>
      <c r="DP371" s="116"/>
      <c r="DQ371" s="116"/>
      <c r="DR371" s="116"/>
      <c r="DS371" s="116"/>
      <c r="DT371" s="116"/>
      <c r="DU371" s="116"/>
      <c r="DV371" s="116"/>
      <c r="DW371" s="116"/>
      <c r="DX371" s="116"/>
      <c r="DY371" s="116"/>
      <c r="DZ371" s="116"/>
      <c r="EA371" s="116"/>
      <c r="EB371" s="116"/>
      <c r="EC371" s="116"/>
      <c r="ED371" s="116"/>
      <c r="EE371" s="116"/>
      <c r="EF371" s="116"/>
      <c r="EG371" s="116"/>
      <c r="EH371" s="116"/>
      <c r="EI371" s="116"/>
      <c r="EJ371" s="116"/>
      <c r="EK371" s="116"/>
      <c r="EL371" s="116"/>
      <c r="EM371" s="116"/>
      <c r="EN371" s="116"/>
      <c r="EO371" s="116"/>
      <c r="EP371" s="116"/>
      <c r="EQ371" s="116"/>
      <c r="ER371" s="116"/>
      <c r="ES371" s="116"/>
      <c r="ET371" s="116"/>
      <c r="EU371" s="116"/>
      <c r="EV371" s="116"/>
      <c r="EW371" s="116"/>
      <c r="EX371" s="116"/>
      <c r="EY371" s="116"/>
      <c r="EZ371" s="116"/>
      <c r="FA371" s="116"/>
      <c r="FB371" s="116"/>
      <c r="FC371" s="116"/>
      <c r="FD371" s="116"/>
      <c r="FE371" s="116"/>
      <c r="FF371" s="116"/>
      <c r="FG371" s="116"/>
      <c r="FH371" s="116"/>
      <c r="FI371" s="116"/>
      <c r="FJ371" s="116"/>
      <c r="FK371" s="116"/>
      <c r="FL371" s="116"/>
      <c r="FM371" s="116"/>
      <c r="FN371" s="116"/>
      <c r="FO371" s="116"/>
      <c r="FP371" s="116"/>
      <c r="FQ371" s="116"/>
      <c r="FR371" s="116"/>
      <c r="FS371" s="116"/>
      <c r="FT371" s="116"/>
      <c r="FU371" s="116"/>
      <c r="FV371" s="116"/>
      <c r="FW371" s="116"/>
      <c r="FX371" s="116"/>
      <c r="FY371" s="116"/>
      <c r="FZ371" s="116"/>
      <c r="GA371" s="116"/>
      <c r="GB371" s="116"/>
      <c r="GC371" s="116"/>
      <c r="GD371" s="116"/>
      <c r="GE371" s="116"/>
      <c r="GF371" s="116"/>
      <c r="GG371" s="116"/>
      <c r="GH371" s="116"/>
    </row>
    <row r="372" spans="2:190" ht="12.75">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6"/>
      <c r="AL372" s="116"/>
      <c r="AM372" s="116"/>
      <c r="AN372" s="116"/>
      <c r="AO372" s="116"/>
      <c r="AP372" s="116"/>
      <c r="AQ372" s="116"/>
      <c r="AR372" s="116"/>
      <c r="AS372" s="116"/>
      <c r="AT372" s="116"/>
      <c r="AU372" s="116"/>
      <c r="AV372" s="116"/>
      <c r="AW372" s="116"/>
      <c r="AX372" s="116"/>
      <c r="AY372" s="116"/>
      <c r="AZ372" s="116"/>
      <c r="BA372" s="116"/>
      <c r="BB372" s="116"/>
      <c r="BC372" s="116"/>
      <c r="BD372" s="116"/>
      <c r="BE372" s="116"/>
      <c r="BF372" s="116"/>
      <c r="BG372" s="116"/>
      <c r="BH372" s="116"/>
      <c r="BI372" s="116"/>
      <c r="BJ372" s="116"/>
      <c r="BK372" s="116"/>
      <c r="BL372" s="116"/>
      <c r="BM372" s="116"/>
      <c r="BN372" s="116"/>
      <c r="BO372" s="116"/>
      <c r="BP372" s="116"/>
      <c r="BQ372" s="116"/>
      <c r="BR372" s="116"/>
      <c r="BS372" s="116"/>
      <c r="BT372" s="116"/>
      <c r="BU372" s="116"/>
      <c r="BV372" s="116"/>
      <c r="BW372" s="116"/>
      <c r="BX372" s="116"/>
      <c r="BY372" s="116"/>
      <c r="BZ372" s="116"/>
      <c r="CA372" s="116"/>
      <c r="CB372" s="116"/>
      <c r="CC372" s="116"/>
      <c r="CD372" s="116"/>
      <c r="CE372" s="116"/>
      <c r="CF372" s="116"/>
      <c r="CG372" s="116"/>
      <c r="CH372" s="116"/>
      <c r="CI372" s="116"/>
      <c r="CJ372" s="116"/>
      <c r="CK372" s="116"/>
      <c r="CL372" s="116"/>
      <c r="CM372" s="116"/>
      <c r="CN372" s="116"/>
      <c r="CO372" s="116"/>
      <c r="CP372" s="116"/>
      <c r="CQ372" s="116"/>
      <c r="CR372" s="116"/>
      <c r="CS372" s="116"/>
      <c r="CT372" s="116"/>
      <c r="CU372" s="116"/>
      <c r="CV372" s="116"/>
      <c r="CW372" s="116"/>
      <c r="CX372" s="116"/>
      <c r="CY372" s="116"/>
      <c r="CZ372" s="116"/>
      <c r="DA372" s="116"/>
      <c r="DB372" s="116"/>
      <c r="DC372" s="116"/>
      <c r="DD372" s="116"/>
      <c r="DE372" s="116"/>
      <c r="DF372" s="116"/>
      <c r="DG372" s="116"/>
      <c r="DH372" s="116"/>
      <c r="DI372" s="116"/>
      <c r="DJ372" s="116"/>
      <c r="DK372" s="116"/>
      <c r="DL372" s="116"/>
      <c r="DM372" s="116"/>
      <c r="DN372" s="116"/>
      <c r="DO372" s="116"/>
      <c r="DP372" s="116"/>
      <c r="DQ372" s="116"/>
      <c r="DR372" s="116"/>
      <c r="DS372" s="116"/>
      <c r="DT372" s="116"/>
      <c r="DU372" s="116"/>
      <c r="DV372" s="116"/>
      <c r="DW372" s="116"/>
      <c r="DX372" s="116"/>
      <c r="DY372" s="116"/>
      <c r="DZ372" s="116"/>
      <c r="EA372" s="116"/>
      <c r="EB372" s="116"/>
      <c r="EC372" s="116"/>
      <c r="ED372" s="116"/>
      <c r="EE372" s="116"/>
      <c r="EF372" s="116"/>
      <c r="EG372" s="116"/>
      <c r="EH372" s="116"/>
      <c r="EI372" s="116"/>
      <c r="EJ372" s="116"/>
      <c r="EK372" s="116"/>
      <c r="EL372" s="116"/>
      <c r="EM372" s="116"/>
      <c r="EN372" s="116"/>
      <c r="EO372" s="116"/>
      <c r="EP372" s="116"/>
      <c r="EQ372" s="116"/>
      <c r="ER372" s="116"/>
      <c r="ES372" s="116"/>
      <c r="ET372" s="116"/>
      <c r="EU372" s="116"/>
      <c r="EV372" s="116"/>
      <c r="EW372" s="116"/>
      <c r="EX372" s="116"/>
      <c r="EY372" s="116"/>
      <c r="EZ372" s="116"/>
      <c r="FA372" s="116"/>
      <c r="FB372" s="116"/>
      <c r="FC372" s="116"/>
      <c r="FD372" s="116"/>
      <c r="FE372" s="116"/>
      <c r="FF372" s="116"/>
      <c r="FG372" s="116"/>
      <c r="FH372" s="116"/>
      <c r="FI372" s="116"/>
      <c r="FJ372" s="116"/>
      <c r="FK372" s="116"/>
      <c r="FL372" s="116"/>
      <c r="FM372" s="116"/>
      <c r="FN372" s="116"/>
      <c r="FO372" s="116"/>
      <c r="FP372" s="116"/>
      <c r="FQ372" s="116"/>
      <c r="FR372" s="116"/>
      <c r="FS372" s="116"/>
      <c r="FT372" s="116"/>
      <c r="FU372" s="116"/>
      <c r="FV372" s="116"/>
      <c r="FW372" s="116"/>
      <c r="FX372" s="116"/>
      <c r="FY372" s="116"/>
      <c r="FZ372" s="116"/>
      <c r="GA372" s="116"/>
      <c r="GB372" s="116"/>
      <c r="GC372" s="116"/>
      <c r="GD372" s="116"/>
      <c r="GE372" s="116"/>
      <c r="GF372" s="116"/>
      <c r="GG372" s="116"/>
      <c r="GH372" s="116"/>
    </row>
    <row r="373" spans="2:190" ht="12.75">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c r="CH373" s="116"/>
      <c r="CI373" s="116"/>
      <c r="CJ373" s="116"/>
      <c r="CK373" s="116"/>
      <c r="CL373" s="116"/>
      <c r="CM373" s="116"/>
      <c r="CN373" s="116"/>
      <c r="CO373" s="116"/>
      <c r="CP373" s="116"/>
      <c r="CQ373" s="116"/>
      <c r="CR373" s="116"/>
      <c r="CS373" s="116"/>
      <c r="CT373" s="116"/>
      <c r="CU373" s="116"/>
      <c r="CV373" s="116"/>
      <c r="CW373" s="116"/>
      <c r="CX373" s="116"/>
      <c r="CY373" s="116"/>
      <c r="CZ373" s="116"/>
      <c r="DA373" s="116"/>
      <c r="DB373" s="116"/>
      <c r="DC373" s="116"/>
      <c r="DD373" s="116"/>
      <c r="DE373" s="116"/>
      <c r="DF373" s="116"/>
      <c r="DG373" s="116"/>
      <c r="DH373" s="116"/>
      <c r="DI373" s="116"/>
      <c r="DJ373" s="116"/>
      <c r="DK373" s="116"/>
      <c r="DL373" s="116"/>
      <c r="DM373" s="116"/>
      <c r="DN373" s="116"/>
      <c r="DO373" s="116"/>
      <c r="DP373" s="116"/>
      <c r="DQ373" s="116"/>
      <c r="DR373" s="116"/>
      <c r="DS373" s="116"/>
      <c r="DT373" s="116"/>
      <c r="DU373" s="116"/>
      <c r="DV373" s="116"/>
      <c r="DW373" s="116"/>
      <c r="DX373" s="116"/>
      <c r="DY373" s="116"/>
      <c r="DZ373" s="116"/>
      <c r="EA373" s="116"/>
      <c r="EB373" s="116"/>
      <c r="EC373" s="116"/>
      <c r="ED373" s="116"/>
      <c r="EE373" s="116"/>
      <c r="EF373" s="116"/>
      <c r="EG373" s="116"/>
      <c r="EH373" s="116"/>
      <c r="EI373" s="116"/>
      <c r="EJ373" s="116"/>
      <c r="EK373" s="116"/>
      <c r="EL373" s="116"/>
      <c r="EM373" s="116"/>
      <c r="EN373" s="116"/>
      <c r="EO373" s="116"/>
      <c r="EP373" s="116"/>
      <c r="EQ373" s="116"/>
      <c r="ER373" s="116"/>
      <c r="ES373" s="116"/>
      <c r="ET373" s="116"/>
      <c r="EU373" s="116"/>
      <c r="EV373" s="116"/>
      <c r="EW373" s="116"/>
      <c r="EX373" s="116"/>
      <c r="EY373" s="116"/>
      <c r="EZ373" s="116"/>
      <c r="FA373" s="116"/>
      <c r="FB373" s="116"/>
      <c r="FC373" s="116"/>
      <c r="FD373" s="116"/>
      <c r="FE373" s="116"/>
      <c r="FF373" s="116"/>
      <c r="FG373" s="116"/>
      <c r="FH373" s="116"/>
      <c r="FI373" s="116"/>
      <c r="FJ373" s="116"/>
      <c r="FK373" s="116"/>
      <c r="FL373" s="116"/>
      <c r="FM373" s="116"/>
      <c r="FN373" s="116"/>
      <c r="FO373" s="116"/>
      <c r="FP373" s="116"/>
      <c r="FQ373" s="116"/>
      <c r="FR373" s="116"/>
      <c r="FS373" s="116"/>
      <c r="FT373" s="116"/>
      <c r="FU373" s="116"/>
      <c r="FV373" s="116"/>
      <c r="FW373" s="116"/>
      <c r="FX373" s="116"/>
      <c r="FY373" s="116"/>
      <c r="FZ373" s="116"/>
      <c r="GA373" s="116"/>
      <c r="GB373" s="116"/>
      <c r="GC373" s="116"/>
      <c r="GD373" s="116"/>
      <c r="GE373" s="116"/>
      <c r="GF373" s="116"/>
      <c r="GG373" s="116"/>
      <c r="GH373" s="116"/>
    </row>
    <row r="374" spans="2:190" ht="12.75">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6"/>
      <c r="AL374" s="116"/>
      <c r="AM374" s="116"/>
      <c r="AN374" s="116"/>
      <c r="AO374" s="116"/>
      <c r="AP374" s="116"/>
      <c r="AQ374" s="116"/>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c r="DS374" s="116"/>
      <c r="DT374" s="116"/>
      <c r="DU374" s="116"/>
      <c r="DV374" s="116"/>
      <c r="DW374" s="116"/>
      <c r="DX374" s="116"/>
      <c r="DY374" s="116"/>
      <c r="DZ374" s="116"/>
      <c r="EA374" s="116"/>
      <c r="EB374" s="116"/>
      <c r="EC374" s="116"/>
      <c r="ED374" s="116"/>
      <c r="EE374" s="116"/>
      <c r="EF374" s="116"/>
      <c r="EG374" s="116"/>
      <c r="EH374" s="116"/>
      <c r="EI374" s="116"/>
      <c r="EJ374" s="116"/>
      <c r="EK374" s="116"/>
      <c r="EL374" s="116"/>
      <c r="EM374" s="116"/>
      <c r="EN374" s="116"/>
      <c r="EO374" s="116"/>
      <c r="EP374" s="116"/>
      <c r="EQ374" s="116"/>
      <c r="ER374" s="116"/>
      <c r="ES374" s="116"/>
      <c r="ET374" s="116"/>
      <c r="EU374" s="116"/>
      <c r="EV374" s="116"/>
      <c r="EW374" s="116"/>
      <c r="EX374" s="116"/>
      <c r="EY374" s="116"/>
      <c r="EZ374" s="116"/>
      <c r="FA374" s="116"/>
      <c r="FB374" s="116"/>
      <c r="FC374" s="116"/>
      <c r="FD374" s="116"/>
      <c r="FE374" s="116"/>
      <c r="FF374" s="116"/>
      <c r="FG374" s="116"/>
      <c r="FH374" s="116"/>
      <c r="FI374" s="116"/>
      <c r="FJ374" s="116"/>
      <c r="FK374" s="116"/>
      <c r="FL374" s="116"/>
      <c r="FM374" s="116"/>
      <c r="FN374" s="116"/>
      <c r="FO374" s="116"/>
      <c r="FP374" s="116"/>
      <c r="FQ374" s="116"/>
      <c r="FR374" s="116"/>
      <c r="FS374" s="116"/>
      <c r="FT374" s="116"/>
      <c r="FU374" s="116"/>
      <c r="FV374" s="116"/>
      <c r="FW374" s="116"/>
      <c r="FX374" s="116"/>
      <c r="FY374" s="116"/>
      <c r="FZ374" s="116"/>
      <c r="GA374" s="116"/>
      <c r="GB374" s="116"/>
      <c r="GC374" s="116"/>
      <c r="GD374" s="116"/>
      <c r="GE374" s="116"/>
      <c r="GF374" s="116"/>
      <c r="GG374" s="116"/>
      <c r="GH374" s="116"/>
    </row>
    <row r="375" spans="2:190" ht="12.75">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6"/>
      <c r="AL375" s="116"/>
      <c r="AM375" s="116"/>
      <c r="AN375" s="116"/>
      <c r="AO375" s="116"/>
      <c r="AP375" s="116"/>
      <c r="AQ375" s="116"/>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c r="DS375" s="116"/>
      <c r="DT375" s="116"/>
      <c r="DU375" s="116"/>
      <c r="DV375" s="116"/>
      <c r="DW375" s="116"/>
      <c r="DX375" s="116"/>
      <c r="DY375" s="116"/>
      <c r="DZ375" s="116"/>
      <c r="EA375" s="116"/>
      <c r="EB375" s="116"/>
      <c r="EC375" s="116"/>
      <c r="ED375" s="116"/>
      <c r="EE375" s="116"/>
      <c r="EF375" s="116"/>
      <c r="EG375" s="116"/>
      <c r="EH375" s="116"/>
      <c r="EI375" s="116"/>
      <c r="EJ375" s="116"/>
      <c r="EK375" s="116"/>
      <c r="EL375" s="116"/>
      <c r="EM375" s="116"/>
      <c r="EN375" s="116"/>
      <c r="EO375" s="116"/>
      <c r="EP375" s="116"/>
      <c r="EQ375" s="116"/>
      <c r="ER375" s="116"/>
      <c r="ES375" s="116"/>
      <c r="ET375" s="116"/>
      <c r="EU375" s="116"/>
      <c r="EV375" s="116"/>
      <c r="EW375" s="116"/>
      <c r="EX375" s="116"/>
      <c r="EY375" s="116"/>
      <c r="EZ375" s="116"/>
      <c r="FA375" s="116"/>
      <c r="FB375" s="116"/>
      <c r="FC375" s="116"/>
      <c r="FD375" s="116"/>
      <c r="FE375" s="116"/>
      <c r="FF375" s="116"/>
      <c r="FG375" s="116"/>
      <c r="FH375" s="116"/>
      <c r="FI375" s="116"/>
      <c r="FJ375" s="116"/>
      <c r="FK375" s="116"/>
      <c r="FL375" s="116"/>
      <c r="FM375" s="116"/>
      <c r="FN375" s="116"/>
      <c r="FO375" s="116"/>
      <c r="FP375" s="116"/>
      <c r="FQ375" s="116"/>
      <c r="FR375" s="116"/>
      <c r="FS375" s="116"/>
      <c r="FT375" s="116"/>
      <c r="FU375" s="116"/>
      <c r="FV375" s="116"/>
      <c r="FW375" s="116"/>
      <c r="FX375" s="116"/>
      <c r="FY375" s="116"/>
      <c r="FZ375" s="116"/>
      <c r="GA375" s="116"/>
      <c r="GB375" s="116"/>
      <c r="GC375" s="116"/>
      <c r="GD375" s="116"/>
      <c r="GE375" s="116"/>
      <c r="GF375" s="116"/>
      <c r="GG375" s="116"/>
      <c r="GH375" s="116"/>
    </row>
    <row r="376" spans="2:190" ht="12.75">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6"/>
      <c r="AL376" s="116"/>
      <c r="AM376" s="116"/>
      <c r="AN376" s="116"/>
      <c r="AO376" s="116"/>
      <c r="AP376" s="116"/>
      <c r="AQ376" s="116"/>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c r="DS376" s="116"/>
      <c r="DT376" s="116"/>
      <c r="DU376" s="116"/>
      <c r="DV376" s="116"/>
      <c r="DW376" s="116"/>
      <c r="DX376" s="116"/>
      <c r="DY376" s="116"/>
      <c r="DZ376" s="116"/>
      <c r="EA376" s="116"/>
      <c r="EB376" s="116"/>
      <c r="EC376" s="116"/>
      <c r="ED376" s="116"/>
      <c r="EE376" s="116"/>
      <c r="EF376" s="116"/>
      <c r="EG376" s="116"/>
      <c r="EH376" s="116"/>
      <c r="EI376" s="116"/>
      <c r="EJ376" s="116"/>
      <c r="EK376" s="116"/>
      <c r="EL376" s="116"/>
      <c r="EM376" s="116"/>
      <c r="EN376" s="116"/>
      <c r="EO376" s="116"/>
      <c r="EP376" s="116"/>
      <c r="EQ376" s="116"/>
      <c r="ER376" s="116"/>
      <c r="ES376" s="116"/>
      <c r="ET376" s="116"/>
      <c r="EU376" s="116"/>
      <c r="EV376" s="116"/>
      <c r="EW376" s="116"/>
      <c r="EX376" s="116"/>
      <c r="EY376" s="116"/>
      <c r="EZ376" s="116"/>
      <c r="FA376" s="116"/>
      <c r="FB376" s="116"/>
      <c r="FC376" s="116"/>
      <c r="FD376" s="116"/>
      <c r="FE376" s="116"/>
      <c r="FF376" s="116"/>
      <c r="FG376" s="116"/>
      <c r="FH376" s="116"/>
      <c r="FI376" s="116"/>
      <c r="FJ376" s="116"/>
      <c r="FK376" s="116"/>
      <c r="FL376" s="116"/>
      <c r="FM376" s="116"/>
      <c r="FN376" s="116"/>
      <c r="FO376" s="116"/>
      <c r="FP376" s="116"/>
      <c r="FQ376" s="116"/>
      <c r="FR376" s="116"/>
      <c r="FS376" s="116"/>
      <c r="FT376" s="116"/>
      <c r="FU376" s="116"/>
      <c r="FV376" s="116"/>
      <c r="FW376" s="116"/>
      <c r="FX376" s="116"/>
      <c r="FY376" s="116"/>
      <c r="FZ376" s="116"/>
      <c r="GA376" s="116"/>
      <c r="GB376" s="116"/>
      <c r="GC376" s="116"/>
      <c r="GD376" s="116"/>
      <c r="GE376" s="116"/>
      <c r="GF376" s="116"/>
      <c r="GG376" s="116"/>
      <c r="GH376" s="116"/>
    </row>
    <row r="377" spans="2:190" ht="12.75">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6"/>
      <c r="AL377" s="116"/>
      <c r="AM377" s="116"/>
      <c r="AN377" s="116"/>
      <c r="AO377" s="116"/>
      <c r="AP377" s="116"/>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c r="DS377" s="116"/>
      <c r="DT377" s="116"/>
      <c r="DU377" s="116"/>
      <c r="DV377" s="116"/>
      <c r="DW377" s="116"/>
      <c r="DX377" s="116"/>
      <c r="DY377" s="116"/>
      <c r="DZ377" s="116"/>
      <c r="EA377" s="116"/>
      <c r="EB377" s="116"/>
      <c r="EC377" s="116"/>
      <c r="ED377" s="116"/>
      <c r="EE377" s="116"/>
      <c r="EF377" s="116"/>
      <c r="EG377" s="116"/>
      <c r="EH377" s="116"/>
      <c r="EI377" s="116"/>
      <c r="EJ377" s="116"/>
      <c r="EK377" s="116"/>
      <c r="EL377" s="116"/>
      <c r="EM377" s="116"/>
      <c r="EN377" s="116"/>
      <c r="EO377" s="116"/>
      <c r="EP377" s="116"/>
      <c r="EQ377" s="116"/>
      <c r="ER377" s="116"/>
      <c r="ES377" s="116"/>
      <c r="ET377" s="116"/>
      <c r="EU377" s="116"/>
      <c r="EV377" s="116"/>
      <c r="EW377" s="116"/>
      <c r="EX377" s="116"/>
      <c r="EY377" s="116"/>
      <c r="EZ377" s="116"/>
      <c r="FA377" s="116"/>
      <c r="FB377" s="116"/>
      <c r="FC377" s="116"/>
      <c r="FD377" s="116"/>
      <c r="FE377" s="116"/>
      <c r="FF377" s="116"/>
      <c r="FG377" s="116"/>
      <c r="FH377" s="116"/>
      <c r="FI377" s="116"/>
      <c r="FJ377" s="116"/>
      <c r="FK377" s="116"/>
      <c r="FL377" s="116"/>
      <c r="FM377" s="116"/>
      <c r="FN377" s="116"/>
      <c r="FO377" s="116"/>
      <c r="FP377" s="116"/>
      <c r="FQ377" s="116"/>
      <c r="FR377" s="116"/>
      <c r="FS377" s="116"/>
      <c r="FT377" s="116"/>
      <c r="FU377" s="116"/>
      <c r="FV377" s="116"/>
      <c r="FW377" s="116"/>
      <c r="FX377" s="116"/>
      <c r="FY377" s="116"/>
      <c r="FZ377" s="116"/>
      <c r="GA377" s="116"/>
      <c r="GB377" s="116"/>
      <c r="GC377" s="116"/>
      <c r="GD377" s="116"/>
      <c r="GE377" s="116"/>
      <c r="GF377" s="116"/>
      <c r="GG377" s="116"/>
      <c r="GH377" s="116"/>
    </row>
  </sheetData>
  <sheetProtection/>
  <mergeCells count="2">
    <mergeCell ref="A3:H3"/>
    <mergeCell ref="A2:H2"/>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B4:F29"/>
  <sheetViews>
    <sheetView zoomScale="95" zoomScaleNormal="95" workbookViewId="0" topLeftCell="A1">
      <selection activeCell="H25" sqref="H25"/>
    </sheetView>
  </sheetViews>
  <sheetFormatPr defaultColWidth="11.421875" defaultRowHeight="12.75"/>
  <cols>
    <col min="1" max="1" width="11.421875" style="265" customWidth="1"/>
    <col min="2" max="2" width="28.57421875" style="265" bestFit="1" customWidth="1"/>
    <col min="3" max="16384" width="11.421875" style="265" customWidth="1"/>
  </cols>
  <sheetData>
    <row r="4" spans="2:6" ht="12.75">
      <c r="B4" s="734" t="s">
        <v>1070</v>
      </c>
      <c r="C4" s="734"/>
      <c r="D4" s="734"/>
      <c r="E4" s="734"/>
      <c r="F4" s="734"/>
    </row>
    <row r="5" spans="2:6" ht="12.75">
      <c r="B5" s="734" t="s">
        <v>692</v>
      </c>
      <c r="C5" s="734"/>
      <c r="D5" s="734"/>
      <c r="E5" s="734"/>
      <c r="F5" s="734"/>
    </row>
    <row r="6" ht="13.5" thickBot="1"/>
    <row r="7" spans="2:6" ht="12.75">
      <c r="B7" s="255" t="s">
        <v>684</v>
      </c>
      <c r="C7" s="59" t="s">
        <v>685</v>
      </c>
      <c r="D7" s="59" t="s">
        <v>686</v>
      </c>
      <c r="E7" s="59" t="s">
        <v>687</v>
      </c>
      <c r="F7" s="58" t="s">
        <v>694</v>
      </c>
    </row>
    <row r="8" spans="2:6" ht="12.75">
      <c r="B8" s="271" t="s">
        <v>688</v>
      </c>
      <c r="C8" s="305"/>
      <c r="D8" s="306">
        <f>'TIR Y VAN'!B10</f>
        <v>680850.0055316687</v>
      </c>
      <c r="E8" s="307">
        <f>'TIR Y VAN'!B11</f>
        <v>0.39724173278277847</v>
      </c>
      <c r="F8" s="308"/>
    </row>
    <row r="9" spans="2:6" ht="12.75">
      <c r="B9" s="271" t="s">
        <v>689</v>
      </c>
      <c r="C9" s="309">
        <v>0.1</v>
      </c>
      <c r="D9" s="306">
        <v>1002504.8429862767</v>
      </c>
      <c r="E9" s="307">
        <v>0.5169944832067271</v>
      </c>
      <c r="F9" s="272">
        <v>0.12</v>
      </c>
    </row>
    <row r="10" spans="2:6" ht="12.75">
      <c r="B10" s="271" t="s">
        <v>689</v>
      </c>
      <c r="C10" s="309">
        <v>-0.1</v>
      </c>
      <c r="D10" s="306">
        <v>81204.60432839574</v>
      </c>
      <c r="E10" s="307">
        <v>0.16058262698588513</v>
      </c>
      <c r="F10" s="308"/>
    </row>
    <row r="11" spans="2:6" ht="12.75">
      <c r="B11" s="271" t="s">
        <v>693</v>
      </c>
      <c r="C11" s="309">
        <v>0.1</v>
      </c>
      <c r="D11" s="306">
        <v>187584.3315936731</v>
      </c>
      <c r="E11" s="307">
        <v>0.20026398105769538</v>
      </c>
      <c r="F11" s="272">
        <v>0.1529</v>
      </c>
    </row>
    <row r="12" spans="2:6" ht="12.75">
      <c r="B12" s="271" t="s">
        <v>693</v>
      </c>
      <c r="C12" s="309">
        <v>-0.1</v>
      </c>
      <c r="D12" s="306">
        <v>896125.1157209984</v>
      </c>
      <c r="E12" s="307">
        <v>0.507631172873317</v>
      </c>
      <c r="F12" s="308"/>
    </row>
    <row r="13" spans="2:6" ht="12.75">
      <c r="B13" s="271" t="s">
        <v>691</v>
      </c>
      <c r="C13" s="309">
        <v>0.1</v>
      </c>
      <c r="D13" s="306">
        <v>524582.7951929383</v>
      </c>
      <c r="E13" s="307">
        <v>0.3410159793302647</v>
      </c>
      <c r="F13" s="278">
        <v>3.1372</v>
      </c>
    </row>
    <row r="14" spans="2:6" ht="13.5" thickBot="1">
      <c r="B14" s="273" t="s">
        <v>690</v>
      </c>
      <c r="C14" s="310">
        <v>-0.1</v>
      </c>
      <c r="D14" s="311">
        <v>559126.6521217335</v>
      </c>
      <c r="E14" s="312">
        <v>0.3559124154392</v>
      </c>
      <c r="F14" s="313"/>
    </row>
    <row r="15" ht="12.75">
      <c r="B15" s="410" t="s">
        <v>996</v>
      </c>
    </row>
    <row r="29" ht="12.75">
      <c r="E29" s="16"/>
    </row>
  </sheetData>
  <mergeCells count="2">
    <mergeCell ref="B5:F5"/>
    <mergeCell ref="B4:F4"/>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H29"/>
  <sheetViews>
    <sheetView zoomScale="95" zoomScaleNormal="95" workbookViewId="0" topLeftCell="A2">
      <selection activeCell="H25" sqref="H25"/>
    </sheetView>
  </sheetViews>
  <sheetFormatPr defaultColWidth="11.421875" defaultRowHeight="12.75"/>
  <cols>
    <col min="1" max="1" width="48.57421875" style="266" bestFit="1" customWidth="1"/>
    <col min="2" max="5" width="11.421875" style="266" customWidth="1"/>
    <col min="6" max="6" width="10.421875" style="266" bestFit="1" customWidth="1"/>
    <col min="7" max="16384" width="11.421875" style="266" customWidth="1"/>
  </cols>
  <sheetData>
    <row r="1" ht="12.75" hidden="1">
      <c r="B1" s="266">
        <v>0.04</v>
      </c>
    </row>
    <row r="4" spans="1:8" ht="12.75">
      <c r="A4" s="754" t="s">
        <v>728</v>
      </c>
      <c r="B4" s="754"/>
      <c r="C4" s="754"/>
      <c r="D4" s="754"/>
      <c r="E4" s="754"/>
      <c r="F4" s="754"/>
      <c r="G4" s="754"/>
      <c r="H4" s="754"/>
    </row>
    <row r="5" spans="1:8" ht="12.75">
      <c r="A5" s="765" t="s">
        <v>676</v>
      </c>
      <c r="B5" s="765"/>
      <c r="C5" s="765"/>
      <c r="D5" s="765"/>
      <c r="E5" s="765"/>
      <c r="F5" s="765"/>
      <c r="G5" s="765"/>
      <c r="H5" s="765"/>
    </row>
    <row r="6" ht="13.5" thickBot="1"/>
    <row r="7" spans="1:8" ht="12.75">
      <c r="A7" s="301"/>
      <c r="B7" s="149">
        <v>0</v>
      </c>
      <c r="C7" s="149">
        <v>0</v>
      </c>
      <c r="D7" s="149">
        <v>1</v>
      </c>
      <c r="E7" s="149">
        <v>2</v>
      </c>
      <c r="F7" s="149">
        <v>3</v>
      </c>
      <c r="G7" s="149">
        <v>4</v>
      </c>
      <c r="H7" s="150">
        <v>5</v>
      </c>
    </row>
    <row r="8" spans="1:8" ht="12.75">
      <c r="A8" s="277"/>
      <c r="B8" s="154">
        <v>2008</v>
      </c>
      <c r="C8" s="154">
        <v>2008</v>
      </c>
      <c r="D8" s="154">
        <v>2009</v>
      </c>
      <c r="E8" s="154">
        <v>2010</v>
      </c>
      <c r="F8" s="154">
        <v>2011</v>
      </c>
      <c r="G8" s="154">
        <v>2012</v>
      </c>
      <c r="H8" s="156">
        <v>2013</v>
      </c>
    </row>
    <row r="9" spans="1:8" ht="12.75">
      <c r="A9" s="277" t="s">
        <v>615</v>
      </c>
      <c r="B9" s="264">
        <v>250000</v>
      </c>
      <c r="C9" s="712"/>
      <c r="D9" s="713"/>
      <c r="E9" s="713"/>
      <c r="F9" s="713"/>
      <c r="G9" s="713"/>
      <c r="H9" s="714"/>
    </row>
    <row r="10" spans="1:8" ht="12.75">
      <c r="A10" s="277" t="s">
        <v>616</v>
      </c>
      <c r="B10" s="264">
        <v>1500</v>
      </c>
      <c r="C10" s="715"/>
      <c r="D10" s="716"/>
      <c r="E10" s="716"/>
      <c r="F10" s="716"/>
      <c r="G10" s="716"/>
      <c r="H10" s="717"/>
    </row>
    <row r="11" spans="1:8" ht="12.75">
      <c r="A11" s="277" t="s">
        <v>732</v>
      </c>
      <c r="B11" s="264">
        <v>2000</v>
      </c>
      <c r="C11" s="715"/>
      <c r="D11" s="716"/>
      <c r="E11" s="716"/>
      <c r="F11" s="716"/>
      <c r="G11" s="716"/>
      <c r="H11" s="717"/>
    </row>
    <row r="12" spans="1:8" ht="12.75">
      <c r="A12" s="277" t="s">
        <v>617</v>
      </c>
      <c r="B12" s="264">
        <f>B9*0.001</f>
        <v>250</v>
      </c>
      <c r="C12" s="718"/>
      <c r="D12" s="763"/>
      <c r="E12" s="763"/>
      <c r="F12" s="763"/>
      <c r="G12" s="763"/>
      <c r="H12" s="764"/>
    </row>
    <row r="13" spans="1:8" ht="12.75">
      <c r="A13" s="277" t="s">
        <v>614</v>
      </c>
      <c r="B13" s="264">
        <f>B12*12</f>
        <v>3000</v>
      </c>
      <c r="C13" s="264">
        <f>B13/2</f>
        <v>1500</v>
      </c>
      <c r="D13" s="264">
        <f>B13</f>
        <v>3000</v>
      </c>
      <c r="E13" s="264">
        <f>D13</f>
        <v>3000</v>
      </c>
      <c r="F13" s="264">
        <f>E13</f>
        <v>3000</v>
      </c>
      <c r="G13" s="264">
        <f>F13</f>
        <v>3000</v>
      </c>
      <c r="H13" s="291">
        <f>G13</f>
        <v>3000</v>
      </c>
    </row>
    <row r="14" spans="1:8" ht="13.5" thickBot="1">
      <c r="A14" s="51" t="s">
        <v>618</v>
      </c>
      <c r="B14" s="52">
        <f>-(B10+B11)</f>
        <v>-3500</v>
      </c>
      <c r="C14" s="52">
        <f aca="true" t="shared" si="0" ref="C14:H14">-C13</f>
        <v>-1500</v>
      </c>
      <c r="D14" s="52">
        <f t="shared" si="0"/>
        <v>-3000</v>
      </c>
      <c r="E14" s="52">
        <f t="shared" si="0"/>
        <v>-3000</v>
      </c>
      <c r="F14" s="52">
        <f t="shared" si="0"/>
        <v>-3000</v>
      </c>
      <c r="G14" s="52">
        <f t="shared" si="0"/>
        <v>-3000</v>
      </c>
      <c r="H14" s="39">
        <f t="shared" si="0"/>
        <v>-3000</v>
      </c>
    </row>
    <row r="15" ht="12.75">
      <c r="A15" s="266" t="s">
        <v>996</v>
      </c>
    </row>
    <row r="29" ht="12.75">
      <c r="E29" s="78"/>
    </row>
  </sheetData>
  <sheetProtection/>
  <mergeCells count="3">
    <mergeCell ref="C9:H12"/>
    <mergeCell ref="A5:H5"/>
    <mergeCell ref="A4:H4"/>
  </mergeCells>
  <printOptions horizontalCentered="1" verticalCentered="1"/>
  <pageMargins left="0.7874015748031497" right="0.7874015748031497" top="0.984251968503937" bottom="0.984251968503937" header="0" footer="0"/>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106"/>
  <sheetViews>
    <sheetView zoomScale="95" zoomScaleNormal="95" workbookViewId="0" topLeftCell="A10">
      <selection activeCell="H25" sqref="H25"/>
    </sheetView>
  </sheetViews>
  <sheetFormatPr defaultColWidth="11.421875" defaultRowHeight="12.75"/>
  <cols>
    <col min="1" max="1" width="31.00390625" style="24" customWidth="1"/>
    <col min="2" max="5" width="11.421875" style="24" customWidth="1"/>
    <col min="6" max="6" width="17.00390625" style="24" customWidth="1"/>
    <col min="7" max="16384" width="11.421875" style="24" customWidth="1"/>
  </cols>
  <sheetData>
    <row r="1" spans="1:8" ht="12.75">
      <c r="A1" s="741" t="s">
        <v>702</v>
      </c>
      <c r="B1" s="741"/>
      <c r="C1" s="741"/>
      <c r="D1" s="741"/>
      <c r="E1" s="741"/>
      <c r="F1" s="741"/>
      <c r="G1" s="741"/>
      <c r="H1" s="741"/>
    </row>
    <row r="2" spans="1:8" ht="12.75">
      <c r="A2" s="741" t="s">
        <v>703</v>
      </c>
      <c r="B2" s="741"/>
      <c r="C2" s="741"/>
      <c r="D2" s="741"/>
      <c r="E2" s="741"/>
      <c r="F2" s="741"/>
      <c r="G2" s="741"/>
      <c r="H2" s="741"/>
    </row>
    <row r="3" ht="13.5" thickBot="1">
      <c r="F3" s="25"/>
    </row>
    <row r="4" spans="1:8" s="26" customFormat="1" ht="36" customHeight="1" thickBot="1">
      <c r="A4" s="404" t="s">
        <v>81</v>
      </c>
      <c r="B4" s="405" t="s">
        <v>82</v>
      </c>
      <c r="C4" s="405" t="s">
        <v>83</v>
      </c>
      <c r="D4" s="405" t="s">
        <v>84</v>
      </c>
      <c r="E4" s="405" t="s">
        <v>85</v>
      </c>
      <c r="F4" s="405" t="s">
        <v>86</v>
      </c>
      <c r="G4" s="405" t="s">
        <v>87</v>
      </c>
      <c r="H4" s="406" t="s">
        <v>88</v>
      </c>
    </row>
    <row r="5" spans="1:8" ht="12.75">
      <c r="A5" s="170" t="s">
        <v>89</v>
      </c>
      <c r="B5" s="171">
        <v>36</v>
      </c>
      <c r="C5" s="171">
        <v>0.99</v>
      </c>
      <c r="D5" s="172">
        <v>0.2225</v>
      </c>
      <c r="E5" s="172">
        <v>0.1196</v>
      </c>
      <c r="F5" s="171">
        <v>0.83</v>
      </c>
      <c r="G5" s="172">
        <v>0.0685</v>
      </c>
      <c r="H5" s="173">
        <v>0.89</v>
      </c>
    </row>
    <row r="6" spans="1:8" s="29" customFormat="1" ht="24.75" customHeight="1">
      <c r="A6" s="407" t="s">
        <v>90</v>
      </c>
      <c r="B6" s="28">
        <v>73</v>
      </c>
      <c r="C6" s="28">
        <v>0.92</v>
      </c>
      <c r="D6" s="31">
        <v>0.2081</v>
      </c>
      <c r="E6" s="31">
        <v>0.2177</v>
      </c>
      <c r="F6" s="28">
        <v>0.79</v>
      </c>
      <c r="G6" s="31">
        <v>0.0635</v>
      </c>
      <c r="H6" s="167">
        <v>0.84</v>
      </c>
    </row>
    <row r="7" spans="1:8" ht="12.75">
      <c r="A7" s="165" t="s">
        <v>91</v>
      </c>
      <c r="B7" s="27">
        <v>56</v>
      </c>
      <c r="C7" s="241">
        <v>1.38</v>
      </c>
      <c r="D7" s="30">
        <v>0.4216</v>
      </c>
      <c r="E7" s="30">
        <v>0.194</v>
      </c>
      <c r="F7" s="27">
        <v>1.03</v>
      </c>
      <c r="G7" s="30">
        <v>0.1195</v>
      </c>
      <c r="H7" s="166">
        <v>1.17</v>
      </c>
    </row>
    <row r="8" spans="1:8" ht="12.75">
      <c r="A8" s="165" t="s">
        <v>92</v>
      </c>
      <c r="B8" s="27">
        <v>64</v>
      </c>
      <c r="C8" s="241">
        <v>0.93</v>
      </c>
      <c r="D8" s="30">
        <v>0.1339</v>
      </c>
      <c r="E8" s="30">
        <v>0.216</v>
      </c>
      <c r="F8" s="27">
        <v>0.84</v>
      </c>
      <c r="G8" s="30">
        <v>0.0546</v>
      </c>
      <c r="H8" s="166">
        <v>0.89</v>
      </c>
    </row>
    <row r="9" spans="1:8" ht="12.75">
      <c r="A9" s="165" t="s">
        <v>93</v>
      </c>
      <c r="B9" s="27">
        <v>31</v>
      </c>
      <c r="C9" s="27">
        <v>1.29</v>
      </c>
      <c r="D9" s="30">
        <v>1.258</v>
      </c>
      <c r="E9" s="30">
        <v>0.189</v>
      </c>
      <c r="F9" s="27">
        <v>0.64</v>
      </c>
      <c r="G9" s="30">
        <v>0.1163</v>
      </c>
      <c r="H9" s="166">
        <v>0.72</v>
      </c>
    </row>
    <row r="10" spans="1:8" ht="12.75">
      <c r="A10" s="165" t="s">
        <v>94</v>
      </c>
      <c r="B10" s="27">
        <v>64</v>
      </c>
      <c r="C10" s="27">
        <v>0.99</v>
      </c>
      <c r="D10" s="30">
        <v>0.5249</v>
      </c>
      <c r="E10" s="30">
        <v>0.1893</v>
      </c>
      <c r="F10" s="27">
        <v>0.69</v>
      </c>
      <c r="G10" s="30">
        <v>0.0969</v>
      </c>
      <c r="H10" s="166">
        <v>0.77</v>
      </c>
    </row>
    <row r="11" spans="1:8" ht="12.75">
      <c r="A11" s="165" t="s">
        <v>95</v>
      </c>
      <c r="B11" s="27">
        <v>550</v>
      </c>
      <c r="C11" s="27">
        <v>0.59</v>
      </c>
      <c r="D11" s="30">
        <v>0.5459</v>
      </c>
      <c r="E11" s="30">
        <v>0.2781</v>
      </c>
      <c r="F11" s="27">
        <v>0.43</v>
      </c>
      <c r="G11" s="30">
        <v>0.102</v>
      </c>
      <c r="H11" s="166">
        <v>0.47</v>
      </c>
    </row>
    <row r="12" spans="1:8" ht="12.75">
      <c r="A12" s="165" t="s">
        <v>96</v>
      </c>
      <c r="B12" s="27">
        <v>7</v>
      </c>
      <c r="C12" s="27">
        <v>0.72</v>
      </c>
      <c r="D12" s="30">
        <v>0.1007</v>
      </c>
      <c r="E12" s="30">
        <v>0.2441</v>
      </c>
      <c r="F12" s="27">
        <v>0.67</v>
      </c>
      <c r="G12" s="30">
        <v>0.0478</v>
      </c>
      <c r="H12" s="166">
        <v>0.7</v>
      </c>
    </row>
    <row r="13" spans="1:8" ht="12.75">
      <c r="A13" s="165" t="s">
        <v>97</v>
      </c>
      <c r="B13" s="27">
        <v>4</v>
      </c>
      <c r="C13" s="27">
        <v>1.78</v>
      </c>
      <c r="D13" s="27" t="s">
        <v>98</v>
      </c>
      <c r="E13" s="30">
        <v>0</v>
      </c>
      <c r="F13" s="27" t="s">
        <v>98</v>
      </c>
      <c r="G13" s="27" t="s">
        <v>98</v>
      </c>
      <c r="H13" s="166" t="s">
        <v>98</v>
      </c>
    </row>
    <row r="14" spans="1:8" ht="12.75">
      <c r="A14" s="165" t="s">
        <v>99</v>
      </c>
      <c r="B14" s="27">
        <v>37</v>
      </c>
      <c r="C14" s="27">
        <v>0.79</v>
      </c>
      <c r="D14" s="30">
        <v>0.6147</v>
      </c>
      <c r="E14" s="30">
        <v>0.2914</v>
      </c>
      <c r="F14" s="27">
        <v>0.55</v>
      </c>
      <c r="G14" s="30">
        <v>0.0886</v>
      </c>
      <c r="H14" s="166">
        <v>0.61</v>
      </c>
    </row>
    <row r="15" spans="1:8" ht="12.75">
      <c r="A15" s="165" t="s">
        <v>100</v>
      </c>
      <c r="B15" s="27">
        <v>27</v>
      </c>
      <c r="C15" s="27">
        <v>0.66</v>
      </c>
      <c r="D15" s="30">
        <v>0.2356</v>
      </c>
      <c r="E15" s="30">
        <v>0.153</v>
      </c>
      <c r="F15" s="27">
        <v>0.55</v>
      </c>
      <c r="G15" s="30">
        <v>0.0167</v>
      </c>
      <c r="H15" s="166"/>
    </row>
    <row r="16" spans="1:8" ht="12.75">
      <c r="A16" s="165" t="s">
        <v>101</v>
      </c>
      <c r="B16" s="27">
        <v>21</v>
      </c>
      <c r="C16" s="27">
        <v>0.71</v>
      </c>
      <c r="D16" s="30">
        <v>0.1363</v>
      </c>
      <c r="E16" s="30">
        <v>0.1774</v>
      </c>
      <c r="F16" s="27">
        <v>0.63</v>
      </c>
      <c r="G16" s="30">
        <v>0.0375</v>
      </c>
      <c r="H16" s="166">
        <v>0.66</v>
      </c>
    </row>
    <row r="17" spans="1:8" ht="12.75">
      <c r="A17" s="165" t="s">
        <v>102</v>
      </c>
      <c r="B17" s="27">
        <v>105</v>
      </c>
      <c r="C17" s="27">
        <v>1.56</v>
      </c>
      <c r="D17" s="30">
        <v>0.0439</v>
      </c>
      <c r="E17" s="30">
        <v>0.0441</v>
      </c>
      <c r="F17" s="27">
        <v>1.5</v>
      </c>
      <c r="G17" s="30">
        <v>0.0665</v>
      </c>
      <c r="H17" s="166">
        <v>1.61</v>
      </c>
    </row>
    <row r="18" spans="1:8" ht="12.75">
      <c r="A18" s="165" t="s">
        <v>103</v>
      </c>
      <c r="B18" s="27">
        <v>47</v>
      </c>
      <c r="C18" s="27">
        <v>0.98</v>
      </c>
      <c r="D18" s="30">
        <v>0.3354</v>
      </c>
      <c r="E18" s="30">
        <v>0.2355</v>
      </c>
      <c r="F18" s="27">
        <v>0.78</v>
      </c>
      <c r="G18" s="30">
        <v>0.1448</v>
      </c>
      <c r="H18" s="166">
        <v>0.91</v>
      </c>
    </row>
    <row r="19" spans="1:8" ht="12.75">
      <c r="A19" s="165" t="s">
        <v>104</v>
      </c>
      <c r="B19" s="27">
        <v>23</v>
      </c>
      <c r="C19" s="27">
        <v>1.76</v>
      </c>
      <c r="D19" s="30">
        <v>0.3889</v>
      </c>
      <c r="E19" s="30">
        <v>0.139</v>
      </c>
      <c r="F19" s="27">
        <v>1.31</v>
      </c>
      <c r="G19" s="30">
        <v>0.0242</v>
      </c>
      <c r="H19" s="166">
        <v>1.35</v>
      </c>
    </row>
    <row r="20" spans="1:8" ht="12.75">
      <c r="A20" s="165" t="s">
        <v>105</v>
      </c>
      <c r="B20" s="27">
        <v>14</v>
      </c>
      <c r="C20" s="27">
        <v>0.73</v>
      </c>
      <c r="D20" s="30">
        <v>0.1427</v>
      </c>
      <c r="E20" s="30">
        <v>0.3019</v>
      </c>
      <c r="F20" s="27">
        <v>0.66</v>
      </c>
      <c r="G20" s="30">
        <v>0.0128</v>
      </c>
      <c r="H20" s="166">
        <v>0.67</v>
      </c>
    </row>
    <row r="21" spans="1:8" ht="12.75">
      <c r="A21" s="165" t="s">
        <v>106</v>
      </c>
      <c r="B21" s="27">
        <v>13</v>
      </c>
      <c r="C21" s="27">
        <v>1.02</v>
      </c>
      <c r="D21" s="30">
        <v>0.2635</v>
      </c>
      <c r="E21" s="30">
        <v>0.2629</v>
      </c>
      <c r="F21" s="27">
        <v>0.85</v>
      </c>
      <c r="G21" s="30">
        <v>0.0261</v>
      </c>
      <c r="H21" s="166">
        <v>0.87</v>
      </c>
    </row>
    <row r="22" spans="1:8" ht="12.75">
      <c r="A22" s="165" t="s">
        <v>107</v>
      </c>
      <c r="B22" s="27">
        <v>24</v>
      </c>
      <c r="C22" s="27">
        <v>0.98</v>
      </c>
      <c r="D22" s="30">
        <v>0.2764</v>
      </c>
      <c r="E22" s="30">
        <v>0.1331</v>
      </c>
      <c r="F22" s="27">
        <v>0.79</v>
      </c>
      <c r="G22" s="30">
        <v>0.0508</v>
      </c>
      <c r="H22" s="166">
        <v>0.83</v>
      </c>
    </row>
    <row r="23" spans="1:8" ht="12.75">
      <c r="A23" s="165" t="s">
        <v>108</v>
      </c>
      <c r="B23" s="27">
        <v>36</v>
      </c>
      <c r="C23" s="27">
        <v>0.97</v>
      </c>
      <c r="D23" s="30">
        <v>0.1632</v>
      </c>
      <c r="E23" s="30">
        <v>0.2587</v>
      </c>
      <c r="F23" s="27">
        <v>0.86</v>
      </c>
      <c r="G23" s="30">
        <v>0.0374</v>
      </c>
      <c r="H23" s="166">
        <v>0.9</v>
      </c>
    </row>
    <row r="24" spans="1:8" ht="12.75">
      <c r="A24" s="165" t="s">
        <v>110</v>
      </c>
      <c r="B24" s="27">
        <v>94</v>
      </c>
      <c r="C24" s="27">
        <v>0.98</v>
      </c>
      <c r="D24" s="30">
        <v>0.2154</v>
      </c>
      <c r="E24" s="30">
        <v>0.1908</v>
      </c>
      <c r="F24" s="27">
        <v>0.84</v>
      </c>
      <c r="G24" s="30">
        <v>0.0325</v>
      </c>
      <c r="H24" s="166">
        <v>0.87</v>
      </c>
    </row>
    <row r="25" spans="1:8" ht="12.75">
      <c r="A25" s="165" t="s">
        <v>111</v>
      </c>
      <c r="B25" s="27">
        <v>16</v>
      </c>
      <c r="C25" s="27">
        <v>1.75</v>
      </c>
      <c r="D25" s="30">
        <v>0.1596</v>
      </c>
      <c r="E25" s="30">
        <v>0.1164</v>
      </c>
      <c r="F25" s="27">
        <v>1.53</v>
      </c>
      <c r="G25" s="30">
        <v>0.0411</v>
      </c>
      <c r="H25" s="166">
        <v>1.6</v>
      </c>
    </row>
    <row r="26" spans="1:8" ht="12.75">
      <c r="A26" s="165" t="s">
        <v>112</v>
      </c>
      <c r="B26" s="27">
        <v>425</v>
      </c>
      <c r="C26" s="27">
        <v>1.84</v>
      </c>
      <c r="D26" s="30">
        <v>0.0356</v>
      </c>
      <c r="E26" s="30">
        <v>0.1036</v>
      </c>
      <c r="F26" s="27">
        <v>1.79</v>
      </c>
      <c r="G26" s="30">
        <v>0.1049</v>
      </c>
      <c r="H26" s="166">
        <v>2</v>
      </c>
    </row>
    <row r="27" spans="1:8" ht="12.75">
      <c r="A27" s="165" t="s">
        <v>113</v>
      </c>
      <c r="B27" s="27">
        <v>148</v>
      </c>
      <c r="C27" s="27">
        <v>1.99</v>
      </c>
      <c r="D27" s="30">
        <v>0.0668</v>
      </c>
      <c r="E27" s="30">
        <v>0.0784</v>
      </c>
      <c r="F27" s="27">
        <v>1.88</v>
      </c>
      <c r="G27" s="30">
        <v>0.1211</v>
      </c>
      <c r="H27" s="166">
        <v>2.14</v>
      </c>
    </row>
    <row r="28" spans="1:8" ht="12.75">
      <c r="A28" s="165" t="s">
        <v>114</v>
      </c>
      <c r="B28" s="27">
        <v>134</v>
      </c>
      <c r="C28" s="27">
        <v>0.87</v>
      </c>
      <c r="D28" s="30">
        <v>0.226</v>
      </c>
      <c r="E28" s="30">
        <v>0.1887</v>
      </c>
      <c r="F28" s="27">
        <v>0.74</v>
      </c>
      <c r="G28" s="30">
        <v>0.0595</v>
      </c>
      <c r="H28" s="166">
        <v>0.79</v>
      </c>
    </row>
    <row r="29" spans="1:8" ht="12.75">
      <c r="A29" s="165" t="s">
        <v>115</v>
      </c>
      <c r="B29" s="27">
        <v>334</v>
      </c>
      <c r="C29" s="27">
        <v>1.59</v>
      </c>
      <c r="D29" s="30">
        <v>0.0936</v>
      </c>
      <c r="E29" s="543">
        <v>0.0609</v>
      </c>
      <c r="F29" s="27">
        <v>1.46</v>
      </c>
      <c r="G29" s="30">
        <v>0.0853</v>
      </c>
      <c r="H29" s="166">
        <v>1.6</v>
      </c>
    </row>
    <row r="30" spans="1:8" ht="12.75">
      <c r="A30" s="165" t="s">
        <v>116</v>
      </c>
      <c r="B30" s="27">
        <v>60</v>
      </c>
      <c r="C30" s="27">
        <v>2.23</v>
      </c>
      <c r="D30" s="30">
        <v>0.0386</v>
      </c>
      <c r="E30" s="30">
        <v>0.0938</v>
      </c>
      <c r="F30" s="27">
        <v>2.15</v>
      </c>
      <c r="G30" s="30">
        <v>0.14</v>
      </c>
      <c r="H30" s="166">
        <v>2.5</v>
      </c>
    </row>
    <row r="31" spans="1:8" ht="12.75">
      <c r="A31" s="165" t="s">
        <v>117</v>
      </c>
      <c r="B31" s="27">
        <v>37</v>
      </c>
      <c r="C31" s="27">
        <v>1.09</v>
      </c>
      <c r="D31" s="30">
        <v>0.0265</v>
      </c>
      <c r="E31" s="30">
        <v>0.2095</v>
      </c>
      <c r="F31" s="27">
        <v>1.06</v>
      </c>
      <c r="G31" s="30">
        <v>0.0899</v>
      </c>
      <c r="H31" s="166">
        <v>1.17</v>
      </c>
    </row>
    <row r="32" spans="1:8" ht="12.75">
      <c r="A32" s="165" t="s">
        <v>118</v>
      </c>
      <c r="B32" s="27">
        <v>24</v>
      </c>
      <c r="C32" s="27">
        <v>0.94</v>
      </c>
      <c r="D32" s="30">
        <v>0.6987</v>
      </c>
      <c r="E32" s="30">
        <v>0.2693</v>
      </c>
      <c r="F32" s="27">
        <v>0.62</v>
      </c>
      <c r="G32" s="30">
        <v>0.0166</v>
      </c>
      <c r="H32" s="166">
        <v>0.63</v>
      </c>
    </row>
    <row r="33" spans="1:8" ht="12.75">
      <c r="A33" s="165" t="s">
        <v>119</v>
      </c>
      <c r="B33" s="27">
        <v>29</v>
      </c>
      <c r="C33" s="27">
        <v>0.87</v>
      </c>
      <c r="D33" s="30">
        <v>0.5629</v>
      </c>
      <c r="E33" s="30">
        <v>0.2801</v>
      </c>
      <c r="F33" s="27">
        <v>0.62</v>
      </c>
      <c r="G33" s="30">
        <v>0.0126</v>
      </c>
      <c r="H33" s="166">
        <v>0.63</v>
      </c>
    </row>
    <row r="34" spans="1:8" ht="12.75">
      <c r="A34" s="165" t="s">
        <v>120</v>
      </c>
      <c r="B34" s="27">
        <v>16</v>
      </c>
      <c r="C34" s="27">
        <v>0.97</v>
      </c>
      <c r="D34" s="30">
        <v>0.588</v>
      </c>
      <c r="E34" s="30">
        <v>0.2887</v>
      </c>
      <c r="F34" s="27">
        <v>0.68</v>
      </c>
      <c r="G34" s="30">
        <v>0.0326</v>
      </c>
      <c r="H34" s="166">
        <v>0.71</v>
      </c>
    </row>
    <row r="35" spans="1:8" ht="12.75">
      <c r="A35" s="165" t="s">
        <v>121</v>
      </c>
      <c r="B35" s="27">
        <v>94</v>
      </c>
      <c r="C35" s="27">
        <v>1.52</v>
      </c>
      <c r="D35" s="30">
        <v>0.726</v>
      </c>
      <c r="E35" s="30">
        <v>0.1547</v>
      </c>
      <c r="F35" s="27">
        <v>0.94</v>
      </c>
      <c r="G35" s="30">
        <v>0.0773</v>
      </c>
      <c r="H35" s="166">
        <v>1.02</v>
      </c>
    </row>
    <row r="36" spans="1:8" ht="12.75">
      <c r="A36" s="165" t="s">
        <v>122</v>
      </c>
      <c r="B36" s="27">
        <v>186</v>
      </c>
      <c r="C36" s="27">
        <v>1.49</v>
      </c>
      <c r="D36" s="30">
        <v>0.1454</v>
      </c>
      <c r="E36" s="30">
        <v>0.1304</v>
      </c>
      <c r="F36" s="27">
        <v>1.33</v>
      </c>
      <c r="G36" s="30">
        <v>0.1411</v>
      </c>
      <c r="H36" s="166">
        <v>1.54</v>
      </c>
    </row>
    <row r="37" spans="1:8" ht="12.75">
      <c r="A37" s="165" t="s">
        <v>123</v>
      </c>
      <c r="B37" s="27">
        <v>101</v>
      </c>
      <c r="C37" s="27">
        <v>1.3</v>
      </c>
      <c r="D37" s="30">
        <v>0.2612</v>
      </c>
      <c r="E37" s="30">
        <v>0.1669</v>
      </c>
      <c r="F37" s="27">
        <v>1.07</v>
      </c>
      <c r="G37" s="30">
        <v>0.0453</v>
      </c>
      <c r="H37" s="166">
        <v>1.12</v>
      </c>
    </row>
    <row r="38" spans="1:8" ht="12.75">
      <c r="A38" s="165" t="s">
        <v>124</v>
      </c>
      <c r="B38" s="27">
        <v>31</v>
      </c>
      <c r="C38" s="27">
        <v>2.18</v>
      </c>
      <c r="D38" s="30">
        <v>0.0338</v>
      </c>
      <c r="E38" s="30">
        <v>0.1021</v>
      </c>
      <c r="F38" s="27">
        <v>2.12</v>
      </c>
      <c r="G38" s="30">
        <v>0.169</v>
      </c>
      <c r="H38" s="166">
        <v>2.55</v>
      </c>
    </row>
    <row r="39" spans="1:8" ht="12.75">
      <c r="A39" s="165" t="s">
        <v>125</v>
      </c>
      <c r="B39" s="27">
        <v>96</v>
      </c>
      <c r="C39" s="27">
        <v>0.87</v>
      </c>
      <c r="D39" s="30">
        <v>0.4822</v>
      </c>
      <c r="E39" s="30">
        <v>0.0945</v>
      </c>
      <c r="F39" s="27">
        <v>0.6</v>
      </c>
      <c r="G39" s="30">
        <v>0.0214</v>
      </c>
      <c r="H39" s="166">
        <v>0.62</v>
      </c>
    </row>
    <row r="40" spans="1:8" ht="12.75">
      <c r="A40" s="165" t="s">
        <v>126</v>
      </c>
      <c r="B40" s="27">
        <v>269</v>
      </c>
      <c r="C40" s="27">
        <v>0.89</v>
      </c>
      <c r="D40" s="30">
        <v>1.324</v>
      </c>
      <c r="E40" s="30">
        <v>0.1972</v>
      </c>
      <c r="F40" s="27">
        <v>0.43</v>
      </c>
      <c r="G40" s="30">
        <v>0.0692</v>
      </c>
      <c r="H40" s="166">
        <v>0.47</v>
      </c>
    </row>
    <row r="41" spans="1:8" ht="12.75">
      <c r="A41" s="165" t="s">
        <v>127</v>
      </c>
      <c r="B41" s="27">
        <v>123</v>
      </c>
      <c r="C41" s="27">
        <v>0.72</v>
      </c>
      <c r="D41" s="30">
        <v>0.2239</v>
      </c>
      <c r="E41" s="30">
        <v>0.196</v>
      </c>
      <c r="F41" s="27">
        <v>0.61</v>
      </c>
      <c r="G41" s="30">
        <v>0.0253</v>
      </c>
      <c r="H41" s="166">
        <v>0.63</v>
      </c>
    </row>
    <row r="42" spans="1:8" ht="12.75">
      <c r="A42" s="700" t="s">
        <v>128</v>
      </c>
      <c r="B42" s="701">
        <v>21</v>
      </c>
      <c r="C42" s="701">
        <v>0.72</v>
      </c>
      <c r="D42" s="702">
        <v>0.2915</v>
      </c>
      <c r="E42" s="702">
        <v>0.2366</v>
      </c>
      <c r="F42" s="701">
        <v>0.59</v>
      </c>
      <c r="G42" s="702">
        <v>0.0502</v>
      </c>
      <c r="H42" s="703">
        <v>0.62</v>
      </c>
    </row>
    <row r="43" spans="1:8" ht="12.75">
      <c r="A43" s="165" t="s">
        <v>129</v>
      </c>
      <c r="B43" s="27">
        <v>10</v>
      </c>
      <c r="C43" s="27">
        <v>1.03</v>
      </c>
      <c r="D43" s="30">
        <v>0.2376</v>
      </c>
      <c r="E43" s="30">
        <v>0.4166</v>
      </c>
      <c r="F43" s="27">
        <v>0.9</v>
      </c>
      <c r="G43" s="30">
        <v>0.1559</v>
      </c>
      <c r="H43" s="166">
        <v>1.07</v>
      </c>
    </row>
    <row r="44" spans="1:8" ht="12.75">
      <c r="A44" s="165" t="s">
        <v>130</v>
      </c>
      <c r="B44" s="27">
        <v>38</v>
      </c>
      <c r="C44" s="27">
        <v>0.87</v>
      </c>
      <c r="D44" s="30">
        <v>0.3022</v>
      </c>
      <c r="E44" s="30">
        <v>0.2693</v>
      </c>
      <c r="F44" s="27">
        <v>0.71</v>
      </c>
      <c r="G44" s="30">
        <v>0.0445</v>
      </c>
      <c r="H44" s="166">
        <v>0.75</v>
      </c>
    </row>
    <row r="45" spans="1:8" ht="12.75">
      <c r="A45" s="165" t="s">
        <v>131</v>
      </c>
      <c r="B45" s="27">
        <v>19</v>
      </c>
      <c r="C45" s="27">
        <v>1.04</v>
      </c>
      <c r="D45" s="30">
        <v>0.3911</v>
      </c>
      <c r="E45" s="30">
        <v>0.2354</v>
      </c>
      <c r="F45" s="27">
        <v>0.8</v>
      </c>
      <c r="G45" s="30">
        <v>0.0543</v>
      </c>
      <c r="H45" s="166">
        <v>0.84</v>
      </c>
    </row>
    <row r="46" spans="1:8" ht="12.75">
      <c r="A46" s="165" t="s">
        <v>132</v>
      </c>
      <c r="B46" s="27">
        <v>34</v>
      </c>
      <c r="C46" s="27">
        <v>1.22</v>
      </c>
      <c r="D46" s="30">
        <v>0.103</v>
      </c>
      <c r="E46" s="30">
        <v>0.1007</v>
      </c>
      <c r="F46" s="27">
        <v>1.12</v>
      </c>
      <c r="G46" s="30">
        <v>0.085</v>
      </c>
      <c r="H46" s="166">
        <v>1.22</v>
      </c>
    </row>
    <row r="47" spans="1:8" ht="12.75">
      <c r="A47" s="165" t="s">
        <v>133</v>
      </c>
      <c r="B47" s="27">
        <v>14</v>
      </c>
      <c r="C47" s="27">
        <v>0.84</v>
      </c>
      <c r="D47" s="30">
        <v>0.1839</v>
      </c>
      <c r="E47" s="30">
        <v>0.1469</v>
      </c>
      <c r="F47" s="27">
        <v>0.73</v>
      </c>
      <c r="G47" s="30">
        <v>0.1122</v>
      </c>
      <c r="H47" s="166">
        <v>0.82</v>
      </c>
    </row>
    <row r="48" spans="1:8" ht="12.75">
      <c r="A48" s="165" t="s">
        <v>134</v>
      </c>
      <c r="B48" s="27">
        <v>41</v>
      </c>
      <c r="C48" s="27">
        <v>0.98</v>
      </c>
      <c r="D48" s="30">
        <v>0.6174</v>
      </c>
      <c r="E48" s="30">
        <v>0.2377</v>
      </c>
      <c r="F48" s="27">
        <v>0.67</v>
      </c>
      <c r="G48" s="30">
        <v>0.0551</v>
      </c>
      <c r="H48" s="166">
        <v>0.71</v>
      </c>
    </row>
    <row r="49" spans="1:8" ht="12.75">
      <c r="A49" s="165" t="s">
        <v>135</v>
      </c>
      <c r="B49" s="27">
        <v>84</v>
      </c>
      <c r="C49" s="27">
        <v>0.77</v>
      </c>
      <c r="D49" s="30">
        <v>0.3319</v>
      </c>
      <c r="E49" s="30">
        <v>0.1422</v>
      </c>
      <c r="F49" s="27">
        <v>0.6</v>
      </c>
      <c r="G49" s="30">
        <v>0.0299</v>
      </c>
      <c r="H49" s="166">
        <v>0.62</v>
      </c>
    </row>
    <row r="50" spans="1:8" ht="12.75">
      <c r="A50" s="165" t="s">
        <v>136</v>
      </c>
      <c r="B50" s="27">
        <v>31</v>
      </c>
      <c r="C50" s="27">
        <v>0.79</v>
      </c>
      <c r="D50" s="30">
        <v>0.1846</v>
      </c>
      <c r="E50" s="30">
        <v>0.2486</v>
      </c>
      <c r="F50" s="27">
        <v>0.69</v>
      </c>
      <c r="G50" s="30">
        <v>0.0274</v>
      </c>
      <c r="H50" s="166">
        <v>0.71</v>
      </c>
    </row>
    <row r="51" spans="1:8" ht="12.75">
      <c r="A51" s="165" t="s">
        <v>137</v>
      </c>
      <c r="B51" s="27">
        <v>35</v>
      </c>
      <c r="C51" s="27">
        <v>1.22</v>
      </c>
      <c r="D51" s="30">
        <v>0.0787</v>
      </c>
      <c r="E51" s="30">
        <v>0.2527</v>
      </c>
      <c r="F51" s="27">
        <v>1.15</v>
      </c>
      <c r="G51" s="30">
        <v>0.0829</v>
      </c>
      <c r="H51" s="166">
        <v>1.26</v>
      </c>
    </row>
    <row r="52" spans="1:8" ht="12.75">
      <c r="A52" s="165" t="s">
        <v>138</v>
      </c>
      <c r="B52" s="27">
        <v>230</v>
      </c>
      <c r="C52" s="27">
        <v>1.01</v>
      </c>
      <c r="D52" s="30">
        <v>0.1971</v>
      </c>
      <c r="E52" s="30">
        <v>0.1691</v>
      </c>
      <c r="F52" s="27">
        <v>0.86</v>
      </c>
      <c r="G52" s="30">
        <v>0.0602</v>
      </c>
      <c r="H52" s="166">
        <v>0.92</v>
      </c>
    </row>
    <row r="53" spans="1:8" ht="12.75">
      <c r="A53" s="165" t="s">
        <v>139</v>
      </c>
      <c r="B53" s="27">
        <v>41</v>
      </c>
      <c r="C53" s="27">
        <v>1.02</v>
      </c>
      <c r="D53" s="30">
        <v>0.0815</v>
      </c>
      <c r="E53" s="30">
        <v>0.1842</v>
      </c>
      <c r="F53" s="27">
        <v>0.95</v>
      </c>
      <c r="G53" s="30">
        <v>0.038</v>
      </c>
      <c r="H53" s="166">
        <v>0.99</v>
      </c>
    </row>
    <row r="54" spans="1:8" ht="12.75">
      <c r="A54" s="165" t="s">
        <v>140</v>
      </c>
      <c r="B54" s="27">
        <v>40</v>
      </c>
      <c r="C54" s="27">
        <v>0.93</v>
      </c>
      <c r="D54" s="30">
        <v>0.1315</v>
      </c>
      <c r="E54" s="30">
        <v>0.2366</v>
      </c>
      <c r="F54" s="27">
        <v>0.85</v>
      </c>
      <c r="G54" s="30">
        <v>0.1306</v>
      </c>
      <c r="H54" s="166">
        <v>0.98</v>
      </c>
    </row>
    <row r="55" spans="1:8" ht="12.75">
      <c r="A55" s="165" t="s">
        <v>141</v>
      </c>
      <c r="B55" s="27">
        <v>97</v>
      </c>
      <c r="C55" s="27">
        <v>0.83</v>
      </c>
      <c r="D55" s="30">
        <v>0.124</v>
      </c>
      <c r="E55" s="30">
        <v>0.1873</v>
      </c>
      <c r="F55" s="27">
        <v>0.75</v>
      </c>
      <c r="G55" s="30">
        <v>0.1433</v>
      </c>
      <c r="H55" s="166">
        <v>0.88</v>
      </c>
    </row>
    <row r="56" spans="1:8" ht="12.75">
      <c r="A56" s="165" t="s">
        <v>142</v>
      </c>
      <c r="B56" s="27">
        <v>329</v>
      </c>
      <c r="C56" s="27">
        <v>2.3</v>
      </c>
      <c r="D56" s="30">
        <v>0.0228</v>
      </c>
      <c r="E56" s="30">
        <v>0.0476</v>
      </c>
      <c r="F56" s="27">
        <v>2.25</v>
      </c>
      <c r="G56" s="30">
        <v>0.0855</v>
      </c>
      <c r="H56" s="166">
        <v>2.46</v>
      </c>
    </row>
    <row r="57" spans="1:8" ht="12.75">
      <c r="A57" s="165" t="s">
        <v>143</v>
      </c>
      <c r="B57" s="27">
        <v>20</v>
      </c>
      <c r="C57" s="27">
        <v>0.75</v>
      </c>
      <c r="D57" s="30">
        <v>1.0383</v>
      </c>
      <c r="E57" s="30">
        <v>0</v>
      </c>
      <c r="F57" s="27">
        <v>0.37</v>
      </c>
      <c r="G57" s="30">
        <v>0.0564</v>
      </c>
      <c r="H57" s="166">
        <v>0.39</v>
      </c>
    </row>
    <row r="58" spans="1:8" ht="12.75">
      <c r="A58" s="165" t="s">
        <v>144</v>
      </c>
      <c r="B58" s="27">
        <v>15</v>
      </c>
      <c r="C58" s="27">
        <v>1.21</v>
      </c>
      <c r="D58" s="30">
        <v>0.0409</v>
      </c>
      <c r="E58" s="30">
        <v>0.0249</v>
      </c>
      <c r="F58" s="27">
        <v>1.16</v>
      </c>
      <c r="G58" s="30">
        <v>0.0253</v>
      </c>
      <c r="H58" s="166">
        <v>1.19</v>
      </c>
    </row>
    <row r="59" spans="1:8" ht="12.75">
      <c r="A59" s="165" t="s">
        <v>145</v>
      </c>
      <c r="B59" s="27">
        <v>139</v>
      </c>
      <c r="C59" s="27">
        <v>1.01</v>
      </c>
      <c r="D59" s="30">
        <v>0.3126</v>
      </c>
      <c r="E59" s="30">
        <v>0.2052</v>
      </c>
      <c r="F59" s="27">
        <v>0.81</v>
      </c>
      <c r="G59" s="30">
        <v>0.0462</v>
      </c>
      <c r="H59" s="166">
        <v>0.84</v>
      </c>
    </row>
    <row r="60" spans="1:8" ht="12.75">
      <c r="A60" s="165" t="s">
        <v>146</v>
      </c>
      <c r="B60" s="27">
        <v>19</v>
      </c>
      <c r="C60" s="27">
        <v>0.99</v>
      </c>
      <c r="D60" s="30">
        <v>0.19</v>
      </c>
      <c r="E60" s="30">
        <v>0.1977</v>
      </c>
      <c r="F60" s="27">
        <v>0.86</v>
      </c>
      <c r="G60" s="30">
        <v>0.1103</v>
      </c>
      <c r="H60" s="166">
        <v>0.96</v>
      </c>
    </row>
    <row r="61" spans="1:8" ht="12.75">
      <c r="A61" s="165" t="s">
        <v>147</v>
      </c>
      <c r="B61" s="27">
        <v>46</v>
      </c>
      <c r="C61" s="27">
        <v>0.86</v>
      </c>
      <c r="D61" s="30">
        <v>0.6009</v>
      </c>
      <c r="E61" s="30">
        <v>0.0591</v>
      </c>
      <c r="F61" s="27">
        <v>0.55</v>
      </c>
      <c r="G61" s="30">
        <v>0.0439</v>
      </c>
      <c r="H61" s="166">
        <v>0.58</v>
      </c>
    </row>
    <row r="62" spans="1:8" ht="12.75">
      <c r="A62" s="165" t="s">
        <v>148</v>
      </c>
      <c r="B62" s="27">
        <v>186</v>
      </c>
      <c r="C62" s="27">
        <v>0.94</v>
      </c>
      <c r="D62" s="30">
        <v>0.1747</v>
      </c>
      <c r="E62" s="30">
        <v>0.1717</v>
      </c>
      <c r="F62" s="27">
        <v>0.82</v>
      </c>
      <c r="G62" s="30">
        <v>0.118</v>
      </c>
      <c r="H62" s="166">
        <v>0.93</v>
      </c>
    </row>
    <row r="63" spans="1:8" ht="12.75">
      <c r="A63" s="165" t="s">
        <v>149</v>
      </c>
      <c r="B63" s="27">
        <v>279</v>
      </c>
      <c r="C63" s="27">
        <v>1.11</v>
      </c>
      <c r="D63" s="30">
        <v>0.0647</v>
      </c>
      <c r="E63" s="30">
        <v>0.1316</v>
      </c>
      <c r="F63" s="27">
        <v>1.05</v>
      </c>
      <c r="G63" s="30">
        <v>0.0674</v>
      </c>
      <c r="H63" s="166">
        <v>1.12</v>
      </c>
    </row>
    <row r="64" spans="1:8" ht="12.75">
      <c r="A64" s="165" t="s">
        <v>150</v>
      </c>
      <c r="B64" s="27">
        <v>37</v>
      </c>
      <c r="C64" s="27">
        <v>1.01</v>
      </c>
      <c r="D64" s="30">
        <v>0.1588</v>
      </c>
      <c r="E64" s="30">
        <v>0.2489</v>
      </c>
      <c r="F64" s="27">
        <v>0.91</v>
      </c>
      <c r="G64" s="30">
        <v>0.0346</v>
      </c>
      <c r="H64" s="166">
        <v>0.94</v>
      </c>
    </row>
    <row r="65" spans="1:8" ht="12.75">
      <c r="A65" s="165" t="s">
        <v>151</v>
      </c>
      <c r="B65" s="27">
        <v>82</v>
      </c>
      <c r="C65" s="27">
        <v>1.04</v>
      </c>
      <c r="D65" s="30">
        <v>0.0874</v>
      </c>
      <c r="E65" s="30">
        <v>0.0781</v>
      </c>
      <c r="F65" s="27">
        <v>0.96</v>
      </c>
      <c r="G65" s="30">
        <v>0.0322</v>
      </c>
      <c r="H65" s="166">
        <v>0.99</v>
      </c>
    </row>
    <row r="66" spans="1:8" ht="12.75">
      <c r="A66" s="165" t="s">
        <v>152</v>
      </c>
      <c r="B66" s="27">
        <v>30</v>
      </c>
      <c r="C66" s="27">
        <v>0.73</v>
      </c>
      <c r="D66" s="30">
        <v>0.6093</v>
      </c>
      <c r="E66" s="30">
        <v>0.3018</v>
      </c>
      <c r="F66" s="27">
        <v>0.51</v>
      </c>
      <c r="G66" s="30">
        <v>0.026</v>
      </c>
      <c r="H66" s="166">
        <v>0.52</v>
      </c>
    </row>
    <row r="67" spans="1:8" ht="12.75">
      <c r="A67" s="165" t="s">
        <v>153</v>
      </c>
      <c r="B67" s="27">
        <v>34</v>
      </c>
      <c r="C67" s="27">
        <v>1.01</v>
      </c>
      <c r="D67" s="30">
        <v>0.4033</v>
      </c>
      <c r="E67" s="30">
        <v>0.2204</v>
      </c>
      <c r="F67" s="27">
        <v>0.77</v>
      </c>
      <c r="G67" s="30">
        <v>0.0391</v>
      </c>
      <c r="H67" s="166">
        <v>0.8</v>
      </c>
    </row>
    <row r="68" spans="1:8" ht="12.75">
      <c r="A68" s="165" t="s">
        <v>154</v>
      </c>
      <c r="B68" s="27">
        <v>18</v>
      </c>
      <c r="C68" s="27">
        <v>0.76</v>
      </c>
      <c r="D68" s="30">
        <v>0.3008</v>
      </c>
      <c r="E68" s="30">
        <v>0.2485</v>
      </c>
      <c r="F68" s="27">
        <v>0.62</v>
      </c>
      <c r="G68" s="30">
        <v>0.0153</v>
      </c>
      <c r="H68" s="166">
        <v>0.63</v>
      </c>
    </row>
    <row r="69" spans="1:8" ht="12.75">
      <c r="A69" s="165" t="s">
        <v>155</v>
      </c>
      <c r="B69" s="27">
        <v>26</v>
      </c>
      <c r="C69" s="27">
        <v>1.02</v>
      </c>
      <c r="D69" s="30">
        <v>0.2434</v>
      </c>
      <c r="E69" s="30">
        <v>0.2999</v>
      </c>
      <c r="F69" s="27">
        <v>0.87</v>
      </c>
      <c r="G69" s="30">
        <v>0.0601</v>
      </c>
      <c r="H69" s="166">
        <v>0.93</v>
      </c>
    </row>
    <row r="70" spans="1:8" ht="12.75">
      <c r="A70" s="165" t="s">
        <v>156</v>
      </c>
      <c r="B70" s="27">
        <v>110</v>
      </c>
      <c r="C70" s="27">
        <v>1.05</v>
      </c>
      <c r="D70" s="30">
        <v>0.1172</v>
      </c>
      <c r="E70" s="30">
        <v>0.2142</v>
      </c>
      <c r="F70" s="27">
        <v>0.96</v>
      </c>
      <c r="G70" s="30">
        <v>0.0433</v>
      </c>
      <c r="H70" s="166">
        <v>1.01</v>
      </c>
    </row>
    <row r="71" spans="1:8" ht="12.75">
      <c r="A71" s="165" t="s">
        <v>157</v>
      </c>
      <c r="B71" s="27">
        <v>36</v>
      </c>
      <c r="C71" s="27">
        <v>0.87</v>
      </c>
      <c r="D71" s="30">
        <v>0.5522</v>
      </c>
      <c r="E71" s="30">
        <v>0.254</v>
      </c>
      <c r="F71" s="27">
        <v>0.61</v>
      </c>
      <c r="G71" s="30">
        <v>0.036</v>
      </c>
      <c r="H71" s="166">
        <v>0.64</v>
      </c>
    </row>
    <row r="72" spans="1:8" ht="12.75">
      <c r="A72" s="165" t="s">
        <v>158</v>
      </c>
      <c r="B72" s="27">
        <v>42</v>
      </c>
      <c r="C72" s="27">
        <v>0.84</v>
      </c>
      <c r="D72" s="30">
        <v>0.565</v>
      </c>
      <c r="E72" s="30">
        <v>0.1572</v>
      </c>
      <c r="F72" s="27">
        <v>0.57</v>
      </c>
      <c r="G72" s="30">
        <v>0.0538</v>
      </c>
      <c r="H72" s="166">
        <v>0.6</v>
      </c>
    </row>
    <row r="73" spans="1:8" ht="12.75">
      <c r="A73" s="165" t="s">
        <v>159</v>
      </c>
      <c r="B73" s="27">
        <v>30</v>
      </c>
      <c r="C73" s="27">
        <v>0.96</v>
      </c>
      <c r="D73" s="30">
        <v>0.09</v>
      </c>
      <c r="E73" s="30">
        <v>0.2947</v>
      </c>
      <c r="F73" s="27">
        <v>0.9</v>
      </c>
      <c r="G73" s="30">
        <v>0.0516</v>
      </c>
      <c r="H73" s="166">
        <v>0.95</v>
      </c>
    </row>
    <row r="74" spans="1:8" ht="12.75">
      <c r="A74" s="165" t="s">
        <v>160</v>
      </c>
      <c r="B74" s="27">
        <v>178</v>
      </c>
      <c r="C74" s="27">
        <v>0.88</v>
      </c>
      <c r="D74" s="30">
        <v>0.1369</v>
      </c>
      <c r="E74" s="30">
        <v>0.1479</v>
      </c>
      <c r="F74" s="27">
        <v>0.79</v>
      </c>
      <c r="G74" s="30">
        <v>0.0171</v>
      </c>
      <c r="H74" s="166">
        <v>0.8</v>
      </c>
    </row>
    <row r="75" spans="1:8" ht="12.75">
      <c r="A75" s="165" t="s">
        <v>161</v>
      </c>
      <c r="B75" s="27">
        <v>20</v>
      </c>
      <c r="C75" s="27">
        <v>0.93</v>
      </c>
      <c r="D75" s="30">
        <v>0.0904</v>
      </c>
      <c r="E75" s="30">
        <v>0.2716</v>
      </c>
      <c r="F75" s="27">
        <v>0.88</v>
      </c>
      <c r="G75" s="30">
        <v>0.0359</v>
      </c>
      <c r="H75" s="166">
        <v>0.91</v>
      </c>
    </row>
    <row r="76" spans="1:8" ht="12.75">
      <c r="A76" s="165" t="s">
        <v>162</v>
      </c>
      <c r="B76" s="27">
        <v>41</v>
      </c>
      <c r="C76" s="27">
        <v>2.39</v>
      </c>
      <c r="D76" s="30">
        <v>0.1783</v>
      </c>
      <c r="E76" s="30">
        <v>0.0684</v>
      </c>
      <c r="F76" s="27">
        <v>2.05</v>
      </c>
      <c r="G76" s="30">
        <v>0.0176</v>
      </c>
      <c r="H76" s="166">
        <v>2.08</v>
      </c>
    </row>
    <row r="77" spans="1:8" ht="12.75">
      <c r="A77" s="165" t="s">
        <v>163</v>
      </c>
      <c r="B77" s="27">
        <v>67</v>
      </c>
      <c r="C77" s="27">
        <v>0.9</v>
      </c>
      <c r="D77" s="30">
        <v>0.071</v>
      </c>
      <c r="E77" s="30">
        <v>0.0654</v>
      </c>
      <c r="F77" s="27">
        <v>0.84</v>
      </c>
      <c r="G77" s="30">
        <v>0.0465</v>
      </c>
      <c r="H77" s="166">
        <v>0.88</v>
      </c>
    </row>
    <row r="78" spans="1:8" ht="12.75">
      <c r="A78" s="165" t="s">
        <v>164</v>
      </c>
      <c r="B78" s="27">
        <v>104</v>
      </c>
      <c r="C78" s="27">
        <v>1.71</v>
      </c>
      <c r="D78" s="30">
        <v>0.0897</v>
      </c>
      <c r="E78" s="30">
        <v>0.1707</v>
      </c>
      <c r="F78" s="27">
        <v>1.59</v>
      </c>
      <c r="G78" s="30">
        <v>0.1352</v>
      </c>
      <c r="H78" s="166">
        <v>1.84</v>
      </c>
    </row>
    <row r="79" spans="1:8" ht="12.75">
      <c r="A79" s="165" t="s">
        <v>165</v>
      </c>
      <c r="B79" s="27">
        <v>50</v>
      </c>
      <c r="C79" s="27">
        <v>0.89</v>
      </c>
      <c r="D79" s="30">
        <v>0.3254</v>
      </c>
      <c r="E79" s="30">
        <v>0.1802</v>
      </c>
      <c r="F79" s="27">
        <v>0.7</v>
      </c>
      <c r="G79" s="30">
        <v>0.0376</v>
      </c>
      <c r="H79" s="166">
        <v>0.73</v>
      </c>
    </row>
    <row r="80" spans="1:8" ht="12.75">
      <c r="A80" s="165" t="s">
        <v>166</v>
      </c>
      <c r="B80" s="27">
        <v>143</v>
      </c>
      <c r="C80" s="27">
        <v>0.77</v>
      </c>
      <c r="D80" s="30">
        <v>0.6399</v>
      </c>
      <c r="E80" s="30">
        <v>0.0141</v>
      </c>
      <c r="F80" s="27">
        <v>0.47</v>
      </c>
      <c r="G80" s="30">
        <v>0.0465</v>
      </c>
      <c r="H80" s="166">
        <v>0.5</v>
      </c>
    </row>
    <row r="81" spans="1:8" ht="12.75">
      <c r="A81" s="165" t="s">
        <v>167</v>
      </c>
      <c r="B81" s="27">
        <v>20</v>
      </c>
      <c r="C81" s="27">
        <v>0.96</v>
      </c>
      <c r="D81" s="30">
        <v>0.2986</v>
      </c>
      <c r="E81" s="30">
        <v>0.2361</v>
      </c>
      <c r="F81" s="27">
        <v>0.78</v>
      </c>
      <c r="G81" s="30">
        <v>0.0198</v>
      </c>
      <c r="H81" s="166">
        <v>0.79</v>
      </c>
    </row>
    <row r="82" spans="1:8" ht="12.75">
      <c r="A82" s="165" t="s">
        <v>168</v>
      </c>
      <c r="B82" s="27">
        <v>84</v>
      </c>
      <c r="C82" s="27">
        <v>1.12</v>
      </c>
      <c r="D82" s="30">
        <v>0.2004</v>
      </c>
      <c r="E82" s="30">
        <v>0.1803</v>
      </c>
      <c r="F82" s="27">
        <v>0.96</v>
      </c>
      <c r="G82" s="30">
        <v>0.0494</v>
      </c>
      <c r="H82" s="166">
        <v>1.01</v>
      </c>
    </row>
    <row r="83" spans="1:8" ht="12.75">
      <c r="A83" s="165" t="s">
        <v>169</v>
      </c>
      <c r="B83" s="27">
        <v>81</v>
      </c>
      <c r="C83" s="27">
        <v>0.8</v>
      </c>
      <c r="D83" s="30">
        <v>0.1521</v>
      </c>
      <c r="E83" s="30">
        <v>0.1913</v>
      </c>
      <c r="F83" s="27">
        <v>0.71</v>
      </c>
      <c r="G83" s="30">
        <v>0.0414</v>
      </c>
      <c r="H83" s="166">
        <v>0.74</v>
      </c>
    </row>
    <row r="84" spans="1:8" ht="12.75">
      <c r="A84" s="165" t="s">
        <v>170</v>
      </c>
      <c r="B84" s="27">
        <v>164</v>
      </c>
      <c r="C84" s="27">
        <v>0.98</v>
      </c>
      <c r="D84" s="30">
        <v>0.0843</v>
      </c>
      <c r="E84" s="30">
        <v>0.2342</v>
      </c>
      <c r="F84" s="27">
        <v>0.92</v>
      </c>
      <c r="G84" s="30">
        <v>0.0915</v>
      </c>
      <c r="H84" s="166">
        <v>1.02</v>
      </c>
    </row>
    <row r="85" spans="1:8" ht="12.75">
      <c r="A85" s="165" t="s">
        <v>171</v>
      </c>
      <c r="B85" s="27">
        <v>15</v>
      </c>
      <c r="C85" s="27">
        <v>1.04</v>
      </c>
      <c r="D85" s="30">
        <v>0.3498</v>
      </c>
      <c r="E85" s="30">
        <v>0.3485</v>
      </c>
      <c r="F85" s="27">
        <v>0.84</v>
      </c>
      <c r="G85" s="30">
        <v>0.046</v>
      </c>
      <c r="H85" s="166">
        <v>0.89</v>
      </c>
    </row>
    <row r="86" spans="1:8" ht="12.75">
      <c r="A86" s="165" t="s">
        <v>172</v>
      </c>
      <c r="B86" s="27">
        <v>9</v>
      </c>
      <c r="C86" s="27">
        <v>0.95</v>
      </c>
      <c r="D86" s="30">
        <v>0.0582</v>
      </c>
      <c r="E86" s="30">
        <v>0.2735</v>
      </c>
      <c r="F86" s="27">
        <v>0.91</v>
      </c>
      <c r="G86" s="30">
        <v>0.0126</v>
      </c>
      <c r="H86" s="166">
        <v>0.92</v>
      </c>
    </row>
    <row r="87" spans="1:8" ht="12.75">
      <c r="A87" s="165" t="s">
        <v>173</v>
      </c>
      <c r="B87" s="27">
        <v>51</v>
      </c>
      <c r="C87" s="27">
        <v>0.94</v>
      </c>
      <c r="D87" s="30">
        <v>0.1661</v>
      </c>
      <c r="E87" s="30">
        <v>0.211</v>
      </c>
      <c r="F87" s="27">
        <v>0.83</v>
      </c>
      <c r="G87" s="30">
        <v>0.0447</v>
      </c>
      <c r="H87" s="166">
        <v>0.87</v>
      </c>
    </row>
    <row r="88" spans="1:8" ht="12.75">
      <c r="A88" s="165" t="s">
        <v>174</v>
      </c>
      <c r="B88" s="27">
        <v>32</v>
      </c>
      <c r="C88" s="27">
        <v>1.29</v>
      </c>
      <c r="D88" s="30">
        <v>1.5535</v>
      </c>
      <c r="E88" s="30">
        <v>0.2127</v>
      </c>
      <c r="F88" s="27">
        <v>0.58</v>
      </c>
      <c r="G88" s="30">
        <v>0.2589</v>
      </c>
      <c r="H88" s="166">
        <v>0.78</v>
      </c>
    </row>
    <row r="89" spans="1:8" ht="12.75">
      <c r="A89" s="165" t="s">
        <v>175</v>
      </c>
      <c r="B89" s="27">
        <v>124</v>
      </c>
      <c r="C89" s="27">
        <v>2.92</v>
      </c>
      <c r="D89" s="30">
        <v>0.0497</v>
      </c>
      <c r="E89" s="30">
        <v>0.1047</v>
      </c>
      <c r="F89" s="27">
        <v>2.79</v>
      </c>
      <c r="G89" s="30">
        <v>0.1237</v>
      </c>
      <c r="H89" s="166">
        <v>3.19</v>
      </c>
    </row>
    <row r="90" spans="1:8" ht="12.75">
      <c r="A90" s="165" t="s">
        <v>176</v>
      </c>
      <c r="B90" s="27">
        <v>14</v>
      </c>
      <c r="C90" s="27">
        <v>2.95</v>
      </c>
      <c r="D90" s="30">
        <v>0.0753</v>
      </c>
      <c r="E90" s="30">
        <v>0.2131</v>
      </c>
      <c r="F90" s="27">
        <v>2.78</v>
      </c>
      <c r="G90" s="30">
        <v>0.1808</v>
      </c>
      <c r="H90" s="166">
        <v>3.4</v>
      </c>
    </row>
    <row r="91" spans="1:8" ht="12.75">
      <c r="A91" s="165" t="s">
        <v>178</v>
      </c>
      <c r="B91" s="27">
        <v>24</v>
      </c>
      <c r="C91" s="27">
        <v>1.08</v>
      </c>
      <c r="D91" s="30">
        <v>0.0364</v>
      </c>
      <c r="E91" s="30">
        <v>0.2893</v>
      </c>
      <c r="F91" s="27">
        <v>1.05</v>
      </c>
      <c r="G91" s="30">
        <v>0.0836</v>
      </c>
      <c r="H91" s="166">
        <v>1.15</v>
      </c>
    </row>
    <row r="92" spans="1:8" ht="12.75">
      <c r="A92" s="165" t="s">
        <v>179</v>
      </c>
      <c r="B92" s="27">
        <v>30</v>
      </c>
      <c r="C92" s="27">
        <v>1.16</v>
      </c>
      <c r="D92" s="30">
        <v>0.1462</v>
      </c>
      <c r="E92" s="30">
        <v>0.2985</v>
      </c>
      <c r="F92" s="27">
        <v>1.05</v>
      </c>
      <c r="G92" s="30">
        <v>0.0735</v>
      </c>
      <c r="H92" s="166">
        <v>1.13</v>
      </c>
    </row>
    <row r="93" spans="1:8" ht="12.75">
      <c r="A93" s="165" t="s">
        <v>180</v>
      </c>
      <c r="B93" s="27">
        <v>16</v>
      </c>
      <c r="C93" s="27">
        <v>1.5</v>
      </c>
      <c r="D93" s="30">
        <v>0.2362</v>
      </c>
      <c r="E93" s="30">
        <v>0.1809</v>
      </c>
      <c r="F93" s="27">
        <v>1.26</v>
      </c>
      <c r="G93" s="30">
        <v>0.0977</v>
      </c>
      <c r="H93" s="166">
        <v>1.39</v>
      </c>
    </row>
    <row r="94" spans="1:8" ht="12.75">
      <c r="A94" s="165" t="s">
        <v>181</v>
      </c>
      <c r="B94" s="27">
        <v>136</v>
      </c>
      <c r="C94" s="27">
        <v>2.35</v>
      </c>
      <c r="D94" s="30">
        <v>0.0528</v>
      </c>
      <c r="E94" s="30">
        <v>0.1038</v>
      </c>
      <c r="F94" s="27">
        <v>2.24</v>
      </c>
      <c r="G94" s="30">
        <v>0.146</v>
      </c>
      <c r="H94" s="166">
        <v>2.63</v>
      </c>
    </row>
    <row r="95" spans="1:8" ht="12.75">
      <c r="A95" s="165" t="s">
        <v>182</v>
      </c>
      <c r="B95" s="27">
        <v>173</v>
      </c>
      <c r="C95" s="27">
        <v>1.43</v>
      </c>
      <c r="D95" s="30">
        <v>0.3264</v>
      </c>
      <c r="E95" s="30">
        <v>0.129</v>
      </c>
      <c r="F95" s="27">
        <v>1.11</v>
      </c>
      <c r="G95" s="30">
        <v>0.0355</v>
      </c>
      <c r="H95" s="166">
        <v>1.15</v>
      </c>
    </row>
    <row r="96" spans="1:8" ht="12.75">
      <c r="A96" s="165" t="s">
        <v>183</v>
      </c>
      <c r="B96" s="27">
        <v>248</v>
      </c>
      <c r="C96" s="27">
        <v>0.56</v>
      </c>
      <c r="D96" s="30">
        <v>0.2262</v>
      </c>
      <c r="E96" s="30">
        <v>0.2514</v>
      </c>
      <c r="F96" s="27">
        <v>0.48</v>
      </c>
      <c r="G96" s="30">
        <v>0.1125</v>
      </c>
      <c r="H96" s="166">
        <v>0.54</v>
      </c>
    </row>
    <row r="97" spans="1:8" ht="12.75">
      <c r="A97" s="165" t="s">
        <v>184</v>
      </c>
      <c r="B97" s="27">
        <v>10</v>
      </c>
      <c r="C97" s="27">
        <v>0.96</v>
      </c>
      <c r="D97" s="30">
        <v>0.1418</v>
      </c>
      <c r="E97" s="30">
        <v>0.0594</v>
      </c>
      <c r="F97" s="27">
        <v>0.85</v>
      </c>
      <c r="G97" s="30">
        <v>0.0611</v>
      </c>
      <c r="H97" s="166">
        <v>0.9</v>
      </c>
    </row>
    <row r="98" spans="1:8" ht="12.75">
      <c r="A98" s="165" t="s">
        <v>185</v>
      </c>
      <c r="B98" s="27">
        <v>11</v>
      </c>
      <c r="C98" s="27">
        <v>0.79</v>
      </c>
      <c r="D98" s="30">
        <v>0.1706</v>
      </c>
      <c r="E98" s="30">
        <v>0.2674</v>
      </c>
      <c r="F98" s="27">
        <v>0.7</v>
      </c>
      <c r="G98" s="30">
        <v>0.0402</v>
      </c>
      <c r="H98" s="166">
        <v>0.73</v>
      </c>
    </row>
    <row r="99" spans="1:8" ht="12.75">
      <c r="A99" s="165" t="s">
        <v>186</v>
      </c>
      <c r="B99" s="27">
        <v>21</v>
      </c>
      <c r="C99" s="27">
        <v>0.83</v>
      </c>
      <c r="D99" s="30">
        <v>0.1806</v>
      </c>
      <c r="E99" s="30">
        <v>0.2095</v>
      </c>
      <c r="F99" s="27">
        <v>0.72</v>
      </c>
      <c r="G99" s="30">
        <v>0.0494</v>
      </c>
      <c r="H99" s="166">
        <v>0.76</v>
      </c>
    </row>
    <row r="100" spans="1:8" ht="12.75">
      <c r="A100" s="165" t="s">
        <v>187</v>
      </c>
      <c r="B100" s="27">
        <v>38</v>
      </c>
      <c r="C100" s="27">
        <v>0.98</v>
      </c>
      <c r="D100" s="30">
        <v>0.4058</v>
      </c>
      <c r="E100" s="30">
        <v>0.305</v>
      </c>
      <c r="F100" s="27">
        <v>0.77</v>
      </c>
      <c r="G100" s="30">
        <v>0.054</v>
      </c>
      <c r="H100" s="166">
        <v>0.81</v>
      </c>
    </row>
    <row r="101" spans="1:8" ht="12.75">
      <c r="A101" s="165" t="s">
        <v>188</v>
      </c>
      <c r="B101" s="27">
        <v>6</v>
      </c>
      <c r="C101" s="27">
        <v>1</v>
      </c>
      <c r="D101" s="30">
        <v>0.6276</v>
      </c>
      <c r="E101" s="30">
        <v>0.1152</v>
      </c>
      <c r="F101" s="27">
        <v>0.64</v>
      </c>
      <c r="G101" s="30">
        <v>0.037</v>
      </c>
      <c r="H101" s="166">
        <v>0.67</v>
      </c>
    </row>
    <row r="102" spans="1:8" ht="12.75">
      <c r="A102" s="165" t="s">
        <v>189</v>
      </c>
      <c r="B102" s="27">
        <v>16</v>
      </c>
      <c r="C102" s="27">
        <v>0.73</v>
      </c>
      <c r="D102" s="30">
        <v>0.4886</v>
      </c>
      <c r="E102" s="30">
        <v>0.2978</v>
      </c>
      <c r="F102" s="27">
        <v>0.54</v>
      </c>
      <c r="G102" s="30">
        <v>0.007</v>
      </c>
      <c r="H102" s="166">
        <v>0.54</v>
      </c>
    </row>
    <row r="103" spans="1:8" ht="12.75">
      <c r="A103" s="165" t="s">
        <v>190</v>
      </c>
      <c r="B103" s="27">
        <v>73</v>
      </c>
      <c r="C103" s="27">
        <v>2.41</v>
      </c>
      <c r="D103" s="30">
        <v>0.177</v>
      </c>
      <c r="E103" s="30">
        <v>0.0993</v>
      </c>
      <c r="F103" s="27">
        <v>2.08</v>
      </c>
      <c r="G103" s="30">
        <v>0.065</v>
      </c>
      <c r="H103" s="166">
        <v>2.22</v>
      </c>
    </row>
    <row r="104" spans="1:8" ht="12.75">
      <c r="A104" s="165" t="s">
        <v>191</v>
      </c>
      <c r="B104" s="27">
        <v>1</v>
      </c>
      <c r="C104" s="27">
        <v>1.06</v>
      </c>
      <c r="D104" s="30">
        <v>0.0245</v>
      </c>
      <c r="E104" s="30">
        <v>0</v>
      </c>
      <c r="F104" s="27">
        <v>1.03</v>
      </c>
      <c r="G104" s="30">
        <v>0.0144</v>
      </c>
      <c r="H104" s="166">
        <v>1.05</v>
      </c>
    </row>
    <row r="105" spans="1:8" ht="13.5" thickBot="1">
      <c r="A105" s="408" t="s">
        <v>192</v>
      </c>
      <c r="B105" s="409">
        <v>7661</v>
      </c>
      <c r="C105" s="168" t="s">
        <v>193</v>
      </c>
      <c r="D105" s="409" t="s">
        <v>194</v>
      </c>
      <c r="E105" s="168" t="s">
        <v>195</v>
      </c>
      <c r="F105" s="409" t="s">
        <v>109</v>
      </c>
      <c r="G105" s="409" t="s">
        <v>177</v>
      </c>
      <c r="H105" s="169"/>
    </row>
    <row r="106" spans="1:2" ht="12.75">
      <c r="A106" s="742" t="s">
        <v>704</v>
      </c>
      <c r="B106" s="742"/>
    </row>
  </sheetData>
  <mergeCells count="3">
    <mergeCell ref="A2:H2"/>
    <mergeCell ref="A106:B106"/>
    <mergeCell ref="A1:H1"/>
  </mergeCells>
  <printOptions horizontalCentered="1" verticalCentered="1"/>
  <pageMargins left="0.7874015748031497" right="0.7874015748031497" top="0.39" bottom="0.61" header="0" footer="0"/>
  <pageSetup fitToHeight="1" fitToWidth="1" horizontalDpi="300" verticalDpi="300" orientation="portrait" paperSize="9" scale="55" r:id="rId1"/>
</worksheet>
</file>

<file path=xl/worksheets/sheet20.xml><?xml version="1.0" encoding="utf-8"?>
<worksheet xmlns="http://schemas.openxmlformats.org/spreadsheetml/2006/main" xmlns:r="http://schemas.openxmlformats.org/officeDocument/2006/relationships">
  <sheetPr>
    <pageSetUpPr fitToPage="1"/>
  </sheetPr>
  <dimension ref="A3:G53"/>
  <sheetViews>
    <sheetView zoomScale="95" zoomScaleNormal="95" workbookViewId="0" topLeftCell="A20">
      <selection activeCell="H51" sqref="H51"/>
    </sheetView>
  </sheetViews>
  <sheetFormatPr defaultColWidth="11.421875" defaultRowHeight="12.75"/>
  <cols>
    <col min="1" max="1" width="50.00390625" style="265" customWidth="1"/>
    <col min="2" max="2" width="15.28125" style="265" bestFit="1" customWidth="1"/>
    <col min="3" max="3" width="15.00390625" style="265" bestFit="1" customWidth="1"/>
    <col min="4" max="4" width="11.7109375" style="265" bestFit="1" customWidth="1"/>
    <col min="5" max="5" width="11.57421875" style="265" bestFit="1" customWidth="1"/>
    <col min="6" max="6" width="17.00390625" style="265" customWidth="1"/>
    <col min="7" max="7" width="11.57421875" style="265" bestFit="1" customWidth="1"/>
    <col min="8" max="16384" width="11.421875" style="265" customWidth="1"/>
  </cols>
  <sheetData>
    <row r="3" spans="1:7" ht="12.75">
      <c r="A3" s="734" t="s">
        <v>1071</v>
      </c>
      <c r="B3" s="734"/>
      <c r="C3" s="734"/>
      <c r="D3" s="734"/>
      <c r="E3" s="734"/>
      <c r="F3" s="734"/>
      <c r="G3" s="734"/>
    </row>
    <row r="4" spans="1:7" ht="12.75">
      <c r="A4" s="734" t="s">
        <v>632</v>
      </c>
      <c r="B4" s="734"/>
      <c r="C4" s="734"/>
      <c r="D4" s="734"/>
      <c r="E4" s="734"/>
      <c r="F4" s="734"/>
      <c r="G4" s="734"/>
    </row>
    <row r="5" ht="13.5" thickBot="1"/>
    <row r="6" spans="1:7" ht="13.5" thickBot="1">
      <c r="A6" s="74" t="s">
        <v>517</v>
      </c>
      <c r="B6" s="202">
        <v>2008</v>
      </c>
      <c r="C6" s="202">
        <v>2009</v>
      </c>
      <c r="D6" s="202">
        <v>2010</v>
      </c>
      <c r="E6" s="202">
        <v>2011</v>
      </c>
      <c r="F6" s="202">
        <v>2012</v>
      </c>
      <c r="G6" s="203">
        <v>2013</v>
      </c>
    </row>
    <row r="7" spans="1:7" ht="12.75">
      <c r="A7" s="315" t="str">
        <f>'COSTO BENEFICIO'!D35</f>
        <v>COSTO UNITARIO POR BENEFICIO QQ</v>
      </c>
      <c r="B7" s="298">
        <f>'COSTO BENEFICIO'!E35</f>
        <v>4</v>
      </c>
      <c r="C7" s="218">
        <f>'COSTO BENEFICIO'!F35</f>
        <v>4.08</v>
      </c>
      <c r="D7" s="298">
        <f>'COSTO BENEFICIO'!G35</f>
        <v>4.1616</v>
      </c>
      <c r="E7" s="298">
        <f>'COSTO BENEFICIO'!H35</f>
        <v>4.244832</v>
      </c>
      <c r="F7" s="298">
        <f>'COSTO BENEFICIO'!I35</f>
        <v>4.32972864</v>
      </c>
      <c r="G7" s="316">
        <f>'COSTO BENEFICIO'!J35</f>
        <v>4.4163232128</v>
      </c>
    </row>
    <row r="8" spans="1:7" ht="13.5" thickBot="1">
      <c r="A8" s="317" t="str">
        <f>'COSTO BENEFICIO'!D36</f>
        <v>COSTES TOTALES BENEFICIO PLANTA</v>
      </c>
      <c r="B8" s="318">
        <f>'COSTO BENEFICIO'!E36</f>
        <v>33378.93731135499</v>
      </c>
      <c r="C8" s="240">
        <f>'COSTO BENEFICIO'!F36</f>
        <v>53286.206896551725</v>
      </c>
      <c r="D8" s="318">
        <f>'COSTO BENEFICIO'!G36</f>
        <v>65914.06909090909</v>
      </c>
      <c r="E8" s="318">
        <f>'COSTO BENEFICIO'!H36</f>
        <v>76746.36233207549</v>
      </c>
      <c r="F8" s="318">
        <f>'COSTO BENEFICIO'!I36</f>
        <v>87765.36889306156</v>
      </c>
      <c r="G8" s="300">
        <f>'COSTO BENEFICIO'!J36</f>
        <v>102411.6536539357</v>
      </c>
    </row>
    <row r="9" ht="13.5" thickBot="1"/>
    <row r="10" spans="1:2" ht="13.5" thickBot="1">
      <c r="A10" s="319" t="s">
        <v>633</v>
      </c>
      <c r="B10" s="41">
        <f>NPV('Ke &amp; WACC'!B31,B8:G8)</f>
        <v>277827.6539545661</v>
      </c>
    </row>
    <row r="11" ht="12.75">
      <c r="A11" s="265" t="s">
        <v>634</v>
      </c>
    </row>
    <row r="15" spans="1:3" s="1" customFormat="1" ht="39.75" customHeight="1" thickBot="1">
      <c r="A15" s="766" t="s">
        <v>542</v>
      </c>
      <c r="B15" s="766"/>
      <c r="C15" s="766"/>
    </row>
    <row r="16" spans="1:3" s="1" customFormat="1" ht="12.75">
      <c r="A16" s="214" t="s">
        <v>518</v>
      </c>
      <c r="B16" s="215"/>
      <c r="C16" s="216"/>
    </row>
    <row r="17" spans="1:3" s="1" customFormat="1" ht="12.75">
      <c r="A17" s="205" t="s">
        <v>519</v>
      </c>
      <c r="B17" s="5">
        <v>11273.92</v>
      </c>
      <c r="C17" s="204"/>
    </row>
    <row r="18" spans="1:3" s="1" customFormat="1" ht="12.75">
      <c r="A18" s="205" t="s">
        <v>520</v>
      </c>
      <c r="B18" s="84">
        <v>25020.8</v>
      </c>
      <c r="C18" s="204"/>
    </row>
    <row r="19" spans="1:3" s="1" customFormat="1" ht="12.75">
      <c r="A19" s="206" t="s">
        <v>521</v>
      </c>
      <c r="B19" s="5"/>
      <c r="C19" s="207">
        <f>SUM(B17:B18)</f>
        <v>36294.72</v>
      </c>
    </row>
    <row r="20" spans="1:3" s="1" customFormat="1" ht="12.75">
      <c r="A20" s="205"/>
      <c r="B20" s="6"/>
      <c r="C20" s="204"/>
    </row>
    <row r="21" spans="1:3" s="1" customFormat="1" ht="12.75">
      <c r="A21" s="205"/>
      <c r="B21" s="208"/>
      <c r="C21" s="209"/>
    </row>
    <row r="22" spans="1:3" s="1" customFormat="1" ht="12.75">
      <c r="A22" s="3" t="s">
        <v>522</v>
      </c>
      <c r="B22" s="83"/>
      <c r="C22" s="204"/>
    </row>
    <row r="23" spans="1:3" s="1" customFormat="1" ht="12.75">
      <c r="A23" s="205" t="s">
        <v>523</v>
      </c>
      <c r="B23" s="5">
        <v>5748.33</v>
      </c>
      <c r="C23" s="204"/>
    </row>
    <row r="24" spans="1:3" s="1" customFormat="1" ht="12.75">
      <c r="A24" s="205" t="s">
        <v>524</v>
      </c>
      <c r="B24" s="5">
        <v>8285.06</v>
      </c>
      <c r="C24" s="204"/>
    </row>
    <row r="25" spans="1:3" s="1" customFormat="1" ht="12.75">
      <c r="A25" s="205" t="s">
        <v>525</v>
      </c>
      <c r="B25" s="5">
        <v>117555.07</v>
      </c>
      <c r="C25" s="204"/>
    </row>
    <row r="26" spans="1:3" s="1" customFormat="1" ht="12.75">
      <c r="A26" s="205" t="s">
        <v>526</v>
      </c>
      <c r="B26" s="5">
        <v>2862.72</v>
      </c>
      <c r="C26" s="204"/>
    </row>
    <row r="27" spans="1:3" s="1" customFormat="1" ht="12.75">
      <c r="A27" s="205" t="s">
        <v>527</v>
      </c>
      <c r="B27" s="5">
        <v>14061.6</v>
      </c>
      <c r="C27" s="204"/>
    </row>
    <row r="28" spans="1:3" s="1" customFormat="1" ht="12.75">
      <c r="A28" s="205" t="s">
        <v>528</v>
      </c>
      <c r="B28" s="5">
        <v>7374.86</v>
      </c>
      <c r="C28" s="204"/>
    </row>
    <row r="29" spans="1:5" s="1" customFormat="1" ht="12.75">
      <c r="A29" s="205" t="s">
        <v>529</v>
      </c>
      <c r="B29" s="5">
        <v>825.16</v>
      </c>
      <c r="C29" s="204"/>
      <c r="E29" s="16"/>
    </row>
    <row r="30" spans="1:3" s="1" customFormat="1" ht="12.75">
      <c r="A30" s="205" t="s">
        <v>530</v>
      </c>
      <c r="B30" s="5">
        <v>7532.36</v>
      </c>
      <c r="C30" s="204"/>
    </row>
    <row r="31" spans="1:3" s="1" customFormat="1" ht="12.75">
      <c r="A31" s="205" t="s">
        <v>531</v>
      </c>
      <c r="B31" s="5">
        <v>5373.9</v>
      </c>
      <c r="C31" s="204"/>
    </row>
    <row r="32" spans="1:3" s="1" customFormat="1" ht="12.75">
      <c r="A32" s="205" t="s">
        <v>532</v>
      </c>
      <c r="B32" s="5">
        <v>13284.49</v>
      </c>
      <c r="C32" s="204"/>
    </row>
    <row r="33" spans="1:3" s="1" customFormat="1" ht="12.75">
      <c r="A33" s="205" t="s">
        <v>533</v>
      </c>
      <c r="B33" s="5">
        <v>4984</v>
      </c>
      <c r="C33" s="204"/>
    </row>
    <row r="34" spans="1:3" s="1" customFormat="1" ht="12.75">
      <c r="A34" s="205" t="s">
        <v>541</v>
      </c>
      <c r="B34" s="84">
        <v>500.59</v>
      </c>
      <c r="C34" s="204"/>
    </row>
    <row r="35" spans="1:3" s="1" customFormat="1" ht="12.75">
      <c r="A35" s="206" t="s">
        <v>534</v>
      </c>
      <c r="B35" s="6"/>
      <c r="C35" s="207">
        <f>SUM(B23:B34)</f>
        <v>188388.13999999998</v>
      </c>
    </row>
    <row r="36" spans="1:3" s="1" customFormat="1" ht="12.75">
      <c r="A36" s="206"/>
      <c r="B36" s="6"/>
      <c r="C36" s="207"/>
    </row>
    <row r="37" spans="1:3" s="1" customFormat="1" ht="12.75">
      <c r="A37" s="205"/>
      <c r="B37" s="6"/>
      <c r="C37" s="204"/>
    </row>
    <row r="38" spans="1:3" s="1" customFormat="1" ht="12.75">
      <c r="A38" s="3" t="s">
        <v>535</v>
      </c>
      <c r="B38" s="6"/>
      <c r="C38" s="204"/>
    </row>
    <row r="39" spans="1:3" s="1" customFormat="1" ht="12.75">
      <c r="A39" s="205" t="s">
        <v>536</v>
      </c>
      <c r="B39" s="5">
        <v>39183.02</v>
      </c>
      <c r="C39" s="204"/>
    </row>
    <row r="40" spans="1:3" s="1" customFormat="1" ht="12.75">
      <c r="A40" s="205" t="s">
        <v>537</v>
      </c>
      <c r="B40" s="5">
        <v>17916.83</v>
      </c>
      <c r="C40" s="204"/>
    </row>
    <row r="41" spans="1:3" s="1" customFormat="1" ht="12.75">
      <c r="A41" s="205" t="s">
        <v>538</v>
      </c>
      <c r="B41" s="84">
        <v>25092.22</v>
      </c>
      <c r="C41" s="204"/>
    </row>
    <row r="42" spans="1:3" s="1" customFormat="1" ht="25.5">
      <c r="A42" s="210" t="s">
        <v>539</v>
      </c>
      <c r="B42" s="6"/>
      <c r="C42" s="207">
        <f>SUM(B39:B41)</f>
        <v>82192.07</v>
      </c>
    </row>
    <row r="43" spans="1:3" s="1" customFormat="1" ht="12.75">
      <c r="A43" s="205"/>
      <c r="B43" s="6"/>
      <c r="C43" s="204"/>
    </row>
    <row r="44" spans="1:3" s="1" customFormat="1" ht="13.5" thickBot="1">
      <c r="A44" s="205"/>
      <c r="B44" s="6"/>
      <c r="C44" s="211"/>
    </row>
    <row r="45" spans="1:3" s="1" customFormat="1" ht="13.5" thickBot="1">
      <c r="A45" s="212" t="s">
        <v>540</v>
      </c>
      <c r="B45" s="85"/>
      <c r="C45" s="213">
        <f>SUM(C19+C35+C42)</f>
        <v>306874.93</v>
      </c>
    </row>
    <row r="49" spans="1:3" s="1" customFormat="1" ht="12.75">
      <c r="A49" s="12">
        <f>C45</f>
        <v>306874.93</v>
      </c>
      <c r="B49" s="8" t="s">
        <v>630</v>
      </c>
      <c r="C49" s="12">
        <f>B10</f>
        <v>277827.6539545661</v>
      </c>
    </row>
    <row r="51" spans="1:3" s="1" customFormat="1" ht="34.5" customHeight="1">
      <c r="A51" s="767" t="s">
        <v>631</v>
      </c>
      <c r="B51" s="767"/>
      <c r="C51" s="767"/>
    </row>
    <row r="53" ht="12.75">
      <c r="A53" s="160" t="s">
        <v>733</v>
      </c>
    </row>
  </sheetData>
  <sheetProtection/>
  <mergeCells count="4">
    <mergeCell ref="A15:C15"/>
    <mergeCell ref="A51:C51"/>
    <mergeCell ref="A4:G4"/>
    <mergeCell ref="A3:G3"/>
  </mergeCells>
  <printOptions horizontalCentered="1" verticalCentered="1"/>
  <pageMargins left="0.7874015748031497" right="0.7874015748031497" top="0.4330708661417323" bottom="0.35433070866141736" header="0" footer="0"/>
  <pageSetup fitToHeight="1" fitToWidth="1" horizontalDpi="300" verticalDpi="300" orientation="landscape"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3:G15"/>
  <sheetViews>
    <sheetView zoomScale="95" zoomScaleNormal="95" workbookViewId="0" topLeftCell="A1">
      <selection activeCell="H25" sqref="H25"/>
    </sheetView>
  </sheetViews>
  <sheetFormatPr defaultColWidth="11.421875" defaultRowHeight="12.75"/>
  <cols>
    <col min="1" max="1" width="60.57421875" style="1" customWidth="1"/>
    <col min="2" max="2" width="15.28125" style="1" bestFit="1" customWidth="1"/>
    <col min="3" max="3" width="15.00390625" style="1" bestFit="1" customWidth="1"/>
    <col min="4" max="4" width="13.421875" style="1" bestFit="1" customWidth="1"/>
    <col min="5" max="5" width="12.421875" style="1" bestFit="1" customWidth="1"/>
    <col min="6" max="6" width="17.00390625" style="1" customWidth="1"/>
    <col min="7" max="7" width="11.57421875" style="1" bestFit="1" customWidth="1"/>
    <col min="8" max="16384" width="11.421875" style="1" customWidth="1"/>
  </cols>
  <sheetData>
    <row r="3" spans="1:7" ht="12.75">
      <c r="A3" s="734" t="s">
        <v>1072</v>
      </c>
      <c r="B3" s="734"/>
      <c r="C3" s="734"/>
      <c r="D3" s="734"/>
      <c r="E3" s="734"/>
      <c r="F3" s="734"/>
      <c r="G3" s="734"/>
    </row>
    <row r="4" spans="1:7" ht="12.75">
      <c r="A4" s="734" t="s">
        <v>1044</v>
      </c>
      <c r="B4" s="734"/>
      <c r="C4" s="734"/>
      <c r="D4" s="734"/>
      <c r="E4" s="734"/>
      <c r="F4" s="734"/>
      <c r="G4" s="734"/>
    </row>
    <row r="5" ht="13.5" thickBot="1"/>
    <row r="6" spans="1:7" ht="13.5" thickBot="1">
      <c r="A6" s="74" t="s">
        <v>517</v>
      </c>
      <c r="B6" s="202">
        <v>2008</v>
      </c>
      <c r="C6" s="202">
        <v>2009</v>
      </c>
      <c r="D6" s="202">
        <v>2010</v>
      </c>
      <c r="E6" s="202">
        <v>2011</v>
      </c>
      <c r="F6" s="202">
        <v>2012</v>
      </c>
      <c r="G6" s="203">
        <v>2013</v>
      </c>
    </row>
    <row r="7" spans="1:7" ht="12.75">
      <c r="A7" s="690" t="str">
        <f>'COSTO BENEFICIO'!D35</f>
        <v>COSTO UNITARIO POR BENEFICIO QQ</v>
      </c>
      <c r="B7" s="691">
        <f>'COSTO BENEFICIO'!E35</f>
        <v>4</v>
      </c>
      <c r="C7" s="218">
        <f>'COSTO BENEFICIO'!F35</f>
        <v>4.08</v>
      </c>
      <c r="D7" s="691">
        <f>'COSTO BENEFICIO'!G35</f>
        <v>4.1616</v>
      </c>
      <c r="E7" s="691">
        <f>'COSTO BENEFICIO'!H35</f>
        <v>4.244832</v>
      </c>
      <c r="F7" s="691">
        <f>'COSTO BENEFICIO'!I35</f>
        <v>4.32972864</v>
      </c>
      <c r="G7" s="692">
        <f>'COSTO BENEFICIO'!J35</f>
        <v>4.4163232128</v>
      </c>
    </row>
    <row r="8" spans="1:7" ht="13.5" thickBot="1">
      <c r="A8" s="693" t="str">
        <f>'COSTO BENEFICIO'!D36</f>
        <v>COSTES TOTALES BENEFICIO PLANTA</v>
      </c>
      <c r="B8" s="694">
        <f>'COSTO BENEFICIO'!E36</f>
        <v>33378.93731135499</v>
      </c>
      <c r="C8" s="240">
        <f>'COSTO BENEFICIO'!F36</f>
        <v>53286.206896551725</v>
      </c>
      <c r="D8" s="694">
        <f>'COSTO BENEFICIO'!G36</f>
        <v>65914.06909090909</v>
      </c>
      <c r="E8" s="694">
        <f>'COSTO BENEFICIO'!H36</f>
        <v>76746.36233207549</v>
      </c>
      <c r="F8" s="694">
        <f>'COSTO BENEFICIO'!I36</f>
        <v>87765.36889306156</v>
      </c>
      <c r="G8" s="695">
        <f>'COSTO BENEFICIO'!J36</f>
        <v>102411.6536539357</v>
      </c>
    </row>
    <row r="9" ht="13.5" thickBot="1"/>
    <row r="10" spans="1:2" ht="13.5" thickBot="1">
      <c r="A10" s="696" t="s">
        <v>633</v>
      </c>
      <c r="B10" s="41">
        <f>NPV('Ke &amp; WACC'!B31,B8:G8)</f>
        <v>277827.6539545661</v>
      </c>
    </row>
    <row r="11" ht="12.75">
      <c r="A11" s="1" t="s">
        <v>634</v>
      </c>
    </row>
    <row r="13" spans="1:5" ht="12.75">
      <c r="A13" s="12">
        <v>80000</v>
      </c>
      <c r="B13" s="8" t="s">
        <v>1041</v>
      </c>
      <c r="C13" s="12">
        <f>B10</f>
        <v>277827.6539545661</v>
      </c>
      <c r="D13" s="1" t="s">
        <v>1042</v>
      </c>
      <c r="E13" s="12">
        <f>C13-A13</f>
        <v>197827.6539545661</v>
      </c>
    </row>
    <row r="15" ht="12.75">
      <c r="A15" s="160" t="s">
        <v>1043</v>
      </c>
    </row>
  </sheetData>
  <sheetProtection/>
  <mergeCells count="2">
    <mergeCell ref="A4:G4"/>
    <mergeCell ref="A3:G3"/>
  </mergeCells>
  <printOptions horizontalCentered="1" verticalCentered="1"/>
  <pageMargins left="0.7874015748031497" right="0.7874015748031497" top="0.4330708661417323" bottom="0.35433070866141736" header="0" footer="0"/>
  <pageSetup fitToHeight="1" fitToWidth="1" horizontalDpi="300" verticalDpi="300" orientation="landscape" paperSize="9" scale="89" r:id="rId1"/>
</worksheet>
</file>

<file path=xl/worksheets/sheet22.xml><?xml version="1.0" encoding="utf-8"?>
<worksheet xmlns="http://schemas.openxmlformats.org/spreadsheetml/2006/main" xmlns:r="http://schemas.openxmlformats.org/officeDocument/2006/relationships">
  <dimension ref="B1:F18"/>
  <sheetViews>
    <sheetView zoomScale="95" zoomScaleNormal="95" workbookViewId="0" topLeftCell="A1">
      <selection activeCell="H25" sqref="H25"/>
    </sheetView>
  </sheetViews>
  <sheetFormatPr defaultColWidth="11.421875" defaultRowHeight="12.75"/>
  <cols>
    <col min="1" max="1" width="27.140625" style="16" bestFit="1" customWidth="1"/>
    <col min="2" max="2" width="48.421875" style="16" bestFit="1" customWidth="1"/>
    <col min="3" max="3" width="12.00390625" style="16" bestFit="1" customWidth="1"/>
    <col min="4" max="4" width="14.28125" style="16" bestFit="1" customWidth="1"/>
    <col min="5" max="5" width="13.8515625" style="16" bestFit="1" customWidth="1"/>
    <col min="6" max="6" width="17.00390625" style="16" customWidth="1"/>
    <col min="7" max="7" width="11.421875" style="16" customWidth="1"/>
    <col min="8" max="16384" width="10.8515625" style="16" customWidth="1"/>
  </cols>
  <sheetData>
    <row r="1" spans="2:6" ht="12.75" customHeight="1">
      <c r="B1" s="734" t="s">
        <v>729</v>
      </c>
      <c r="C1" s="734"/>
      <c r="D1" s="734"/>
      <c r="E1" s="82"/>
      <c r="F1" s="82"/>
    </row>
    <row r="2" spans="2:6" ht="12.75" customHeight="1">
      <c r="B2" s="768" t="s">
        <v>579</v>
      </c>
      <c r="C2" s="768"/>
      <c r="D2" s="768"/>
      <c r="E2" s="82"/>
      <c r="F2" s="82"/>
    </row>
    <row r="3" spans="2:6" ht="13.5" thickBot="1">
      <c r="B3" s="86"/>
      <c r="C3" s="86"/>
      <c r="D3" s="86"/>
      <c r="E3" s="86"/>
      <c r="F3" s="86"/>
    </row>
    <row r="4" spans="2:4" ht="13.5" thickBot="1">
      <c r="B4" s="96" t="s">
        <v>517</v>
      </c>
      <c r="C4" s="76" t="s">
        <v>37</v>
      </c>
      <c r="D4" s="91" t="s">
        <v>4</v>
      </c>
    </row>
    <row r="5" spans="2:4" ht="12.75">
      <c r="B5" s="94" t="s">
        <v>582</v>
      </c>
      <c r="C5" s="298">
        <f>'INVERSIONES FIJAS'!F18</f>
        <v>52634</v>
      </c>
      <c r="D5" s="95">
        <f>C5/$C$8</f>
        <v>0.12193739888544511</v>
      </c>
    </row>
    <row r="6" spans="2:4" ht="12.75">
      <c r="B6" s="97" t="s">
        <v>583</v>
      </c>
      <c r="C6" s="264">
        <f>'CAPITAL DE TRABAJO'!B13</f>
        <v>379013.71826441336</v>
      </c>
      <c r="D6" s="95">
        <f>C6/$C$8</f>
        <v>0.8780626011145549</v>
      </c>
    </row>
    <row r="7" spans="2:4" ht="13.5" thickBot="1">
      <c r="B7" s="158" t="s">
        <v>619</v>
      </c>
      <c r="C7" s="238">
        <f>-C17*'COSTO FIDECOMICIO'!B14</f>
        <v>3500</v>
      </c>
      <c r="D7" s="159">
        <f>C7/$C$8</f>
        <v>0.008108464036536419</v>
      </c>
    </row>
    <row r="8" spans="2:4" ht="13.5" thickBot="1">
      <c r="B8" s="98" t="s">
        <v>580</v>
      </c>
      <c r="C8" s="71">
        <f>C5+C6</f>
        <v>431647.71826441336</v>
      </c>
      <c r="D8" s="161">
        <f>D5+D6</f>
        <v>1</v>
      </c>
    </row>
    <row r="9" spans="2:4" ht="12.75">
      <c r="B9" s="92" t="s">
        <v>996</v>
      </c>
      <c r="D9" s="282"/>
    </row>
    <row r="10" spans="2:4" ht="12.75">
      <c r="B10" s="92"/>
      <c r="D10" s="282"/>
    </row>
    <row r="11" spans="2:4" ht="13.5" thickBot="1">
      <c r="B11" s="769" t="s">
        <v>612</v>
      </c>
      <c r="C11" s="769"/>
      <c r="D11" s="282"/>
    </row>
    <row r="12" spans="2:3" ht="12.75">
      <c r="B12" s="151" t="s">
        <v>609</v>
      </c>
      <c r="C12" s="299">
        <v>148208</v>
      </c>
    </row>
    <row r="13" spans="2:3" ht="12.75">
      <c r="B13" s="152" t="s">
        <v>610</v>
      </c>
      <c r="C13" s="294">
        <f>'INVERSIONES FIJAS'!F16</f>
        <v>48700</v>
      </c>
    </row>
    <row r="14" spans="2:3" ht="13.5" thickBot="1">
      <c r="B14" s="153" t="s">
        <v>611</v>
      </c>
      <c r="C14" s="300">
        <v>250000</v>
      </c>
    </row>
    <row r="15" spans="2:3" ht="12.75">
      <c r="B15" s="92" t="s">
        <v>613</v>
      </c>
      <c r="C15" s="12">
        <f>SUM(C12:C14)</f>
        <v>446908</v>
      </c>
    </row>
    <row r="17" spans="2:3" ht="12.75" hidden="1">
      <c r="B17" s="230" t="s">
        <v>620</v>
      </c>
      <c r="C17" s="58">
        <v>1</v>
      </c>
    </row>
    <row r="18" spans="2:3" ht="13.5" hidden="1" thickBot="1">
      <c r="B18" s="141" t="s">
        <v>621</v>
      </c>
      <c r="C18" s="231">
        <f>1-C17</f>
        <v>0</v>
      </c>
    </row>
  </sheetData>
  <sheetProtection/>
  <mergeCells count="3">
    <mergeCell ref="B2:D2"/>
    <mergeCell ref="B11:C11"/>
    <mergeCell ref="B1:D1"/>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B1:K20"/>
  <sheetViews>
    <sheetView zoomScale="95" zoomScaleNormal="95" workbookViewId="0" topLeftCell="A1">
      <selection activeCell="H25" sqref="H25"/>
    </sheetView>
  </sheetViews>
  <sheetFormatPr defaultColWidth="11.421875" defaultRowHeight="12.75"/>
  <cols>
    <col min="1" max="1" width="11.421875" style="101" customWidth="1"/>
    <col min="2" max="2" width="27.8515625" style="101" bestFit="1" customWidth="1"/>
    <col min="3" max="3" width="34.28125" style="528" customWidth="1"/>
    <col min="4" max="4" width="12.7109375" style="522" customWidth="1"/>
    <col min="5" max="5" width="11.421875" style="524" customWidth="1"/>
    <col min="6" max="6" width="17.00390625" style="524" customWidth="1"/>
    <col min="7" max="16384" width="11.421875" style="101" customWidth="1"/>
  </cols>
  <sheetData>
    <row r="1" spans="2:6" ht="12.75">
      <c r="B1" s="772"/>
      <c r="C1" s="772"/>
      <c r="D1" s="772"/>
      <c r="E1" s="772"/>
      <c r="F1" s="772"/>
    </row>
    <row r="2" ht="12.75">
      <c r="C2" s="523"/>
    </row>
    <row r="3" spans="3:11" ht="12.75">
      <c r="C3" s="525"/>
      <c r="D3" s="525"/>
      <c r="E3" s="525"/>
      <c r="F3" s="525"/>
      <c r="G3" s="526"/>
      <c r="H3" s="526"/>
      <c r="I3" s="526"/>
      <c r="J3" s="526"/>
      <c r="K3" s="526"/>
    </row>
    <row r="4" spans="2:6" ht="14.25" customHeight="1">
      <c r="B4" s="773" t="s">
        <v>1021</v>
      </c>
      <c r="C4" s="773"/>
      <c r="D4" s="773"/>
      <c r="E4" s="773"/>
      <c r="F4" s="773"/>
    </row>
    <row r="5" spans="2:6" ht="12.75">
      <c r="B5" s="773" t="s">
        <v>637</v>
      </c>
      <c r="C5" s="773"/>
      <c r="D5" s="773"/>
      <c r="E5" s="773"/>
      <c r="F5" s="773"/>
    </row>
    <row r="6" ht="13.5" thickBot="1"/>
    <row r="7" spans="2:6" ht="25.5">
      <c r="B7" s="529" t="s">
        <v>547</v>
      </c>
      <c r="C7" s="236" t="s">
        <v>544</v>
      </c>
      <c r="D7" s="236" t="s">
        <v>545</v>
      </c>
      <c r="E7" s="530" t="s">
        <v>557</v>
      </c>
      <c r="F7" s="531" t="s">
        <v>546</v>
      </c>
    </row>
    <row r="8" spans="2:6" ht="63.75">
      <c r="B8" s="532" t="s">
        <v>548</v>
      </c>
      <c r="C8" s="237" t="s">
        <v>556</v>
      </c>
      <c r="D8" s="533">
        <v>5</v>
      </c>
      <c r="E8" s="534">
        <v>590</v>
      </c>
      <c r="F8" s="535">
        <f>D8*E8</f>
        <v>2950</v>
      </c>
    </row>
    <row r="9" spans="2:6" ht="12.75">
      <c r="B9" s="532" t="s">
        <v>549</v>
      </c>
      <c r="C9" s="237" t="s">
        <v>558</v>
      </c>
      <c r="D9" s="533">
        <v>1</v>
      </c>
      <c r="E9" s="534">
        <v>100</v>
      </c>
      <c r="F9" s="535">
        <f>D9*E9</f>
        <v>100</v>
      </c>
    </row>
    <row r="10" spans="2:6" ht="13.5" thickBot="1">
      <c r="B10" s="770" t="s">
        <v>465</v>
      </c>
      <c r="C10" s="771"/>
      <c r="D10" s="771"/>
      <c r="E10" s="771"/>
      <c r="F10" s="536">
        <f>SUM(F8:F9)</f>
        <v>3050</v>
      </c>
    </row>
    <row r="11" spans="2:6" ht="25.5">
      <c r="B11" s="529" t="s">
        <v>550</v>
      </c>
      <c r="C11" s="236" t="s">
        <v>544</v>
      </c>
      <c r="D11" s="236" t="s">
        <v>545</v>
      </c>
      <c r="E11" s="530" t="s">
        <v>557</v>
      </c>
      <c r="F11" s="530" t="s">
        <v>546</v>
      </c>
    </row>
    <row r="12" spans="2:6" ht="12.75">
      <c r="B12" s="532" t="s">
        <v>551</v>
      </c>
      <c r="C12" s="237" t="s">
        <v>560</v>
      </c>
      <c r="D12" s="533">
        <v>5</v>
      </c>
      <c r="E12" s="534">
        <v>150</v>
      </c>
      <c r="F12" s="534">
        <f>D12*E12</f>
        <v>750</v>
      </c>
    </row>
    <row r="13" spans="2:6" ht="12.75">
      <c r="B13" s="532" t="s">
        <v>555</v>
      </c>
      <c r="C13" s="237" t="s">
        <v>552</v>
      </c>
      <c r="D13" s="533">
        <v>5</v>
      </c>
      <c r="E13" s="534">
        <v>26.8</v>
      </c>
      <c r="F13" s="534">
        <f>D13*E13</f>
        <v>134</v>
      </c>
    </row>
    <row r="14" spans="2:6" ht="13.5" thickBot="1">
      <c r="B14" s="770" t="s">
        <v>465</v>
      </c>
      <c r="C14" s="771"/>
      <c r="D14" s="771"/>
      <c r="E14" s="771"/>
      <c r="F14" s="536">
        <f>SUM(F12:F13)</f>
        <v>884</v>
      </c>
    </row>
    <row r="15" spans="2:6" ht="26.25" thickBot="1">
      <c r="B15" s="529" t="s">
        <v>553</v>
      </c>
      <c r="C15" s="236" t="s">
        <v>544</v>
      </c>
      <c r="D15" s="236" t="s">
        <v>545</v>
      </c>
      <c r="E15" s="530" t="s">
        <v>557</v>
      </c>
      <c r="F15" s="530" t="s">
        <v>546</v>
      </c>
    </row>
    <row r="16" spans="2:6" ht="12.75">
      <c r="B16" s="537" t="s">
        <v>561</v>
      </c>
      <c r="C16" s="538" t="s">
        <v>554</v>
      </c>
      <c r="D16" s="539">
        <v>2</v>
      </c>
      <c r="E16" s="540">
        <v>24350</v>
      </c>
      <c r="F16" s="540">
        <f>D16*E16</f>
        <v>48700</v>
      </c>
    </row>
    <row r="17" spans="2:6" ht="13.5" thickBot="1">
      <c r="B17" s="770" t="s">
        <v>465</v>
      </c>
      <c r="C17" s="771"/>
      <c r="D17" s="771"/>
      <c r="E17" s="771"/>
      <c r="F17" s="536">
        <f>SUM(F15:F16)</f>
        <v>48700</v>
      </c>
    </row>
    <row r="18" spans="2:6" ht="13.5" thickBot="1">
      <c r="B18" s="770" t="s">
        <v>559</v>
      </c>
      <c r="C18" s="771"/>
      <c r="D18" s="771"/>
      <c r="E18" s="771"/>
      <c r="F18" s="536">
        <f>F17+F14+F10</f>
        <v>52634</v>
      </c>
    </row>
    <row r="19" spans="2:6" ht="12.75">
      <c r="B19" s="541" t="s">
        <v>996</v>
      </c>
      <c r="C19" s="527"/>
      <c r="D19" s="527"/>
      <c r="E19" s="527"/>
      <c r="F19" s="542"/>
    </row>
    <row r="20" ht="12.75">
      <c r="B20" s="101" t="s">
        <v>5</v>
      </c>
    </row>
  </sheetData>
  <sheetProtection/>
  <mergeCells count="7">
    <mergeCell ref="B17:E17"/>
    <mergeCell ref="B18:E18"/>
    <mergeCell ref="B1:F1"/>
    <mergeCell ref="B5:F5"/>
    <mergeCell ref="B10:E10"/>
    <mergeCell ref="B14:E14"/>
    <mergeCell ref="B4:F4"/>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2:N26"/>
  <sheetViews>
    <sheetView zoomScale="95" zoomScaleNormal="95" workbookViewId="0" topLeftCell="A1">
      <selection activeCell="H25" sqref="H25"/>
    </sheetView>
  </sheetViews>
  <sheetFormatPr defaultColWidth="11.421875" defaultRowHeight="12.75"/>
  <cols>
    <col min="1" max="1" width="34.57421875" style="100" bestFit="1" customWidth="1"/>
    <col min="2" max="2" width="9.57421875" style="100" bestFit="1" customWidth="1"/>
    <col min="3" max="3" width="7.28125" style="100" bestFit="1" customWidth="1"/>
    <col min="4" max="9" width="9.57421875" style="100" bestFit="1" customWidth="1"/>
    <col min="10" max="12" width="11.57421875" style="100" bestFit="1" customWidth="1"/>
    <col min="13" max="13" width="12.00390625" style="100" customWidth="1"/>
    <col min="14" max="16384" width="11.421875" style="100" customWidth="1"/>
  </cols>
  <sheetData>
    <row r="2" spans="1:14" ht="12.75">
      <c r="A2" s="749" t="s">
        <v>730</v>
      </c>
      <c r="B2" s="749"/>
      <c r="C2" s="749"/>
      <c r="D2" s="749"/>
      <c r="E2" s="749"/>
      <c r="F2" s="749"/>
      <c r="G2" s="749"/>
      <c r="H2" s="749"/>
      <c r="I2" s="749"/>
      <c r="J2" s="749"/>
      <c r="K2" s="749"/>
      <c r="L2" s="749"/>
      <c r="M2" s="749"/>
      <c r="N2" s="749"/>
    </row>
    <row r="3" spans="1:14" ht="12.75">
      <c r="A3" s="760" t="s">
        <v>1061</v>
      </c>
      <c r="B3" s="760"/>
      <c r="C3" s="760"/>
      <c r="D3" s="760"/>
      <c r="E3" s="760"/>
      <c r="F3" s="760"/>
      <c r="G3" s="760"/>
      <c r="H3" s="760"/>
      <c r="I3" s="760"/>
      <c r="J3" s="760"/>
      <c r="K3" s="760"/>
      <c r="L3" s="760"/>
      <c r="M3" s="760"/>
      <c r="N3" s="760"/>
    </row>
    <row r="4" ht="13.5" thickBot="1"/>
    <row r="5" spans="1:14" ht="24.75" customHeight="1" thickBot="1">
      <c r="A5" s="243" t="s">
        <v>584</v>
      </c>
      <c r="B5" s="244" t="s">
        <v>37</v>
      </c>
      <c r="C5" s="244" t="s">
        <v>35</v>
      </c>
      <c r="D5" s="244" t="s">
        <v>484</v>
      </c>
      <c r="E5" s="244" t="s">
        <v>485</v>
      </c>
      <c r="F5" s="244" t="s">
        <v>486</v>
      </c>
      <c r="G5" s="244" t="s">
        <v>487</v>
      </c>
      <c r="H5" s="244" t="s">
        <v>488</v>
      </c>
      <c r="I5" s="244" t="s">
        <v>489</v>
      </c>
      <c r="J5" s="245" t="s">
        <v>585</v>
      </c>
      <c r="K5" s="245" t="s">
        <v>589</v>
      </c>
      <c r="L5" s="245" t="s">
        <v>590</v>
      </c>
      <c r="M5" s="245" t="s">
        <v>591</v>
      </c>
      <c r="N5" s="246" t="s">
        <v>592</v>
      </c>
    </row>
    <row r="6" spans="1:14" ht="12.75">
      <c r="A6" s="108" t="str">
        <f>'INVERSIONES FIJAS'!B8</f>
        <v>Computadora</v>
      </c>
      <c r="B6" s="109">
        <f>'INVERSIONES FIJAS'!F8</f>
        <v>2950</v>
      </c>
      <c r="C6" s="110">
        <v>3</v>
      </c>
      <c r="D6" s="109">
        <f>B6/C6</f>
        <v>983.3333333333334</v>
      </c>
      <c r="E6" s="109">
        <f aca="true" t="shared" si="0" ref="E6:F10">D6</f>
        <v>983.3333333333334</v>
      </c>
      <c r="F6" s="109">
        <f t="shared" si="0"/>
        <v>983.3333333333334</v>
      </c>
      <c r="G6" s="109">
        <v>0</v>
      </c>
      <c r="H6" s="109">
        <v>0</v>
      </c>
      <c r="I6" s="109">
        <v>0</v>
      </c>
      <c r="J6" s="109">
        <v>250</v>
      </c>
      <c r="K6" s="119">
        <f>I6</f>
        <v>0</v>
      </c>
      <c r="L6" s="119">
        <f>J6-K6</f>
        <v>250</v>
      </c>
      <c r="M6" s="120">
        <f>L6*0.25</f>
        <v>62.5</v>
      </c>
      <c r="N6" s="121">
        <f>L6-M6</f>
        <v>187.5</v>
      </c>
    </row>
    <row r="7" spans="1:14" ht="12.75">
      <c r="A7" s="104" t="str">
        <f>'INVERSIONES FIJAS'!B9</f>
        <v>Impresora</v>
      </c>
      <c r="B7" s="102">
        <f>'INVERSIONES FIJAS'!F9</f>
        <v>100</v>
      </c>
      <c r="C7" s="62">
        <v>3</v>
      </c>
      <c r="D7" s="102">
        <f>B7/C7</f>
        <v>33.333333333333336</v>
      </c>
      <c r="E7" s="102">
        <f t="shared" si="0"/>
        <v>33.333333333333336</v>
      </c>
      <c r="F7" s="102">
        <f t="shared" si="0"/>
        <v>33.333333333333336</v>
      </c>
      <c r="G7" s="102">
        <v>0</v>
      </c>
      <c r="H7" s="102">
        <v>0</v>
      </c>
      <c r="I7" s="102">
        <v>0</v>
      </c>
      <c r="J7" s="102">
        <v>20</v>
      </c>
      <c r="K7" s="103">
        <f>I7</f>
        <v>0</v>
      </c>
      <c r="L7" s="103">
        <f>J7-K7</f>
        <v>20</v>
      </c>
      <c r="M7" s="93">
        <f>L7*0.25</f>
        <v>5</v>
      </c>
      <c r="N7" s="118">
        <f>L7-M7</f>
        <v>15</v>
      </c>
    </row>
    <row r="8" spans="1:14" ht="12.75">
      <c r="A8" s="104" t="str">
        <f>'INVERSIONES FIJAS'!B12</f>
        <v>Escritorio</v>
      </c>
      <c r="B8" s="102">
        <f>'INVERSIONES FIJAS'!F12</f>
        <v>750</v>
      </c>
      <c r="C8" s="62">
        <v>5</v>
      </c>
      <c r="D8" s="102">
        <f>B8/C8</f>
        <v>150</v>
      </c>
      <c r="E8" s="102">
        <f t="shared" si="0"/>
        <v>150</v>
      </c>
      <c r="F8" s="102">
        <f t="shared" si="0"/>
        <v>150</v>
      </c>
      <c r="G8" s="102">
        <f aca="true" t="shared" si="1" ref="G8:H10">F8</f>
        <v>150</v>
      </c>
      <c r="H8" s="102">
        <f t="shared" si="1"/>
        <v>150</v>
      </c>
      <c r="I8" s="102">
        <v>0</v>
      </c>
      <c r="J8" s="102">
        <f>B8*0.1</f>
        <v>75</v>
      </c>
      <c r="K8" s="103">
        <f>I8</f>
        <v>0</v>
      </c>
      <c r="L8" s="103">
        <f>J8-K8</f>
        <v>75</v>
      </c>
      <c r="M8" s="93">
        <f>L8*0.25</f>
        <v>18.75</v>
      </c>
      <c r="N8" s="118">
        <f>L8-M8</f>
        <v>56.25</v>
      </c>
    </row>
    <row r="9" spans="1:14" ht="12.75">
      <c r="A9" s="104" t="str">
        <f>'INVERSIONES FIJAS'!B13</f>
        <v>Silla para escritorio</v>
      </c>
      <c r="B9" s="102">
        <f>'INVERSIONES FIJAS'!F13</f>
        <v>134</v>
      </c>
      <c r="C9" s="62">
        <v>5</v>
      </c>
      <c r="D9" s="102">
        <f>B9/C9</f>
        <v>26.8</v>
      </c>
      <c r="E9" s="102">
        <f t="shared" si="0"/>
        <v>26.8</v>
      </c>
      <c r="F9" s="102">
        <f t="shared" si="0"/>
        <v>26.8</v>
      </c>
      <c r="G9" s="102">
        <f t="shared" si="1"/>
        <v>26.8</v>
      </c>
      <c r="H9" s="102">
        <f t="shared" si="1"/>
        <v>26.8</v>
      </c>
      <c r="I9" s="102">
        <v>0</v>
      </c>
      <c r="J9" s="102">
        <f>B9*0.1</f>
        <v>13.4</v>
      </c>
      <c r="K9" s="103">
        <f>I9</f>
        <v>0</v>
      </c>
      <c r="L9" s="103">
        <f>J9-K9</f>
        <v>13.4</v>
      </c>
      <c r="M9" s="93">
        <f>L9*0.25</f>
        <v>3.35</v>
      </c>
      <c r="N9" s="118">
        <f>L9-M9</f>
        <v>10.05</v>
      </c>
    </row>
    <row r="10" spans="1:14" ht="12.75">
      <c r="A10" s="105" t="str">
        <f>'INVERSIONES FIJAS'!B16</f>
        <v>Vehículos</v>
      </c>
      <c r="B10" s="102">
        <f>'INVERSIONES FIJAS'!F16</f>
        <v>48700</v>
      </c>
      <c r="C10" s="62">
        <v>5</v>
      </c>
      <c r="D10" s="102">
        <f>B10/C10</f>
        <v>9740</v>
      </c>
      <c r="E10" s="102">
        <f t="shared" si="0"/>
        <v>9740</v>
      </c>
      <c r="F10" s="102">
        <f t="shared" si="0"/>
        <v>9740</v>
      </c>
      <c r="G10" s="102">
        <f t="shared" si="1"/>
        <v>9740</v>
      </c>
      <c r="H10" s="102">
        <f t="shared" si="1"/>
        <v>9740</v>
      </c>
      <c r="I10" s="102">
        <v>0</v>
      </c>
      <c r="J10" s="102">
        <f>B10*0.1</f>
        <v>4870</v>
      </c>
      <c r="K10" s="103">
        <f>I10</f>
        <v>0</v>
      </c>
      <c r="L10" s="103">
        <f>J10-K10</f>
        <v>4870</v>
      </c>
      <c r="M10" s="93">
        <f>L10*0.25</f>
        <v>1217.5</v>
      </c>
      <c r="N10" s="118">
        <f>L10-M10</f>
        <v>3652.5</v>
      </c>
    </row>
    <row r="11" spans="1:14" ht="12.75">
      <c r="A11" s="104" t="s">
        <v>586</v>
      </c>
      <c r="B11" s="102">
        <f>SUM(B6:B10)</f>
        <v>52634</v>
      </c>
      <c r="C11" s="93"/>
      <c r="D11" s="93"/>
      <c r="E11" s="93"/>
      <c r="F11" s="93"/>
      <c r="G11" s="93"/>
      <c r="H11" s="93"/>
      <c r="I11" s="93"/>
      <c r="J11" s="102" t="s">
        <v>5</v>
      </c>
      <c r="K11" s="93"/>
      <c r="L11" s="93"/>
      <c r="M11" s="93"/>
      <c r="N11" s="118">
        <f>+SUM(N6:N10)</f>
        <v>3921.3</v>
      </c>
    </row>
    <row r="12" spans="1:14" ht="13.5" thickBot="1">
      <c r="A12" s="774" t="s">
        <v>587</v>
      </c>
      <c r="B12" s="775"/>
      <c r="C12" s="775"/>
      <c r="D12" s="111">
        <f aca="true" t="shared" si="2" ref="D12:I12">SUM(D6:D10)</f>
        <v>10933.466666666667</v>
      </c>
      <c r="E12" s="111">
        <f t="shared" si="2"/>
        <v>10933.466666666667</v>
      </c>
      <c r="F12" s="111">
        <f t="shared" si="2"/>
        <v>10933.466666666667</v>
      </c>
      <c r="G12" s="111">
        <f t="shared" si="2"/>
        <v>9916.8</v>
      </c>
      <c r="H12" s="111">
        <f t="shared" si="2"/>
        <v>9916.8</v>
      </c>
      <c r="I12" s="111">
        <f t="shared" si="2"/>
        <v>0</v>
      </c>
      <c r="J12" s="112"/>
      <c r="K12" s="112"/>
      <c r="L12" s="112"/>
      <c r="M12" s="112"/>
      <c r="N12" s="113"/>
    </row>
    <row r="13" spans="1:14" ht="13.5" thickBot="1">
      <c r="A13" s="743" t="s">
        <v>588</v>
      </c>
      <c r="B13" s="761"/>
      <c r="C13" s="761"/>
      <c r="D13" s="124">
        <f>+D12</f>
        <v>10933.466666666667</v>
      </c>
      <c r="E13" s="124">
        <f>+E12+D13</f>
        <v>21866.933333333334</v>
      </c>
      <c r="F13" s="124">
        <f>+F12+E13</f>
        <v>32800.4</v>
      </c>
      <c r="G13" s="124">
        <f>+G12+F13</f>
        <v>42717.2</v>
      </c>
      <c r="H13" s="124">
        <f>+H12+G13</f>
        <v>52634</v>
      </c>
      <c r="I13" s="124">
        <f>+I12+H13</f>
        <v>52634</v>
      </c>
      <c r="J13" s="125"/>
      <c r="K13" s="125"/>
      <c r="L13" s="125"/>
      <c r="M13" s="125"/>
      <c r="N13" s="126"/>
    </row>
    <row r="14" spans="1:9" ht="12.75">
      <c r="A14" s="101" t="s">
        <v>996</v>
      </c>
      <c r="B14" s="92"/>
      <c r="C14" s="92"/>
      <c r="D14" s="92"/>
      <c r="E14" s="92"/>
      <c r="F14" s="92"/>
      <c r="G14" s="92"/>
      <c r="H14" s="92"/>
      <c r="I14" s="92"/>
    </row>
    <row r="15" spans="1:9" ht="12.75">
      <c r="A15" s="92"/>
      <c r="B15" s="92"/>
      <c r="C15" s="92"/>
      <c r="D15" s="92"/>
      <c r="E15" s="92"/>
      <c r="F15" s="92"/>
      <c r="G15" s="92"/>
      <c r="H15" s="92"/>
      <c r="I15" s="92"/>
    </row>
    <row r="26" ht="12.75">
      <c r="E26" s="100" t="s">
        <v>5</v>
      </c>
    </row>
  </sheetData>
  <sheetProtection/>
  <mergeCells count="4">
    <mergeCell ref="A12:C12"/>
    <mergeCell ref="A13:C13"/>
    <mergeCell ref="A3:N3"/>
    <mergeCell ref="A2:N2"/>
  </mergeCells>
  <printOptions horizontalCentered="1" verticalCentered="1"/>
  <pageMargins left="0.7874015748031497" right="0.7874015748031497" top="0.984251968503937" bottom="0.984251968503937" header="0" footer="0"/>
  <pageSetup fitToHeight="1" fitToWidth="1" horizontalDpi="300" verticalDpi="300" orientation="landscape"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3:M29"/>
  <sheetViews>
    <sheetView workbookViewId="0" topLeftCell="A1">
      <selection activeCell="H12" sqref="H12"/>
    </sheetView>
  </sheetViews>
  <sheetFormatPr defaultColWidth="11.421875" defaultRowHeight="12.75"/>
  <cols>
    <col min="1" max="1" width="35.7109375" style="265" bestFit="1" customWidth="1"/>
    <col min="2" max="2" width="10.7109375" style="265" bestFit="1" customWidth="1"/>
    <col min="3" max="3" width="4.8515625" style="265" bestFit="1" customWidth="1"/>
    <col min="4" max="4" width="5.28125" style="265" bestFit="1" customWidth="1"/>
    <col min="5" max="5" width="9.57421875" style="265" bestFit="1" customWidth="1"/>
    <col min="6" max="6" width="9.00390625" style="265" customWidth="1"/>
    <col min="7" max="9" width="10.7109375" style="265" bestFit="1" customWidth="1"/>
    <col min="10" max="13" width="9.00390625" style="265" customWidth="1"/>
    <col min="14" max="16384" width="11.421875" style="265" customWidth="1"/>
  </cols>
  <sheetData>
    <row r="3" spans="1:13" ht="12.75">
      <c r="A3" s="734" t="s">
        <v>731</v>
      </c>
      <c r="B3" s="734"/>
      <c r="C3" s="734"/>
      <c r="D3" s="734"/>
      <c r="E3" s="734"/>
      <c r="F3" s="734"/>
      <c r="G3" s="734"/>
      <c r="H3" s="734"/>
      <c r="I3" s="734"/>
      <c r="J3" s="734"/>
      <c r="K3" s="734"/>
      <c r="L3" s="734"/>
      <c r="M3" s="734"/>
    </row>
    <row r="4" spans="1:13" ht="12.75">
      <c r="A4" s="708" t="s">
        <v>738</v>
      </c>
      <c r="B4" s="708"/>
      <c r="C4" s="708"/>
      <c r="D4" s="708"/>
      <c r="E4" s="708"/>
      <c r="F4" s="708"/>
      <c r="G4" s="708"/>
      <c r="H4" s="708"/>
      <c r="I4" s="708"/>
      <c r="J4" s="708"/>
      <c r="K4" s="708"/>
      <c r="L4" s="708"/>
      <c r="M4" s="708"/>
    </row>
    <row r="5" ht="13.5" thickBot="1"/>
    <row r="6" spans="1:13" ht="13.5" thickBot="1">
      <c r="A6" s="90" t="s">
        <v>517</v>
      </c>
      <c r="B6" s="76" t="s">
        <v>563</v>
      </c>
      <c r="C6" s="76" t="s">
        <v>564</v>
      </c>
      <c r="D6" s="76" t="s">
        <v>565</v>
      </c>
      <c r="E6" s="76" t="s">
        <v>566</v>
      </c>
      <c r="F6" s="76" t="s">
        <v>567</v>
      </c>
      <c r="G6" s="76" t="s">
        <v>568</v>
      </c>
      <c r="H6" s="76" t="s">
        <v>569</v>
      </c>
      <c r="I6" s="76" t="s">
        <v>570</v>
      </c>
      <c r="J6" s="76" t="s">
        <v>571</v>
      </c>
      <c r="K6" s="76" t="s">
        <v>572</v>
      </c>
      <c r="L6" s="76" t="s">
        <v>573</v>
      </c>
      <c r="M6" s="91" t="s">
        <v>574</v>
      </c>
    </row>
    <row r="7" spans="1:13" ht="12.75">
      <c r="A7" s="287" t="s">
        <v>577</v>
      </c>
      <c r="B7" s="288"/>
      <c r="C7" s="235"/>
      <c r="D7" s="288"/>
      <c r="E7" s="289">
        <f>'ESTIMACIÓN PRODUCCIÓN 2008'!D25</f>
        <v>0.03010458328908363</v>
      </c>
      <c r="F7" s="289">
        <f>'ESTIMACIÓN PRODUCCIÓN 2008'!E25</f>
        <v>0.07524782067375298</v>
      </c>
      <c r="G7" s="289">
        <f>'ESTIMACIÓN PRODUCCIÓN 2008'!F25</f>
        <v>0.28489636341333574</v>
      </c>
      <c r="H7" s="289">
        <f>'ESTIMACIÓN PRODUCCIÓN 2008'!G25</f>
        <v>0.40374888614920423</v>
      </c>
      <c r="I7" s="289">
        <f>'ESTIMACIÓN PRODUCCIÓN 2008'!H25</f>
        <v>0.20205167356040252</v>
      </c>
      <c r="J7" s="289">
        <f>'ESTIMACIÓN PRODUCCIÓN 2008'!I25</f>
        <v>0.003950672914220838</v>
      </c>
      <c r="K7" s="289" t="s">
        <v>5</v>
      </c>
      <c r="L7" s="289" t="s">
        <v>5</v>
      </c>
      <c r="M7" s="290" t="s">
        <v>5</v>
      </c>
    </row>
    <row r="8" spans="1:13" ht="12.75">
      <c r="A8" s="271" t="s">
        <v>575</v>
      </c>
      <c r="B8" s="264"/>
      <c r="C8" s="81"/>
      <c r="D8" s="264"/>
      <c r="E8" s="264">
        <f>'COSTO COMPRA DE PRODUCTO'!$D$31*'CAPITAL DE TRABAJO'!E7</f>
        <v>25016.02062802147</v>
      </c>
      <c r="F8" s="264">
        <f>'COSTO COMPRA DE PRODUCTO'!$D$31*'CAPITAL DE TRABAJO'!F7</f>
        <v>62528.71916917885</v>
      </c>
      <c r="G8" s="264">
        <f>'COSTO COMPRA DE PRODUCTO'!$D$31*'CAPITAL DE TRABAJO'!G7</f>
        <v>236740.47355376132</v>
      </c>
      <c r="H8" s="264">
        <f>'COSTO COMPRA DE PRODUCTO'!$D$31*'CAPITAL DE TRABAJO'!H7</f>
        <v>335503.41379784734</v>
      </c>
      <c r="I8" s="264">
        <f>'COSTO COMPRA DE PRODUCTO'!$D$31*'CAPITAL DE TRABAJO'!I7</f>
        <v>167898.98020432447</v>
      </c>
      <c r="J8" s="264">
        <f>'COSTO COMPRA DE PRODUCTO'!$D$31*'CAPITAL DE TRABAJO'!J7</f>
        <v>3282.8926468665463</v>
      </c>
      <c r="K8" s="264" t="s">
        <v>5</v>
      </c>
      <c r="L8" s="264"/>
      <c r="M8" s="291"/>
    </row>
    <row r="9" spans="1:13" ht="12.75">
      <c r="A9" s="271" t="s">
        <v>576</v>
      </c>
      <c r="B9" s="264"/>
      <c r="C9" s="264"/>
      <c r="D9" s="264"/>
      <c r="E9" s="264">
        <f>E7*'COSTO BENEFICIO'!$E$41</f>
        <v>1363.8812056411361</v>
      </c>
      <c r="F9" s="264">
        <f>F7*'COSTO BENEFICIO'!$E$41</f>
        <v>3409.085168091367</v>
      </c>
      <c r="G9" s="264">
        <f>G7*'COSTO BENEFICIO'!$E$41</f>
        <v>12907.164064810524</v>
      </c>
      <c r="H9" s="264">
        <f>H7*'COSTO BENEFICIO'!$E$41</f>
        <v>18291.750207255718</v>
      </c>
      <c r="I9" s="264">
        <f>I7*'COSTO BENEFICIO'!$E$41</f>
        <v>9153.904489928564</v>
      </c>
      <c r="J9" s="264">
        <f>J7*'COSTO BENEFICIO'!$E$41</f>
        <v>178.98432559586885</v>
      </c>
      <c r="K9" s="264" t="s">
        <v>5</v>
      </c>
      <c r="L9" s="264" t="s">
        <v>5</v>
      </c>
      <c r="M9" s="291"/>
    </row>
    <row r="10" spans="1:13" ht="12.75">
      <c r="A10" s="271" t="s">
        <v>322</v>
      </c>
      <c r="B10" s="264"/>
      <c r="C10" s="264"/>
      <c r="D10" s="264"/>
      <c r="E10" s="264">
        <f>E7*'COSTO DE VENTAS'!$D$20</f>
        <v>1139.8436794850597</v>
      </c>
      <c r="F10" s="264">
        <f>F7*'COSTO DE VENTAS'!$D$20</f>
        <v>2849.092842985948</v>
      </c>
      <c r="G10" s="264">
        <f>G7*'COSTO DE VENTAS'!$D$20</f>
        <v>10786.972735235435</v>
      </c>
      <c r="H10" s="264">
        <f>H7*'COSTO DE VENTAS'!$D$20</f>
        <v>15287.06149349633</v>
      </c>
      <c r="I10" s="264">
        <f>I7*'COSTO DE VENTAS'!$D$20</f>
        <v>7650.241188381314</v>
      </c>
      <c r="J10" s="264">
        <f>J7*'COSTO DE VENTAS'!$D$20</f>
        <v>149.5835204807619</v>
      </c>
      <c r="K10" s="264"/>
      <c r="L10" s="264"/>
      <c r="M10" s="291"/>
    </row>
    <row r="11" spans="1:13" ht="13.5" thickBot="1">
      <c r="A11" s="292" t="s">
        <v>262</v>
      </c>
      <c r="B11" s="293"/>
      <c r="C11" s="293"/>
      <c r="D11" s="293"/>
      <c r="E11" s="293"/>
      <c r="F11" s="293"/>
      <c r="G11" s="293"/>
      <c r="H11" s="293">
        <f>'GASTOS GENERALES'!E65/6</f>
        <v>9931.089016927835</v>
      </c>
      <c r="I11" s="293">
        <f>H11</f>
        <v>9931.089016927835</v>
      </c>
      <c r="J11" s="293">
        <f>I11</f>
        <v>9931.089016927835</v>
      </c>
      <c r="K11" s="293">
        <f>J11</f>
        <v>9931.089016927835</v>
      </c>
      <c r="L11" s="293">
        <f>K11</f>
        <v>9931.089016927835</v>
      </c>
      <c r="M11" s="294">
        <f>L11</f>
        <v>9931.089016927835</v>
      </c>
    </row>
    <row r="12" spans="1:13" ht="13.5" thickBot="1">
      <c r="A12" s="295" t="s">
        <v>578</v>
      </c>
      <c r="B12" s="296">
        <f>SUM(B7:B11)</f>
        <v>0</v>
      </c>
      <c r="C12" s="296">
        <f aca="true" t="shared" si="0" ref="C12:M12">SUM(C7:C11)</f>
        <v>0</v>
      </c>
      <c r="D12" s="296">
        <f t="shared" si="0"/>
        <v>0</v>
      </c>
      <c r="E12" s="296">
        <f t="shared" si="0"/>
        <v>27519.775617730957</v>
      </c>
      <c r="F12" s="296">
        <f t="shared" si="0"/>
        <v>68786.97242807683</v>
      </c>
      <c r="G12" s="296">
        <f t="shared" si="0"/>
        <v>260434.8952501707</v>
      </c>
      <c r="H12" s="296">
        <f t="shared" si="0"/>
        <v>379013.71826441336</v>
      </c>
      <c r="I12" s="296">
        <f t="shared" si="0"/>
        <v>194634.41695123573</v>
      </c>
      <c r="J12" s="296">
        <f t="shared" si="0"/>
        <v>13542.553460543926</v>
      </c>
      <c r="K12" s="296">
        <f t="shared" si="0"/>
        <v>9931.089016927835</v>
      </c>
      <c r="L12" s="296">
        <f t="shared" si="0"/>
        <v>9931.089016927835</v>
      </c>
      <c r="M12" s="297">
        <f t="shared" si="0"/>
        <v>9931.089016927835</v>
      </c>
    </row>
    <row r="13" spans="1:2" ht="12.75">
      <c r="A13" s="265" t="s">
        <v>608</v>
      </c>
      <c r="B13" s="12">
        <f>H12</f>
        <v>379013.71826441336</v>
      </c>
    </row>
    <row r="14" ht="12.75">
      <c r="A14" s="410" t="s">
        <v>996</v>
      </c>
    </row>
    <row r="29" ht="12.75">
      <c r="E29" s="16"/>
    </row>
  </sheetData>
  <sheetProtection/>
  <mergeCells count="2">
    <mergeCell ref="A4:M4"/>
    <mergeCell ref="A3:M3"/>
  </mergeCells>
  <printOptions horizontalCentered="1" verticalCentered="1"/>
  <pageMargins left="0.7874015748031497" right="0.7874015748031497" top="0.984251968503937" bottom="0.984251968503937" header="0" footer="0"/>
  <pageSetup fitToHeight="1" fitToWidth="1" horizontalDpi="300" verticalDpi="300" orientation="landscape" paperSize="9" scale="90" r:id="rId1"/>
</worksheet>
</file>

<file path=xl/worksheets/sheet26.xml><?xml version="1.0" encoding="utf-8"?>
<worksheet xmlns="http://schemas.openxmlformats.org/spreadsheetml/2006/main" xmlns:r="http://schemas.openxmlformats.org/officeDocument/2006/relationships">
  <sheetPr>
    <pageSetUpPr fitToPage="1"/>
  </sheetPr>
  <dimension ref="A2:K65"/>
  <sheetViews>
    <sheetView zoomScale="95" zoomScaleNormal="95" workbookViewId="0" topLeftCell="B15">
      <selection activeCell="H25" sqref="H25"/>
    </sheetView>
  </sheetViews>
  <sheetFormatPr defaultColWidth="11.421875" defaultRowHeight="12.75"/>
  <cols>
    <col min="1" max="1" width="0" style="265" hidden="1" customWidth="1"/>
    <col min="2" max="3" width="11.421875" style="265" customWidth="1"/>
    <col min="4" max="4" width="50.8515625" style="265" bestFit="1" customWidth="1"/>
    <col min="5" max="5" width="10.421875" style="265" bestFit="1" customWidth="1"/>
    <col min="6" max="9" width="10.8515625" style="265" customWidth="1"/>
    <col min="10" max="10" width="10.421875" style="265" customWidth="1"/>
    <col min="11" max="16384" width="11.421875" style="265" customWidth="1"/>
  </cols>
  <sheetData>
    <row r="2" spans="4:10" ht="12.75">
      <c r="D2" s="734" t="s">
        <v>1073</v>
      </c>
      <c r="E2" s="734"/>
      <c r="F2" s="734"/>
      <c r="G2" s="734"/>
      <c r="H2" s="734"/>
      <c r="I2" s="734"/>
      <c r="J2" s="734"/>
    </row>
    <row r="3" spans="4:10" ht="12.75">
      <c r="D3" s="734" t="s">
        <v>262</v>
      </c>
      <c r="E3" s="734"/>
      <c r="F3" s="734"/>
      <c r="G3" s="734"/>
      <c r="H3" s="734"/>
      <c r="I3" s="734"/>
      <c r="J3" s="734"/>
    </row>
    <row r="4" ht="13.5" thickBot="1"/>
    <row r="5" spans="1:11" s="1" customFormat="1" ht="13.5" thickBot="1">
      <c r="A5" s="265"/>
      <c r="B5" s="265"/>
      <c r="C5" s="265"/>
      <c r="D5" s="776" t="s">
        <v>244</v>
      </c>
      <c r="E5" s="777"/>
      <c r="F5" s="777"/>
      <c r="G5" s="777"/>
      <c r="H5" s="777"/>
      <c r="I5" s="777"/>
      <c r="J5" s="778"/>
      <c r="K5" s="726"/>
    </row>
    <row r="6" spans="1:10" ht="12.75">
      <c r="A6" s="1"/>
      <c r="B6" s="1"/>
      <c r="C6" s="1"/>
      <c r="D6" s="247"/>
      <c r="E6" s="784" t="s">
        <v>35</v>
      </c>
      <c r="F6" s="784"/>
      <c r="G6" s="784"/>
      <c r="H6" s="784"/>
      <c r="I6" s="784"/>
      <c r="J6" s="737"/>
    </row>
    <row r="7" spans="4:10" ht="12.75">
      <c r="D7" s="271" t="s">
        <v>5</v>
      </c>
      <c r="E7" s="67">
        <v>0</v>
      </c>
      <c r="F7" s="67">
        <v>1</v>
      </c>
      <c r="G7" s="67">
        <v>2</v>
      </c>
      <c r="H7" s="67">
        <v>3</v>
      </c>
      <c r="I7" s="67">
        <v>4</v>
      </c>
      <c r="J7" s="13">
        <v>5</v>
      </c>
    </row>
    <row r="8" spans="1:10" s="1" customFormat="1" ht="12.75">
      <c r="A8" s="265"/>
      <c r="B8" s="265"/>
      <c r="C8" s="265"/>
      <c r="D8" s="271"/>
      <c r="E8" s="67">
        <v>2008</v>
      </c>
      <c r="F8" s="80">
        <v>2009</v>
      </c>
      <c r="G8" s="80">
        <v>2010</v>
      </c>
      <c r="H8" s="80">
        <v>2011</v>
      </c>
      <c r="I8" s="80">
        <v>2012</v>
      </c>
      <c r="J8" s="248">
        <v>2013</v>
      </c>
    </row>
    <row r="9" spans="1:10" s="1" customFormat="1" ht="12.75">
      <c r="A9" s="1">
        <v>0.03</v>
      </c>
      <c r="D9" s="249" t="s">
        <v>477</v>
      </c>
      <c r="E9" s="42">
        <f>'SUELDOS Y SALARIOS'!J26*0.5</f>
        <v>21792.602937142856</v>
      </c>
      <c r="F9" s="42">
        <f>(E9*2)*(1+$A$9)</f>
        <v>44892.762050514284</v>
      </c>
      <c r="G9" s="42">
        <f>F9*(1+$A$9)</f>
        <v>46239.54491202971</v>
      </c>
      <c r="H9" s="42">
        <f>G9*(1+$A$9)</f>
        <v>47626.7312593906</v>
      </c>
      <c r="I9" s="42">
        <f>H9*(1+$A$9)</f>
        <v>49055.53319717232</v>
      </c>
      <c r="J9" s="43">
        <f>I9*(1+$A$9)</f>
        <v>50527.199193087494</v>
      </c>
    </row>
    <row r="10" spans="1:10" s="1" customFormat="1" ht="12.75">
      <c r="A10" s="1">
        <v>0.05</v>
      </c>
      <c r="D10" s="250" t="s">
        <v>271</v>
      </c>
      <c r="E10" s="42">
        <v>500</v>
      </c>
      <c r="F10" s="42">
        <f>E10*(1+$A10)</f>
        <v>525</v>
      </c>
      <c r="G10" s="42">
        <f>F10*(1+$A10)</f>
        <v>551.25</v>
      </c>
      <c r="H10" s="42">
        <f>G10*(1+$A10)</f>
        <v>578.8125</v>
      </c>
      <c r="I10" s="42">
        <f>H10*(1+$A10)</f>
        <v>607.7531250000001</v>
      </c>
      <c r="J10" s="43">
        <f>I10*(1+$A10)</f>
        <v>638.1407812500001</v>
      </c>
    </row>
    <row r="11" spans="1:10" s="1" customFormat="1" ht="12.75">
      <c r="A11" s="1">
        <v>0.05</v>
      </c>
      <c r="D11" s="250" t="s">
        <v>272</v>
      </c>
      <c r="E11" s="42">
        <v>200</v>
      </c>
      <c r="F11" s="42">
        <f aca="true" t="shared" si="0" ref="F11:J17">E11*(1+$A11)</f>
        <v>210</v>
      </c>
      <c r="G11" s="42">
        <f t="shared" si="0"/>
        <v>220.5</v>
      </c>
      <c r="H11" s="42">
        <f t="shared" si="0"/>
        <v>231.525</v>
      </c>
      <c r="I11" s="42">
        <f t="shared" si="0"/>
        <v>243.10125000000002</v>
      </c>
      <c r="J11" s="43">
        <f t="shared" si="0"/>
        <v>255.25631250000004</v>
      </c>
    </row>
    <row r="12" spans="1:10" s="1" customFormat="1" ht="12.75">
      <c r="A12" s="1">
        <v>0.05</v>
      </c>
      <c r="D12" s="250" t="s">
        <v>504</v>
      </c>
      <c r="E12" s="42">
        <v>2000</v>
      </c>
      <c r="F12" s="42">
        <f t="shared" si="0"/>
        <v>2100</v>
      </c>
      <c r="G12" s="42">
        <f t="shared" si="0"/>
        <v>2205</v>
      </c>
      <c r="H12" s="42">
        <f t="shared" si="0"/>
        <v>2315.25</v>
      </c>
      <c r="I12" s="42">
        <f t="shared" si="0"/>
        <v>2431.0125000000003</v>
      </c>
      <c r="J12" s="43">
        <f t="shared" si="0"/>
        <v>2552.5631250000006</v>
      </c>
    </row>
    <row r="13" spans="1:10" s="1" customFormat="1" ht="12.75">
      <c r="A13" s="1">
        <v>0.05</v>
      </c>
      <c r="D13" s="250" t="s">
        <v>274</v>
      </c>
      <c r="E13" s="42">
        <v>8</v>
      </c>
      <c r="F13" s="42">
        <v>240</v>
      </c>
      <c r="G13" s="42">
        <f t="shared" si="0"/>
        <v>252</v>
      </c>
      <c r="H13" s="42">
        <f t="shared" si="0"/>
        <v>264.6</v>
      </c>
      <c r="I13" s="42">
        <f t="shared" si="0"/>
        <v>277.83000000000004</v>
      </c>
      <c r="J13" s="43">
        <f t="shared" si="0"/>
        <v>291.72150000000005</v>
      </c>
    </row>
    <row r="14" spans="1:10" s="1" customFormat="1" ht="12.75">
      <c r="A14" s="1">
        <v>0.05</v>
      </c>
      <c r="D14" s="251" t="s">
        <v>478</v>
      </c>
      <c r="E14" s="42">
        <v>140</v>
      </c>
      <c r="F14" s="42">
        <v>3600</v>
      </c>
      <c r="G14" s="42">
        <f t="shared" si="0"/>
        <v>3780</v>
      </c>
      <c r="H14" s="42">
        <f t="shared" si="0"/>
        <v>3969</v>
      </c>
      <c r="I14" s="42">
        <f t="shared" si="0"/>
        <v>4167.45</v>
      </c>
      <c r="J14" s="43">
        <f t="shared" si="0"/>
        <v>4375.8225</v>
      </c>
    </row>
    <row r="15" spans="1:10" s="1" customFormat="1" ht="12.75">
      <c r="A15" s="1">
        <v>0.05</v>
      </c>
      <c r="D15" s="251" t="s">
        <v>259</v>
      </c>
      <c r="E15" s="42">
        <v>400</v>
      </c>
      <c r="F15" s="42">
        <f t="shared" si="0"/>
        <v>420</v>
      </c>
      <c r="G15" s="42">
        <f t="shared" si="0"/>
        <v>441</v>
      </c>
      <c r="H15" s="42"/>
      <c r="I15" s="42">
        <f t="shared" si="0"/>
        <v>0</v>
      </c>
      <c r="J15" s="43">
        <f t="shared" si="0"/>
        <v>0</v>
      </c>
    </row>
    <row r="16" spans="1:10" s="1" customFormat="1" ht="12.75">
      <c r="A16" s="1">
        <v>0.05</v>
      </c>
      <c r="D16" s="251" t="s">
        <v>261</v>
      </c>
      <c r="E16" s="42">
        <v>180</v>
      </c>
      <c r="F16" s="42">
        <f t="shared" si="0"/>
        <v>189</v>
      </c>
      <c r="G16" s="42">
        <f t="shared" si="0"/>
        <v>198.45000000000002</v>
      </c>
      <c r="H16" s="42">
        <f t="shared" si="0"/>
        <v>208.37250000000003</v>
      </c>
      <c r="I16" s="42">
        <f t="shared" si="0"/>
        <v>218.79112500000005</v>
      </c>
      <c r="J16" s="43">
        <f t="shared" si="0"/>
        <v>229.73068125000006</v>
      </c>
    </row>
    <row r="17" spans="1:10" s="1" customFormat="1" ht="12.75">
      <c r="A17" s="1">
        <v>0.05</v>
      </c>
      <c r="D17" s="251" t="s">
        <v>260</v>
      </c>
      <c r="E17" s="42">
        <v>160</v>
      </c>
      <c r="F17" s="42">
        <f t="shared" si="0"/>
        <v>168</v>
      </c>
      <c r="G17" s="42">
        <f t="shared" si="0"/>
        <v>176.4</v>
      </c>
      <c r="H17" s="42">
        <f t="shared" si="0"/>
        <v>185.22000000000003</v>
      </c>
      <c r="I17" s="42">
        <f t="shared" si="0"/>
        <v>194.48100000000002</v>
      </c>
      <c r="J17" s="43">
        <f t="shared" si="0"/>
        <v>204.20505000000003</v>
      </c>
    </row>
    <row r="18" spans="1:10" ht="13.5" thickBot="1">
      <c r="A18" s="1"/>
      <c r="B18" s="1"/>
      <c r="C18" s="1"/>
      <c r="D18" s="252" t="s">
        <v>503</v>
      </c>
      <c r="E18" s="52">
        <f aca="true" t="shared" si="1" ref="E18:J18">SUM(E9:E17)</f>
        <v>25380.602937142856</v>
      </c>
      <c r="F18" s="52">
        <f t="shared" si="1"/>
        <v>52344.762050514284</v>
      </c>
      <c r="G18" s="52">
        <f t="shared" si="1"/>
        <v>54064.14491202971</v>
      </c>
      <c r="H18" s="52">
        <f t="shared" si="1"/>
        <v>55379.5112593906</v>
      </c>
      <c r="I18" s="52">
        <f t="shared" si="1"/>
        <v>57195.95219717232</v>
      </c>
      <c r="J18" s="39">
        <f t="shared" si="1"/>
        <v>59074.639143087494</v>
      </c>
    </row>
    <row r="19" spans="1:11" s="1" customFormat="1" ht="13.5" thickBot="1">
      <c r="A19" s="265"/>
      <c r="B19" s="265"/>
      <c r="C19" s="265"/>
      <c r="D19" s="779" t="s">
        <v>262</v>
      </c>
      <c r="E19" s="780"/>
      <c r="F19" s="780"/>
      <c r="G19" s="780"/>
      <c r="H19" s="780"/>
      <c r="I19" s="780"/>
      <c r="J19" s="781"/>
      <c r="K19" s="726"/>
    </row>
    <row r="20" spans="1:10" ht="12.75">
      <c r="A20" s="1"/>
      <c r="B20" s="1"/>
      <c r="C20" s="1"/>
      <c r="D20" s="253"/>
      <c r="E20" s="784" t="s">
        <v>35</v>
      </c>
      <c r="F20" s="784"/>
      <c r="G20" s="784"/>
      <c r="H20" s="784"/>
      <c r="I20" s="784"/>
      <c r="J20" s="737"/>
    </row>
    <row r="21" spans="1:10" ht="12.75">
      <c r="A21" s="265" t="s">
        <v>5</v>
      </c>
      <c r="D21" s="271"/>
      <c r="E21" s="67">
        <v>0</v>
      </c>
      <c r="F21" s="67">
        <v>1</v>
      </c>
      <c r="G21" s="67">
        <v>2</v>
      </c>
      <c r="H21" s="67">
        <v>3</v>
      </c>
      <c r="I21" s="67">
        <v>4</v>
      </c>
      <c r="J21" s="13">
        <v>5</v>
      </c>
    </row>
    <row r="22" spans="1:10" s="1" customFormat="1" ht="12.75">
      <c r="A22" s="265">
        <v>0.05</v>
      </c>
      <c r="B22" s="265"/>
      <c r="C22" s="265"/>
      <c r="D22" s="271"/>
      <c r="E22" s="80">
        <v>2008</v>
      </c>
      <c r="F22" s="80">
        <v>2009</v>
      </c>
      <c r="G22" s="80">
        <v>2010</v>
      </c>
      <c r="H22" s="80">
        <v>2011</v>
      </c>
      <c r="I22" s="80">
        <v>2012</v>
      </c>
      <c r="J22" s="248">
        <v>2013</v>
      </c>
    </row>
    <row r="23" spans="1:10" s="1" customFormat="1" ht="12.75">
      <c r="A23" s="1">
        <v>0.05</v>
      </c>
      <c r="D23" s="251" t="s">
        <v>276</v>
      </c>
      <c r="E23" s="42">
        <v>100</v>
      </c>
      <c r="F23" s="42">
        <f aca="true" t="shared" si="2" ref="F23:I33">E23*(1+$A23)</f>
        <v>105</v>
      </c>
      <c r="G23" s="42">
        <f t="shared" si="2"/>
        <v>110.25</v>
      </c>
      <c r="H23" s="42">
        <f t="shared" si="2"/>
        <v>115.7625</v>
      </c>
      <c r="I23" s="42">
        <f t="shared" si="2"/>
        <v>121.55062500000001</v>
      </c>
      <c r="J23" s="43">
        <f>I23*(1+$A23)</f>
        <v>127.62815625000002</v>
      </c>
    </row>
    <row r="24" spans="1:10" s="1" customFormat="1" ht="12.75">
      <c r="A24" s="1">
        <v>0.05</v>
      </c>
      <c r="D24" s="251" t="s">
        <v>479</v>
      </c>
      <c r="E24" s="42">
        <v>1500</v>
      </c>
      <c r="F24" s="42">
        <f t="shared" si="2"/>
        <v>1575</v>
      </c>
      <c r="G24" s="42">
        <f t="shared" si="2"/>
        <v>1653.75</v>
      </c>
      <c r="H24" s="42">
        <f t="shared" si="2"/>
        <v>1736.4375</v>
      </c>
      <c r="I24" s="42">
        <f t="shared" si="2"/>
        <v>1823.259375</v>
      </c>
      <c r="J24" s="43">
        <f>I24*(1+$A24)</f>
        <v>1914.4223437500002</v>
      </c>
    </row>
    <row r="25" spans="1:10" s="1" customFormat="1" ht="12.75">
      <c r="A25" s="1">
        <v>0</v>
      </c>
      <c r="D25" s="251" t="s">
        <v>562</v>
      </c>
      <c r="E25" s="42">
        <v>600</v>
      </c>
      <c r="F25" s="42">
        <f>1200</f>
        <v>1200</v>
      </c>
      <c r="G25" s="42">
        <f>1200</f>
        <v>1200</v>
      </c>
      <c r="H25" s="42">
        <f>1200</f>
        <v>1200</v>
      </c>
      <c r="I25" s="42">
        <f>1200</f>
        <v>1200</v>
      </c>
      <c r="J25" s="43">
        <f>1200</f>
        <v>1200</v>
      </c>
    </row>
    <row r="26" spans="1:10" s="1" customFormat="1" ht="12.75">
      <c r="A26" s="1">
        <v>0.05</v>
      </c>
      <c r="D26" s="251" t="s">
        <v>278</v>
      </c>
      <c r="E26" s="81">
        <v>800</v>
      </c>
      <c r="F26" s="42">
        <f t="shared" si="2"/>
        <v>840</v>
      </c>
      <c r="G26" s="42">
        <f t="shared" si="2"/>
        <v>882</v>
      </c>
      <c r="H26" s="42">
        <f t="shared" si="2"/>
        <v>926.1</v>
      </c>
      <c r="I26" s="42">
        <f t="shared" si="2"/>
        <v>972.4050000000001</v>
      </c>
      <c r="J26" s="43">
        <f aca="true" t="shared" si="3" ref="J26:J33">I26*(1+$A26)</f>
        <v>1021.0252500000001</v>
      </c>
    </row>
    <row r="27" spans="1:10" s="1" customFormat="1" ht="12.75">
      <c r="A27" s="1">
        <v>0.05</v>
      </c>
      <c r="D27" s="251" t="s">
        <v>480</v>
      </c>
      <c r="E27" s="42">
        <v>500</v>
      </c>
      <c r="F27" s="42">
        <f t="shared" si="2"/>
        <v>525</v>
      </c>
      <c r="G27" s="42">
        <f t="shared" si="2"/>
        <v>551.25</v>
      </c>
      <c r="H27" s="42">
        <f t="shared" si="2"/>
        <v>578.8125</v>
      </c>
      <c r="I27" s="42">
        <f t="shared" si="2"/>
        <v>607.7531250000001</v>
      </c>
      <c r="J27" s="43">
        <f t="shared" si="3"/>
        <v>638.1407812500001</v>
      </c>
    </row>
    <row r="28" spans="1:10" s="1" customFormat="1" ht="12.75">
      <c r="A28" s="1">
        <v>0.05</v>
      </c>
      <c r="D28" s="251" t="s">
        <v>281</v>
      </c>
      <c r="E28" s="42">
        <v>250</v>
      </c>
      <c r="F28" s="42">
        <f t="shared" si="2"/>
        <v>262.5</v>
      </c>
      <c r="G28" s="42">
        <f t="shared" si="2"/>
        <v>275.625</v>
      </c>
      <c r="H28" s="42">
        <f t="shared" si="2"/>
        <v>289.40625</v>
      </c>
      <c r="I28" s="42">
        <f t="shared" si="2"/>
        <v>303.87656250000003</v>
      </c>
      <c r="J28" s="43">
        <f t="shared" si="3"/>
        <v>319.0703906250001</v>
      </c>
    </row>
    <row r="29" spans="1:10" s="1" customFormat="1" ht="12.75">
      <c r="A29" s="1">
        <v>0.05</v>
      </c>
      <c r="D29" s="251" t="s">
        <v>282</v>
      </c>
      <c r="E29" s="42">
        <v>40</v>
      </c>
      <c r="F29" s="42">
        <f t="shared" si="2"/>
        <v>42</v>
      </c>
      <c r="G29" s="42">
        <f t="shared" si="2"/>
        <v>44.1</v>
      </c>
      <c r="H29" s="42">
        <f t="shared" si="2"/>
        <v>46.30500000000001</v>
      </c>
      <c r="I29" s="42">
        <f t="shared" si="2"/>
        <v>48.620250000000006</v>
      </c>
      <c r="J29" s="43">
        <f t="shared" si="3"/>
        <v>51.05126250000001</v>
      </c>
    </row>
    <row r="30" spans="1:10" s="1" customFormat="1" ht="12.75">
      <c r="A30" s="1">
        <v>0.05</v>
      </c>
      <c r="D30" s="251" t="s">
        <v>283</v>
      </c>
      <c r="E30" s="42">
        <v>800</v>
      </c>
      <c r="F30" s="42">
        <f t="shared" si="2"/>
        <v>840</v>
      </c>
      <c r="G30" s="42">
        <f t="shared" si="2"/>
        <v>882</v>
      </c>
      <c r="H30" s="42">
        <f t="shared" si="2"/>
        <v>926.1</v>
      </c>
      <c r="I30" s="42">
        <f t="shared" si="2"/>
        <v>972.4050000000001</v>
      </c>
      <c r="J30" s="43">
        <f t="shared" si="3"/>
        <v>1021.0252500000001</v>
      </c>
    </row>
    <row r="31" spans="1:10" s="1" customFormat="1" ht="12.75">
      <c r="A31" s="1">
        <v>0.05</v>
      </c>
      <c r="D31" s="251" t="s">
        <v>286</v>
      </c>
      <c r="E31" s="42">
        <v>50</v>
      </c>
      <c r="F31" s="42">
        <f t="shared" si="2"/>
        <v>52.5</v>
      </c>
      <c r="G31" s="42">
        <f t="shared" si="2"/>
        <v>55.125</v>
      </c>
      <c r="H31" s="42">
        <f t="shared" si="2"/>
        <v>57.88125</v>
      </c>
      <c r="I31" s="42">
        <f t="shared" si="2"/>
        <v>60.775312500000005</v>
      </c>
      <c r="J31" s="43">
        <f t="shared" si="3"/>
        <v>63.81407812500001</v>
      </c>
    </row>
    <row r="32" spans="1:10" s="1" customFormat="1" ht="12.75">
      <c r="A32" s="1">
        <v>0.05</v>
      </c>
      <c r="D32" s="251" t="s">
        <v>287</v>
      </c>
      <c r="E32" s="42">
        <v>600</v>
      </c>
      <c r="F32" s="42">
        <f t="shared" si="2"/>
        <v>630</v>
      </c>
      <c r="G32" s="42">
        <f t="shared" si="2"/>
        <v>661.5</v>
      </c>
      <c r="H32" s="42">
        <f t="shared" si="2"/>
        <v>694.575</v>
      </c>
      <c r="I32" s="42">
        <f t="shared" si="2"/>
        <v>729.30375</v>
      </c>
      <c r="J32" s="43">
        <f t="shared" si="3"/>
        <v>765.7689375000001</v>
      </c>
    </row>
    <row r="33" spans="1:10" s="1" customFormat="1" ht="12.75">
      <c r="A33" s="1">
        <v>0.05</v>
      </c>
      <c r="D33" s="251" t="s">
        <v>288</v>
      </c>
      <c r="E33" s="42">
        <v>100</v>
      </c>
      <c r="F33" s="42">
        <f t="shared" si="2"/>
        <v>105</v>
      </c>
      <c r="G33" s="42">
        <f t="shared" si="2"/>
        <v>110.25</v>
      </c>
      <c r="H33" s="42">
        <f t="shared" si="2"/>
        <v>115.7625</v>
      </c>
      <c r="I33" s="42">
        <f t="shared" si="2"/>
        <v>121.55062500000001</v>
      </c>
      <c r="J33" s="43">
        <f t="shared" si="3"/>
        <v>127.62815625000002</v>
      </c>
    </row>
    <row r="34" spans="1:10" ht="13.5" thickBot="1">
      <c r="A34" s="1"/>
      <c r="B34" s="1"/>
      <c r="C34" s="1"/>
      <c r="D34" s="252" t="s">
        <v>506</v>
      </c>
      <c r="E34" s="52">
        <f aca="true" t="shared" si="4" ref="E34:J34">SUM(E23:E33)</f>
        <v>5340</v>
      </c>
      <c r="F34" s="52">
        <f t="shared" si="4"/>
        <v>6177</v>
      </c>
      <c r="G34" s="52">
        <f t="shared" si="4"/>
        <v>6425.85</v>
      </c>
      <c r="H34" s="52">
        <f t="shared" si="4"/>
        <v>6687.1425</v>
      </c>
      <c r="I34" s="52">
        <f t="shared" si="4"/>
        <v>6961.4996249999995</v>
      </c>
      <c r="J34" s="39">
        <f t="shared" si="4"/>
        <v>7249.57460625</v>
      </c>
    </row>
    <row r="35" spans="4:11" ht="13.5" thickBot="1">
      <c r="D35" s="782" t="s">
        <v>290</v>
      </c>
      <c r="E35" s="765"/>
      <c r="F35" s="765"/>
      <c r="G35" s="765"/>
      <c r="H35" s="765"/>
      <c r="I35" s="765"/>
      <c r="J35" s="783"/>
      <c r="K35" s="727"/>
    </row>
    <row r="36" spans="4:10" ht="12.75">
      <c r="D36" s="546"/>
      <c r="E36" s="785" t="s">
        <v>35</v>
      </c>
      <c r="F36" s="785"/>
      <c r="G36" s="785"/>
      <c r="H36" s="785"/>
      <c r="I36" s="785"/>
      <c r="J36" s="786"/>
    </row>
    <row r="37" spans="4:10" ht="12.75">
      <c r="D37" s="547"/>
      <c r="E37" s="331">
        <v>0</v>
      </c>
      <c r="F37" s="331">
        <v>1</v>
      </c>
      <c r="G37" s="331">
        <v>2</v>
      </c>
      <c r="H37" s="331">
        <v>3</v>
      </c>
      <c r="I37" s="331">
        <v>4</v>
      </c>
      <c r="J37" s="185">
        <v>5</v>
      </c>
    </row>
    <row r="38" spans="1:10" s="1" customFormat="1" ht="12.75">
      <c r="A38" s="265"/>
      <c r="B38" s="265"/>
      <c r="C38" s="265"/>
      <c r="D38" s="548" t="s">
        <v>289</v>
      </c>
      <c r="E38" s="544">
        <v>2008</v>
      </c>
      <c r="F38" s="544">
        <v>2009</v>
      </c>
      <c r="G38" s="544">
        <v>2010</v>
      </c>
      <c r="H38" s="544">
        <v>2011</v>
      </c>
      <c r="I38" s="544">
        <v>2012</v>
      </c>
      <c r="J38" s="549">
        <v>2013</v>
      </c>
    </row>
    <row r="39" spans="4:10" s="1" customFormat="1" ht="12.75">
      <c r="D39" s="550" t="s">
        <v>290</v>
      </c>
      <c r="E39" s="545">
        <f>C!C74</f>
        <v>2764.55</v>
      </c>
      <c r="F39" s="545">
        <f>E39</f>
        <v>2764.55</v>
      </c>
      <c r="G39" s="545">
        <f>F39</f>
        <v>2764.55</v>
      </c>
      <c r="H39" s="545">
        <f>G39</f>
        <v>2764.55</v>
      </c>
      <c r="I39" s="545">
        <f>H39</f>
        <v>2764.55</v>
      </c>
      <c r="J39" s="551">
        <f>I39</f>
        <v>2764.55</v>
      </c>
    </row>
    <row r="40" spans="4:10" s="1" customFormat="1" ht="12.75">
      <c r="D40" s="550" t="s">
        <v>481</v>
      </c>
      <c r="E40" s="545">
        <f>'NUEVAS DEPRECIACIONES'!D12</f>
        <v>10933.466666666667</v>
      </c>
      <c r="F40" s="545">
        <f>'NUEVAS DEPRECIACIONES'!E12</f>
        <v>10933.466666666667</v>
      </c>
      <c r="G40" s="545">
        <f>'NUEVAS DEPRECIACIONES'!F12</f>
        <v>10933.466666666667</v>
      </c>
      <c r="H40" s="545">
        <f>'NUEVAS DEPRECIACIONES'!G12</f>
        <v>9916.8</v>
      </c>
      <c r="I40" s="545">
        <f>'NUEVAS DEPRECIACIONES'!H12</f>
        <v>9916.8</v>
      </c>
      <c r="J40" s="551">
        <f>'NUEVAS DEPRECIACIONES'!I12</f>
        <v>0</v>
      </c>
    </row>
    <row r="41" spans="1:10" ht="13.5" thickBot="1">
      <c r="A41" s="1"/>
      <c r="B41" s="1"/>
      <c r="C41" s="1"/>
      <c r="D41" s="552" t="s">
        <v>508</v>
      </c>
      <c r="E41" s="462">
        <f aca="true" t="shared" si="5" ref="E41:J41">E39+E40</f>
        <v>13698.016666666666</v>
      </c>
      <c r="F41" s="462">
        <f t="shared" si="5"/>
        <v>13698.016666666666</v>
      </c>
      <c r="G41" s="462">
        <f t="shared" si="5"/>
        <v>13698.016666666666</v>
      </c>
      <c r="H41" s="462">
        <f t="shared" si="5"/>
        <v>12681.349999999999</v>
      </c>
      <c r="I41" s="462">
        <f t="shared" si="5"/>
        <v>12681.349999999999</v>
      </c>
      <c r="J41" s="463">
        <f t="shared" si="5"/>
        <v>2764.55</v>
      </c>
    </row>
    <row r="42" spans="1:11" s="1" customFormat="1" ht="13.5" thickBot="1">
      <c r="A42" s="265"/>
      <c r="B42" s="265"/>
      <c r="C42" s="270"/>
      <c r="D42" s="779" t="s">
        <v>322</v>
      </c>
      <c r="E42" s="780"/>
      <c r="F42" s="780"/>
      <c r="G42" s="780"/>
      <c r="H42" s="780"/>
      <c r="I42" s="780"/>
      <c r="J42" s="781"/>
      <c r="K42" s="726"/>
    </row>
    <row r="43" spans="1:10" ht="12.75">
      <c r="A43" s="1"/>
      <c r="B43" s="1"/>
      <c r="C43" s="1"/>
      <c r="D43" s="553"/>
      <c r="E43" s="784" t="s">
        <v>35</v>
      </c>
      <c r="F43" s="784"/>
      <c r="G43" s="784"/>
      <c r="H43" s="784"/>
      <c r="I43" s="784"/>
      <c r="J43" s="737"/>
    </row>
    <row r="44" spans="4:10" ht="12.75">
      <c r="D44" s="554"/>
      <c r="E44" s="67">
        <v>0</v>
      </c>
      <c r="F44" s="67">
        <v>1</v>
      </c>
      <c r="G44" s="67">
        <v>2</v>
      </c>
      <c r="H44" s="67">
        <v>3</v>
      </c>
      <c r="I44" s="67">
        <v>4</v>
      </c>
      <c r="J44" s="13">
        <v>5</v>
      </c>
    </row>
    <row r="45" spans="1:10" s="1" customFormat="1" ht="12.75">
      <c r="A45" s="265"/>
      <c r="B45" s="265"/>
      <c r="C45" s="265"/>
      <c r="D45" s="555"/>
      <c r="E45" s="80">
        <v>2008</v>
      </c>
      <c r="F45" s="80">
        <v>2009</v>
      </c>
      <c r="G45" s="80">
        <v>2010</v>
      </c>
      <c r="H45" s="80">
        <v>2011</v>
      </c>
      <c r="I45" s="80">
        <v>2012</v>
      </c>
      <c r="J45" s="248">
        <v>2013</v>
      </c>
    </row>
    <row r="46" spans="1:10" s="1" customFormat="1" ht="12.75">
      <c r="A46" s="1">
        <v>0.02</v>
      </c>
      <c r="D46" s="251" t="s">
        <v>299</v>
      </c>
      <c r="E46" s="42">
        <v>1000</v>
      </c>
      <c r="F46" s="42">
        <f>E46*(1+$A$46)</f>
        <v>1020</v>
      </c>
      <c r="G46" s="42">
        <f>F46*(1+$A$46)</f>
        <v>1040.4</v>
      </c>
      <c r="H46" s="42">
        <f>G46*(1+$A$46)</f>
        <v>1061.208</v>
      </c>
      <c r="I46" s="42">
        <f>H46*(1+$A$46)</f>
        <v>1082.43216</v>
      </c>
      <c r="J46" s="43">
        <f>I46*(1+$A$46)</f>
        <v>1104.0808032</v>
      </c>
    </row>
    <row r="47" spans="1:10" s="1" customFormat="1" ht="12.75">
      <c r="A47" s="1">
        <v>0.05</v>
      </c>
      <c r="D47" s="251" t="s">
        <v>301</v>
      </c>
      <c r="E47" s="42">
        <v>2000</v>
      </c>
      <c r="F47" s="42">
        <f>E47*(1+$A$47)</f>
        <v>2100</v>
      </c>
      <c r="G47" s="42">
        <f>F47*(1+$A$47)</f>
        <v>2205</v>
      </c>
      <c r="H47" s="42">
        <f>G47*(1+$A$47)</f>
        <v>2315.25</v>
      </c>
      <c r="I47" s="42">
        <f>H47*(1+$A$47)</f>
        <v>2431.0125000000003</v>
      </c>
      <c r="J47" s="43">
        <f>I47*(1+$A$47)</f>
        <v>2552.5631250000006</v>
      </c>
    </row>
    <row r="48" spans="1:10" s="1" customFormat="1" ht="12.75">
      <c r="A48" s="79">
        <f>C!D40/'VENTAS 2006 - 2007'!F25</f>
        <v>0.01511452519387905</v>
      </c>
      <c r="B48" s="79"/>
      <c r="C48" s="79"/>
      <c r="D48" s="251" t="s">
        <v>305</v>
      </c>
      <c r="E48" s="42">
        <f>$A48*('INGRESO POR VENTAS'!D20+'INGRESO POR VENTAS'!D24)</f>
        <v>11937.914497757492</v>
      </c>
      <c r="F48" s="42">
        <f>$A48*('INGRESO POR VENTAS'!E20+'INGRESO POR VENTAS'!E24)</f>
        <v>20725.533450410505</v>
      </c>
      <c r="G48" s="42">
        <f>$A48*('INGRESO POR VENTAS'!F20+'INGRESO POR VENTAS'!F24)</f>
        <v>28181.03289616419</v>
      </c>
      <c r="H48" s="42">
        <f>$A48*('INGRESO POR VENTAS'!G20+'INGRESO POR VENTAS'!G24)</f>
        <v>33973.848709836944</v>
      </c>
      <c r="I48" s="42">
        <f>$A48*('INGRESO POR VENTAS'!H20+'INGRESO POR VENTAS'!H24)</f>
        <v>40096.335468792684</v>
      </c>
      <c r="J48" s="43">
        <f>$A48*('INGRESO POR VENTAS'!I20+'INGRESO POR VENTAS'!I24)</f>
        <v>45426.548544451674</v>
      </c>
    </row>
    <row r="49" spans="1:10" ht="13.5" thickBot="1">
      <c r="A49" s="79"/>
      <c r="B49" s="79"/>
      <c r="C49" s="79"/>
      <c r="D49" s="252" t="s">
        <v>512</v>
      </c>
      <c r="E49" s="52">
        <f aca="true" t="shared" si="6" ref="E49:J49">SUM(E46:E48)</f>
        <v>14937.914497757492</v>
      </c>
      <c r="F49" s="52">
        <f t="shared" si="6"/>
        <v>23845.533450410505</v>
      </c>
      <c r="G49" s="52">
        <f t="shared" si="6"/>
        <v>31426.43289616419</v>
      </c>
      <c r="H49" s="52">
        <f t="shared" si="6"/>
        <v>37350.30670983694</v>
      </c>
      <c r="I49" s="52">
        <f t="shared" si="6"/>
        <v>43609.780128792685</v>
      </c>
      <c r="J49" s="39">
        <f t="shared" si="6"/>
        <v>49083.19247265167</v>
      </c>
    </row>
    <row r="50" spans="1:11" s="1" customFormat="1" ht="13.5" thickBot="1">
      <c r="A50" s="285"/>
      <c r="B50" s="285"/>
      <c r="C50" s="286"/>
      <c r="D50" s="779" t="s">
        <v>309</v>
      </c>
      <c r="E50" s="780"/>
      <c r="F50" s="780"/>
      <c r="G50" s="780"/>
      <c r="H50" s="780"/>
      <c r="I50" s="780"/>
      <c r="J50" s="781"/>
      <c r="K50" s="726"/>
    </row>
    <row r="51" spans="1:10" ht="12.75">
      <c r="A51" s="79"/>
      <c r="B51" s="79"/>
      <c r="C51" s="79"/>
      <c r="D51" s="253"/>
      <c r="E51" s="784" t="s">
        <v>35</v>
      </c>
      <c r="F51" s="784"/>
      <c r="G51" s="784"/>
      <c r="H51" s="784"/>
      <c r="I51" s="784"/>
      <c r="J51" s="737"/>
    </row>
    <row r="52" spans="4:10" ht="12.75">
      <c r="D52" s="556"/>
      <c r="E52" s="67">
        <v>0</v>
      </c>
      <c r="F52" s="67">
        <v>1</v>
      </c>
      <c r="G52" s="67">
        <v>2</v>
      </c>
      <c r="H52" s="67">
        <v>3</v>
      </c>
      <c r="I52" s="67">
        <v>4</v>
      </c>
      <c r="J52" s="13">
        <v>5</v>
      </c>
    </row>
    <row r="53" spans="1:10" s="1" customFormat="1" ht="12.75">
      <c r="A53" s="265"/>
      <c r="B53" s="265"/>
      <c r="C53" s="265"/>
      <c r="D53" s="555"/>
      <c r="E53" s="80">
        <v>2008</v>
      </c>
      <c r="F53" s="80">
        <v>2009</v>
      </c>
      <c r="G53" s="80">
        <v>2010</v>
      </c>
      <c r="H53" s="80">
        <v>2011</v>
      </c>
      <c r="I53" s="80">
        <v>2012</v>
      </c>
      <c r="J53" s="248">
        <v>2013</v>
      </c>
    </row>
    <row r="54" spans="4:10" s="1" customFormat="1" ht="12.75">
      <c r="D54" s="251" t="s">
        <v>313</v>
      </c>
      <c r="E54" s="42">
        <v>0</v>
      </c>
      <c r="F54" s="42"/>
      <c r="G54" s="42"/>
      <c r="H54" s="42"/>
      <c r="I54" s="42"/>
      <c r="J54" s="557"/>
    </row>
    <row r="55" spans="1:10" s="1" customFormat="1" ht="12.75">
      <c r="A55" s="1">
        <f>A47</f>
        <v>0.05</v>
      </c>
      <c r="D55" s="251" t="s">
        <v>314</v>
      </c>
      <c r="E55" s="42">
        <v>30</v>
      </c>
      <c r="F55" s="42">
        <f aca="true" t="shared" si="7" ref="F55:J56">E55*(1+$A$55)</f>
        <v>31.5</v>
      </c>
      <c r="G55" s="42">
        <f t="shared" si="7"/>
        <v>33.075</v>
      </c>
      <c r="H55" s="42">
        <f t="shared" si="7"/>
        <v>34.728750000000005</v>
      </c>
      <c r="I55" s="42">
        <f t="shared" si="7"/>
        <v>36.465187500000006</v>
      </c>
      <c r="J55" s="43">
        <f t="shared" si="7"/>
        <v>38.288446875000005</v>
      </c>
    </row>
    <row r="56" spans="1:10" s="1" customFormat="1" ht="12.75">
      <c r="A56" s="1">
        <f>A47</f>
        <v>0.05</v>
      </c>
      <c r="D56" s="251" t="s">
        <v>315</v>
      </c>
      <c r="E56" s="42">
        <v>200</v>
      </c>
      <c r="F56" s="42">
        <f t="shared" si="7"/>
        <v>210</v>
      </c>
      <c r="G56" s="42">
        <f t="shared" si="7"/>
        <v>220.5</v>
      </c>
      <c r="H56" s="42">
        <f t="shared" si="7"/>
        <v>231.525</v>
      </c>
      <c r="I56" s="42">
        <f t="shared" si="7"/>
        <v>243.10125000000002</v>
      </c>
      <c r="J56" s="43">
        <f t="shared" si="7"/>
        <v>255.25631250000004</v>
      </c>
    </row>
    <row r="57" spans="1:10" ht="13.5" thickBot="1">
      <c r="A57" s="1"/>
      <c r="B57" s="1"/>
      <c r="C57" s="1"/>
      <c r="D57" s="552" t="s">
        <v>515</v>
      </c>
      <c r="E57" s="52">
        <f aca="true" t="shared" si="8" ref="E57:J57">SUM(E54:E56)</f>
        <v>230</v>
      </c>
      <c r="F57" s="52">
        <f t="shared" si="8"/>
        <v>241.5</v>
      </c>
      <c r="G57" s="52">
        <f t="shared" si="8"/>
        <v>253.575</v>
      </c>
      <c r="H57" s="52">
        <f t="shared" si="8"/>
        <v>266.25375</v>
      </c>
      <c r="I57" s="52">
        <f t="shared" si="8"/>
        <v>279.5664375</v>
      </c>
      <c r="J57" s="39">
        <f t="shared" si="8"/>
        <v>293.544759375</v>
      </c>
    </row>
    <row r="58" spans="4:10" ht="12.75">
      <c r="D58" s="558" t="s">
        <v>996</v>
      </c>
      <c r="E58" s="66"/>
      <c r="F58" s="66"/>
      <c r="G58" s="66"/>
      <c r="H58" s="66"/>
      <c r="I58" s="66"/>
      <c r="J58" s="66"/>
    </row>
    <row r="59" spans="4:10" ht="12.75">
      <c r="D59" s="254"/>
      <c r="E59" s="66"/>
      <c r="F59" s="66"/>
      <c r="G59" s="66"/>
      <c r="H59" s="66"/>
      <c r="I59" s="66"/>
      <c r="J59" s="66"/>
    </row>
    <row r="60" spans="4:10" ht="12.75">
      <c r="D60" s="254"/>
      <c r="E60" s="66"/>
      <c r="F60" s="66"/>
      <c r="G60" s="66"/>
      <c r="H60" s="66"/>
      <c r="I60" s="66"/>
      <c r="J60" s="66"/>
    </row>
    <row r="61" spans="4:10" ht="12.75">
      <c r="D61" s="254"/>
      <c r="E61" s="66"/>
      <c r="F61" s="66"/>
      <c r="G61" s="66"/>
      <c r="H61" s="66"/>
      <c r="I61" s="66"/>
      <c r="J61" s="66"/>
    </row>
    <row r="62" spans="4:10" ht="12.75">
      <c r="D62" s="254"/>
      <c r="E62" s="66"/>
      <c r="F62" s="66"/>
      <c r="G62" s="66"/>
      <c r="H62" s="66"/>
      <c r="I62" s="66"/>
      <c r="J62" s="66"/>
    </row>
    <row r="63" spans="4:10" ht="12.75">
      <c r="D63" s="254"/>
      <c r="E63" s="66"/>
      <c r="F63" s="66"/>
      <c r="G63" s="66"/>
      <c r="H63" s="66"/>
      <c r="I63" s="66"/>
      <c r="J63" s="66"/>
    </row>
    <row r="64" ht="12.75" hidden="1"/>
    <row r="65" spans="5:10" ht="12.75" hidden="1">
      <c r="E65" s="266">
        <f aca="true" t="shared" si="9" ref="E65:J65">E18+E34+E41+E49+E57</f>
        <v>59586.53410156701</v>
      </c>
      <c r="F65" s="266">
        <f t="shared" si="9"/>
        <v>96306.81216759144</v>
      </c>
      <c r="G65" s="266">
        <f t="shared" si="9"/>
        <v>105868.01947486056</v>
      </c>
      <c r="H65" s="266">
        <f t="shared" si="9"/>
        <v>112364.56421922756</v>
      </c>
      <c r="I65" s="266">
        <f t="shared" si="9"/>
        <v>120728.14838846501</v>
      </c>
      <c r="J65" s="266">
        <f t="shared" si="9"/>
        <v>118465.50098136417</v>
      </c>
    </row>
  </sheetData>
  <sheetProtection/>
  <mergeCells count="12">
    <mergeCell ref="D35:J35"/>
    <mergeCell ref="D42:J42"/>
    <mergeCell ref="E51:J51"/>
    <mergeCell ref="E6:J6"/>
    <mergeCell ref="E20:J20"/>
    <mergeCell ref="E36:J36"/>
    <mergeCell ref="E43:J43"/>
    <mergeCell ref="D50:J50"/>
    <mergeCell ref="D2:J2"/>
    <mergeCell ref="D3:J3"/>
    <mergeCell ref="D5:J5"/>
    <mergeCell ref="D19:J19"/>
  </mergeCells>
  <printOptions horizontalCentered="1" verticalCentered="1"/>
  <pageMargins left="0.7874015748031497" right="0.7874015748031497" top="0.51" bottom="0.56" header="0" footer="0"/>
  <pageSetup fitToHeight="1" fitToWidth="1" horizontalDpi="300" verticalDpi="300" orientation="landscape" paperSize="9" scale="71" r:id="rId1"/>
</worksheet>
</file>

<file path=xl/worksheets/sheet27.xml><?xml version="1.0" encoding="utf-8"?>
<worksheet xmlns="http://schemas.openxmlformats.org/spreadsheetml/2006/main" xmlns:r="http://schemas.openxmlformats.org/officeDocument/2006/relationships">
  <sheetPr>
    <pageSetUpPr fitToPage="1"/>
  </sheetPr>
  <dimension ref="B2:M37"/>
  <sheetViews>
    <sheetView zoomScale="95" zoomScaleNormal="95" workbookViewId="0" topLeftCell="B1">
      <selection activeCell="H25" sqref="H25"/>
    </sheetView>
  </sheetViews>
  <sheetFormatPr defaultColWidth="11.421875" defaultRowHeight="12.75"/>
  <cols>
    <col min="1" max="2" width="11.421875" style="559" customWidth="1"/>
    <col min="3" max="3" width="47.421875" style="559" customWidth="1"/>
    <col min="4" max="4" width="9.00390625" style="559" bestFit="1" customWidth="1"/>
    <col min="5" max="5" width="11.57421875" style="559" bestFit="1" customWidth="1"/>
    <col min="6" max="6" width="17.00390625" style="559" customWidth="1"/>
    <col min="7" max="7" width="13.00390625" style="559" bestFit="1" customWidth="1"/>
    <col min="8" max="8" width="23.00390625" style="559" bestFit="1" customWidth="1"/>
    <col min="9" max="9" width="23.57421875" style="559" customWidth="1"/>
    <col min="10" max="10" width="13.8515625" style="559" bestFit="1" customWidth="1"/>
    <col min="11" max="16384" width="11.421875" style="559" customWidth="1"/>
  </cols>
  <sheetData>
    <row r="2" spans="8:10" ht="12.75" hidden="1">
      <c r="H2" s="559">
        <f>H17/E17</f>
        <v>0.11802590476190476</v>
      </c>
      <c r="I2" s="559">
        <f>I17/E17</f>
        <v>0.04952533333333333</v>
      </c>
      <c r="J2" s="559">
        <f>131.25/E17</f>
        <v>0.005</v>
      </c>
    </row>
    <row r="3" ht="12.75" hidden="1"/>
    <row r="4" ht="12.75" hidden="1">
      <c r="E4" s="559">
        <v>26250</v>
      </c>
    </row>
    <row r="5" ht="12.75" hidden="1">
      <c r="E5" s="559">
        <f>E4/12</f>
        <v>2187.5</v>
      </c>
    </row>
    <row r="7" ht="12.75">
      <c r="B7" s="560"/>
    </row>
    <row r="8" ht="12.75">
      <c r="B8" s="560"/>
    </row>
    <row r="9" ht="12.75">
      <c r="B9" s="560"/>
    </row>
    <row r="10" ht="12.75">
      <c r="B10" s="560"/>
    </row>
    <row r="11" ht="12.75">
      <c r="B11" s="560"/>
    </row>
    <row r="12" ht="12.75">
      <c r="B12" s="560"/>
    </row>
    <row r="13" spans="3:10" ht="12.75">
      <c r="C13" s="749" t="s">
        <v>734</v>
      </c>
      <c r="D13" s="749"/>
      <c r="E13" s="749"/>
      <c r="F13" s="749"/>
      <c r="G13" s="749"/>
      <c r="H13" s="749"/>
      <c r="I13" s="749"/>
      <c r="J13" s="749"/>
    </row>
    <row r="14" spans="3:10" ht="12.75">
      <c r="C14" s="725" t="s">
        <v>639</v>
      </c>
      <c r="D14" s="725"/>
      <c r="E14" s="725"/>
      <c r="F14" s="725"/>
      <c r="G14" s="725"/>
      <c r="H14" s="725"/>
      <c r="I14" s="725"/>
      <c r="J14" s="725"/>
    </row>
    <row r="15" ht="13.5" thickBot="1"/>
    <row r="16" spans="3:10" ht="13.5" thickBot="1">
      <c r="C16" s="561" t="s">
        <v>469</v>
      </c>
      <c r="D16" s="75" t="s">
        <v>466</v>
      </c>
      <c r="E16" s="75" t="s">
        <v>475</v>
      </c>
      <c r="F16" s="123" t="s">
        <v>471</v>
      </c>
      <c r="G16" s="123" t="s">
        <v>472</v>
      </c>
      <c r="H16" s="75" t="s">
        <v>249</v>
      </c>
      <c r="I16" s="75" t="s">
        <v>250</v>
      </c>
      <c r="J16" s="580" t="s">
        <v>476</v>
      </c>
    </row>
    <row r="17" spans="3:10" ht="12.75">
      <c r="C17" s="562" t="s">
        <v>467</v>
      </c>
      <c r="D17" s="787">
        <f>E17/12</f>
        <v>2187.5</v>
      </c>
      <c r="E17" s="787">
        <f>A!C26</f>
        <v>26250</v>
      </c>
      <c r="F17" s="787">
        <f>A!C28</f>
        <v>2104.16</v>
      </c>
      <c r="G17" s="787">
        <f>A!C29</f>
        <v>151.1</v>
      </c>
      <c r="H17" s="789">
        <f>A!C30</f>
        <v>3098.18</v>
      </c>
      <c r="I17" s="791">
        <f>A!C31</f>
        <v>1300.04</v>
      </c>
      <c r="J17" s="579"/>
    </row>
    <row r="18" spans="3:10" ht="12.75">
      <c r="C18" s="283" t="s">
        <v>468</v>
      </c>
      <c r="D18" s="788"/>
      <c r="E18" s="788">
        <f>D18*12</f>
        <v>0</v>
      </c>
      <c r="F18" s="788">
        <f>D18</f>
        <v>0</v>
      </c>
      <c r="G18" s="788">
        <v>200</v>
      </c>
      <c r="H18" s="790"/>
      <c r="I18" s="792"/>
      <c r="J18" s="565"/>
    </row>
    <row r="19" spans="3:10" ht="12.75">
      <c r="C19" s="283" t="s">
        <v>470</v>
      </c>
      <c r="D19" s="788"/>
      <c r="E19" s="788">
        <f>D19*12</f>
        <v>0</v>
      </c>
      <c r="F19" s="788">
        <f>D19</f>
        <v>0</v>
      </c>
      <c r="G19" s="788">
        <v>200</v>
      </c>
      <c r="H19" s="790"/>
      <c r="I19" s="793"/>
      <c r="J19" s="566">
        <f>SUM(E17:I19)</f>
        <v>33303.479999999996</v>
      </c>
    </row>
    <row r="20" spans="3:10" ht="12.75">
      <c r="C20" s="283" t="s">
        <v>473</v>
      </c>
      <c r="D20" s="567">
        <v>250</v>
      </c>
      <c r="E20" s="567">
        <f>D20*12</f>
        <v>3000</v>
      </c>
      <c r="F20" s="563">
        <f>D20</f>
        <v>250</v>
      </c>
      <c r="G20" s="567">
        <v>200</v>
      </c>
      <c r="H20" s="564">
        <f>E20*$H$2</f>
        <v>354.0777142857143</v>
      </c>
      <c r="I20" s="568">
        <f>$I$2*E20</f>
        <v>148.576</v>
      </c>
      <c r="J20" s="569">
        <f>SUM(E20:I20)</f>
        <v>3952.653714285714</v>
      </c>
    </row>
    <row r="21" spans="3:10" ht="12.75">
      <c r="C21" s="283" t="s">
        <v>474</v>
      </c>
      <c r="D21" s="567">
        <v>280</v>
      </c>
      <c r="E21" s="567">
        <f>D21*12</f>
        <v>3360</v>
      </c>
      <c r="F21" s="563">
        <f>D21</f>
        <v>280</v>
      </c>
      <c r="G21" s="567">
        <v>200</v>
      </c>
      <c r="H21" s="564">
        <f>E21*$H$2</f>
        <v>396.56704</v>
      </c>
      <c r="I21" s="568">
        <f>$I$2*E21</f>
        <v>166.40511999999998</v>
      </c>
      <c r="J21" s="569">
        <f>SUM(E21:I21)</f>
        <v>4402.97216</v>
      </c>
    </row>
    <row r="22" spans="3:10" ht="12.75">
      <c r="C22" s="283" t="s">
        <v>253</v>
      </c>
      <c r="D22" s="570"/>
      <c r="E22" s="570"/>
      <c r="F22" s="570"/>
      <c r="G22" s="570"/>
      <c r="H22" s="570"/>
      <c r="I22" s="570"/>
      <c r="J22" s="569">
        <v>1600</v>
      </c>
    </row>
    <row r="23" spans="3:10" ht="12.75">
      <c r="C23" s="283" t="s">
        <v>251</v>
      </c>
      <c r="D23" s="570"/>
      <c r="E23" s="570"/>
      <c r="F23" s="570"/>
      <c r="G23" s="570"/>
      <c r="H23" s="570"/>
      <c r="I23" s="570"/>
      <c r="J23" s="569">
        <f>SUM(E17:E21)*J2</f>
        <v>163.05</v>
      </c>
    </row>
    <row r="24" spans="3:10" ht="12.75">
      <c r="C24" s="283" t="s">
        <v>252</v>
      </c>
      <c r="D24" s="570"/>
      <c r="E24" s="570"/>
      <c r="F24" s="570"/>
      <c r="G24" s="570"/>
      <c r="H24" s="570"/>
      <c r="I24" s="570"/>
      <c r="J24" s="569">
        <f>J23</f>
        <v>163.05</v>
      </c>
    </row>
    <row r="25" spans="3:10" ht="12.75">
      <c r="C25" s="284" t="s">
        <v>246</v>
      </c>
      <c r="D25" s="571"/>
      <c r="E25" s="571"/>
      <c r="F25" s="571"/>
      <c r="G25" s="571"/>
      <c r="H25" s="571"/>
      <c r="I25" s="571"/>
      <c r="J25" s="572">
        <v>400</v>
      </c>
    </row>
    <row r="26" spans="3:10" ht="13.5" thickBot="1">
      <c r="C26" s="573"/>
      <c r="D26" s="574"/>
      <c r="E26" s="575">
        <f>SUM(E17:E24)</f>
        <v>32610</v>
      </c>
      <c r="F26" s="576">
        <f>SUM(F17:F24)</f>
        <v>2634.16</v>
      </c>
      <c r="G26" s="576">
        <f>SUM(G17:G24)</f>
        <v>951.1</v>
      </c>
      <c r="H26" s="576">
        <f>SUM(H17:H24)</f>
        <v>3848.824754285714</v>
      </c>
      <c r="I26" s="576">
        <f>SUM(I17:I24)</f>
        <v>1615.0211199999999</v>
      </c>
      <c r="J26" s="577">
        <f>SUM(J18:J24)</f>
        <v>43585.20587428571</v>
      </c>
    </row>
    <row r="27" spans="2:4" ht="12.75">
      <c r="B27" s="581"/>
      <c r="C27" s="560" t="s">
        <v>996</v>
      </c>
      <c r="D27" s="581"/>
    </row>
    <row r="29" ht="12.75" hidden="1">
      <c r="J29" s="578">
        <f>SUM(E26:I26)+(J22+J23+J24)</f>
        <v>43585.20587428571</v>
      </c>
    </row>
    <row r="30" ht="12.75" hidden="1">
      <c r="J30" s="559">
        <v>2104.16</v>
      </c>
    </row>
    <row r="31" ht="12.75" hidden="1">
      <c r="J31" s="559">
        <f>J30*12</f>
        <v>25249.92</v>
      </c>
    </row>
    <row r="32" ht="12.75" hidden="1">
      <c r="J32" s="559">
        <f>J31*1.1135</f>
        <v>28115.785919999995</v>
      </c>
    </row>
    <row r="36" spans="9:13" ht="12.75">
      <c r="I36" s="749" t="s">
        <v>638</v>
      </c>
      <c r="J36" s="749"/>
      <c r="K36" s="749"/>
      <c r="L36" s="749"/>
      <c r="M36" s="749"/>
    </row>
    <row r="37" spans="2:6" ht="12.75">
      <c r="B37" s="704"/>
      <c r="C37" s="704"/>
      <c r="D37" s="704"/>
      <c r="E37" s="704"/>
      <c r="F37" s="704"/>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sheetData>
  <sheetProtection/>
  <mergeCells count="9">
    <mergeCell ref="C13:J13"/>
    <mergeCell ref="I36:M36"/>
    <mergeCell ref="C14:J14"/>
    <mergeCell ref="G17:G19"/>
    <mergeCell ref="H17:H19"/>
    <mergeCell ref="I17:I19"/>
    <mergeCell ref="D17:D19"/>
    <mergeCell ref="E17:E19"/>
    <mergeCell ref="F17:F19"/>
  </mergeCells>
  <printOptions horizontalCentered="1" verticalCentered="1"/>
  <pageMargins left="0.7874015748031497" right="0.7874015748031497" top="0.984251968503937" bottom="0.984251968503937" header="0" footer="0"/>
  <pageSetup fitToHeight="1" fitToWidth="1" horizontalDpi="300" verticalDpi="300" orientation="landscape" paperSize="9" scale="83" r:id="rId2"/>
  <drawing r:id="rId1"/>
</worksheet>
</file>

<file path=xl/worksheets/sheet28.xml><?xml version="1.0" encoding="utf-8"?>
<worksheet xmlns="http://schemas.openxmlformats.org/spreadsheetml/2006/main" xmlns:r="http://schemas.openxmlformats.org/officeDocument/2006/relationships">
  <dimension ref="B5:N36"/>
  <sheetViews>
    <sheetView zoomScale="95" zoomScaleNormal="95" workbookViewId="0" topLeftCell="A1">
      <selection activeCell="J29" sqref="J29"/>
    </sheetView>
  </sheetViews>
  <sheetFormatPr defaultColWidth="11.421875" defaultRowHeight="12.75"/>
  <cols>
    <col min="1" max="1" width="11.421875" style="266" customWidth="1"/>
    <col min="2" max="2" width="14.7109375" style="266" bestFit="1" customWidth="1"/>
    <col min="3" max="3" width="11.7109375" style="266" bestFit="1" customWidth="1"/>
    <col min="4" max="4" width="8.8515625" style="266" bestFit="1" customWidth="1"/>
    <col min="5" max="5" width="13.421875" style="266" bestFit="1" customWidth="1"/>
    <col min="6" max="6" width="17.00390625" style="266" customWidth="1"/>
    <col min="7" max="7" width="12.28125" style="266" bestFit="1" customWidth="1"/>
    <col min="8" max="11" width="11.421875" style="266" customWidth="1"/>
    <col min="12" max="12" width="0" style="266" hidden="1" customWidth="1"/>
    <col min="13" max="14" width="11.57421875" style="266" hidden="1" customWidth="1"/>
    <col min="15" max="16384" width="11.421875" style="266" customWidth="1"/>
  </cols>
  <sheetData>
    <row r="5" spans="2:7" ht="12.75">
      <c r="B5" s="754" t="s">
        <v>735</v>
      </c>
      <c r="C5" s="754"/>
      <c r="D5" s="754"/>
      <c r="E5" s="754"/>
      <c r="F5" s="754"/>
      <c r="G5" s="754"/>
    </row>
    <row r="6" spans="2:7" ht="12.75">
      <c r="B6" s="754" t="s">
        <v>740</v>
      </c>
      <c r="C6" s="754"/>
      <c r="D6" s="754"/>
      <c r="E6" s="754"/>
      <c r="F6" s="754"/>
      <c r="G6" s="754"/>
    </row>
    <row r="7" spans="3:13" ht="13.5" thickBot="1">
      <c r="C7" s="78"/>
      <c r="M7" s="266">
        <f>0.08*E13</f>
        <v>267.72720000000004</v>
      </c>
    </row>
    <row r="8" spans="2:7" ht="13.5" thickBot="1">
      <c r="B8" s="794" t="s">
        <v>421</v>
      </c>
      <c r="C8" s="795"/>
      <c r="D8" s="795"/>
      <c r="E8" s="795"/>
      <c r="F8" s="795"/>
      <c r="G8" s="796"/>
    </row>
    <row r="9" spans="2:14" ht="12.75">
      <c r="B9" s="53" t="s">
        <v>32</v>
      </c>
      <c r="C9" s="54" t="s">
        <v>408</v>
      </c>
      <c r="D9" s="54" t="s">
        <v>406</v>
      </c>
      <c r="E9" s="54" t="s">
        <v>405</v>
      </c>
      <c r="F9" s="54" t="s">
        <v>407</v>
      </c>
      <c r="G9" s="55" t="s">
        <v>422</v>
      </c>
      <c r="M9" s="266">
        <f>458.87/1.5</f>
        <v>305.91333333333336</v>
      </c>
      <c r="N9" s="266">
        <f>M9*1000</f>
        <v>305913.3333333334</v>
      </c>
    </row>
    <row r="10" spans="2:13" ht="12.75">
      <c r="B10" s="804" t="s">
        <v>419</v>
      </c>
      <c r="C10" s="805"/>
      <c r="D10" s="805"/>
      <c r="E10" s="805"/>
      <c r="F10" s="805"/>
      <c r="G10" s="806"/>
      <c r="M10" s="266">
        <v>6118.22</v>
      </c>
    </row>
    <row r="11" spans="2:13" ht="12.75">
      <c r="B11" s="277" t="s">
        <v>409</v>
      </c>
      <c r="C11" s="264" t="s">
        <v>411</v>
      </c>
      <c r="D11" s="264">
        <v>106</v>
      </c>
      <c r="E11" s="264">
        <v>2509.94</v>
      </c>
      <c r="F11" s="264">
        <f>E11*D11</f>
        <v>266053.64</v>
      </c>
      <c r="G11" s="278">
        <f>F11/$F$19</f>
        <v>0.4434992356209803</v>
      </c>
      <c r="M11" s="266">
        <f>M10/2</f>
        <v>3059.11</v>
      </c>
    </row>
    <row r="12" spans="2:13" ht="12.75">
      <c r="B12" s="277" t="s">
        <v>410</v>
      </c>
      <c r="C12" s="264" t="s">
        <v>411</v>
      </c>
      <c r="D12" s="264">
        <v>105</v>
      </c>
      <c r="E12" s="264">
        <v>836.65</v>
      </c>
      <c r="F12" s="264">
        <f>E12*D12</f>
        <v>87848.25</v>
      </c>
      <c r="G12" s="278">
        <f aca="true" t="shared" si="0" ref="G12:G19">F12/$F$19</f>
        <v>0.14643901028995798</v>
      </c>
      <c r="M12" s="266">
        <f>M11*100</f>
        <v>305911</v>
      </c>
    </row>
    <row r="13" spans="2:7" ht="12.75">
      <c r="B13" s="800" t="s">
        <v>417</v>
      </c>
      <c r="C13" s="801"/>
      <c r="D13" s="801"/>
      <c r="E13" s="50">
        <f>SUM(E11:E12)</f>
        <v>3346.59</v>
      </c>
      <c r="F13" s="50">
        <f>SUM(F11:F12)</f>
        <v>353901.89</v>
      </c>
      <c r="G13" s="56">
        <f t="shared" si="0"/>
        <v>0.5899382459109382</v>
      </c>
    </row>
    <row r="14" spans="2:7" ht="12.75">
      <c r="B14" s="807" t="s">
        <v>418</v>
      </c>
      <c r="C14" s="808"/>
      <c r="D14" s="808"/>
      <c r="E14" s="808"/>
      <c r="F14" s="808"/>
      <c r="G14" s="809"/>
    </row>
    <row r="15" spans="2:7" ht="12.75">
      <c r="B15" s="277" t="s">
        <v>412</v>
      </c>
      <c r="C15" s="264" t="s">
        <v>413</v>
      </c>
      <c r="D15" s="264">
        <v>104</v>
      </c>
      <c r="E15" s="264">
        <v>1600</v>
      </c>
      <c r="F15" s="264">
        <f>E15*D15</f>
        <v>166400</v>
      </c>
      <c r="G15" s="278">
        <f t="shared" si="0"/>
        <v>0.27738118075487</v>
      </c>
    </row>
    <row r="16" spans="2:7" ht="12.75">
      <c r="B16" s="277" t="s">
        <v>416</v>
      </c>
      <c r="C16" s="264" t="s">
        <v>413</v>
      </c>
      <c r="D16" s="264">
        <v>88.18</v>
      </c>
      <c r="E16" s="264">
        <v>698.51</v>
      </c>
      <c r="F16" s="264">
        <f>E16*D16</f>
        <v>61594.611800000006</v>
      </c>
      <c r="G16" s="278">
        <f t="shared" si="0"/>
        <v>0.10267539753138132</v>
      </c>
    </row>
    <row r="17" spans="2:7" ht="12.75">
      <c r="B17" s="277" t="s">
        <v>414</v>
      </c>
      <c r="C17" s="264" t="s">
        <v>415</v>
      </c>
      <c r="D17" s="264">
        <v>90</v>
      </c>
      <c r="E17" s="264">
        <v>200</v>
      </c>
      <c r="F17" s="264">
        <v>18000</v>
      </c>
      <c r="G17" s="278">
        <f t="shared" si="0"/>
        <v>0.03000517580281046</v>
      </c>
    </row>
    <row r="18" spans="2:7" ht="12.75">
      <c r="B18" s="800" t="s">
        <v>417</v>
      </c>
      <c r="C18" s="801"/>
      <c r="D18" s="801"/>
      <c r="E18" s="50">
        <f>SUM(E15:E17)</f>
        <v>2498.51</v>
      </c>
      <c r="F18" s="50">
        <f>SUM(F15:F17)</f>
        <v>245994.6118</v>
      </c>
      <c r="G18" s="56">
        <f t="shared" si="0"/>
        <v>0.4100617540890618</v>
      </c>
    </row>
    <row r="19" spans="2:7" ht="13.5" thickBot="1">
      <c r="B19" s="802" t="s">
        <v>420</v>
      </c>
      <c r="C19" s="803"/>
      <c r="D19" s="803"/>
      <c r="E19" s="52">
        <f>E18+E13</f>
        <v>5845.1</v>
      </c>
      <c r="F19" s="52">
        <f>F18+F13</f>
        <v>599896.5018</v>
      </c>
      <c r="G19" s="57">
        <f t="shared" si="0"/>
        <v>1</v>
      </c>
    </row>
    <row r="20" spans="2:7" ht="13.5" thickBot="1">
      <c r="B20" s="797" t="s">
        <v>427</v>
      </c>
      <c r="C20" s="798"/>
      <c r="D20" s="798"/>
      <c r="E20" s="798"/>
      <c r="F20" s="798"/>
      <c r="G20" s="799"/>
    </row>
    <row r="21" spans="2:13" ht="12.75">
      <c r="B21" s="53" t="s">
        <v>32</v>
      </c>
      <c r="C21" s="54" t="s">
        <v>408</v>
      </c>
      <c r="D21" s="54" t="s">
        <v>406</v>
      </c>
      <c r="E21" s="54" t="s">
        <v>405</v>
      </c>
      <c r="F21" s="54" t="s">
        <v>407</v>
      </c>
      <c r="G21" s="55" t="s">
        <v>422</v>
      </c>
      <c r="M21" s="279" t="e">
        <f>#REF!/F33</f>
        <v>#REF!</v>
      </c>
    </row>
    <row r="22" spans="2:7" ht="12.75">
      <c r="B22" s="804" t="s">
        <v>419</v>
      </c>
      <c r="C22" s="805"/>
      <c r="D22" s="805"/>
      <c r="E22" s="805"/>
      <c r="F22" s="805"/>
      <c r="G22" s="806"/>
    </row>
    <row r="23" spans="2:13" ht="12.75">
      <c r="B23" s="277" t="s">
        <v>409</v>
      </c>
      <c r="C23" s="264" t="s">
        <v>411</v>
      </c>
      <c r="D23" s="264">
        <v>116</v>
      </c>
      <c r="E23" s="264">
        <v>836.32</v>
      </c>
      <c r="F23" s="264">
        <f>E23*D23</f>
        <v>97013.12000000001</v>
      </c>
      <c r="G23" s="278">
        <f>F23/$F$33</f>
        <v>0.21837447167699797</v>
      </c>
      <c r="M23" s="279" t="e">
        <f>#REF!/F32</f>
        <v>#REF!</v>
      </c>
    </row>
    <row r="24" spans="2:7" ht="12.75">
      <c r="B24" s="277" t="s">
        <v>410</v>
      </c>
      <c r="C24" s="264" t="s">
        <v>423</v>
      </c>
      <c r="D24" s="264">
        <v>113</v>
      </c>
      <c r="E24" s="264">
        <v>418.16</v>
      </c>
      <c r="F24" s="264">
        <f>E24*D24</f>
        <v>47252.08</v>
      </c>
      <c r="G24" s="278">
        <f>F24/$F$33</f>
        <v>0.10636342801508952</v>
      </c>
    </row>
    <row r="25" spans="2:13" ht="12.75">
      <c r="B25" s="800" t="s">
        <v>417</v>
      </c>
      <c r="C25" s="801"/>
      <c r="D25" s="801"/>
      <c r="E25" s="50">
        <f>SUM(E23:E24)</f>
        <v>1254.48</v>
      </c>
      <c r="F25" s="50">
        <f>SUM(F23:F24)</f>
        <v>144265.2</v>
      </c>
      <c r="G25" s="56">
        <f>F25/$F$33</f>
        <v>0.3247378996920875</v>
      </c>
      <c r="M25" s="280" t="e">
        <f>#REF!/F25</f>
        <v>#REF!</v>
      </c>
    </row>
    <row r="26" spans="2:13" ht="12.75">
      <c r="B26" s="804" t="s">
        <v>418</v>
      </c>
      <c r="C26" s="805"/>
      <c r="D26" s="805"/>
      <c r="E26" s="805"/>
      <c r="F26" s="805"/>
      <c r="G26" s="806"/>
      <c r="M26" s="266" t="e">
        <f>#REF!/2</f>
        <v>#REF!</v>
      </c>
    </row>
    <row r="27" spans="2:7" ht="12.75">
      <c r="B27" s="281" t="s">
        <v>424</v>
      </c>
      <c r="C27" s="282" t="s">
        <v>413</v>
      </c>
      <c r="D27" s="282">
        <v>116</v>
      </c>
      <c r="E27" s="81">
        <v>836.32</v>
      </c>
      <c r="F27" s="264">
        <f>E27*D27</f>
        <v>97013.12000000001</v>
      </c>
      <c r="G27" s="278">
        <f aca="true" t="shared" si="1" ref="G27:G33">F27/$F$33</f>
        <v>0.21837447167699797</v>
      </c>
    </row>
    <row r="28" spans="2:7" ht="12.75">
      <c r="B28" s="277" t="s">
        <v>416</v>
      </c>
      <c r="C28" s="264" t="s">
        <v>413</v>
      </c>
      <c r="D28" s="264">
        <v>116</v>
      </c>
      <c r="E28" s="264">
        <v>1368</v>
      </c>
      <c r="F28" s="264">
        <f>E28*D28</f>
        <v>158688</v>
      </c>
      <c r="G28" s="278">
        <f t="shared" si="1"/>
        <v>0.35720331602034294</v>
      </c>
    </row>
    <row r="29" spans="2:12" ht="12.75">
      <c r="B29" s="14" t="s">
        <v>425</v>
      </c>
      <c r="C29" s="44" t="s">
        <v>415</v>
      </c>
      <c r="D29" s="264">
        <v>98.6</v>
      </c>
      <c r="E29" s="264">
        <v>201</v>
      </c>
      <c r="F29" s="264">
        <f>E29*D29</f>
        <v>19818.6</v>
      </c>
      <c r="G29" s="278">
        <f t="shared" si="1"/>
        <v>0.044611247472277474</v>
      </c>
      <c r="L29" s="266" t="s">
        <v>404</v>
      </c>
    </row>
    <row r="30" spans="2:7" ht="12.75">
      <c r="B30" s="14" t="s">
        <v>416</v>
      </c>
      <c r="C30" s="44" t="s">
        <v>413</v>
      </c>
      <c r="D30" s="264">
        <v>75</v>
      </c>
      <c r="E30" s="264">
        <f>47.22+28.91</f>
        <v>76.13</v>
      </c>
      <c r="F30" s="264">
        <f>E30*D30</f>
        <v>5709.75</v>
      </c>
      <c r="G30" s="278">
        <f t="shared" si="1"/>
        <v>0.012852525922862177</v>
      </c>
    </row>
    <row r="31" spans="2:7" ht="12.75">
      <c r="B31" s="14" t="s">
        <v>426</v>
      </c>
      <c r="C31" s="44" t="s">
        <v>413</v>
      </c>
      <c r="D31" s="264">
        <v>106.42</v>
      </c>
      <c r="E31" s="264">
        <v>176.25</v>
      </c>
      <c r="F31" s="264">
        <f>E31*D31</f>
        <v>18756.525</v>
      </c>
      <c r="G31" s="278">
        <f t="shared" si="1"/>
        <v>0.04222053921543194</v>
      </c>
    </row>
    <row r="32" spans="2:7" ht="12.75">
      <c r="B32" s="800" t="s">
        <v>417</v>
      </c>
      <c r="C32" s="801"/>
      <c r="D32" s="801"/>
      <c r="E32" s="50">
        <f>SUM(E27:E31)</f>
        <v>2657.7000000000003</v>
      </c>
      <c r="F32" s="50">
        <f>SUM(F27:F31)</f>
        <v>299985.995</v>
      </c>
      <c r="G32" s="56">
        <f t="shared" si="1"/>
        <v>0.6752621003079124</v>
      </c>
    </row>
    <row r="33" spans="2:7" ht="13.5" thickBot="1">
      <c r="B33" s="802" t="s">
        <v>420</v>
      </c>
      <c r="C33" s="803"/>
      <c r="D33" s="803"/>
      <c r="E33" s="52">
        <f>E25+E32</f>
        <v>3912.1800000000003</v>
      </c>
      <c r="F33" s="52">
        <f>F32+F25</f>
        <v>444251.195</v>
      </c>
      <c r="G33" s="57">
        <f t="shared" si="1"/>
        <v>1</v>
      </c>
    </row>
    <row r="34" ht="12.75">
      <c r="B34" s="266" t="s">
        <v>1062</v>
      </c>
    </row>
    <row r="36" ht="12.75">
      <c r="F36" s="266" t="s">
        <v>5</v>
      </c>
    </row>
  </sheetData>
  <sheetProtection/>
  <mergeCells count="14">
    <mergeCell ref="B32:D32"/>
    <mergeCell ref="B33:D33"/>
    <mergeCell ref="B10:G10"/>
    <mergeCell ref="B22:G22"/>
    <mergeCell ref="B19:D19"/>
    <mergeCell ref="B14:G14"/>
    <mergeCell ref="B26:G26"/>
    <mergeCell ref="B25:D25"/>
    <mergeCell ref="B5:G5"/>
    <mergeCell ref="B6:G6"/>
    <mergeCell ref="B8:G8"/>
    <mergeCell ref="B20:G20"/>
    <mergeCell ref="B13:D13"/>
    <mergeCell ref="B18:D18"/>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B3:J57"/>
  <sheetViews>
    <sheetView zoomScale="95" zoomScaleNormal="95" workbookViewId="0" topLeftCell="A9">
      <selection activeCell="L29" sqref="L29:L30"/>
    </sheetView>
  </sheetViews>
  <sheetFormatPr defaultColWidth="11.421875" defaultRowHeight="12.75"/>
  <cols>
    <col min="1" max="1" width="11.421875" style="11" customWidth="1"/>
    <col min="2" max="2" width="58.28125" style="11" customWidth="1"/>
    <col min="3" max="3" width="13.8515625" style="11" bestFit="1" customWidth="1"/>
    <col min="4" max="4" width="13.00390625" style="11" bestFit="1" customWidth="1"/>
    <col min="5" max="6" width="12.8515625" style="11" bestFit="1" customWidth="1"/>
    <col min="7" max="7" width="12.57421875" style="11" bestFit="1" customWidth="1"/>
    <col min="8" max="8" width="13.28125" style="11" bestFit="1" customWidth="1"/>
    <col min="9" max="16384" width="11.421875" style="11" customWidth="1"/>
  </cols>
  <sheetData>
    <row r="3" spans="2:3" ht="12.75">
      <c r="B3" s="11" t="s">
        <v>774</v>
      </c>
      <c r="C3" s="11">
        <f>+'ARROZ CANTONAL'!J37</f>
        <v>1189.5795454545453</v>
      </c>
    </row>
    <row r="4" spans="2:3" ht="12.75">
      <c r="B4" s="11" t="s">
        <v>775</v>
      </c>
      <c r="C4" s="15">
        <v>0.1</v>
      </c>
    </row>
    <row r="5" spans="2:3" ht="12.75">
      <c r="B5" s="11" t="s">
        <v>982</v>
      </c>
      <c r="C5" s="15">
        <v>0.02</v>
      </c>
    </row>
    <row r="10" spans="2:8" ht="12.75">
      <c r="B10" s="754" t="s">
        <v>736</v>
      </c>
      <c r="C10" s="754"/>
      <c r="D10" s="754"/>
      <c r="E10" s="754"/>
      <c r="F10" s="754"/>
      <c r="G10" s="754"/>
      <c r="H10" s="754"/>
    </row>
    <row r="11" spans="2:8" ht="12.75">
      <c r="B11" s="754" t="s">
        <v>771</v>
      </c>
      <c r="C11" s="754"/>
      <c r="D11" s="754"/>
      <c r="E11" s="754"/>
      <c r="F11" s="754"/>
      <c r="G11" s="754"/>
      <c r="H11" s="754"/>
    </row>
    <row r="12" ht="13.5" thickBot="1"/>
    <row r="13" spans="2:8" ht="13.5" thickBot="1">
      <c r="B13" s="74" t="s">
        <v>755</v>
      </c>
      <c r="C13" s="202">
        <v>2008</v>
      </c>
      <c r="D13" s="202">
        <v>2009</v>
      </c>
      <c r="E13" s="202">
        <v>2010</v>
      </c>
      <c r="F13" s="202">
        <v>2011</v>
      </c>
      <c r="G13" s="202">
        <v>2012</v>
      </c>
      <c r="H13" s="203">
        <v>2013</v>
      </c>
    </row>
    <row r="14" spans="2:8" ht="12.75">
      <c r="B14" s="585" t="s">
        <v>743</v>
      </c>
      <c r="C14" s="586">
        <f>C3</f>
        <v>1189.5795454545453</v>
      </c>
      <c r="D14" s="586">
        <f>C14*(1+$C$4)</f>
        <v>1308.5375</v>
      </c>
      <c r="E14" s="586">
        <f>D14*(1+$C$4)</f>
        <v>1439.3912500000001</v>
      </c>
      <c r="F14" s="586">
        <f>E14*(1+$C$4)</f>
        <v>1583.3303750000002</v>
      </c>
      <c r="G14" s="586">
        <f>F14*(1+$C$4)</f>
        <v>1741.6634125000005</v>
      </c>
      <c r="H14" s="587">
        <f>G14*(1+$C$4)</f>
        <v>1915.8297537500007</v>
      </c>
    </row>
    <row r="15" spans="2:8" ht="12.75">
      <c r="B15" s="46" t="s">
        <v>756</v>
      </c>
      <c r="C15" s="37">
        <f>C43*(1+$C$5)</f>
        <v>22.98400000000007</v>
      </c>
      <c r="D15" s="37">
        <f aca="true" t="shared" si="0" ref="D15:H16">C15*(1+$C$5)</f>
        <v>23.44368000000007</v>
      </c>
      <c r="E15" s="37">
        <f t="shared" si="0"/>
        <v>23.912553600000074</v>
      </c>
      <c r="F15" s="37">
        <f t="shared" si="0"/>
        <v>24.390804672000076</v>
      </c>
      <c r="G15" s="37">
        <f t="shared" si="0"/>
        <v>24.87862076544008</v>
      </c>
      <c r="H15" s="45">
        <f t="shared" si="0"/>
        <v>25.37619318074888</v>
      </c>
    </row>
    <row r="16" spans="2:8" ht="12.75">
      <c r="B16" s="46" t="s">
        <v>757</v>
      </c>
      <c r="C16" s="37">
        <v>1</v>
      </c>
      <c r="D16" s="37">
        <f t="shared" si="0"/>
        <v>1.02</v>
      </c>
      <c r="E16" s="37">
        <f t="shared" si="0"/>
        <v>1.0404</v>
      </c>
      <c r="F16" s="37">
        <f t="shared" si="0"/>
        <v>1.061208</v>
      </c>
      <c r="G16" s="37">
        <f t="shared" si="0"/>
        <v>1.08243216</v>
      </c>
      <c r="H16" s="45">
        <f t="shared" si="0"/>
        <v>1.1040808032</v>
      </c>
    </row>
    <row r="17" spans="2:8" ht="12.75">
      <c r="B17" s="46" t="s">
        <v>758</v>
      </c>
      <c r="C17" s="37">
        <f>+C44</f>
        <v>0.25</v>
      </c>
      <c r="D17" s="37">
        <f aca="true" t="shared" si="1" ref="D17:H18">C17</f>
        <v>0.25</v>
      </c>
      <c r="E17" s="37">
        <f t="shared" si="1"/>
        <v>0.25</v>
      </c>
      <c r="F17" s="37">
        <f t="shared" si="1"/>
        <v>0.25</v>
      </c>
      <c r="G17" s="37">
        <f t="shared" si="1"/>
        <v>0.25</v>
      </c>
      <c r="H17" s="45">
        <f t="shared" si="1"/>
        <v>0.25</v>
      </c>
    </row>
    <row r="18" spans="2:8" ht="13.5" thickBot="1">
      <c r="B18" s="70" t="s">
        <v>759</v>
      </c>
      <c r="C18" s="88">
        <f>+C45</f>
        <v>0.25</v>
      </c>
      <c r="D18" s="37">
        <f t="shared" si="1"/>
        <v>0.25</v>
      </c>
      <c r="E18" s="37">
        <f t="shared" si="1"/>
        <v>0.25</v>
      </c>
      <c r="F18" s="37">
        <f t="shared" si="1"/>
        <v>0.25</v>
      </c>
      <c r="G18" s="37">
        <f t="shared" si="1"/>
        <v>0.25</v>
      </c>
      <c r="H18" s="45">
        <f t="shared" si="1"/>
        <v>0.25</v>
      </c>
    </row>
    <row r="19" spans="2:8" ht="13.5" thickBot="1">
      <c r="B19" s="584" t="s">
        <v>760</v>
      </c>
      <c r="C19" s="593">
        <f aca="true" t="shared" si="2" ref="C19:H19">+C14*(C15+C16+C17+C18)</f>
        <v>29125.665590909168</v>
      </c>
      <c r="D19" s="593">
        <f t="shared" si="2"/>
        <v>32665.91141800009</v>
      </c>
      <c r="E19" s="593">
        <f t="shared" si="2"/>
        <v>36636.75869849611</v>
      </c>
      <c r="F19" s="593">
        <f t="shared" si="2"/>
        <v>41090.60995596264</v>
      </c>
      <c r="G19" s="593">
        <f t="shared" si="2"/>
        <v>46086.24773646509</v>
      </c>
      <c r="H19" s="594">
        <f t="shared" si="2"/>
        <v>51689.61166277633</v>
      </c>
    </row>
    <row r="20" ht="13.5" thickBot="1"/>
    <row r="21" spans="2:8" ht="12.75">
      <c r="B21" s="53" t="s">
        <v>761</v>
      </c>
      <c r="C21" s="582"/>
      <c r="D21" s="582"/>
      <c r="E21" s="582"/>
      <c r="F21" s="582"/>
      <c r="G21" s="582"/>
      <c r="H21" s="583"/>
    </row>
    <row r="22" spans="2:8" ht="12.75">
      <c r="B22" s="46" t="s">
        <v>762</v>
      </c>
      <c r="C22" s="37">
        <f aca="true" t="shared" si="3" ref="C22:H22">(C14*$C$51)/100</f>
        <v>1486.9744318181815</v>
      </c>
      <c r="D22" s="37">
        <f t="shared" si="3"/>
        <v>1635.671875</v>
      </c>
      <c r="E22" s="37">
        <f t="shared" si="3"/>
        <v>1799.2390625000003</v>
      </c>
      <c r="F22" s="37">
        <f t="shared" si="3"/>
        <v>1979.1629687500003</v>
      </c>
      <c r="G22" s="37">
        <f t="shared" si="3"/>
        <v>2177.0792656250005</v>
      </c>
      <c r="H22" s="45">
        <f t="shared" si="3"/>
        <v>2394.7871921875008</v>
      </c>
    </row>
    <row r="23" spans="2:8" ht="12.75">
      <c r="B23" s="46" t="s">
        <v>763</v>
      </c>
      <c r="C23" s="37">
        <f aca="true" t="shared" si="4" ref="C23:H23">+(C14*$C$46)/100</f>
        <v>201.0389431818181</v>
      </c>
      <c r="D23" s="37">
        <f t="shared" si="4"/>
        <v>221.14283749999993</v>
      </c>
      <c r="E23" s="37">
        <f t="shared" si="4"/>
        <v>243.25712124999995</v>
      </c>
      <c r="F23" s="37">
        <f t="shared" si="4"/>
        <v>267.58283337499995</v>
      </c>
      <c r="G23" s="37">
        <f t="shared" si="4"/>
        <v>294.3411167125</v>
      </c>
      <c r="H23" s="45">
        <f t="shared" si="4"/>
        <v>323.77522838375006</v>
      </c>
    </row>
    <row r="24" spans="2:8" ht="12.75">
      <c r="B24" s="46" t="s">
        <v>764</v>
      </c>
      <c r="C24" s="37">
        <f aca="true" t="shared" si="5" ref="C24:H24">+(C14*$C$47)/100</f>
        <v>136.08789999999996</v>
      </c>
      <c r="D24" s="37">
        <f t="shared" si="5"/>
        <v>149.69668999999996</v>
      </c>
      <c r="E24" s="37">
        <f t="shared" si="5"/>
        <v>164.66635899999997</v>
      </c>
      <c r="F24" s="37">
        <f t="shared" si="5"/>
        <v>181.13299489999997</v>
      </c>
      <c r="G24" s="37">
        <f t="shared" si="5"/>
        <v>199.24629439</v>
      </c>
      <c r="H24" s="45">
        <f t="shared" si="5"/>
        <v>219.17092382900003</v>
      </c>
    </row>
    <row r="25" spans="2:8" ht="13.5" thickBot="1">
      <c r="B25" s="47" t="s">
        <v>765</v>
      </c>
      <c r="C25" s="48">
        <f aca="true" t="shared" si="6" ref="C25:H25">+(C14*$C$48)/100</f>
        <v>92.7872046382417</v>
      </c>
      <c r="D25" s="48">
        <f t="shared" si="6"/>
        <v>102.06592510206589</v>
      </c>
      <c r="E25" s="48">
        <f t="shared" si="6"/>
        <v>112.2725176122725</v>
      </c>
      <c r="F25" s="48">
        <f t="shared" si="6"/>
        <v>123.49976937349975</v>
      </c>
      <c r="G25" s="48">
        <f t="shared" si="6"/>
        <v>135.84974631084975</v>
      </c>
      <c r="H25" s="157">
        <f t="shared" si="6"/>
        <v>149.43472094193473</v>
      </c>
    </row>
    <row r="26" ht="13.5" thickBot="1"/>
    <row r="27" spans="2:8" ht="12.75">
      <c r="B27" s="53" t="s">
        <v>766</v>
      </c>
      <c r="C27" s="589"/>
      <c r="D27" s="589"/>
      <c r="E27" s="589"/>
      <c r="F27" s="589"/>
      <c r="G27" s="589"/>
      <c r="H27" s="258"/>
    </row>
    <row r="28" spans="2:8" ht="12.75">
      <c r="B28" s="239" t="s">
        <v>762</v>
      </c>
      <c r="C28" s="81">
        <f aca="true" t="shared" si="7" ref="C28:H28">C22*$C42</f>
        <v>38661.335227272706</v>
      </c>
      <c r="D28" s="81">
        <f t="shared" si="7"/>
        <v>42527.468749999985</v>
      </c>
      <c r="E28" s="81">
        <f t="shared" si="7"/>
        <v>46780.215625</v>
      </c>
      <c r="F28" s="81">
        <f t="shared" si="7"/>
        <v>51458.237187499995</v>
      </c>
      <c r="G28" s="81">
        <f t="shared" si="7"/>
        <v>56604.06090625</v>
      </c>
      <c r="H28" s="521">
        <f t="shared" si="7"/>
        <v>62264.466996875</v>
      </c>
    </row>
    <row r="29" spans="2:8" ht="12.75">
      <c r="B29" s="239" t="s">
        <v>763</v>
      </c>
      <c r="C29" s="81">
        <f aca="true" t="shared" si="8" ref="C29:H31">+C23*$C46</f>
        <v>3397.5581397727246</v>
      </c>
      <c r="D29" s="81">
        <f t="shared" si="8"/>
        <v>3737.313953749998</v>
      </c>
      <c r="E29" s="81">
        <f t="shared" si="8"/>
        <v>4111.045349124998</v>
      </c>
      <c r="F29" s="81">
        <f t="shared" si="8"/>
        <v>4522.149884037498</v>
      </c>
      <c r="G29" s="81">
        <f t="shared" si="8"/>
        <v>4974.364872441249</v>
      </c>
      <c r="H29" s="521">
        <f t="shared" si="8"/>
        <v>5471.801359685374</v>
      </c>
    </row>
    <row r="30" spans="2:10" ht="12.75">
      <c r="B30" s="239" t="s">
        <v>764</v>
      </c>
      <c r="C30" s="81">
        <f t="shared" si="8"/>
        <v>1556.8455759999993</v>
      </c>
      <c r="D30" s="81">
        <f t="shared" si="8"/>
        <v>1712.5301335999993</v>
      </c>
      <c r="E30" s="81">
        <f t="shared" si="8"/>
        <v>1883.7831469599994</v>
      </c>
      <c r="F30" s="81">
        <f t="shared" si="8"/>
        <v>2072.161461655999</v>
      </c>
      <c r="G30" s="81">
        <f t="shared" si="8"/>
        <v>2279.3776078215997</v>
      </c>
      <c r="H30" s="521">
        <f t="shared" si="8"/>
        <v>2507.31536860376</v>
      </c>
      <c r="J30" s="11" t="s">
        <v>5</v>
      </c>
    </row>
    <row r="31" spans="2:8" ht="12.75">
      <c r="B31" s="239" t="s">
        <v>765</v>
      </c>
      <c r="C31" s="81">
        <f t="shared" si="8"/>
        <v>723.7401969020253</v>
      </c>
      <c r="D31" s="81">
        <f t="shared" si="8"/>
        <v>796.114216592228</v>
      </c>
      <c r="E31" s="81">
        <f t="shared" si="8"/>
        <v>875.7256382514508</v>
      </c>
      <c r="F31" s="81">
        <f t="shared" si="8"/>
        <v>963.298202076596</v>
      </c>
      <c r="G31" s="81">
        <f t="shared" si="8"/>
        <v>1059.6280222842558</v>
      </c>
      <c r="H31" s="521">
        <f t="shared" si="8"/>
        <v>1165.5908245126814</v>
      </c>
    </row>
    <row r="32" spans="2:8" ht="13.5" thickBot="1">
      <c r="B32" s="51" t="s">
        <v>767</v>
      </c>
      <c r="C32" s="595">
        <f aca="true" t="shared" si="9" ref="C32:H32">SUM(C28:C31)</f>
        <v>44339.479139947456</v>
      </c>
      <c r="D32" s="595">
        <f t="shared" si="9"/>
        <v>48773.42705394221</v>
      </c>
      <c r="E32" s="595">
        <f t="shared" si="9"/>
        <v>53650.76975933645</v>
      </c>
      <c r="F32" s="595">
        <f t="shared" si="9"/>
        <v>59015.84673527009</v>
      </c>
      <c r="G32" s="595">
        <f t="shared" si="9"/>
        <v>64917.43140879711</v>
      </c>
      <c r="H32" s="596">
        <f t="shared" si="9"/>
        <v>71409.17454967681</v>
      </c>
    </row>
    <row r="33" spans="3:8" ht="13.5" thickBot="1">
      <c r="C33" s="598">
        <f aca="true" t="shared" si="10" ref="C33:H33">+C34/C32</f>
        <v>0.34312116073847765</v>
      </c>
      <c r="D33" s="598">
        <f t="shared" si="10"/>
        <v>0.3302518729743473</v>
      </c>
      <c r="E33" s="598">
        <f t="shared" si="10"/>
        <v>0.3171251994549345</v>
      </c>
      <c r="F33" s="598">
        <f t="shared" si="10"/>
        <v>0.3037359924651332</v>
      </c>
      <c r="G33" s="598">
        <f t="shared" si="10"/>
        <v>0.2900790013355359</v>
      </c>
      <c r="H33" s="598">
        <f t="shared" si="10"/>
        <v>0.2761488703833467</v>
      </c>
    </row>
    <row r="34" spans="2:8" ht="12.75">
      <c r="B34" s="588" t="s">
        <v>768</v>
      </c>
      <c r="C34" s="590">
        <f aca="true" t="shared" si="11" ref="C34:H34">C32-C19</f>
        <v>15213.813549038288</v>
      </c>
      <c r="D34" s="590">
        <f t="shared" si="11"/>
        <v>16107.515635942116</v>
      </c>
      <c r="E34" s="590">
        <f t="shared" si="11"/>
        <v>17014.01106084034</v>
      </c>
      <c r="F34" s="590">
        <f t="shared" si="11"/>
        <v>17925.23677930745</v>
      </c>
      <c r="G34" s="590">
        <f t="shared" si="11"/>
        <v>18831.183672332016</v>
      </c>
      <c r="H34" s="591">
        <f t="shared" si="11"/>
        <v>19719.56288690048</v>
      </c>
    </row>
    <row r="35" spans="2:8" ht="12.75">
      <c r="B35" s="46" t="s">
        <v>769</v>
      </c>
      <c r="C35" s="37">
        <f aca="true" t="shared" si="12" ref="C35:H35">C34*0.3625</f>
        <v>5515.00741152638</v>
      </c>
      <c r="D35" s="37">
        <f t="shared" si="12"/>
        <v>5838.974418029017</v>
      </c>
      <c r="E35" s="37">
        <f t="shared" si="12"/>
        <v>6167.579009554624</v>
      </c>
      <c r="F35" s="37">
        <f t="shared" si="12"/>
        <v>6497.898332498951</v>
      </c>
      <c r="G35" s="37">
        <f t="shared" si="12"/>
        <v>6826.304081220355</v>
      </c>
      <c r="H35" s="45">
        <f t="shared" si="12"/>
        <v>7148.341546501423</v>
      </c>
    </row>
    <row r="36" spans="2:8" ht="13.5" thickBot="1">
      <c r="B36" s="51" t="s">
        <v>770</v>
      </c>
      <c r="C36" s="595">
        <f aca="true" t="shared" si="13" ref="C36:H36">C34-C35</f>
        <v>9698.806137511909</v>
      </c>
      <c r="D36" s="595">
        <f t="shared" si="13"/>
        <v>10268.541217913098</v>
      </c>
      <c r="E36" s="595">
        <f t="shared" si="13"/>
        <v>10846.432051285718</v>
      </c>
      <c r="F36" s="595">
        <f t="shared" si="13"/>
        <v>11427.3384468085</v>
      </c>
      <c r="G36" s="595">
        <f t="shared" si="13"/>
        <v>12004.879591111661</v>
      </c>
      <c r="H36" s="596">
        <f t="shared" si="13"/>
        <v>12571.221340399057</v>
      </c>
    </row>
    <row r="37" spans="2:8" ht="12.75">
      <c r="B37" s="66" t="s">
        <v>777</v>
      </c>
      <c r="C37" s="423">
        <f aca="true" t="shared" si="14" ref="C37:H37">C36/C19</f>
        <v>0.33299860932754594</v>
      </c>
      <c r="D37" s="423">
        <f t="shared" si="14"/>
        <v>0.3143503662431033</v>
      </c>
      <c r="E37" s="423">
        <f t="shared" si="14"/>
        <v>0.296053265534403</v>
      </c>
      <c r="F37" s="423">
        <f t="shared" si="14"/>
        <v>0.27810096903052384</v>
      </c>
      <c r="G37" s="423">
        <f t="shared" si="14"/>
        <v>0.260487242523174</v>
      </c>
      <c r="H37" s="423">
        <f t="shared" si="14"/>
        <v>0.24320595446554835</v>
      </c>
    </row>
    <row r="38" spans="4:8" ht="12.75">
      <c r="D38" s="66"/>
      <c r="E38" s="66"/>
      <c r="F38" s="66"/>
      <c r="G38" s="66"/>
      <c r="H38" s="66"/>
    </row>
    <row r="39" spans="2:8" ht="18">
      <c r="B39" s="592" t="s">
        <v>773</v>
      </c>
      <c r="C39" s="597">
        <f>NPV('TIR Y VAN'!B13,D36:H36)+C36</f>
        <v>51352.74486606958</v>
      </c>
      <c r="D39" s="66"/>
      <c r="G39" s="66"/>
      <c r="H39" s="66"/>
    </row>
    <row r="40" spans="2:8" ht="12.75">
      <c r="B40" s="66"/>
      <c r="C40" s="66"/>
      <c r="D40" s="66"/>
      <c r="E40" s="66"/>
      <c r="F40" s="66"/>
      <c r="G40" s="66"/>
      <c r="H40" s="66"/>
    </row>
    <row r="41" spans="2:3" ht="13.5" thickBot="1">
      <c r="B41" s="754" t="s">
        <v>772</v>
      </c>
      <c r="C41" s="754"/>
    </row>
    <row r="42" spans="2:3" ht="12.75">
      <c r="B42" s="155" t="s">
        <v>744</v>
      </c>
      <c r="C42" s="583">
        <f>C43*(1+D43)</f>
        <v>25.999999999999993</v>
      </c>
    </row>
    <row r="43" spans="2:4" ht="12.75">
      <c r="B43" s="46" t="s">
        <v>747</v>
      </c>
      <c r="C43" s="45">
        <v>22.533333333333402</v>
      </c>
      <c r="D43" s="598">
        <v>0.15384615384615</v>
      </c>
    </row>
    <row r="44" spans="2:3" ht="12.75">
      <c r="B44" s="46" t="s">
        <v>745</v>
      </c>
      <c r="C44" s="45">
        <v>0.25</v>
      </c>
    </row>
    <row r="45" spans="2:3" ht="12.75">
      <c r="B45" s="46" t="s">
        <v>746</v>
      </c>
      <c r="C45" s="45">
        <v>0.25</v>
      </c>
    </row>
    <row r="46" spans="2:3" ht="12.75">
      <c r="B46" s="46" t="s">
        <v>748</v>
      </c>
      <c r="C46" s="45">
        <f>C42*0.65</f>
        <v>16.899999999999995</v>
      </c>
    </row>
    <row r="47" spans="2:3" ht="12.75">
      <c r="B47" s="46" t="s">
        <v>749</v>
      </c>
      <c r="C47" s="45">
        <f>C42*0.44</f>
        <v>11.439999999999998</v>
      </c>
    </row>
    <row r="48" spans="2:5" ht="12.75">
      <c r="B48" s="46" t="s">
        <v>750</v>
      </c>
      <c r="C48" s="45">
        <f>C42*E48</f>
        <v>7.800000007799998</v>
      </c>
      <c r="E48" s="705">
        <f>1/(3.33333333)</f>
        <v>0.3000000003</v>
      </c>
    </row>
    <row r="49" spans="2:3" ht="12.75">
      <c r="B49" s="46"/>
      <c r="C49" s="45"/>
    </row>
    <row r="50" spans="2:3" ht="12.75">
      <c r="B50" s="49" t="s">
        <v>776</v>
      </c>
      <c r="C50" s="45"/>
    </row>
    <row r="51" spans="2:3" ht="12.75">
      <c r="B51" s="46" t="s">
        <v>751</v>
      </c>
      <c r="C51" s="45">
        <v>125</v>
      </c>
    </row>
    <row r="52" spans="2:3" ht="12.75">
      <c r="B52" s="46" t="s">
        <v>752</v>
      </c>
      <c r="C52" s="45">
        <v>10</v>
      </c>
    </row>
    <row r="53" spans="2:3" ht="12.75">
      <c r="B53" s="46" t="s">
        <v>753</v>
      </c>
      <c r="C53" s="45">
        <v>15</v>
      </c>
    </row>
    <row r="54" spans="2:3" ht="13.5" thickBot="1">
      <c r="B54" s="47" t="s">
        <v>754</v>
      </c>
      <c r="C54" s="157">
        <v>9</v>
      </c>
    </row>
    <row r="55" spans="2:3" ht="12.75">
      <c r="B55" s="11" t="s">
        <v>996</v>
      </c>
      <c r="C55" s="11" t="s">
        <v>5</v>
      </c>
    </row>
    <row r="56" ht="12.75">
      <c r="C56" s="11" t="s">
        <v>5</v>
      </c>
    </row>
    <row r="57" ht="12.75">
      <c r="C57" s="11" t="s">
        <v>5</v>
      </c>
    </row>
  </sheetData>
  <mergeCells count="3">
    <mergeCell ref="B10:H10"/>
    <mergeCell ref="B11:H11"/>
    <mergeCell ref="B41:C41"/>
  </mergeCells>
  <printOptions horizontalCentered="1" verticalCentered="1"/>
  <pageMargins left="0.7874015748031497" right="0.7874015748031497" top="0.984251968503937" bottom="0.984251968503937" header="0" footer="0"/>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K66"/>
  <sheetViews>
    <sheetView zoomScale="95" zoomScaleNormal="95" workbookViewId="0" topLeftCell="A25">
      <selection activeCell="H25" sqref="H25"/>
    </sheetView>
  </sheetViews>
  <sheetFormatPr defaultColWidth="11.421875" defaultRowHeight="12.75"/>
  <cols>
    <col min="1" max="1" width="11.421875" style="265" customWidth="1"/>
    <col min="2" max="5" width="8.00390625" style="265" bestFit="1" customWidth="1"/>
    <col min="6" max="6" width="12.00390625" style="265" bestFit="1" customWidth="1"/>
    <col min="7" max="8" width="11.421875" style="265" customWidth="1"/>
    <col min="9" max="11" width="0" style="265" hidden="1" customWidth="1"/>
    <col min="12" max="16384" width="11.421875" style="265" customWidth="1"/>
  </cols>
  <sheetData>
    <row r="1" spans="1:6" ht="12.75">
      <c r="A1" s="734" t="s">
        <v>707</v>
      </c>
      <c r="B1" s="734"/>
      <c r="C1" s="734"/>
      <c r="D1" s="734"/>
      <c r="E1" s="734"/>
      <c r="F1" s="734"/>
    </row>
    <row r="2" spans="1:6" ht="12.75">
      <c r="A2" s="734" t="s">
        <v>706</v>
      </c>
      <c r="B2" s="734"/>
      <c r="C2" s="734"/>
      <c r="D2" s="734"/>
      <c r="E2" s="734"/>
      <c r="F2" s="734"/>
    </row>
    <row r="3" ht="13.5" thickBot="1"/>
    <row r="4" spans="1:8" ht="12.75">
      <c r="A4" s="255" t="s">
        <v>198</v>
      </c>
      <c r="B4" s="59" t="s">
        <v>199</v>
      </c>
      <c r="C4" s="59" t="s">
        <v>200</v>
      </c>
      <c r="D4" s="59" t="s">
        <v>201</v>
      </c>
      <c r="E4" s="59" t="s">
        <v>202</v>
      </c>
      <c r="F4" s="58" t="s">
        <v>203</v>
      </c>
      <c r="G4" s="270"/>
      <c r="H4" s="270"/>
    </row>
    <row r="5" spans="1:11" ht="12.75">
      <c r="A5" s="413">
        <v>39569</v>
      </c>
      <c r="B5" s="305">
        <v>1385.97</v>
      </c>
      <c r="C5" s="305">
        <v>1440.24</v>
      </c>
      <c r="D5" s="305">
        <v>1373.07</v>
      </c>
      <c r="E5" s="305">
        <v>1390.84</v>
      </c>
      <c r="F5" s="308">
        <v>1390.84</v>
      </c>
      <c r="G5" s="270"/>
      <c r="H5" s="270"/>
      <c r="I5" s="403"/>
      <c r="J5" s="265" t="s">
        <v>204</v>
      </c>
      <c r="K5" s="265">
        <f>F5</f>
        <v>1390.84</v>
      </c>
    </row>
    <row r="6" spans="1:11" ht="12.75">
      <c r="A6" s="414" t="s">
        <v>205</v>
      </c>
      <c r="B6" s="305">
        <v>1326.41</v>
      </c>
      <c r="C6" s="305">
        <v>1404.57</v>
      </c>
      <c r="D6" s="305">
        <v>1324.35</v>
      </c>
      <c r="E6" s="305">
        <v>1385.59</v>
      </c>
      <c r="F6" s="308">
        <v>1385.59</v>
      </c>
      <c r="G6" s="270"/>
      <c r="H6" s="270"/>
      <c r="J6" s="265" t="s">
        <v>206</v>
      </c>
      <c r="K6" s="265">
        <f>F65</f>
        <v>963.59</v>
      </c>
    </row>
    <row r="7" spans="1:11" ht="12.75">
      <c r="A7" s="413">
        <v>39508</v>
      </c>
      <c r="B7" s="305">
        <v>1330.45</v>
      </c>
      <c r="C7" s="229">
        <v>1359.68</v>
      </c>
      <c r="D7" s="305">
        <v>1256.98</v>
      </c>
      <c r="E7" s="305">
        <v>1322.7</v>
      </c>
      <c r="F7" s="308">
        <v>1322.7</v>
      </c>
      <c r="G7" s="270"/>
      <c r="H7" s="270"/>
      <c r="J7" s="265" t="s">
        <v>207</v>
      </c>
      <c r="K7" s="265">
        <v>5</v>
      </c>
    </row>
    <row r="8" spans="1:11" ht="12.75">
      <c r="A8" s="413">
        <v>39479</v>
      </c>
      <c r="B8" s="305">
        <v>1378.6</v>
      </c>
      <c r="C8" s="229">
        <v>1396.02</v>
      </c>
      <c r="D8" s="305">
        <v>1316.75</v>
      </c>
      <c r="E8" s="305">
        <v>1330.63</v>
      </c>
      <c r="F8" s="308">
        <v>1330.63</v>
      </c>
      <c r="G8" s="270"/>
      <c r="H8" s="270"/>
      <c r="J8" s="265" t="s">
        <v>208</v>
      </c>
      <c r="K8" s="279">
        <f>((K5/K6)^(1/K7))-1</f>
        <v>0.0761603270149811</v>
      </c>
    </row>
    <row r="9" spans="1:8" ht="12.75">
      <c r="A9" s="414" t="s">
        <v>209</v>
      </c>
      <c r="B9" s="305">
        <v>1467.97</v>
      </c>
      <c r="C9" s="305">
        <v>1471.77</v>
      </c>
      <c r="D9" s="305">
        <v>1270.05</v>
      </c>
      <c r="E9" s="305">
        <v>1378.55</v>
      </c>
      <c r="F9" s="308">
        <v>1378.55</v>
      </c>
      <c r="G9" s="270"/>
      <c r="H9" s="270"/>
    </row>
    <row r="10" spans="1:8" ht="12.75">
      <c r="A10" s="414" t="s">
        <v>210</v>
      </c>
      <c r="B10" s="305">
        <v>1479.63</v>
      </c>
      <c r="C10" s="305">
        <v>1523.57</v>
      </c>
      <c r="D10" s="305">
        <v>1435.65</v>
      </c>
      <c r="E10" s="305">
        <v>1468.36</v>
      </c>
      <c r="F10" s="308">
        <v>1468.36</v>
      </c>
      <c r="G10" s="270"/>
      <c r="H10" s="270"/>
    </row>
    <row r="11" spans="1:8" ht="12.75">
      <c r="A11" s="413">
        <v>39387</v>
      </c>
      <c r="B11" s="305">
        <v>1545.79</v>
      </c>
      <c r="C11" s="305">
        <v>1545.79</v>
      </c>
      <c r="D11" s="305">
        <v>1406.1</v>
      </c>
      <c r="E11" s="305">
        <v>1481.14</v>
      </c>
      <c r="F11" s="308">
        <v>1481.14</v>
      </c>
      <c r="G11" s="270"/>
      <c r="H11" s="270"/>
    </row>
    <row r="12" spans="1:8" ht="12.75">
      <c r="A12" s="413">
        <v>39356</v>
      </c>
      <c r="B12" s="305">
        <v>1527.29</v>
      </c>
      <c r="C12" s="305">
        <v>1576.09</v>
      </c>
      <c r="D12" s="305">
        <v>1489.56</v>
      </c>
      <c r="E12" s="305">
        <v>1549.38</v>
      </c>
      <c r="F12" s="308">
        <v>1549.38</v>
      </c>
      <c r="G12" s="270"/>
      <c r="H12" s="270"/>
    </row>
    <row r="13" spans="1:8" ht="12.75">
      <c r="A13" s="413">
        <v>39326</v>
      </c>
      <c r="B13" s="305">
        <v>1473.96</v>
      </c>
      <c r="C13" s="305">
        <v>1538.74</v>
      </c>
      <c r="D13" s="305">
        <v>1439.29</v>
      </c>
      <c r="E13" s="305">
        <v>1526.75</v>
      </c>
      <c r="F13" s="308">
        <v>1526.75</v>
      </c>
      <c r="G13" s="270"/>
      <c r="H13" s="270"/>
    </row>
    <row r="14" spans="1:10" ht="12.75">
      <c r="A14" s="414" t="s">
        <v>211</v>
      </c>
      <c r="B14" s="305">
        <v>1455.18</v>
      </c>
      <c r="C14" s="305">
        <v>1503.89</v>
      </c>
      <c r="D14" s="305">
        <v>1370.6</v>
      </c>
      <c r="E14" s="305">
        <v>1473.99</v>
      </c>
      <c r="F14" s="308">
        <v>1473.99</v>
      </c>
      <c r="G14" s="270"/>
      <c r="H14" s="270"/>
      <c r="J14" s="265" t="s">
        <v>5</v>
      </c>
    </row>
    <row r="15" spans="1:8" ht="12.75">
      <c r="A15" s="413">
        <v>39264</v>
      </c>
      <c r="B15" s="305">
        <v>1504.66</v>
      </c>
      <c r="C15" s="305">
        <v>1555.9</v>
      </c>
      <c r="D15" s="305">
        <v>1454.25</v>
      </c>
      <c r="E15" s="305">
        <v>1455.27</v>
      </c>
      <c r="F15" s="308">
        <v>1455.27</v>
      </c>
      <c r="G15" s="270"/>
      <c r="H15" s="270"/>
    </row>
    <row r="16" spans="1:8" ht="12.75">
      <c r="A16" s="413">
        <v>39234</v>
      </c>
      <c r="B16" s="305">
        <v>1530.62</v>
      </c>
      <c r="C16" s="305">
        <v>1540.56</v>
      </c>
      <c r="D16" s="305">
        <v>1484.18</v>
      </c>
      <c r="E16" s="305">
        <v>1503.35</v>
      </c>
      <c r="F16" s="308">
        <v>1503.35</v>
      </c>
      <c r="G16" s="270"/>
      <c r="H16" s="270"/>
    </row>
    <row r="17" spans="1:8" ht="12.75">
      <c r="A17" s="413">
        <v>39203</v>
      </c>
      <c r="B17" s="305">
        <v>1482.37</v>
      </c>
      <c r="C17" s="305">
        <v>1535.56</v>
      </c>
      <c r="D17" s="305">
        <v>1476.7</v>
      </c>
      <c r="E17" s="305">
        <v>1530.62</v>
      </c>
      <c r="F17" s="308">
        <v>1530.62</v>
      </c>
      <c r="G17" s="270"/>
      <c r="H17" s="270"/>
    </row>
    <row r="18" spans="1:8" ht="12.75">
      <c r="A18" s="414" t="s">
        <v>212</v>
      </c>
      <c r="B18" s="305">
        <v>1420.83</v>
      </c>
      <c r="C18" s="305">
        <v>1498.02</v>
      </c>
      <c r="D18" s="305">
        <v>1416.37</v>
      </c>
      <c r="E18" s="305">
        <v>1482.37</v>
      </c>
      <c r="F18" s="308">
        <v>1482.37</v>
      </c>
      <c r="G18" s="270"/>
      <c r="H18" s="270"/>
    </row>
    <row r="19" spans="1:8" ht="12.75">
      <c r="A19" s="413">
        <v>39142</v>
      </c>
      <c r="B19" s="305">
        <v>1406.8</v>
      </c>
      <c r="C19" s="305">
        <v>1438.89</v>
      </c>
      <c r="D19" s="305">
        <v>1363.98</v>
      </c>
      <c r="E19" s="305">
        <v>1420.86</v>
      </c>
      <c r="F19" s="308">
        <v>1420.86</v>
      </c>
      <c r="G19" s="270"/>
      <c r="H19" s="270"/>
    </row>
    <row r="20" spans="1:8" ht="12.75">
      <c r="A20" s="413">
        <v>39114</v>
      </c>
      <c r="B20" s="305">
        <v>1437.9</v>
      </c>
      <c r="C20" s="305">
        <v>1461.57</v>
      </c>
      <c r="D20" s="305">
        <v>1389.42</v>
      </c>
      <c r="E20" s="305">
        <v>1406.82</v>
      </c>
      <c r="F20" s="308">
        <v>1406.82</v>
      </c>
      <c r="G20" s="270"/>
      <c r="H20" s="270"/>
    </row>
    <row r="21" spans="1:8" ht="12.75">
      <c r="A21" s="414" t="s">
        <v>213</v>
      </c>
      <c r="B21" s="305">
        <v>1418.03</v>
      </c>
      <c r="C21" s="305">
        <v>1441.61</v>
      </c>
      <c r="D21" s="305">
        <v>1403.97</v>
      </c>
      <c r="E21" s="305">
        <v>1438.24</v>
      </c>
      <c r="F21" s="308">
        <v>1438.24</v>
      </c>
      <c r="G21" s="270"/>
      <c r="H21" s="270"/>
    </row>
    <row r="22" spans="1:8" ht="12.75">
      <c r="A22" s="414" t="s">
        <v>214</v>
      </c>
      <c r="B22" s="305">
        <v>1400.63</v>
      </c>
      <c r="C22" s="305">
        <v>1431.81</v>
      </c>
      <c r="D22" s="305">
        <v>1385.93</v>
      </c>
      <c r="E22" s="305">
        <v>1418.3</v>
      </c>
      <c r="F22" s="308">
        <v>1418.3</v>
      </c>
      <c r="G22" s="270"/>
      <c r="H22" s="270"/>
    </row>
    <row r="23" spans="1:8" ht="12.75">
      <c r="A23" s="413">
        <v>39022</v>
      </c>
      <c r="B23" s="305">
        <v>1377.76</v>
      </c>
      <c r="C23" s="305">
        <v>1407.89</v>
      </c>
      <c r="D23" s="305">
        <v>1360.98</v>
      </c>
      <c r="E23" s="305">
        <v>1400.63</v>
      </c>
      <c r="F23" s="308">
        <v>1400.63</v>
      </c>
      <c r="G23" s="270"/>
      <c r="H23" s="270"/>
    </row>
    <row r="24" spans="1:8" ht="12.75">
      <c r="A24" s="413">
        <v>38991</v>
      </c>
      <c r="B24" s="305">
        <v>1335.82</v>
      </c>
      <c r="C24" s="305">
        <v>1389.45</v>
      </c>
      <c r="D24" s="305">
        <v>1327.1</v>
      </c>
      <c r="E24" s="305">
        <v>1377.94</v>
      </c>
      <c r="F24" s="308">
        <v>1377.94</v>
      </c>
      <c r="G24" s="270"/>
      <c r="H24" s="270"/>
    </row>
    <row r="25" spans="1:8" ht="12.75">
      <c r="A25" s="413">
        <v>38961</v>
      </c>
      <c r="B25" s="305">
        <v>1303.8</v>
      </c>
      <c r="C25" s="305">
        <v>1340.28</v>
      </c>
      <c r="D25" s="305">
        <v>1290.93</v>
      </c>
      <c r="E25" s="305">
        <v>1335.85</v>
      </c>
      <c r="F25" s="308">
        <v>1335.85</v>
      </c>
      <c r="G25" s="270"/>
      <c r="H25" s="270"/>
    </row>
    <row r="26" spans="1:8" ht="12.75">
      <c r="A26" s="414" t="s">
        <v>215</v>
      </c>
      <c r="B26" s="305">
        <v>1278.53</v>
      </c>
      <c r="C26" s="305">
        <v>1306.74</v>
      </c>
      <c r="D26" s="305">
        <v>1261.3</v>
      </c>
      <c r="E26" s="305">
        <v>1303.82</v>
      </c>
      <c r="F26" s="308">
        <v>1303.82</v>
      </c>
      <c r="G26" s="270"/>
      <c r="H26" s="270"/>
    </row>
    <row r="27" spans="1:8" ht="12.75">
      <c r="A27" s="413">
        <v>38899</v>
      </c>
      <c r="B27" s="305">
        <v>1270.06</v>
      </c>
      <c r="C27" s="305">
        <v>1280.42</v>
      </c>
      <c r="D27" s="305">
        <v>1224.54</v>
      </c>
      <c r="E27" s="305">
        <v>1276.66</v>
      </c>
      <c r="F27" s="308">
        <v>1276.66</v>
      </c>
      <c r="G27" s="270"/>
      <c r="H27" s="270"/>
    </row>
    <row r="28" spans="1:8" ht="12.75">
      <c r="A28" s="413">
        <v>38869</v>
      </c>
      <c r="B28" s="305">
        <v>1270.05</v>
      </c>
      <c r="C28" s="305">
        <v>1290.68</v>
      </c>
      <c r="D28" s="305">
        <v>1219.29</v>
      </c>
      <c r="E28" s="305">
        <v>1270.2</v>
      </c>
      <c r="F28" s="308">
        <v>1270.2</v>
      </c>
      <c r="G28" s="270"/>
      <c r="H28" s="270"/>
    </row>
    <row r="29" spans="1:8" ht="12.75">
      <c r="A29" s="413">
        <v>38838</v>
      </c>
      <c r="B29" s="305">
        <v>1310.61</v>
      </c>
      <c r="C29" s="305">
        <v>1326.7</v>
      </c>
      <c r="D29" s="305">
        <v>1245.34</v>
      </c>
      <c r="E29" s="229">
        <v>1270.09</v>
      </c>
      <c r="F29" s="308">
        <v>1270.09</v>
      </c>
      <c r="G29" s="270"/>
      <c r="H29" s="270"/>
    </row>
    <row r="30" spans="1:8" ht="12.75">
      <c r="A30" s="414" t="s">
        <v>216</v>
      </c>
      <c r="B30" s="305">
        <v>1302.88</v>
      </c>
      <c r="C30" s="305">
        <v>1318.16</v>
      </c>
      <c r="D30" s="305">
        <v>1280.74</v>
      </c>
      <c r="E30" s="305">
        <v>1310.61</v>
      </c>
      <c r="F30" s="308">
        <v>1310.61</v>
      </c>
      <c r="G30" s="270"/>
      <c r="H30" s="270"/>
    </row>
    <row r="31" spans="1:8" ht="12.75">
      <c r="A31" s="413">
        <v>38777</v>
      </c>
      <c r="B31" s="305">
        <v>1280.66</v>
      </c>
      <c r="C31" s="305">
        <v>1310.88</v>
      </c>
      <c r="D31" s="305">
        <v>1268.42</v>
      </c>
      <c r="E31" s="305">
        <v>1294.87</v>
      </c>
      <c r="F31" s="308">
        <v>1294.87</v>
      </c>
      <c r="G31" s="270"/>
      <c r="H31" s="270"/>
    </row>
    <row r="32" spans="1:8" ht="12.75">
      <c r="A32" s="413">
        <v>38749</v>
      </c>
      <c r="B32" s="305">
        <v>1280.08</v>
      </c>
      <c r="C32" s="305">
        <v>1297.57</v>
      </c>
      <c r="D32" s="305">
        <v>1253.61</v>
      </c>
      <c r="E32" s="305">
        <v>1280.66</v>
      </c>
      <c r="F32" s="308">
        <v>1280.66</v>
      </c>
      <c r="G32" s="270"/>
      <c r="H32" s="270"/>
    </row>
    <row r="33" spans="1:8" ht="12.75">
      <c r="A33" s="414" t="s">
        <v>217</v>
      </c>
      <c r="B33" s="305">
        <v>1248.29</v>
      </c>
      <c r="C33" s="305">
        <v>1294.9</v>
      </c>
      <c r="D33" s="305">
        <v>1245.74</v>
      </c>
      <c r="E33" s="305">
        <v>1280.08</v>
      </c>
      <c r="F33" s="308">
        <v>1280.08</v>
      </c>
      <c r="G33" s="270"/>
      <c r="H33" s="270"/>
    </row>
    <row r="34" spans="1:8" ht="12.75">
      <c r="A34" s="414" t="s">
        <v>218</v>
      </c>
      <c r="B34" s="305">
        <v>1249.48</v>
      </c>
      <c r="C34" s="305">
        <v>1275.8</v>
      </c>
      <c r="D34" s="305">
        <v>1246.59</v>
      </c>
      <c r="E34" s="305">
        <v>1248.29</v>
      </c>
      <c r="F34" s="308">
        <v>1248.29</v>
      </c>
      <c r="G34" s="270"/>
      <c r="H34" s="270"/>
    </row>
    <row r="35" spans="1:8" ht="12.75">
      <c r="A35" s="413">
        <v>38657</v>
      </c>
      <c r="B35" s="305">
        <v>1207.01</v>
      </c>
      <c r="C35" s="305">
        <v>1270.64</v>
      </c>
      <c r="D35" s="305">
        <v>1201.07</v>
      </c>
      <c r="E35" s="305">
        <v>1249.48</v>
      </c>
      <c r="F35" s="308">
        <v>1249.48</v>
      </c>
      <c r="G35" s="270"/>
      <c r="H35" s="270"/>
    </row>
    <row r="36" spans="1:8" ht="12.75">
      <c r="A36" s="413">
        <v>38626</v>
      </c>
      <c r="B36" s="305">
        <v>1228.81</v>
      </c>
      <c r="C36" s="305">
        <v>1233.34</v>
      </c>
      <c r="D36" s="305">
        <v>1168.2</v>
      </c>
      <c r="E36" s="305">
        <v>1207.01</v>
      </c>
      <c r="F36" s="308">
        <v>1207.01</v>
      </c>
      <c r="G36" s="270"/>
      <c r="H36" s="270"/>
    </row>
    <row r="37" spans="1:8" ht="12.75">
      <c r="A37" s="413">
        <v>38596</v>
      </c>
      <c r="B37" s="305">
        <v>1220.33</v>
      </c>
      <c r="C37" s="305">
        <v>1243.13</v>
      </c>
      <c r="D37" s="305">
        <v>1205.35</v>
      </c>
      <c r="E37" s="305">
        <v>1228.81</v>
      </c>
      <c r="F37" s="308">
        <v>1228.81</v>
      </c>
      <c r="G37" s="270"/>
      <c r="H37" s="270"/>
    </row>
    <row r="38" spans="1:8" ht="12.75">
      <c r="A38" s="414" t="s">
        <v>219</v>
      </c>
      <c r="B38" s="305">
        <v>1234.18</v>
      </c>
      <c r="C38" s="305">
        <v>1245.86</v>
      </c>
      <c r="D38" s="305">
        <v>1201.07</v>
      </c>
      <c r="E38" s="305">
        <v>1220.33</v>
      </c>
      <c r="F38" s="308">
        <v>1220.33</v>
      </c>
      <c r="G38" s="270"/>
      <c r="H38" s="270"/>
    </row>
    <row r="39" spans="1:8" ht="12.75">
      <c r="A39" s="413">
        <v>38534</v>
      </c>
      <c r="B39" s="305">
        <v>1191.33</v>
      </c>
      <c r="C39" s="305">
        <v>1245.15</v>
      </c>
      <c r="D39" s="305">
        <v>1183.55</v>
      </c>
      <c r="E39" s="305">
        <v>1234.18</v>
      </c>
      <c r="F39" s="308">
        <v>1234.18</v>
      </c>
      <c r="G39" s="270"/>
      <c r="H39" s="270"/>
    </row>
    <row r="40" spans="1:8" ht="12.75">
      <c r="A40" s="413">
        <v>38504</v>
      </c>
      <c r="B40" s="305">
        <v>1191.5</v>
      </c>
      <c r="C40" s="305">
        <v>1219.59</v>
      </c>
      <c r="D40" s="305">
        <v>1188.3</v>
      </c>
      <c r="E40" s="305">
        <v>1191.33</v>
      </c>
      <c r="F40" s="308">
        <v>1191.33</v>
      </c>
      <c r="G40" s="270"/>
      <c r="H40" s="270"/>
    </row>
    <row r="41" spans="1:8" ht="12.75">
      <c r="A41" s="413">
        <v>38473</v>
      </c>
      <c r="B41" s="305">
        <v>1156.85</v>
      </c>
      <c r="C41" s="305">
        <v>1199.56</v>
      </c>
      <c r="D41" s="305">
        <v>1146.18</v>
      </c>
      <c r="E41" s="305">
        <v>1191.5</v>
      </c>
      <c r="F41" s="308">
        <v>1191.5</v>
      </c>
      <c r="G41" s="270"/>
      <c r="H41" s="270"/>
    </row>
    <row r="42" spans="1:8" ht="12.75">
      <c r="A42" s="414" t="s">
        <v>220</v>
      </c>
      <c r="B42" s="305">
        <v>1180.59</v>
      </c>
      <c r="C42" s="305">
        <v>1191.88</v>
      </c>
      <c r="D42" s="305">
        <v>1136.15</v>
      </c>
      <c r="E42" s="305">
        <v>1156.85</v>
      </c>
      <c r="F42" s="308">
        <v>1156.85</v>
      </c>
      <c r="G42" s="270"/>
      <c r="H42" s="270"/>
    </row>
    <row r="43" spans="1:8" ht="12.75">
      <c r="A43" s="413">
        <v>38412</v>
      </c>
      <c r="B43" s="305">
        <v>1203.6</v>
      </c>
      <c r="C43" s="305">
        <v>1229.11</v>
      </c>
      <c r="D43" s="305">
        <v>1163.69</v>
      </c>
      <c r="E43" s="305">
        <v>1180.59</v>
      </c>
      <c r="F43" s="308">
        <v>1180.59</v>
      </c>
      <c r="G43" s="270"/>
      <c r="H43" s="270"/>
    </row>
    <row r="44" spans="1:8" ht="12.75">
      <c r="A44" s="413">
        <v>38384</v>
      </c>
      <c r="B44" s="305">
        <v>1181.27</v>
      </c>
      <c r="C44" s="305">
        <v>1212.44</v>
      </c>
      <c r="D44" s="305">
        <v>1180.95</v>
      </c>
      <c r="E44" s="305">
        <v>1203.6</v>
      </c>
      <c r="F44" s="308">
        <v>1203.6</v>
      </c>
      <c r="G44" s="270"/>
      <c r="H44" s="270"/>
    </row>
    <row r="45" spans="1:8" ht="12.75">
      <c r="A45" s="414" t="s">
        <v>221</v>
      </c>
      <c r="B45" s="305">
        <v>1211.92</v>
      </c>
      <c r="C45" s="305">
        <v>1217.8</v>
      </c>
      <c r="D45" s="305">
        <v>1163.75</v>
      </c>
      <c r="E45" s="305">
        <v>1181.27</v>
      </c>
      <c r="F45" s="308">
        <v>1181.27</v>
      </c>
      <c r="G45" s="270"/>
      <c r="H45" s="270"/>
    </row>
    <row r="46" spans="1:8" ht="12.75">
      <c r="A46" s="414" t="s">
        <v>222</v>
      </c>
      <c r="B46" s="305">
        <v>1173.78</v>
      </c>
      <c r="C46" s="305">
        <v>1217.33</v>
      </c>
      <c r="D46" s="305">
        <v>1173.78</v>
      </c>
      <c r="E46" s="305">
        <v>1211.92</v>
      </c>
      <c r="F46" s="308">
        <v>1211.92</v>
      </c>
      <c r="G46" s="270"/>
      <c r="H46" s="270"/>
    </row>
    <row r="47" spans="1:8" ht="12.75">
      <c r="A47" s="413">
        <v>38292</v>
      </c>
      <c r="B47" s="305">
        <v>1130.2</v>
      </c>
      <c r="C47" s="305">
        <v>1188.46</v>
      </c>
      <c r="D47" s="305">
        <v>1127.6</v>
      </c>
      <c r="E47" s="305">
        <v>1173.82</v>
      </c>
      <c r="F47" s="308">
        <v>1173.82</v>
      </c>
      <c r="G47" s="270"/>
      <c r="H47" s="270"/>
    </row>
    <row r="48" spans="1:8" ht="12.75">
      <c r="A48" s="413">
        <v>38261</v>
      </c>
      <c r="B48" s="305">
        <v>1114.58</v>
      </c>
      <c r="C48" s="305">
        <v>1142.05</v>
      </c>
      <c r="D48" s="305">
        <v>1090.29</v>
      </c>
      <c r="E48" s="305">
        <v>1130.2</v>
      </c>
      <c r="F48" s="308">
        <v>1130.2</v>
      </c>
      <c r="G48" s="270"/>
      <c r="H48" s="270"/>
    </row>
    <row r="49" spans="1:8" ht="12.75">
      <c r="A49" s="413">
        <v>38231</v>
      </c>
      <c r="B49" s="305">
        <v>1104.24</v>
      </c>
      <c r="C49" s="305">
        <v>1131.54</v>
      </c>
      <c r="D49" s="305">
        <v>1099.18</v>
      </c>
      <c r="E49" s="305">
        <v>1114.58</v>
      </c>
      <c r="F49" s="308">
        <v>1114.58</v>
      </c>
      <c r="G49" s="270"/>
      <c r="H49" s="270"/>
    </row>
    <row r="50" spans="1:8" ht="12.75">
      <c r="A50" s="414" t="s">
        <v>223</v>
      </c>
      <c r="B50" s="305">
        <v>1101.72</v>
      </c>
      <c r="C50" s="305">
        <v>1109.68</v>
      </c>
      <c r="D50" s="305">
        <v>1060.72</v>
      </c>
      <c r="E50" s="305">
        <v>1104.24</v>
      </c>
      <c r="F50" s="308">
        <v>1104.24</v>
      </c>
      <c r="G50" s="270"/>
      <c r="H50" s="270"/>
    </row>
    <row r="51" spans="1:8" ht="12.75">
      <c r="A51" s="413">
        <v>38169</v>
      </c>
      <c r="B51" s="305">
        <v>1140.84</v>
      </c>
      <c r="C51" s="305">
        <v>1140.84</v>
      </c>
      <c r="D51" s="305">
        <v>1078.78</v>
      </c>
      <c r="E51" s="305">
        <v>1101.72</v>
      </c>
      <c r="F51" s="308">
        <v>1101.72</v>
      </c>
      <c r="G51" s="270"/>
      <c r="H51" s="270"/>
    </row>
    <row r="52" spans="1:8" ht="12.75">
      <c r="A52" s="413">
        <v>38139</v>
      </c>
      <c r="B52" s="305">
        <v>1120.68</v>
      </c>
      <c r="C52" s="305">
        <v>1146.34</v>
      </c>
      <c r="D52" s="305">
        <v>1113.32</v>
      </c>
      <c r="E52" s="305">
        <v>1140.84</v>
      </c>
      <c r="F52" s="308">
        <v>1140.84</v>
      </c>
      <c r="G52" s="270"/>
      <c r="H52" s="270"/>
    </row>
    <row r="53" spans="1:8" ht="12.75">
      <c r="A53" s="413">
        <v>38108</v>
      </c>
      <c r="B53" s="305">
        <v>1107.3</v>
      </c>
      <c r="C53" s="305">
        <v>1127.74</v>
      </c>
      <c r="D53" s="305">
        <v>1076.32</v>
      </c>
      <c r="E53" s="305">
        <v>1120.68</v>
      </c>
      <c r="F53" s="308">
        <v>1120.68</v>
      </c>
      <c r="G53" s="270"/>
      <c r="H53" s="270"/>
    </row>
    <row r="54" spans="1:8" ht="12.75">
      <c r="A54" s="414" t="s">
        <v>224</v>
      </c>
      <c r="B54" s="305">
        <v>1126.21</v>
      </c>
      <c r="C54" s="305">
        <v>1150.57</v>
      </c>
      <c r="D54" s="305">
        <v>1107.23</v>
      </c>
      <c r="E54" s="305">
        <v>1107.3</v>
      </c>
      <c r="F54" s="308">
        <v>1107.3</v>
      </c>
      <c r="G54" s="270"/>
      <c r="H54" s="270"/>
    </row>
    <row r="55" spans="1:8" ht="12.75">
      <c r="A55" s="413">
        <v>38047</v>
      </c>
      <c r="B55" s="305">
        <v>1144.94</v>
      </c>
      <c r="C55" s="305">
        <v>1163.23</v>
      </c>
      <c r="D55" s="305">
        <v>1087.16</v>
      </c>
      <c r="E55" s="305">
        <v>1126.21</v>
      </c>
      <c r="F55" s="308">
        <v>1126.21</v>
      </c>
      <c r="G55" s="270"/>
      <c r="H55" s="270"/>
    </row>
    <row r="56" spans="1:8" ht="12.75">
      <c r="A56" s="413">
        <v>38018</v>
      </c>
      <c r="B56" s="305">
        <v>1131.13</v>
      </c>
      <c r="C56" s="305">
        <v>1158.98</v>
      </c>
      <c r="D56" s="305">
        <v>1124.44</v>
      </c>
      <c r="E56" s="305">
        <v>1144.94</v>
      </c>
      <c r="F56" s="308">
        <v>1144.94</v>
      </c>
      <c r="G56" s="270"/>
      <c r="H56" s="270"/>
    </row>
    <row r="57" spans="1:8" ht="12.75">
      <c r="A57" s="414" t="s">
        <v>225</v>
      </c>
      <c r="B57" s="305">
        <v>1111.92</v>
      </c>
      <c r="C57" s="305">
        <v>1155.38</v>
      </c>
      <c r="D57" s="305">
        <v>1105.08</v>
      </c>
      <c r="E57" s="305">
        <v>1131.13</v>
      </c>
      <c r="F57" s="308">
        <v>1131.13</v>
      </c>
      <c r="G57" s="270"/>
      <c r="H57" s="270"/>
    </row>
    <row r="58" spans="1:8" ht="12.75">
      <c r="A58" s="414" t="s">
        <v>226</v>
      </c>
      <c r="B58" s="305">
        <v>1058.2</v>
      </c>
      <c r="C58" s="305">
        <v>1112.56</v>
      </c>
      <c r="D58" s="305">
        <v>1053.41</v>
      </c>
      <c r="E58" s="305">
        <v>1111.92</v>
      </c>
      <c r="F58" s="308">
        <v>1111.92</v>
      </c>
      <c r="G58" s="270"/>
      <c r="H58" s="270"/>
    </row>
    <row r="59" spans="1:8" ht="12.75">
      <c r="A59" s="413">
        <v>37926</v>
      </c>
      <c r="B59" s="305">
        <v>1050.71</v>
      </c>
      <c r="C59" s="305">
        <v>1063.65</v>
      </c>
      <c r="D59" s="305">
        <v>1031.2</v>
      </c>
      <c r="E59" s="305">
        <v>1058.2</v>
      </c>
      <c r="F59" s="308">
        <v>1058.2</v>
      </c>
      <c r="G59" s="270"/>
      <c r="H59" s="270"/>
    </row>
    <row r="60" spans="1:8" ht="12.75">
      <c r="A60" s="413">
        <v>37895</v>
      </c>
      <c r="B60" s="305">
        <v>995.97</v>
      </c>
      <c r="C60" s="305">
        <v>1053.79</v>
      </c>
      <c r="D60" s="305">
        <v>995.97</v>
      </c>
      <c r="E60" s="305">
        <v>1050.71</v>
      </c>
      <c r="F60" s="308">
        <v>1050.71</v>
      </c>
      <c r="G60" s="270"/>
      <c r="H60" s="270"/>
    </row>
    <row r="61" spans="1:8" ht="12.75">
      <c r="A61" s="413">
        <v>37865</v>
      </c>
      <c r="B61" s="305">
        <v>1008.01</v>
      </c>
      <c r="C61" s="305">
        <v>1040.29</v>
      </c>
      <c r="D61" s="305">
        <v>990.36</v>
      </c>
      <c r="E61" s="305">
        <v>995.97</v>
      </c>
      <c r="F61" s="308">
        <v>995.97</v>
      </c>
      <c r="G61" s="270"/>
      <c r="H61" s="270"/>
    </row>
    <row r="62" spans="1:8" ht="12.75">
      <c r="A62" s="414" t="s">
        <v>227</v>
      </c>
      <c r="B62" s="305">
        <v>990.31</v>
      </c>
      <c r="C62" s="305">
        <v>1011.01</v>
      </c>
      <c r="D62" s="305">
        <v>960.84</v>
      </c>
      <c r="E62" s="305">
        <v>1008.01</v>
      </c>
      <c r="F62" s="308">
        <v>1008.01</v>
      </c>
      <c r="G62" s="270"/>
      <c r="H62" s="270"/>
    </row>
    <row r="63" spans="1:8" ht="12.75">
      <c r="A63" s="413">
        <v>37803</v>
      </c>
      <c r="B63" s="305">
        <v>974.5</v>
      </c>
      <c r="C63" s="305">
        <v>1015.41</v>
      </c>
      <c r="D63" s="305">
        <v>962.1</v>
      </c>
      <c r="E63" s="305">
        <v>990.31</v>
      </c>
      <c r="F63" s="308">
        <v>990.31</v>
      </c>
      <c r="G63" s="270"/>
      <c r="H63" s="270"/>
    </row>
    <row r="64" spans="1:8" ht="12.75">
      <c r="A64" s="413">
        <v>37773</v>
      </c>
      <c r="B64" s="305">
        <v>963.59</v>
      </c>
      <c r="C64" s="305">
        <v>1015.33</v>
      </c>
      <c r="D64" s="305">
        <v>963.59</v>
      </c>
      <c r="E64" s="305">
        <v>974.5</v>
      </c>
      <c r="F64" s="308">
        <v>974.5</v>
      </c>
      <c r="G64" s="270"/>
      <c r="H64" s="270"/>
    </row>
    <row r="65" spans="1:8" ht="13.5" thickBot="1">
      <c r="A65" s="415">
        <v>37742</v>
      </c>
      <c r="B65" s="416">
        <v>953.22</v>
      </c>
      <c r="C65" s="416">
        <v>965.38</v>
      </c>
      <c r="D65" s="416">
        <v>946.23</v>
      </c>
      <c r="E65" s="416">
        <v>963.59</v>
      </c>
      <c r="F65" s="313">
        <v>963.59</v>
      </c>
      <c r="G65" s="270"/>
      <c r="H65" s="270"/>
    </row>
    <row r="66" ht="12.75">
      <c r="A66" s="265" t="s">
        <v>705</v>
      </c>
    </row>
  </sheetData>
  <mergeCells count="2">
    <mergeCell ref="A2:F2"/>
    <mergeCell ref="A1:F1"/>
  </mergeCells>
  <printOptions horizontalCentered="1" verticalCentered="1"/>
  <pageMargins left="0.7874015748031497" right="0.7874015748031497" top="0.48" bottom="0.46" header="0" footer="0"/>
  <pageSetup fitToHeight="1" fitToWidth="1" horizontalDpi="300" verticalDpi="300" orientation="portrait" paperSize="9" scale="94" r:id="rId1"/>
</worksheet>
</file>

<file path=xl/worksheets/sheet30.xml><?xml version="1.0" encoding="utf-8"?>
<worksheet xmlns="http://schemas.openxmlformats.org/spreadsheetml/2006/main" xmlns:r="http://schemas.openxmlformats.org/officeDocument/2006/relationships">
  <sheetPr>
    <pageSetUpPr fitToPage="1"/>
  </sheetPr>
  <dimension ref="B3:H35"/>
  <sheetViews>
    <sheetView zoomScale="95" zoomScaleNormal="95" workbookViewId="0" topLeftCell="A1">
      <selection activeCell="H25" sqref="H25"/>
    </sheetView>
  </sheetViews>
  <sheetFormatPr defaultColWidth="11.421875" defaultRowHeight="12.75"/>
  <cols>
    <col min="1" max="1" width="11.421875" style="11" customWidth="1"/>
    <col min="2" max="2" width="58.28125" style="11" customWidth="1"/>
    <col min="3" max="3" width="10.8515625" style="11" bestFit="1" customWidth="1"/>
    <col min="4" max="8" width="12.00390625" style="11" bestFit="1" customWidth="1"/>
    <col min="9" max="16384" width="11.421875" style="11" customWidth="1"/>
  </cols>
  <sheetData>
    <row r="3" spans="2:3" ht="12.75">
      <c r="B3" s="11" t="s">
        <v>780</v>
      </c>
      <c r="C3" s="11">
        <f>+'MAIZ DURO SECO CANTONAL'!J43</f>
        <v>2920.745209090909</v>
      </c>
    </row>
    <row r="4" spans="2:3" ht="12.75">
      <c r="B4" s="11" t="s">
        <v>775</v>
      </c>
      <c r="C4" s="65">
        <v>0.1</v>
      </c>
    </row>
    <row r="5" ht="12.75">
      <c r="C5" s="65">
        <v>0.02</v>
      </c>
    </row>
    <row r="10" spans="2:8" ht="12.75">
      <c r="B10" s="754" t="s">
        <v>737</v>
      </c>
      <c r="C10" s="754"/>
      <c r="D10" s="754"/>
      <c r="E10" s="754"/>
      <c r="F10" s="754"/>
      <c r="G10" s="754"/>
      <c r="H10" s="754"/>
    </row>
    <row r="11" spans="2:8" ht="12.75">
      <c r="B11" s="754" t="s">
        <v>778</v>
      </c>
      <c r="C11" s="754"/>
      <c r="D11" s="754"/>
      <c r="E11" s="754"/>
      <c r="F11" s="754"/>
      <c r="G11" s="754"/>
      <c r="H11" s="754"/>
    </row>
    <row r="12" ht="13.5" thickBot="1"/>
    <row r="13" spans="2:8" ht="13.5" thickBot="1">
      <c r="B13" s="74" t="s">
        <v>755</v>
      </c>
      <c r="C13" s="202">
        <v>2008</v>
      </c>
      <c r="D13" s="202">
        <v>2009</v>
      </c>
      <c r="E13" s="202">
        <v>2010</v>
      </c>
      <c r="F13" s="202">
        <v>2011</v>
      </c>
      <c r="G13" s="202">
        <v>2012</v>
      </c>
      <c r="H13" s="203">
        <v>2013</v>
      </c>
    </row>
    <row r="14" spans="2:8" ht="12.75">
      <c r="B14" s="585" t="s">
        <v>781</v>
      </c>
      <c r="C14" s="586">
        <f>C3</f>
        <v>2920.745209090909</v>
      </c>
      <c r="D14" s="586">
        <f>C14*(1+$C$4)</f>
        <v>3212.81973</v>
      </c>
      <c r="E14" s="586">
        <f>D14*(1+$C$4)</f>
        <v>3534.1017030000003</v>
      </c>
      <c r="F14" s="586">
        <f>E14*(1+$C$4)</f>
        <v>3887.5118733000004</v>
      </c>
      <c r="G14" s="586">
        <f>F14*(1+$C$4)</f>
        <v>4276.263060630001</v>
      </c>
      <c r="H14" s="587">
        <f>G14*(1+$C$4)</f>
        <v>4703.889366693002</v>
      </c>
    </row>
    <row r="15" spans="2:8" ht="12.75">
      <c r="B15" s="46" t="s">
        <v>779</v>
      </c>
      <c r="C15" s="37">
        <f>C32*(1+$C$5)</f>
        <v>6.63</v>
      </c>
      <c r="D15" s="37">
        <f aca="true" t="shared" si="0" ref="D15:H16">C15*(1+$C$5)</f>
        <v>6.7626</v>
      </c>
      <c r="E15" s="37">
        <f t="shared" si="0"/>
        <v>6.897852</v>
      </c>
      <c r="F15" s="37">
        <f t="shared" si="0"/>
        <v>7.03580904</v>
      </c>
      <c r="G15" s="37">
        <f t="shared" si="0"/>
        <v>7.1765252208</v>
      </c>
      <c r="H15" s="45">
        <f t="shared" si="0"/>
        <v>7.320055725216</v>
      </c>
    </row>
    <row r="16" spans="2:8" ht="13.5" thickBot="1">
      <c r="B16" s="46" t="s">
        <v>757</v>
      </c>
      <c r="C16" s="37">
        <v>1</v>
      </c>
      <c r="D16" s="37">
        <f t="shared" si="0"/>
        <v>1.02</v>
      </c>
      <c r="E16" s="37">
        <f t="shared" si="0"/>
        <v>1.0404</v>
      </c>
      <c r="F16" s="37">
        <f t="shared" si="0"/>
        <v>1.061208</v>
      </c>
      <c r="G16" s="37">
        <f t="shared" si="0"/>
        <v>1.08243216</v>
      </c>
      <c r="H16" s="45">
        <f t="shared" si="0"/>
        <v>1.1040808032</v>
      </c>
    </row>
    <row r="17" spans="2:8" ht="13.5" thickBot="1">
      <c r="B17" s="584" t="s">
        <v>760</v>
      </c>
      <c r="C17" s="593">
        <f aca="true" t="shared" si="1" ref="C17:H17">(C14*C15)+(C14*C16)</f>
        <v>22285.285945363637</v>
      </c>
      <c r="D17" s="593">
        <f t="shared" si="1"/>
        <v>25004.090830698</v>
      </c>
      <c r="E17" s="593">
        <f t="shared" si="1"/>
        <v>28054.58991204316</v>
      </c>
      <c r="F17" s="593">
        <f t="shared" si="1"/>
        <v>31477.249881312426</v>
      </c>
      <c r="G17" s="593">
        <f t="shared" si="1"/>
        <v>35317.47436683255</v>
      </c>
      <c r="H17" s="593">
        <f t="shared" si="1"/>
        <v>39626.20623958612</v>
      </c>
    </row>
    <row r="18" ht="13.5" thickBot="1"/>
    <row r="19" spans="2:8" ht="12.75">
      <c r="B19" s="53" t="s">
        <v>766</v>
      </c>
      <c r="C19" s="589"/>
      <c r="D19" s="589"/>
      <c r="E19" s="589"/>
      <c r="F19" s="589"/>
      <c r="G19" s="589"/>
      <c r="H19" s="258"/>
    </row>
    <row r="20" spans="2:8" ht="12.75">
      <c r="B20" s="239" t="s">
        <v>782</v>
      </c>
      <c r="C20" s="81">
        <f aca="true" t="shared" si="2" ref="C20:H20">C14*$C31</f>
        <v>27338.175157090907</v>
      </c>
      <c r="D20" s="81">
        <f t="shared" si="2"/>
        <v>30071.9926728</v>
      </c>
      <c r="E20" s="81">
        <f t="shared" si="2"/>
        <v>33079.19194008</v>
      </c>
      <c r="F20" s="81">
        <f t="shared" si="2"/>
        <v>36387.111134088</v>
      </c>
      <c r="G20" s="81">
        <f t="shared" si="2"/>
        <v>40025.822247496806</v>
      </c>
      <c r="H20" s="521">
        <f t="shared" si="2"/>
        <v>44028.40447224649</v>
      </c>
    </row>
    <row r="21" spans="2:8" ht="13.5" thickBot="1">
      <c r="B21" s="51" t="s">
        <v>767</v>
      </c>
      <c r="C21" s="595">
        <f aca="true" t="shared" si="3" ref="C21:H21">SUM(C20:C20)</f>
        <v>27338.175157090907</v>
      </c>
      <c r="D21" s="595">
        <f t="shared" si="3"/>
        <v>30071.9926728</v>
      </c>
      <c r="E21" s="595">
        <f t="shared" si="3"/>
        <v>33079.19194008</v>
      </c>
      <c r="F21" s="595">
        <f t="shared" si="3"/>
        <v>36387.111134088</v>
      </c>
      <c r="G21" s="595">
        <f t="shared" si="3"/>
        <v>40025.822247496806</v>
      </c>
      <c r="H21" s="596">
        <f t="shared" si="3"/>
        <v>44028.40447224649</v>
      </c>
    </row>
    <row r="22" spans="3:8" ht="13.5" thickBot="1">
      <c r="C22" s="598">
        <f aca="true" t="shared" si="4" ref="C22:H22">+C23/C21</f>
        <v>0.18482905982905973</v>
      </c>
      <c r="D22" s="598">
        <f t="shared" si="4"/>
        <v>0.16852564102564094</v>
      </c>
      <c r="E22" s="598">
        <f t="shared" si="4"/>
        <v>0.1518961538461538</v>
      </c>
      <c r="F22" s="598">
        <f t="shared" si="4"/>
        <v>0.13493407692307682</v>
      </c>
      <c r="G22" s="598">
        <f t="shared" si="4"/>
        <v>0.11763275846153835</v>
      </c>
      <c r="H22" s="598">
        <f t="shared" si="4"/>
        <v>0.09998541363076907</v>
      </c>
    </row>
    <row r="23" spans="2:8" ht="12.75">
      <c r="B23" s="588" t="s">
        <v>768</v>
      </c>
      <c r="C23" s="590">
        <f aca="true" t="shared" si="5" ref="C23:H23">C21-C17</f>
        <v>5052.88921172727</v>
      </c>
      <c r="D23" s="590">
        <f t="shared" si="5"/>
        <v>5067.901842101997</v>
      </c>
      <c r="E23" s="590">
        <f t="shared" si="5"/>
        <v>5024.602028036843</v>
      </c>
      <c r="F23" s="590">
        <f t="shared" si="5"/>
        <v>4909.861252775576</v>
      </c>
      <c r="G23" s="590">
        <f t="shared" si="5"/>
        <v>4708.34788066426</v>
      </c>
      <c r="H23" s="591">
        <f t="shared" si="5"/>
        <v>4402.198232660368</v>
      </c>
    </row>
    <row r="24" spans="2:8" ht="12.75">
      <c r="B24" s="46" t="s">
        <v>769</v>
      </c>
      <c r="C24" s="37">
        <f aca="true" t="shared" si="6" ref="C24:H24">C23*0.3625</f>
        <v>1831.6723392511353</v>
      </c>
      <c r="D24" s="37">
        <f t="shared" si="6"/>
        <v>1837.114417761974</v>
      </c>
      <c r="E24" s="37">
        <f t="shared" si="6"/>
        <v>1821.4182351633556</v>
      </c>
      <c r="F24" s="37">
        <f t="shared" si="6"/>
        <v>1779.8247041311463</v>
      </c>
      <c r="G24" s="37">
        <f t="shared" si="6"/>
        <v>1706.7761067407941</v>
      </c>
      <c r="H24" s="45">
        <f t="shared" si="6"/>
        <v>1595.7968593393834</v>
      </c>
    </row>
    <row r="25" spans="2:8" ht="13.5" thickBot="1">
      <c r="B25" s="51" t="s">
        <v>770</v>
      </c>
      <c r="C25" s="595">
        <f aca="true" t="shared" si="7" ref="C25:H25">C23-C24</f>
        <v>3221.2168724761345</v>
      </c>
      <c r="D25" s="595">
        <f t="shared" si="7"/>
        <v>3230.7874243400233</v>
      </c>
      <c r="E25" s="595">
        <f t="shared" si="7"/>
        <v>3203.1837928734876</v>
      </c>
      <c r="F25" s="595">
        <f t="shared" si="7"/>
        <v>3130.03654864443</v>
      </c>
      <c r="G25" s="595">
        <f t="shared" si="7"/>
        <v>3001.5717739234656</v>
      </c>
      <c r="H25" s="596">
        <f t="shared" si="7"/>
        <v>2806.401373320985</v>
      </c>
    </row>
    <row r="26" spans="2:8" ht="12.75">
      <c r="B26" s="66" t="s">
        <v>777</v>
      </c>
      <c r="C26" s="423">
        <f aca="true" t="shared" si="8" ref="C26:H26">C25/C17</f>
        <v>0.14454456094364343</v>
      </c>
      <c r="D26" s="423">
        <f t="shared" si="8"/>
        <v>0.1292103538663171</v>
      </c>
      <c r="E26" s="423">
        <f t="shared" si="8"/>
        <v>0.11417681751599719</v>
      </c>
      <c r="F26" s="423">
        <f t="shared" si="8"/>
        <v>0.0994380563882325</v>
      </c>
      <c r="G26" s="423">
        <f t="shared" si="8"/>
        <v>0.0849882905766985</v>
      </c>
      <c r="H26" s="423">
        <f t="shared" si="8"/>
        <v>0.07082185350656714</v>
      </c>
    </row>
    <row r="27" spans="4:8" ht="12.75">
      <c r="D27" s="66"/>
      <c r="E27" s="66"/>
      <c r="F27" s="66"/>
      <c r="G27" s="66"/>
      <c r="H27" s="66"/>
    </row>
    <row r="28" spans="2:8" ht="18">
      <c r="B28" s="592" t="s">
        <v>783</v>
      </c>
      <c r="C28" s="597">
        <f>NPV('TIR Y VAN'!B13,D25:H25)+C25</f>
        <v>14630.887963694671</v>
      </c>
      <c r="D28" s="66"/>
      <c r="G28" s="66"/>
      <c r="H28" s="66"/>
    </row>
    <row r="29" spans="2:8" ht="12.75">
      <c r="B29" s="66"/>
      <c r="C29" s="66"/>
      <c r="D29" s="66"/>
      <c r="E29" s="66"/>
      <c r="F29" s="66"/>
      <c r="G29" s="66"/>
      <c r="H29" s="66"/>
    </row>
    <row r="30" spans="2:3" ht="13.5" thickBot="1">
      <c r="B30" s="754" t="s">
        <v>772</v>
      </c>
      <c r="C30" s="754"/>
    </row>
    <row r="31" spans="2:3" ht="12.75">
      <c r="B31" s="155" t="s">
        <v>784</v>
      </c>
      <c r="C31" s="583">
        <f>C32*1.44</f>
        <v>9.36</v>
      </c>
    </row>
    <row r="32" spans="2:4" ht="13.5" thickBot="1">
      <c r="B32" s="47" t="s">
        <v>785</v>
      </c>
      <c r="C32" s="157">
        <v>6.5</v>
      </c>
      <c r="D32" s="11" t="s">
        <v>5</v>
      </c>
    </row>
    <row r="33" spans="2:3" ht="12.75">
      <c r="B33" s="11" t="s">
        <v>996</v>
      </c>
      <c r="C33" s="11" t="s">
        <v>5</v>
      </c>
    </row>
    <row r="34" ht="12.75">
      <c r="C34" s="11" t="s">
        <v>5</v>
      </c>
    </row>
    <row r="35" ht="12.75">
      <c r="C35" s="11" t="s">
        <v>5</v>
      </c>
    </row>
  </sheetData>
  <mergeCells count="3">
    <mergeCell ref="B10:H10"/>
    <mergeCell ref="B11:H11"/>
    <mergeCell ref="B30:C30"/>
  </mergeCells>
  <printOptions horizontalCentered="1" verticalCentered="1"/>
  <pageMargins left="0.7874015748031497" right="0.7874015748031497" top="0.984251968503937" bottom="0.984251968503937" header="0" footer="0"/>
  <pageSetup fitToHeight="1" fitToWidth="1" horizontalDpi="300" verticalDpi="300" orientation="landscape" paperSize="9" r:id="rId1"/>
</worksheet>
</file>

<file path=xl/worksheets/sheet31.xml><?xml version="1.0" encoding="utf-8"?>
<worksheet xmlns="http://schemas.openxmlformats.org/spreadsheetml/2006/main" xmlns:r="http://schemas.openxmlformats.org/officeDocument/2006/relationships">
  <dimension ref="B2:H198"/>
  <sheetViews>
    <sheetView zoomScale="95" zoomScaleNormal="95" workbookViewId="0" topLeftCell="A1">
      <selection activeCell="H25" sqref="H25"/>
    </sheetView>
  </sheetViews>
  <sheetFormatPr defaultColWidth="11.421875" defaultRowHeight="12.75"/>
  <cols>
    <col min="2" max="2" width="17.28125" style="0" bestFit="1" customWidth="1"/>
    <col min="3" max="3" width="14.7109375" style="0" bestFit="1" customWidth="1"/>
    <col min="4" max="4" width="6.57421875" style="0" bestFit="1" customWidth="1"/>
    <col min="5" max="5" width="14.57421875" style="0" bestFit="1" customWidth="1"/>
    <col min="6" max="6" width="7.421875" style="0" bestFit="1" customWidth="1"/>
    <col min="8" max="8" width="7.28125" style="0" customWidth="1"/>
    <col min="9" max="9" width="9.57421875" style="0" customWidth="1"/>
    <col min="10" max="10" width="7.57421875" style="0" customWidth="1"/>
    <col min="11" max="11" width="16.57421875" style="0" customWidth="1"/>
  </cols>
  <sheetData>
    <row r="2" spans="2:6" ht="12.75">
      <c r="B2" s="734" t="s">
        <v>739</v>
      </c>
      <c r="C2" s="734"/>
      <c r="D2" s="734"/>
      <c r="E2" s="734"/>
      <c r="F2" s="734"/>
    </row>
    <row r="3" spans="2:6" ht="12.75">
      <c r="B3" s="734" t="s">
        <v>994</v>
      </c>
      <c r="C3" s="734"/>
      <c r="D3" s="734"/>
      <c r="E3" s="734"/>
      <c r="F3" s="734"/>
    </row>
    <row r="4" ht="13.5" thickBot="1"/>
    <row r="5" spans="2:6" ht="12.75">
      <c r="B5" s="255" t="s">
        <v>786</v>
      </c>
      <c r="C5" s="59" t="s">
        <v>787</v>
      </c>
      <c r="D5" s="59" t="s">
        <v>4</v>
      </c>
      <c r="E5" s="59" t="s">
        <v>788</v>
      </c>
      <c r="F5" s="58" t="s">
        <v>4</v>
      </c>
    </row>
    <row r="6" spans="2:6" ht="12.75">
      <c r="B6" s="612" t="s">
        <v>792</v>
      </c>
      <c r="C6" s="613">
        <v>101000.5</v>
      </c>
      <c r="D6" s="643">
        <f aca="true" t="shared" si="0" ref="D6:D37">+C6/$C$106</f>
        <v>0.2577450077463475</v>
      </c>
      <c r="E6" s="613">
        <v>17537.52</v>
      </c>
      <c r="F6" s="644">
        <f aca="true" t="shared" si="1" ref="F6:F37">+E6/$E$106</f>
        <v>0.026050635991294827</v>
      </c>
    </row>
    <row r="7" spans="2:6" ht="12.75">
      <c r="B7" s="612" t="s">
        <v>795</v>
      </c>
      <c r="C7" s="613">
        <v>99567.43</v>
      </c>
      <c r="D7" s="643">
        <f t="shared" si="0"/>
        <v>0.2540879304224624</v>
      </c>
      <c r="E7" s="613">
        <v>6412.527</v>
      </c>
      <c r="F7" s="644">
        <f t="shared" si="1"/>
        <v>0.009525315247614819</v>
      </c>
    </row>
    <row r="8" spans="2:6" ht="12.75">
      <c r="B8" s="612" t="s">
        <v>798</v>
      </c>
      <c r="C8" s="613">
        <v>60801.92</v>
      </c>
      <c r="D8" s="643">
        <f t="shared" si="0"/>
        <v>0.1551615223824912</v>
      </c>
      <c r="E8" s="613">
        <v>82647.33</v>
      </c>
      <c r="F8" s="644">
        <f t="shared" si="1"/>
        <v>0.12276624685146022</v>
      </c>
    </row>
    <row r="9" spans="2:6" ht="12.75">
      <c r="B9" s="2" t="s">
        <v>983</v>
      </c>
      <c r="C9" s="37">
        <v>38792.98</v>
      </c>
      <c r="D9" s="599">
        <f t="shared" si="0"/>
        <v>0.09899650923118108</v>
      </c>
      <c r="E9" s="37">
        <v>168901.5</v>
      </c>
      <c r="F9" s="600">
        <f t="shared" si="1"/>
        <v>0.2508901768826883</v>
      </c>
    </row>
    <row r="10" spans="2:6" ht="12.75">
      <c r="B10" s="2" t="s">
        <v>984</v>
      </c>
      <c r="C10" s="37">
        <v>23936.27</v>
      </c>
      <c r="D10" s="599">
        <f t="shared" si="0"/>
        <v>0.06108340153334554</v>
      </c>
      <c r="E10" s="37">
        <v>93939.61</v>
      </c>
      <c r="F10" s="600">
        <f t="shared" si="1"/>
        <v>0.13954005955655072</v>
      </c>
    </row>
    <row r="11" spans="2:6" ht="12.75">
      <c r="B11" s="612" t="s">
        <v>985</v>
      </c>
      <c r="C11" s="613">
        <v>14593.43</v>
      </c>
      <c r="D11" s="643">
        <f t="shared" si="0"/>
        <v>0.03724123869085579</v>
      </c>
      <c r="E11" s="613">
        <v>21633.88</v>
      </c>
      <c r="F11" s="644">
        <f t="shared" si="1"/>
        <v>0.03213546344975535</v>
      </c>
    </row>
    <row r="12" spans="2:6" ht="13.5" thickBot="1">
      <c r="B12" s="10" t="s">
        <v>986</v>
      </c>
      <c r="C12" s="48">
        <v>8728.497</v>
      </c>
      <c r="D12" s="676">
        <f t="shared" si="0"/>
        <v>0.022274409798753184</v>
      </c>
      <c r="E12" s="48">
        <v>37189.2</v>
      </c>
      <c r="F12" s="602">
        <f t="shared" si="1"/>
        <v>0.055241693922941294</v>
      </c>
    </row>
    <row r="13" spans="2:6" ht="12.75">
      <c r="B13" s="9" t="s">
        <v>987</v>
      </c>
      <c r="C13" s="586">
        <v>7536.458</v>
      </c>
      <c r="D13" s="674">
        <f t="shared" si="0"/>
        <v>0.019232423855228664</v>
      </c>
      <c r="E13" s="586">
        <v>94663.75</v>
      </c>
      <c r="F13" s="675">
        <f t="shared" si="1"/>
        <v>0.14061571378512672</v>
      </c>
    </row>
    <row r="14" spans="2:6" ht="12.75">
      <c r="B14" s="2" t="s">
        <v>988</v>
      </c>
      <c r="C14" s="37">
        <v>4778.463</v>
      </c>
      <c r="D14" s="599">
        <f t="shared" si="0"/>
        <v>0.012194246394331067</v>
      </c>
      <c r="E14" s="37">
        <v>27870.89</v>
      </c>
      <c r="F14" s="600">
        <f t="shared" si="1"/>
        <v>0.04140006170447241</v>
      </c>
    </row>
    <row r="15" spans="2:6" ht="12.75">
      <c r="B15" s="2" t="s">
        <v>989</v>
      </c>
      <c r="C15" s="37">
        <v>3800.663</v>
      </c>
      <c r="D15" s="599">
        <f t="shared" si="0"/>
        <v>0.009698980840453824</v>
      </c>
      <c r="E15" s="37">
        <v>2404.901</v>
      </c>
      <c r="F15" s="600">
        <f t="shared" si="1"/>
        <v>0.0035722953157630564</v>
      </c>
    </row>
    <row r="16" spans="2:6" ht="12.75">
      <c r="B16" s="2" t="s">
        <v>990</v>
      </c>
      <c r="C16" s="37">
        <v>3365.013</v>
      </c>
      <c r="D16" s="599">
        <f t="shared" si="0"/>
        <v>0.008587237704284238</v>
      </c>
      <c r="E16" s="37">
        <v>4781.6</v>
      </c>
      <c r="F16" s="600">
        <f t="shared" si="1"/>
        <v>0.007102698731404175</v>
      </c>
    </row>
    <row r="17" spans="2:6" ht="12.75">
      <c r="B17" s="2" t="s">
        <v>991</v>
      </c>
      <c r="C17" s="37">
        <v>2100.953</v>
      </c>
      <c r="D17" s="599">
        <f t="shared" si="0"/>
        <v>0.005361460064650294</v>
      </c>
      <c r="E17" s="37">
        <v>641.811</v>
      </c>
      <c r="F17" s="600">
        <f t="shared" si="1"/>
        <v>0.0009533608364357631</v>
      </c>
    </row>
    <row r="18" spans="2:6" ht="12.75">
      <c r="B18" s="2" t="s">
        <v>992</v>
      </c>
      <c r="C18" s="37">
        <v>1779.766</v>
      </c>
      <c r="D18" s="599">
        <f t="shared" si="0"/>
        <v>0.004541817134139791</v>
      </c>
      <c r="E18" s="37">
        <v>1065.798</v>
      </c>
      <c r="F18" s="600">
        <f t="shared" si="1"/>
        <v>0.0015831608880987758</v>
      </c>
    </row>
    <row r="19" spans="2:6" ht="12.75">
      <c r="B19" s="2">
        <v>182</v>
      </c>
      <c r="C19" s="37">
        <v>1650.234</v>
      </c>
      <c r="D19" s="599">
        <f t="shared" si="0"/>
        <v>0.004211262074081673</v>
      </c>
      <c r="E19" s="37">
        <v>1760.705</v>
      </c>
      <c r="F19" s="600">
        <f t="shared" si="1"/>
        <v>0.00261539174541513</v>
      </c>
    </row>
    <row r="20" spans="2:6" ht="12.75">
      <c r="B20" s="2">
        <v>158</v>
      </c>
      <c r="C20" s="37">
        <v>1427.258</v>
      </c>
      <c r="D20" s="599">
        <f t="shared" si="0"/>
        <v>0.003642245575675729</v>
      </c>
      <c r="E20" s="37">
        <v>705.1142</v>
      </c>
      <c r="F20" s="600">
        <f t="shared" si="1"/>
        <v>0.001047392867206598</v>
      </c>
    </row>
    <row r="21" spans="2:6" ht="12.75">
      <c r="B21" s="2">
        <v>346</v>
      </c>
      <c r="C21" s="37">
        <v>1215.429</v>
      </c>
      <c r="D21" s="599">
        <f t="shared" si="0"/>
        <v>0.003101675308737436</v>
      </c>
      <c r="E21" s="37">
        <v>6361.523</v>
      </c>
      <c r="F21" s="600">
        <f t="shared" si="1"/>
        <v>0.009449552731700369</v>
      </c>
    </row>
    <row r="22" spans="2:6" ht="12.75">
      <c r="B22" s="2">
        <v>396</v>
      </c>
      <c r="C22" s="37">
        <v>1172.876</v>
      </c>
      <c r="D22" s="599">
        <f t="shared" si="0"/>
        <v>0.0029930835362746233</v>
      </c>
      <c r="E22" s="37">
        <v>8466.574</v>
      </c>
      <c r="F22" s="600">
        <f t="shared" si="1"/>
        <v>0.012576443953726696</v>
      </c>
    </row>
    <row r="23" spans="2:6" ht="12.75">
      <c r="B23" s="2">
        <v>110</v>
      </c>
      <c r="C23" s="37">
        <v>1167.124</v>
      </c>
      <c r="D23" s="599">
        <f t="shared" si="0"/>
        <v>0.002978404903153431</v>
      </c>
      <c r="E23" s="37">
        <v>1308.26</v>
      </c>
      <c r="F23" s="600">
        <f t="shared" si="1"/>
        <v>0.0019433195253360435</v>
      </c>
    </row>
    <row r="24" spans="2:6" ht="12.75">
      <c r="B24" s="2">
        <v>224</v>
      </c>
      <c r="C24" s="37">
        <v>1103.321</v>
      </c>
      <c r="D24" s="599">
        <f t="shared" si="0"/>
        <v>0.002815584870289829</v>
      </c>
      <c r="E24" s="37">
        <v>10523.81</v>
      </c>
      <c r="F24" s="600">
        <f t="shared" si="1"/>
        <v>0.015632309673862005</v>
      </c>
    </row>
    <row r="25" spans="2:6" ht="12.75">
      <c r="B25" s="2">
        <v>368</v>
      </c>
      <c r="C25" s="37">
        <v>1057.028</v>
      </c>
      <c r="D25" s="599">
        <f t="shared" si="0"/>
        <v>0.0026974489239964777</v>
      </c>
      <c r="E25" s="37">
        <v>4630.916</v>
      </c>
      <c r="F25" s="600">
        <f t="shared" si="1"/>
        <v>0.006878869248460619</v>
      </c>
    </row>
    <row r="26" spans="2:6" ht="12.75">
      <c r="B26" s="2">
        <v>300</v>
      </c>
      <c r="C26" s="37">
        <v>1022.634</v>
      </c>
      <c r="D26" s="599">
        <f t="shared" si="0"/>
        <v>0.002609678251609431</v>
      </c>
      <c r="E26" s="37">
        <v>286.9837</v>
      </c>
      <c r="F26" s="600">
        <f t="shared" si="1"/>
        <v>0.00042629219548345244</v>
      </c>
    </row>
    <row r="27" spans="2:6" ht="12.75">
      <c r="B27" s="2">
        <v>356</v>
      </c>
      <c r="C27" s="37">
        <v>1019.355</v>
      </c>
      <c r="D27" s="599">
        <f t="shared" si="0"/>
        <v>0.0026013105120398223</v>
      </c>
      <c r="E27" s="37">
        <v>16048.65</v>
      </c>
      <c r="F27" s="600">
        <f t="shared" si="1"/>
        <v>0.023839034213599966</v>
      </c>
    </row>
    <row r="28" spans="2:6" ht="12.75">
      <c r="B28" s="2">
        <v>324</v>
      </c>
      <c r="C28" s="37">
        <v>987.7893</v>
      </c>
      <c r="D28" s="599">
        <f t="shared" si="0"/>
        <v>0.0025207574297182607</v>
      </c>
      <c r="E28" s="37">
        <v>0</v>
      </c>
      <c r="F28" s="600">
        <f t="shared" si="1"/>
        <v>0</v>
      </c>
    </row>
    <row r="29" spans="2:6" ht="12.75">
      <c r="B29" s="2">
        <v>428</v>
      </c>
      <c r="C29" s="37">
        <v>882.7772</v>
      </c>
      <c r="D29" s="599">
        <f t="shared" si="0"/>
        <v>0.002252775147175499</v>
      </c>
      <c r="E29" s="37">
        <v>2316.008</v>
      </c>
      <c r="F29" s="600">
        <f t="shared" si="1"/>
        <v>0.0034402516068934913</v>
      </c>
    </row>
    <row r="30" spans="2:6" ht="12.75">
      <c r="B30" s="2">
        <v>156</v>
      </c>
      <c r="C30" s="37">
        <v>814.9789</v>
      </c>
      <c r="D30" s="599">
        <f t="shared" si="0"/>
        <v>0.002079759435781108</v>
      </c>
      <c r="E30" s="37">
        <v>162.5017</v>
      </c>
      <c r="F30" s="600">
        <f t="shared" si="1"/>
        <v>0.0002413837666138995</v>
      </c>
    </row>
    <row r="31" spans="2:6" ht="12.75">
      <c r="B31" s="2">
        <v>376</v>
      </c>
      <c r="C31" s="37">
        <v>773.5638</v>
      </c>
      <c r="D31" s="599">
        <f t="shared" si="0"/>
        <v>0.001974071490965827</v>
      </c>
      <c r="E31" s="37">
        <v>14919.29</v>
      </c>
      <c r="F31" s="600">
        <f t="shared" si="1"/>
        <v>0.022161456867251756</v>
      </c>
    </row>
    <row r="32" spans="2:6" ht="12.75">
      <c r="B32" s="2">
        <v>326</v>
      </c>
      <c r="C32" s="37">
        <v>745.65</v>
      </c>
      <c r="D32" s="599">
        <f t="shared" si="0"/>
        <v>0.001902837758486978</v>
      </c>
      <c r="E32" s="37">
        <v>6060.156</v>
      </c>
      <c r="F32" s="600">
        <f t="shared" si="1"/>
        <v>0.00900189525123628</v>
      </c>
    </row>
    <row r="33" spans="2:6" ht="12.75">
      <c r="B33" s="2">
        <v>166</v>
      </c>
      <c r="C33" s="37">
        <v>678.6597</v>
      </c>
      <c r="D33" s="599">
        <f t="shared" si="0"/>
        <v>0.0017318839969468853</v>
      </c>
      <c r="E33" s="37">
        <v>434.0797</v>
      </c>
      <c r="F33" s="600">
        <f t="shared" si="1"/>
        <v>0.000644791980617012</v>
      </c>
    </row>
    <row r="34" spans="2:6" ht="12.75">
      <c r="B34" s="2">
        <v>400</v>
      </c>
      <c r="C34" s="37">
        <v>672.3298</v>
      </c>
      <c r="D34" s="599">
        <f t="shared" si="0"/>
        <v>0.001715730610334605</v>
      </c>
      <c r="E34" s="37">
        <v>2432.943</v>
      </c>
      <c r="F34" s="600">
        <f t="shared" si="1"/>
        <v>0.0036139495482011602</v>
      </c>
    </row>
    <row r="35" spans="2:6" ht="12.75">
      <c r="B35" s="2">
        <v>408</v>
      </c>
      <c r="C35" s="37">
        <v>648.454</v>
      </c>
      <c r="D35" s="599">
        <f t="shared" si="0"/>
        <v>0.001654801523290974</v>
      </c>
      <c r="E35" s="37">
        <v>297.8984</v>
      </c>
      <c r="F35" s="600">
        <f t="shared" si="1"/>
        <v>0.0004425051421631532</v>
      </c>
    </row>
    <row r="36" spans="2:6" ht="12.75">
      <c r="B36" s="2">
        <v>306</v>
      </c>
      <c r="C36" s="37">
        <v>570.0809</v>
      </c>
      <c r="D36" s="599">
        <f t="shared" si="0"/>
        <v>0.0014547997879866413</v>
      </c>
      <c r="E36" s="37">
        <v>4955.605</v>
      </c>
      <c r="F36" s="600">
        <f t="shared" si="1"/>
        <v>0.007361169764689681</v>
      </c>
    </row>
    <row r="37" spans="2:6" ht="12.75">
      <c r="B37" s="2">
        <v>234</v>
      </c>
      <c r="C37" s="37">
        <v>516.7612</v>
      </c>
      <c r="D37" s="599">
        <f t="shared" si="0"/>
        <v>0.001318732278523491</v>
      </c>
      <c r="E37" s="37">
        <v>9123.215</v>
      </c>
      <c r="F37" s="600">
        <f t="shared" si="1"/>
        <v>0.0135518336136079</v>
      </c>
    </row>
    <row r="38" spans="2:6" ht="12.75">
      <c r="B38" s="2">
        <v>198</v>
      </c>
      <c r="C38" s="37">
        <v>473.1368</v>
      </c>
      <c r="D38" s="599">
        <f aca="true" t="shared" si="2" ref="D38:D69">+C38/$C$106</f>
        <v>0.0012074063809692237</v>
      </c>
      <c r="E38" s="37">
        <v>1856.647</v>
      </c>
      <c r="F38" s="600">
        <f aca="true" t="shared" si="3" ref="F38:F69">+E38/$E$106</f>
        <v>0.002757906201180644</v>
      </c>
    </row>
    <row r="39" spans="2:6" ht="12.75">
      <c r="B39" s="2">
        <v>214</v>
      </c>
      <c r="C39" s="37">
        <v>339.8626</v>
      </c>
      <c r="D39" s="599">
        <f t="shared" si="2"/>
        <v>0.0008673015328606671</v>
      </c>
      <c r="E39" s="37">
        <v>1972.541</v>
      </c>
      <c r="F39" s="600">
        <f t="shared" si="3"/>
        <v>0.0029300578171203616</v>
      </c>
    </row>
    <row r="40" spans="2:6" ht="12.75">
      <c r="B40" s="2">
        <v>210</v>
      </c>
      <c r="C40" s="37">
        <v>251.0138</v>
      </c>
      <c r="D40" s="599">
        <f t="shared" si="2"/>
        <v>0.0006405666687337204</v>
      </c>
      <c r="E40" s="37">
        <v>2922.756</v>
      </c>
      <c r="F40" s="600">
        <f t="shared" si="3"/>
        <v>0.004341529055839874</v>
      </c>
    </row>
    <row r="41" spans="2:6" ht="12.75">
      <c r="B41" s="2">
        <v>140</v>
      </c>
      <c r="C41" s="37">
        <v>185.8034</v>
      </c>
      <c r="D41" s="599">
        <f t="shared" si="2"/>
        <v>0.00047415506628479767</v>
      </c>
      <c r="E41" s="37">
        <v>4127.9</v>
      </c>
      <c r="F41" s="600">
        <f t="shared" si="3"/>
        <v>0.006131677700636459</v>
      </c>
    </row>
    <row r="42" spans="2:6" ht="12.75">
      <c r="B42" s="2">
        <v>132</v>
      </c>
      <c r="C42" s="37">
        <v>174.4756</v>
      </c>
      <c r="D42" s="599">
        <f t="shared" si="2"/>
        <v>0.00044524744801806553</v>
      </c>
      <c r="E42" s="37">
        <v>877.7958</v>
      </c>
      <c r="F42" s="600">
        <f t="shared" si="3"/>
        <v>0.001303898091662187</v>
      </c>
    </row>
    <row r="43" spans="2:6" ht="12.75">
      <c r="B43" s="2">
        <v>410</v>
      </c>
      <c r="C43" s="37">
        <v>166.3934</v>
      </c>
      <c r="D43" s="599">
        <f t="shared" si="2"/>
        <v>0.0004246223352551829</v>
      </c>
      <c r="E43" s="37">
        <v>165.6856</v>
      </c>
      <c r="F43" s="600">
        <f t="shared" si="3"/>
        <v>0.0002461132049799104</v>
      </c>
    </row>
    <row r="44" spans="2:6" ht="12.75">
      <c r="B44" s="2">
        <v>186</v>
      </c>
      <c r="C44" s="37">
        <v>151.4206</v>
      </c>
      <c r="D44" s="599">
        <f t="shared" si="2"/>
        <v>0.0003864129753808802</v>
      </c>
      <c r="E44" s="37">
        <v>201.5549</v>
      </c>
      <c r="F44" s="600">
        <f t="shared" si="3"/>
        <v>0.00029939428905351666</v>
      </c>
    </row>
    <row r="45" spans="2:6" ht="12.75">
      <c r="B45" s="2">
        <v>398</v>
      </c>
      <c r="C45" s="37">
        <v>146.2088</v>
      </c>
      <c r="D45" s="599">
        <f t="shared" si="2"/>
        <v>0.0003731128884370293</v>
      </c>
      <c r="E45" s="37">
        <v>510.0574</v>
      </c>
      <c r="F45" s="600">
        <f t="shared" si="3"/>
        <v>0.0007576510055051262</v>
      </c>
    </row>
    <row r="46" spans="2:6" ht="12.75">
      <c r="B46" s="2">
        <v>124</v>
      </c>
      <c r="C46" s="37">
        <v>105.8701</v>
      </c>
      <c r="D46" s="599">
        <f t="shared" si="2"/>
        <v>0.0002701718283038855</v>
      </c>
      <c r="E46" s="37">
        <v>749.3116</v>
      </c>
      <c r="F46" s="600">
        <f t="shared" si="3"/>
        <v>0.0011130447027661102</v>
      </c>
    </row>
    <row r="47" spans="2:6" ht="12.75">
      <c r="B47" s="2">
        <v>304</v>
      </c>
      <c r="C47" s="37">
        <v>100</v>
      </c>
      <c r="D47" s="599">
        <f t="shared" si="2"/>
        <v>0.00025519181365077153</v>
      </c>
      <c r="E47" s="37">
        <v>90.71847</v>
      </c>
      <c r="F47" s="600">
        <f t="shared" si="3"/>
        <v>0.00013475530403712725</v>
      </c>
    </row>
    <row r="48" spans="2:6" ht="12.75">
      <c r="B48" s="2">
        <v>188</v>
      </c>
      <c r="C48" s="37">
        <v>96.1899</v>
      </c>
      <c r="D48" s="599">
        <f t="shared" si="2"/>
        <v>0.00024546875035886347</v>
      </c>
      <c r="E48" s="37">
        <v>134.8355</v>
      </c>
      <c r="F48" s="600">
        <f t="shared" si="3"/>
        <v>0.00020028775614820303</v>
      </c>
    </row>
    <row r="49" spans="2:6" ht="12.75">
      <c r="B49" s="2">
        <v>146</v>
      </c>
      <c r="C49" s="37">
        <v>85.95841</v>
      </c>
      <c r="D49" s="599">
        <f t="shared" si="2"/>
        <v>0.00021935882546436617</v>
      </c>
      <c r="E49" s="37">
        <v>163.6569</v>
      </c>
      <c r="F49" s="600">
        <f t="shared" si="3"/>
        <v>0.00024309972729118703</v>
      </c>
    </row>
    <row r="50" spans="2:6" ht="12.75">
      <c r="B50" s="2">
        <v>372</v>
      </c>
      <c r="C50" s="37">
        <v>75.43287</v>
      </c>
      <c r="D50" s="599">
        <f t="shared" si="2"/>
        <v>0.00019249850904182875</v>
      </c>
      <c r="E50" s="37">
        <v>707.7083</v>
      </c>
      <c r="F50" s="600">
        <f t="shared" si="3"/>
        <v>0.001051246203073073</v>
      </c>
    </row>
    <row r="51" spans="2:6" ht="12.75">
      <c r="B51" s="2">
        <v>394</v>
      </c>
      <c r="C51" s="37">
        <v>75.33104</v>
      </c>
      <c r="D51" s="599">
        <f t="shared" si="2"/>
        <v>0.00019223864721798817</v>
      </c>
      <c r="E51" s="37">
        <v>29.68903</v>
      </c>
      <c r="F51" s="600">
        <f t="shared" si="3"/>
        <v>4.410076872126913E-05</v>
      </c>
    </row>
    <row r="52" spans="2:6" ht="12.75">
      <c r="B52" s="2">
        <v>312</v>
      </c>
      <c r="C52" s="37">
        <v>63.75306</v>
      </c>
      <c r="D52" s="599">
        <f t="shared" si="2"/>
        <v>0.00016269259007186456</v>
      </c>
      <c r="E52" s="37">
        <v>8.285263</v>
      </c>
      <c r="F52" s="600">
        <f t="shared" si="3"/>
        <v>1.230712041982808E-05</v>
      </c>
    </row>
    <row r="53" spans="2:6" ht="12.75">
      <c r="B53" s="2">
        <v>450</v>
      </c>
      <c r="C53" s="37">
        <v>44.16347</v>
      </c>
      <c r="D53" s="599">
        <f t="shared" si="2"/>
        <v>0.00011270156006411439</v>
      </c>
      <c r="E53" s="37">
        <v>0</v>
      </c>
      <c r="F53" s="600">
        <f t="shared" si="3"/>
        <v>0</v>
      </c>
    </row>
    <row r="54" spans="2:6" ht="12.75">
      <c r="B54" s="2">
        <v>442</v>
      </c>
      <c r="C54" s="37">
        <v>41.83174</v>
      </c>
      <c r="D54" s="599">
        <f t="shared" si="2"/>
        <v>0.00010675117598767527</v>
      </c>
      <c r="E54" s="37">
        <v>659.9602</v>
      </c>
      <c r="F54" s="600">
        <f t="shared" si="3"/>
        <v>0.0009803200759823584</v>
      </c>
    </row>
    <row r="55" spans="2:6" ht="12.75">
      <c r="B55" s="2">
        <v>358</v>
      </c>
      <c r="C55" s="37">
        <v>39.0413</v>
      </c>
      <c r="D55" s="599">
        <f t="shared" si="2"/>
        <v>9.963020154283867E-05</v>
      </c>
      <c r="E55" s="37">
        <v>145.3632</v>
      </c>
      <c r="F55" s="600">
        <f t="shared" si="3"/>
        <v>0.00021592584411762828</v>
      </c>
    </row>
    <row r="56" spans="2:6" ht="12.75">
      <c r="B56" s="2">
        <v>106</v>
      </c>
      <c r="C56" s="37">
        <v>36.39476</v>
      </c>
      <c r="D56" s="599">
        <f t="shared" si="2"/>
        <v>9.287644811784553E-05</v>
      </c>
      <c r="E56" s="37">
        <v>0.9350259</v>
      </c>
      <c r="F56" s="600">
        <f t="shared" si="3"/>
        <v>1.3889089998661633E-06</v>
      </c>
    </row>
    <row r="57" spans="2:6" ht="12.75">
      <c r="B57" s="2">
        <v>316</v>
      </c>
      <c r="C57" s="37">
        <v>34.93644</v>
      </c>
      <c r="D57" s="599">
        <f t="shared" si="2"/>
        <v>8.91549348610136E-05</v>
      </c>
      <c r="E57" s="37">
        <v>2.042618</v>
      </c>
      <c r="F57" s="600">
        <f t="shared" si="3"/>
        <v>3.0341518063709496E-06</v>
      </c>
    </row>
    <row r="58" spans="2:6" ht="12.75">
      <c r="B58" s="2">
        <v>164</v>
      </c>
      <c r="C58" s="37">
        <v>33.26882</v>
      </c>
      <c r="D58" s="599">
        <f t="shared" si="2"/>
        <v>8.489930513821061E-05</v>
      </c>
      <c r="E58" s="37">
        <v>6.205398</v>
      </c>
      <c r="F58" s="600">
        <f t="shared" si="3"/>
        <v>9.217641062083404E-06</v>
      </c>
    </row>
    <row r="59" spans="2:6" ht="12.75">
      <c r="B59" s="2">
        <v>436</v>
      </c>
      <c r="C59" s="37">
        <v>29.89996</v>
      </c>
      <c r="D59" s="599">
        <f t="shared" si="2"/>
        <v>7.630225020485524E-05</v>
      </c>
      <c r="E59" s="37">
        <v>614.1021</v>
      </c>
      <c r="F59" s="600">
        <f t="shared" si="3"/>
        <v>0.0009122013984069431</v>
      </c>
    </row>
    <row r="60" spans="2:6" ht="12.75">
      <c r="B60" s="2">
        <v>420</v>
      </c>
      <c r="C60" s="37">
        <v>22.85515</v>
      </c>
      <c r="D60" s="599">
        <f t="shared" si="2"/>
        <v>5.832447179760431E-05</v>
      </c>
      <c r="E60" s="37">
        <v>54.00198</v>
      </c>
      <c r="F60" s="600">
        <f t="shared" si="3"/>
        <v>8.021578443184575E-05</v>
      </c>
    </row>
    <row r="61" spans="2:6" ht="12.75">
      <c r="B61" s="2">
        <v>228</v>
      </c>
      <c r="C61" s="37">
        <v>21.9253</v>
      </c>
      <c r="D61" s="599">
        <f t="shared" si="2"/>
        <v>5.595157071837261E-05</v>
      </c>
      <c r="E61" s="37">
        <v>45.38107</v>
      </c>
      <c r="F61" s="600">
        <f t="shared" si="3"/>
        <v>6.741008623029197E-05</v>
      </c>
    </row>
    <row r="62" spans="2:6" ht="12.75">
      <c r="B62" s="2">
        <v>136</v>
      </c>
      <c r="C62" s="37">
        <v>18.30988</v>
      </c>
      <c r="D62" s="599">
        <f t="shared" si="2"/>
        <v>4.672531484927989E-05</v>
      </c>
      <c r="E62" s="37">
        <v>64.10314</v>
      </c>
      <c r="F62" s="600">
        <f t="shared" si="3"/>
        <v>9.522028006462778E-05</v>
      </c>
    </row>
    <row r="63" spans="2:6" ht="12.75">
      <c r="B63" s="2">
        <v>362</v>
      </c>
      <c r="C63" s="37">
        <v>17.95868</v>
      </c>
      <c r="D63" s="599">
        <f t="shared" si="2"/>
        <v>4.5829081199738385E-05</v>
      </c>
      <c r="E63" s="37">
        <v>96.42094</v>
      </c>
      <c r="F63" s="600">
        <f t="shared" si="3"/>
        <v>0.0001432258842686126</v>
      </c>
    </row>
    <row r="64" spans="2:6" ht="12.75">
      <c r="B64" s="2">
        <v>418</v>
      </c>
      <c r="C64" s="37">
        <v>16.54587</v>
      </c>
      <c r="D64" s="599">
        <f t="shared" si="2"/>
        <v>4.2223705737298915E-05</v>
      </c>
      <c r="E64" s="37">
        <v>104.2155</v>
      </c>
      <c r="F64" s="600">
        <f t="shared" si="3"/>
        <v>0.00015480410315431065</v>
      </c>
    </row>
    <row r="65" spans="2:6" ht="12.75">
      <c r="B65" s="2">
        <v>448</v>
      </c>
      <c r="C65" s="37">
        <v>11.84874</v>
      </c>
      <c r="D65" s="599">
        <f t="shared" si="2"/>
        <v>3.023701450076443E-05</v>
      </c>
      <c r="E65" s="37">
        <v>0.1096182</v>
      </c>
      <c r="F65" s="600">
        <f t="shared" si="3"/>
        <v>1.6282939812590117E-07</v>
      </c>
    </row>
    <row r="66" spans="2:6" ht="12.75">
      <c r="B66" s="2">
        <v>310</v>
      </c>
      <c r="C66" s="37">
        <v>11.84874</v>
      </c>
      <c r="D66" s="599">
        <f t="shared" si="2"/>
        <v>3.023701450076443E-05</v>
      </c>
      <c r="E66" s="37">
        <v>0.0447292</v>
      </c>
      <c r="F66" s="600">
        <f t="shared" si="3"/>
        <v>6.644178352365811E-08</v>
      </c>
    </row>
    <row r="67" spans="2:6" ht="12.75">
      <c r="B67" s="2">
        <v>138</v>
      </c>
      <c r="C67" s="37">
        <v>11.26093</v>
      </c>
      <c r="D67" s="599">
        <f t="shared" si="2"/>
        <v>2.873697150094383E-05</v>
      </c>
      <c r="E67" s="37">
        <v>3.249011</v>
      </c>
      <c r="F67" s="600">
        <f t="shared" si="3"/>
        <v>4.82615574452447E-06</v>
      </c>
    </row>
    <row r="68" spans="2:6" ht="12.75">
      <c r="B68" s="2">
        <v>432</v>
      </c>
      <c r="C68" s="37">
        <v>11.12988</v>
      </c>
      <c r="D68" s="599">
        <f t="shared" si="2"/>
        <v>2.8402542629154494E-05</v>
      </c>
      <c r="E68" s="37">
        <v>17.60947</v>
      </c>
      <c r="F68" s="600">
        <f t="shared" si="3"/>
        <v>2.6157512177869307E-05</v>
      </c>
    </row>
    <row r="69" spans="2:6" ht="12.75">
      <c r="B69" s="2">
        <v>438</v>
      </c>
      <c r="C69" s="37">
        <v>9.866667</v>
      </c>
      <c r="D69" s="599">
        <f t="shared" si="2"/>
        <v>2.517892646418217E-05</v>
      </c>
      <c r="E69" s="37">
        <v>6.714756</v>
      </c>
      <c r="F69" s="600">
        <f t="shared" si="3"/>
        <v>9.974253162725568E-06</v>
      </c>
    </row>
    <row r="70" spans="2:6" ht="12.75">
      <c r="B70" s="2">
        <v>340</v>
      </c>
      <c r="C70" s="37">
        <v>8.572633</v>
      </c>
      <c r="D70" s="599">
        <f aca="true" t="shared" si="4" ref="D70:D101">+C70/$C$106</f>
        <v>2.1876657630324547E-05</v>
      </c>
      <c r="E70" s="37">
        <v>907.113</v>
      </c>
      <c r="F70" s="600">
        <f aca="true" t="shared" si="5" ref="F70:F101">+E70/$E$106</f>
        <v>0.0013474465355404542</v>
      </c>
    </row>
    <row r="71" spans="2:6" ht="12.75">
      <c r="B71" s="2">
        <v>390</v>
      </c>
      <c r="C71" s="37">
        <v>7.217576</v>
      </c>
      <c r="D71" s="599">
        <f t="shared" si="4"/>
        <v>1.8418663096022812E-05</v>
      </c>
      <c r="E71" s="37">
        <v>0.3623984</v>
      </c>
      <c r="F71" s="600">
        <f t="shared" si="5"/>
        <v>5.383149272090729E-07</v>
      </c>
    </row>
    <row r="72" spans="2:6" ht="12.75">
      <c r="B72" s="2">
        <v>406</v>
      </c>
      <c r="C72" s="37">
        <v>4.933333</v>
      </c>
      <c r="D72" s="599">
        <f t="shared" si="4"/>
        <v>1.2589461956132018E-05</v>
      </c>
      <c r="E72" s="37">
        <v>0.0386724</v>
      </c>
      <c r="F72" s="600">
        <f t="shared" si="5"/>
        <v>5.7444873352090267E-08</v>
      </c>
    </row>
    <row r="73" spans="2:6" ht="12.75">
      <c r="B73" s="2">
        <v>126</v>
      </c>
      <c r="C73" s="37">
        <v>3.49187</v>
      </c>
      <c r="D73" s="599">
        <f t="shared" si="4"/>
        <v>8.910966383327197E-06</v>
      </c>
      <c r="E73" s="37">
        <v>47.16022</v>
      </c>
      <c r="F73" s="600">
        <f t="shared" si="5"/>
        <v>7.005287660338419E-05</v>
      </c>
    </row>
    <row r="74" spans="2:6" ht="12.75">
      <c r="B74" s="2">
        <v>338</v>
      </c>
      <c r="C74" s="37">
        <v>3.479412</v>
      </c>
      <c r="D74" s="599">
        <f t="shared" si="4"/>
        <v>8.879174587182584E-06</v>
      </c>
      <c r="E74" s="37">
        <v>22.72085</v>
      </c>
      <c r="F74" s="600">
        <f t="shared" si="5"/>
        <v>3.375007371411756E-05</v>
      </c>
    </row>
    <row r="75" spans="2:6" ht="12.75">
      <c r="B75" s="2">
        <v>244</v>
      </c>
      <c r="C75" s="37">
        <v>3.142336</v>
      </c>
      <c r="D75" s="599">
        <f t="shared" si="4"/>
        <v>8.018984229401108E-06</v>
      </c>
      <c r="E75" s="37">
        <v>1.880609</v>
      </c>
      <c r="F75" s="600">
        <f t="shared" si="5"/>
        <v>2.793499907680959E-06</v>
      </c>
    </row>
    <row r="76" spans="2:6" ht="12.75">
      <c r="B76" s="2">
        <v>200</v>
      </c>
      <c r="C76" s="37">
        <v>3.0429</v>
      </c>
      <c r="D76" s="599">
        <f t="shared" si="4"/>
        <v>7.765231697579328E-06</v>
      </c>
      <c r="E76" s="37">
        <v>0.2151729</v>
      </c>
      <c r="F76" s="600">
        <f t="shared" si="5"/>
        <v>3.1962277979390944E-07</v>
      </c>
    </row>
    <row r="77" spans="2:6" ht="12.75">
      <c r="B77" s="2">
        <v>334</v>
      </c>
      <c r="C77" s="37">
        <v>2.424369</v>
      </c>
      <c r="D77" s="599">
        <f t="shared" si="4"/>
        <v>6.186791220687074E-06</v>
      </c>
      <c r="E77" s="37">
        <v>7.073209</v>
      </c>
      <c r="F77" s="600">
        <f t="shared" si="5"/>
        <v>1.0506707501935878E-05</v>
      </c>
    </row>
    <row r="78" spans="2:6" ht="12.75">
      <c r="B78" s="2">
        <v>402</v>
      </c>
      <c r="C78" s="37">
        <v>1.976333</v>
      </c>
      <c r="D78" s="599">
        <f t="shared" si="4"/>
        <v>5.043440026478702E-06</v>
      </c>
      <c r="E78" s="37">
        <v>13.21298</v>
      </c>
      <c r="F78" s="600">
        <f t="shared" si="5"/>
        <v>1.962686470722535E-05</v>
      </c>
    </row>
    <row r="79" spans="2:6" ht="12.75">
      <c r="B79" s="2">
        <v>220</v>
      </c>
      <c r="C79" s="37">
        <v>1.832393</v>
      </c>
      <c r="D79" s="599">
        <f t="shared" si="4"/>
        <v>4.676116929909782E-06</v>
      </c>
      <c r="E79" s="37">
        <v>0.0002819</v>
      </c>
      <c r="F79" s="600">
        <f t="shared" si="5"/>
        <v>4.1874075045650767E-10</v>
      </c>
    </row>
    <row r="80" spans="2:6" ht="12.75">
      <c r="B80" s="2">
        <v>412</v>
      </c>
      <c r="C80" s="37">
        <v>1.5</v>
      </c>
      <c r="D80" s="599">
        <f t="shared" si="4"/>
        <v>3.827877204761573E-06</v>
      </c>
      <c r="E80" s="37">
        <v>19.05088</v>
      </c>
      <c r="F80" s="600">
        <f t="shared" si="5"/>
        <v>2.8298615778846654E-05</v>
      </c>
    </row>
    <row r="81" spans="2:6" ht="12.75">
      <c r="B81" s="2">
        <v>364</v>
      </c>
      <c r="C81" s="37">
        <v>1.029412</v>
      </c>
      <c r="D81" s="599">
        <f t="shared" si="4"/>
        <v>2.6269751527386806E-06</v>
      </c>
      <c r="E81" s="37">
        <v>8.789387</v>
      </c>
      <c r="F81" s="600">
        <f t="shared" si="5"/>
        <v>1.3055957816362795E-05</v>
      </c>
    </row>
    <row r="82" spans="2:6" ht="12.75">
      <c r="B82" s="2">
        <v>192</v>
      </c>
      <c r="C82" s="37">
        <v>1.026302</v>
      </c>
      <c r="D82" s="599">
        <f t="shared" si="4"/>
        <v>2.6190386873341415E-06</v>
      </c>
      <c r="E82" s="37">
        <v>1.744675</v>
      </c>
      <c r="F82" s="600">
        <f t="shared" si="5"/>
        <v>2.591580414340927E-06</v>
      </c>
    </row>
    <row r="83" spans="2:6" ht="12.75">
      <c r="B83" s="2">
        <v>348</v>
      </c>
      <c r="C83" s="37">
        <v>0.9861111</v>
      </c>
      <c r="D83" s="599">
        <f t="shared" si="4"/>
        <v>2.5164748007015737E-06</v>
      </c>
      <c r="E83" s="37">
        <v>0.6261547</v>
      </c>
      <c r="F83" s="600">
        <f t="shared" si="5"/>
        <v>9.301046079456168E-07</v>
      </c>
    </row>
    <row r="84" spans="2:6" ht="12.75">
      <c r="B84" s="2">
        <v>392</v>
      </c>
      <c r="C84" s="37">
        <v>0.9072</v>
      </c>
      <c r="D84" s="599">
        <f t="shared" si="4"/>
        <v>2.3151001334397994E-06</v>
      </c>
      <c r="E84" s="37">
        <v>2.52264</v>
      </c>
      <c r="F84" s="600">
        <f t="shared" si="5"/>
        <v>3.747187537181995E-06</v>
      </c>
    </row>
    <row r="85" spans="2:6" ht="12.75">
      <c r="B85" s="2">
        <v>366</v>
      </c>
      <c r="C85" s="37">
        <v>0.8087912</v>
      </c>
      <c r="D85" s="599">
        <f t="shared" si="4"/>
        <v>2.063968931927839E-06</v>
      </c>
      <c r="E85" s="37">
        <v>10.84478</v>
      </c>
      <c r="F85" s="600">
        <f t="shared" si="5"/>
        <v>1.6109085901864934E-05</v>
      </c>
    </row>
    <row r="86" spans="2:6" ht="12.75">
      <c r="B86" s="2">
        <v>218</v>
      </c>
      <c r="C86" s="37">
        <v>0.7043226</v>
      </c>
      <c r="D86" s="599">
        <f t="shared" si="4"/>
        <v>1.7973736168922691E-06</v>
      </c>
      <c r="E86" s="37">
        <v>0.0260798</v>
      </c>
      <c r="F86" s="600">
        <f t="shared" si="5"/>
        <v>3.873953538047403E-08</v>
      </c>
    </row>
    <row r="87" spans="2:6" ht="12.75">
      <c r="B87" s="2">
        <v>252</v>
      </c>
      <c r="C87" s="37">
        <v>0.3786038</v>
      </c>
      <c r="D87" s="599">
        <f t="shared" si="4"/>
        <v>9.661659037707399E-07</v>
      </c>
      <c r="E87" s="37">
        <v>0</v>
      </c>
      <c r="F87" s="600">
        <f t="shared" si="5"/>
        <v>0</v>
      </c>
    </row>
    <row r="88" spans="2:6" ht="12.75">
      <c r="B88" s="2">
        <v>382</v>
      </c>
      <c r="C88" s="37">
        <v>0.3729939</v>
      </c>
      <c r="D88" s="599">
        <f t="shared" si="4"/>
        <v>9.518498982167451E-07</v>
      </c>
      <c r="E88" s="37">
        <v>5245.376</v>
      </c>
      <c r="F88" s="600">
        <f t="shared" si="5"/>
        <v>0.00779160227976784</v>
      </c>
    </row>
    <row r="89" spans="2:6" ht="12.75">
      <c r="B89" s="2">
        <v>426</v>
      </c>
      <c r="C89" s="37">
        <v>0.3608788</v>
      </c>
      <c r="D89" s="599">
        <f t="shared" si="4"/>
        <v>9.209331548011405E-07</v>
      </c>
      <c r="E89" s="37">
        <v>0.1172747</v>
      </c>
      <c r="F89" s="600">
        <f t="shared" si="5"/>
        <v>1.7420253950891022E-07</v>
      </c>
    </row>
    <row r="90" spans="2:6" ht="12.75">
      <c r="B90" s="2">
        <v>336</v>
      </c>
      <c r="C90" s="37">
        <v>0.3528</v>
      </c>
      <c r="D90" s="599">
        <f t="shared" si="4"/>
        <v>9.00316718559922E-07</v>
      </c>
      <c r="E90" s="37">
        <v>11.46827</v>
      </c>
      <c r="F90" s="600">
        <f t="shared" si="5"/>
        <v>1.7035232303078583E-05</v>
      </c>
    </row>
    <row r="91" spans="2:6" ht="12.75">
      <c r="B91" s="2">
        <v>148</v>
      </c>
      <c r="C91" s="37">
        <v>0.2812147</v>
      </c>
      <c r="D91" s="599">
        <f t="shared" si="4"/>
        <v>7.176368931825762E-07</v>
      </c>
      <c r="E91" s="37">
        <v>0.091959</v>
      </c>
      <c r="F91" s="600">
        <f t="shared" si="5"/>
        <v>1.3659801586104996E-07</v>
      </c>
    </row>
    <row r="92" spans="2:6" ht="12.75">
      <c r="B92" s="2">
        <v>302</v>
      </c>
      <c r="C92" s="37">
        <v>0.2776667</v>
      </c>
      <c r="D92" s="599">
        <f t="shared" si="4"/>
        <v>7.085826876342469E-07</v>
      </c>
      <c r="E92" s="37">
        <v>0.1619499</v>
      </c>
      <c r="F92" s="600">
        <f t="shared" si="5"/>
        <v>2.405641101892741E-07</v>
      </c>
    </row>
    <row r="93" spans="2:6" ht="12.75">
      <c r="B93" s="2">
        <v>370</v>
      </c>
      <c r="C93" s="37">
        <v>0.1686772</v>
      </c>
      <c r="D93" s="599">
        <f t="shared" si="4"/>
        <v>4.304504058953392E-07</v>
      </c>
      <c r="E93" s="37">
        <v>0.0492751</v>
      </c>
      <c r="F93" s="600">
        <f t="shared" si="5"/>
        <v>7.319436804831309E-08</v>
      </c>
    </row>
    <row r="94" spans="2:6" ht="12.75">
      <c r="B94" s="2">
        <v>150</v>
      </c>
      <c r="C94" s="37">
        <v>0.1064356</v>
      </c>
      <c r="D94" s="599">
        <f t="shared" si="4"/>
        <v>2.716149380100806E-07</v>
      </c>
      <c r="E94" s="37">
        <v>0</v>
      </c>
      <c r="F94" s="600">
        <f t="shared" si="5"/>
        <v>0</v>
      </c>
    </row>
    <row r="95" spans="2:6" ht="12.75">
      <c r="B95" s="2">
        <v>102</v>
      </c>
      <c r="C95" s="37">
        <v>0.0901898</v>
      </c>
      <c r="D95" s="599">
        <f t="shared" si="4"/>
        <v>2.3015698634800356E-07</v>
      </c>
      <c r="E95" s="37">
        <v>0.0103425</v>
      </c>
      <c r="F95" s="600">
        <f t="shared" si="5"/>
        <v>1.5362987625386414E-08</v>
      </c>
    </row>
    <row r="96" spans="2:6" ht="12.75">
      <c r="B96" s="2">
        <v>332</v>
      </c>
      <c r="C96" s="37">
        <v>0.075264</v>
      </c>
      <c r="D96" s="599">
        <f t="shared" si="4"/>
        <v>1.9206756662611668E-07</v>
      </c>
      <c r="E96" s="37">
        <v>0</v>
      </c>
      <c r="F96" s="600">
        <f t="shared" si="5"/>
        <v>0</v>
      </c>
    </row>
    <row r="97" spans="2:6" ht="12.75">
      <c r="B97" s="2">
        <v>342</v>
      </c>
      <c r="C97" s="37">
        <v>0</v>
      </c>
      <c r="D97" s="599">
        <f t="shared" si="4"/>
        <v>0</v>
      </c>
      <c r="E97" s="37">
        <v>59.8641</v>
      </c>
      <c r="F97" s="600">
        <f t="shared" si="5"/>
        <v>8.892351244910755E-05</v>
      </c>
    </row>
    <row r="98" spans="2:6" ht="12.75">
      <c r="B98" s="2">
        <v>378</v>
      </c>
      <c r="C98" s="37">
        <v>0</v>
      </c>
      <c r="D98" s="599">
        <f t="shared" si="4"/>
        <v>0</v>
      </c>
      <c r="E98" s="37">
        <v>11.84386</v>
      </c>
      <c r="F98" s="600">
        <f t="shared" si="5"/>
        <v>1.7593142336650627E-05</v>
      </c>
    </row>
    <row r="99" spans="2:6" ht="12.75">
      <c r="B99" s="2">
        <v>328</v>
      </c>
      <c r="C99" s="37">
        <v>0</v>
      </c>
      <c r="D99" s="599">
        <f t="shared" si="4"/>
        <v>0</v>
      </c>
      <c r="E99" s="37">
        <v>4.535924</v>
      </c>
      <c r="F99" s="600">
        <f t="shared" si="5"/>
        <v>6.737765944567874E-06</v>
      </c>
    </row>
    <row r="100" spans="2:6" ht="12.75">
      <c r="B100" s="2">
        <v>446</v>
      </c>
      <c r="C100" s="37">
        <v>0</v>
      </c>
      <c r="D100" s="599">
        <f t="shared" si="4"/>
        <v>0</v>
      </c>
      <c r="E100" s="37">
        <v>2.740994</v>
      </c>
      <c r="F100" s="600">
        <f t="shared" si="5"/>
        <v>4.071535596157448E-06</v>
      </c>
    </row>
    <row r="101" spans="2:6" ht="12.75">
      <c r="B101" s="2">
        <v>354</v>
      </c>
      <c r="C101" s="37">
        <v>0</v>
      </c>
      <c r="D101" s="599">
        <f t="shared" si="4"/>
        <v>0</v>
      </c>
      <c r="E101" s="37">
        <v>2.231878</v>
      </c>
      <c r="F101" s="600">
        <f t="shared" si="5"/>
        <v>3.3152829678870853E-06</v>
      </c>
    </row>
    <row r="102" spans="2:6" ht="12.75">
      <c r="B102" s="2">
        <v>350</v>
      </c>
      <c r="C102" s="37">
        <v>0</v>
      </c>
      <c r="D102" s="599">
        <f>+C102/$C$106</f>
        <v>0</v>
      </c>
      <c r="E102" s="37">
        <v>1.507015</v>
      </c>
      <c r="F102" s="600">
        <f>+E102/$E$106</f>
        <v>2.2385547784647527E-06</v>
      </c>
    </row>
    <row r="103" spans="2:6" ht="12.75">
      <c r="B103" s="2">
        <v>344</v>
      </c>
      <c r="C103" s="37">
        <v>0</v>
      </c>
      <c r="D103" s="599">
        <f>+C103/$C$106</f>
        <v>0</v>
      </c>
      <c r="E103" s="37">
        <v>0.8722931</v>
      </c>
      <c r="F103" s="600">
        <f>+E103/$E$106</f>
        <v>1.2957242543881997E-06</v>
      </c>
    </row>
    <row r="104" spans="2:6" ht="12.75">
      <c r="B104" s="2">
        <v>430</v>
      </c>
      <c r="C104" s="37">
        <v>0</v>
      </c>
      <c r="D104" s="599">
        <f>+C104/$C$106</f>
        <v>0</v>
      </c>
      <c r="E104" s="37">
        <v>0.4979594</v>
      </c>
      <c r="F104" s="600">
        <f>+E104/$E$106</f>
        <v>7.396803577611644E-07</v>
      </c>
    </row>
    <row r="105" spans="2:6" ht="12.75">
      <c r="B105" s="2">
        <v>444</v>
      </c>
      <c r="C105" s="37">
        <v>0</v>
      </c>
      <c r="D105" s="599">
        <f>+C105/$C$106</f>
        <v>0</v>
      </c>
      <c r="E105" s="37">
        <v>0</v>
      </c>
      <c r="F105" s="600">
        <f>+E105/$E$106</f>
        <v>0</v>
      </c>
    </row>
    <row r="106" spans="2:6" ht="13.5" thickBot="1">
      <c r="B106" s="10" t="s">
        <v>346</v>
      </c>
      <c r="C106" s="48">
        <v>391862.1</v>
      </c>
      <c r="D106" s="601">
        <f>+C106/$C$106</f>
        <v>1</v>
      </c>
      <c r="E106" s="48">
        <v>673208.9</v>
      </c>
      <c r="F106" s="602">
        <f>+E106/$E$106</f>
        <v>1</v>
      </c>
    </row>
    <row r="107" ht="12.75">
      <c r="B107" t="s">
        <v>996</v>
      </c>
    </row>
    <row r="118" spans="5:8" ht="12.75">
      <c r="E118" t="s">
        <v>789</v>
      </c>
      <c r="F118" t="s">
        <v>790</v>
      </c>
      <c r="G118" t="s">
        <v>791</v>
      </c>
      <c r="H118" t="s">
        <v>790</v>
      </c>
    </row>
    <row r="119" spans="5:8" ht="12.75">
      <c r="E119">
        <v>300</v>
      </c>
      <c r="F119" t="s">
        <v>793</v>
      </c>
      <c r="G119">
        <v>100</v>
      </c>
      <c r="H119" t="s">
        <v>794</v>
      </c>
    </row>
    <row r="120" spans="5:8" ht="12.75">
      <c r="E120">
        <v>302</v>
      </c>
      <c r="F120" t="s">
        <v>796</v>
      </c>
      <c r="G120">
        <v>102</v>
      </c>
      <c r="H120" t="s">
        <v>797</v>
      </c>
    </row>
    <row r="121" spans="5:8" ht="12.75">
      <c r="E121">
        <v>304</v>
      </c>
      <c r="F121" t="s">
        <v>799</v>
      </c>
      <c r="G121">
        <v>104</v>
      </c>
      <c r="H121" t="s">
        <v>800</v>
      </c>
    </row>
    <row r="122" spans="5:8" ht="12.75">
      <c r="E122">
        <v>306</v>
      </c>
      <c r="F122" t="s">
        <v>801</v>
      </c>
      <c r="G122">
        <v>106</v>
      </c>
      <c r="H122" t="s">
        <v>802</v>
      </c>
    </row>
    <row r="123" spans="5:8" ht="12.75">
      <c r="E123">
        <v>308</v>
      </c>
      <c r="F123" t="s">
        <v>803</v>
      </c>
      <c r="G123">
        <v>108</v>
      </c>
      <c r="H123" t="s">
        <v>804</v>
      </c>
    </row>
    <row r="124" spans="5:8" ht="12.75">
      <c r="E124">
        <v>310</v>
      </c>
      <c r="F124" t="s">
        <v>805</v>
      </c>
      <c r="G124">
        <v>110</v>
      </c>
      <c r="H124" t="s">
        <v>806</v>
      </c>
    </row>
    <row r="125" spans="5:8" ht="12.75">
      <c r="E125">
        <v>312</v>
      </c>
      <c r="F125" t="s">
        <v>807</v>
      </c>
      <c r="G125">
        <v>112</v>
      </c>
      <c r="H125" t="s">
        <v>808</v>
      </c>
    </row>
    <row r="126" spans="5:8" ht="12.75">
      <c r="E126">
        <v>314</v>
      </c>
      <c r="F126" t="s">
        <v>809</v>
      </c>
      <c r="G126">
        <v>114</v>
      </c>
      <c r="H126" t="s">
        <v>810</v>
      </c>
    </row>
    <row r="127" spans="5:8" ht="12.75">
      <c r="E127">
        <v>316</v>
      </c>
      <c r="F127" t="s">
        <v>811</v>
      </c>
      <c r="G127">
        <v>116</v>
      </c>
      <c r="H127" t="s">
        <v>812</v>
      </c>
    </row>
    <row r="128" spans="5:8" ht="12.75">
      <c r="E128">
        <v>318</v>
      </c>
      <c r="F128" t="s">
        <v>813</v>
      </c>
      <c r="G128">
        <v>118</v>
      </c>
      <c r="H128" t="s">
        <v>814</v>
      </c>
    </row>
    <row r="129" spans="5:8" ht="12.75">
      <c r="E129">
        <v>320</v>
      </c>
      <c r="F129" t="s">
        <v>815</v>
      </c>
      <c r="G129">
        <v>120</v>
      </c>
      <c r="H129" t="s">
        <v>816</v>
      </c>
    </row>
    <row r="130" spans="5:8" ht="12.75">
      <c r="E130">
        <v>322</v>
      </c>
      <c r="F130" t="s">
        <v>817</v>
      </c>
      <c r="G130">
        <v>122</v>
      </c>
      <c r="H130" t="s">
        <v>818</v>
      </c>
    </row>
    <row r="131" spans="5:8" ht="12.75">
      <c r="E131">
        <v>324</v>
      </c>
      <c r="F131" t="s">
        <v>819</v>
      </c>
      <c r="G131">
        <v>124</v>
      </c>
      <c r="H131" t="s">
        <v>820</v>
      </c>
    </row>
    <row r="132" spans="5:8" ht="12.75">
      <c r="E132">
        <v>326</v>
      </c>
      <c r="F132" t="s">
        <v>821</v>
      </c>
      <c r="G132">
        <v>126</v>
      </c>
      <c r="H132" t="s">
        <v>822</v>
      </c>
    </row>
    <row r="133" spans="5:8" ht="12.75">
      <c r="E133">
        <v>328</v>
      </c>
      <c r="F133" t="s">
        <v>823</v>
      </c>
      <c r="G133">
        <v>128</v>
      </c>
      <c r="H133" t="s">
        <v>824</v>
      </c>
    </row>
    <row r="134" spans="5:8" ht="12.75">
      <c r="E134">
        <v>330</v>
      </c>
      <c r="F134" t="s">
        <v>825</v>
      </c>
      <c r="G134">
        <v>130</v>
      </c>
      <c r="H134" t="s">
        <v>826</v>
      </c>
    </row>
    <row r="135" spans="5:8" ht="12.75">
      <c r="E135">
        <v>332</v>
      </c>
      <c r="F135" t="s">
        <v>827</v>
      </c>
      <c r="G135">
        <v>132</v>
      </c>
      <c r="H135" t="s">
        <v>828</v>
      </c>
    </row>
    <row r="136" spans="5:8" ht="12.75">
      <c r="E136">
        <v>334</v>
      </c>
      <c r="F136" t="s">
        <v>829</v>
      </c>
      <c r="G136">
        <v>134</v>
      </c>
      <c r="H136" t="s">
        <v>830</v>
      </c>
    </row>
    <row r="137" spans="5:8" ht="12.75">
      <c r="E137">
        <v>336</v>
      </c>
      <c r="F137" t="s">
        <v>831</v>
      </c>
      <c r="G137">
        <v>136</v>
      </c>
      <c r="H137" t="s">
        <v>832</v>
      </c>
    </row>
    <row r="138" spans="5:8" ht="12.75">
      <c r="E138">
        <v>338</v>
      </c>
      <c r="F138" t="s">
        <v>833</v>
      </c>
      <c r="G138">
        <v>138</v>
      </c>
      <c r="H138" t="s">
        <v>834</v>
      </c>
    </row>
    <row r="139" spans="5:8" ht="12.75">
      <c r="E139">
        <v>340</v>
      </c>
      <c r="F139" t="s">
        <v>835</v>
      </c>
      <c r="G139">
        <v>140</v>
      </c>
      <c r="H139" t="s">
        <v>836</v>
      </c>
    </row>
    <row r="140" spans="5:8" ht="12.75">
      <c r="E140">
        <v>342</v>
      </c>
      <c r="F140" t="s">
        <v>837</v>
      </c>
      <c r="G140">
        <v>142</v>
      </c>
      <c r="H140" t="s">
        <v>838</v>
      </c>
    </row>
    <row r="141" spans="5:8" ht="12.75">
      <c r="E141">
        <v>344</v>
      </c>
      <c r="F141" t="s">
        <v>839</v>
      </c>
      <c r="G141">
        <v>144</v>
      </c>
      <c r="H141" t="s">
        <v>840</v>
      </c>
    </row>
    <row r="142" spans="5:8" ht="12.75">
      <c r="E142">
        <v>346</v>
      </c>
      <c r="F142" t="s">
        <v>841</v>
      </c>
      <c r="G142">
        <v>146</v>
      </c>
      <c r="H142" t="s">
        <v>842</v>
      </c>
    </row>
    <row r="143" spans="5:8" ht="12.75">
      <c r="E143">
        <v>348</v>
      </c>
      <c r="F143" t="s">
        <v>843</v>
      </c>
      <c r="G143">
        <v>148</v>
      </c>
      <c r="H143" t="s">
        <v>844</v>
      </c>
    </row>
    <row r="144" spans="5:8" ht="12.75">
      <c r="E144">
        <v>350</v>
      </c>
      <c r="F144" t="s">
        <v>845</v>
      </c>
      <c r="G144">
        <v>150</v>
      </c>
      <c r="H144" t="s">
        <v>846</v>
      </c>
    </row>
    <row r="145" spans="5:8" ht="12.75">
      <c r="E145">
        <v>352</v>
      </c>
      <c r="F145" t="s">
        <v>847</v>
      </c>
      <c r="G145">
        <v>152</v>
      </c>
      <c r="H145" t="s">
        <v>848</v>
      </c>
    </row>
    <row r="146" spans="5:8" ht="12.75">
      <c r="E146">
        <v>354</v>
      </c>
      <c r="F146" t="s">
        <v>849</v>
      </c>
      <c r="G146">
        <v>154</v>
      </c>
      <c r="H146" t="s">
        <v>850</v>
      </c>
    </row>
    <row r="147" spans="5:8" ht="12.75">
      <c r="E147">
        <v>356</v>
      </c>
      <c r="F147" t="s">
        <v>851</v>
      </c>
      <c r="G147">
        <v>156</v>
      </c>
      <c r="H147" t="s">
        <v>852</v>
      </c>
    </row>
    <row r="148" spans="5:8" ht="12.75">
      <c r="E148">
        <v>358</v>
      </c>
      <c r="F148" t="s">
        <v>853</v>
      </c>
      <c r="G148">
        <v>158</v>
      </c>
      <c r="H148" t="s">
        <v>854</v>
      </c>
    </row>
    <row r="149" spans="5:8" ht="12.75">
      <c r="E149">
        <v>360</v>
      </c>
      <c r="F149" t="s">
        <v>855</v>
      </c>
      <c r="G149">
        <v>160</v>
      </c>
      <c r="H149" t="s">
        <v>856</v>
      </c>
    </row>
    <row r="150" spans="5:8" ht="12.75">
      <c r="E150">
        <v>362</v>
      </c>
      <c r="F150" t="s">
        <v>857</v>
      </c>
      <c r="G150">
        <v>162</v>
      </c>
      <c r="H150" t="s">
        <v>858</v>
      </c>
    </row>
    <row r="151" spans="5:8" ht="12.75">
      <c r="E151">
        <v>364</v>
      </c>
      <c r="F151" t="s">
        <v>859</v>
      </c>
      <c r="G151">
        <v>164</v>
      </c>
      <c r="H151" t="s">
        <v>860</v>
      </c>
    </row>
    <row r="152" spans="5:8" ht="12.75">
      <c r="E152">
        <v>366</v>
      </c>
      <c r="F152" t="s">
        <v>861</v>
      </c>
      <c r="G152">
        <v>166</v>
      </c>
      <c r="H152" t="s">
        <v>862</v>
      </c>
    </row>
    <row r="153" spans="5:8" ht="12.75">
      <c r="E153">
        <v>368</v>
      </c>
      <c r="F153" t="s">
        <v>863</v>
      </c>
      <c r="G153">
        <v>168</v>
      </c>
      <c r="H153" t="s">
        <v>864</v>
      </c>
    </row>
    <row r="154" spans="5:8" ht="12.75">
      <c r="E154">
        <v>370</v>
      </c>
      <c r="F154" t="s">
        <v>865</v>
      </c>
      <c r="G154">
        <v>170</v>
      </c>
      <c r="H154" t="s">
        <v>866</v>
      </c>
    </row>
    <row r="155" spans="5:8" ht="12.75">
      <c r="E155">
        <v>372</v>
      </c>
      <c r="F155" t="s">
        <v>867</v>
      </c>
      <c r="G155">
        <v>172</v>
      </c>
      <c r="H155" t="s">
        <v>868</v>
      </c>
    </row>
    <row r="156" spans="5:8" ht="12.75">
      <c r="E156">
        <v>374</v>
      </c>
      <c r="F156" t="s">
        <v>869</v>
      </c>
      <c r="G156">
        <v>174</v>
      </c>
      <c r="H156" t="s">
        <v>870</v>
      </c>
    </row>
    <row r="157" spans="5:8" ht="12.75">
      <c r="E157">
        <v>376</v>
      </c>
      <c r="F157" t="s">
        <v>871</v>
      </c>
      <c r="G157">
        <v>176</v>
      </c>
      <c r="H157" t="s">
        <v>872</v>
      </c>
    </row>
    <row r="158" spans="5:8" ht="12.75">
      <c r="E158">
        <v>378</v>
      </c>
      <c r="F158" t="s">
        <v>873</v>
      </c>
      <c r="G158">
        <v>178</v>
      </c>
      <c r="H158" t="s">
        <v>874</v>
      </c>
    </row>
    <row r="159" spans="5:8" ht="12.75">
      <c r="E159">
        <v>380</v>
      </c>
      <c r="F159" t="s">
        <v>875</v>
      </c>
      <c r="G159">
        <v>180</v>
      </c>
      <c r="H159" t="s">
        <v>876</v>
      </c>
    </row>
    <row r="160" spans="5:8" ht="12.75">
      <c r="E160">
        <v>382</v>
      </c>
      <c r="F160" t="s">
        <v>877</v>
      </c>
      <c r="G160">
        <v>182</v>
      </c>
      <c r="H160" t="s">
        <v>878</v>
      </c>
    </row>
    <row r="161" spans="5:8" ht="12.75">
      <c r="E161">
        <v>384</v>
      </c>
      <c r="F161" t="s">
        <v>879</v>
      </c>
      <c r="G161">
        <v>184</v>
      </c>
      <c r="H161" t="s">
        <v>880</v>
      </c>
    </row>
    <row r="162" spans="5:8" ht="12.75">
      <c r="E162">
        <v>386</v>
      </c>
      <c r="F162" t="s">
        <v>881</v>
      </c>
      <c r="G162">
        <v>186</v>
      </c>
      <c r="H162" t="s">
        <v>882</v>
      </c>
    </row>
    <row r="163" spans="5:8" ht="12.75">
      <c r="E163">
        <v>388</v>
      </c>
      <c r="F163" t="s">
        <v>883</v>
      </c>
      <c r="G163">
        <v>188</v>
      </c>
      <c r="H163" t="s">
        <v>884</v>
      </c>
    </row>
    <row r="164" spans="5:8" ht="12.75">
      <c r="E164">
        <v>390</v>
      </c>
      <c r="F164" t="s">
        <v>885</v>
      </c>
      <c r="G164">
        <v>190</v>
      </c>
      <c r="H164" t="s">
        <v>886</v>
      </c>
    </row>
    <row r="165" spans="5:8" ht="12.75">
      <c r="E165">
        <v>392</v>
      </c>
      <c r="F165" t="s">
        <v>887</v>
      </c>
      <c r="G165">
        <v>192</v>
      </c>
      <c r="H165" t="s">
        <v>888</v>
      </c>
    </row>
    <row r="166" spans="5:8" ht="12.75">
      <c r="E166">
        <v>394</v>
      </c>
      <c r="F166" t="s">
        <v>889</v>
      </c>
      <c r="G166">
        <v>194</v>
      </c>
      <c r="H166" t="s">
        <v>890</v>
      </c>
    </row>
    <row r="167" spans="5:8" ht="12.75">
      <c r="E167">
        <v>396</v>
      </c>
      <c r="F167" t="s">
        <v>891</v>
      </c>
      <c r="G167">
        <v>196</v>
      </c>
      <c r="H167" t="s">
        <v>892</v>
      </c>
    </row>
    <row r="168" spans="5:8" ht="12.75">
      <c r="E168">
        <v>398</v>
      </c>
      <c r="F168" t="s">
        <v>893</v>
      </c>
      <c r="G168">
        <v>198</v>
      </c>
      <c r="H168" t="s">
        <v>894</v>
      </c>
    </row>
    <row r="169" spans="5:8" ht="12.75">
      <c r="E169">
        <v>400</v>
      </c>
      <c r="F169" t="s">
        <v>895</v>
      </c>
      <c r="G169">
        <v>200</v>
      </c>
      <c r="H169" t="s">
        <v>896</v>
      </c>
    </row>
    <row r="170" spans="5:8" ht="12.75">
      <c r="E170">
        <v>402</v>
      </c>
      <c r="F170" t="s">
        <v>897</v>
      </c>
      <c r="G170">
        <v>202</v>
      </c>
      <c r="H170" t="s">
        <v>898</v>
      </c>
    </row>
    <row r="171" spans="5:8" ht="12.75">
      <c r="E171">
        <v>404</v>
      </c>
      <c r="F171" t="s">
        <v>899</v>
      </c>
      <c r="G171">
        <v>204</v>
      </c>
      <c r="H171" t="s">
        <v>900</v>
      </c>
    </row>
    <row r="172" spans="5:8" ht="12.75">
      <c r="E172">
        <v>406</v>
      </c>
      <c r="F172" t="s">
        <v>901</v>
      </c>
      <c r="G172">
        <v>206</v>
      </c>
      <c r="H172" t="s">
        <v>902</v>
      </c>
    </row>
    <row r="173" spans="5:8" ht="12.75">
      <c r="E173">
        <v>408</v>
      </c>
      <c r="F173" t="s">
        <v>903</v>
      </c>
      <c r="G173">
        <v>208</v>
      </c>
      <c r="H173" t="s">
        <v>904</v>
      </c>
    </row>
    <row r="174" spans="5:8" ht="12.75">
      <c r="E174">
        <v>410</v>
      </c>
      <c r="F174" t="s">
        <v>905</v>
      </c>
      <c r="G174">
        <v>210</v>
      </c>
      <c r="H174" t="s">
        <v>906</v>
      </c>
    </row>
    <row r="175" spans="5:8" ht="12.75">
      <c r="E175">
        <v>412</v>
      </c>
      <c r="F175" t="s">
        <v>907</v>
      </c>
      <c r="G175">
        <v>212</v>
      </c>
      <c r="H175" t="s">
        <v>908</v>
      </c>
    </row>
    <row r="176" spans="5:8" ht="12.75">
      <c r="E176">
        <v>414</v>
      </c>
      <c r="F176" t="s">
        <v>909</v>
      </c>
      <c r="G176">
        <v>214</v>
      </c>
      <c r="H176" t="s">
        <v>910</v>
      </c>
    </row>
    <row r="177" spans="5:8" ht="12.75">
      <c r="E177">
        <v>416</v>
      </c>
      <c r="F177" t="s">
        <v>911</v>
      </c>
      <c r="G177">
        <v>216</v>
      </c>
      <c r="H177" t="s">
        <v>912</v>
      </c>
    </row>
    <row r="178" spans="5:8" ht="12.75">
      <c r="E178">
        <v>418</v>
      </c>
      <c r="F178" t="s">
        <v>913</v>
      </c>
      <c r="G178">
        <v>218</v>
      </c>
      <c r="H178" t="s">
        <v>914</v>
      </c>
    </row>
    <row r="179" spans="5:8" ht="12.75">
      <c r="E179">
        <v>420</v>
      </c>
      <c r="F179" t="s">
        <v>915</v>
      </c>
      <c r="G179">
        <v>220</v>
      </c>
      <c r="H179" t="s">
        <v>916</v>
      </c>
    </row>
    <row r="180" spans="5:8" ht="12.75">
      <c r="E180">
        <v>422</v>
      </c>
      <c r="F180" t="s">
        <v>917</v>
      </c>
      <c r="G180">
        <v>222</v>
      </c>
      <c r="H180" t="s">
        <v>918</v>
      </c>
    </row>
    <row r="181" spans="5:8" ht="12.75">
      <c r="E181">
        <v>424</v>
      </c>
      <c r="F181" t="s">
        <v>919</v>
      </c>
      <c r="G181">
        <v>224</v>
      </c>
      <c r="H181" t="s">
        <v>920</v>
      </c>
    </row>
    <row r="182" spans="5:8" ht="12.75">
      <c r="E182">
        <v>426</v>
      </c>
      <c r="F182" t="s">
        <v>921</v>
      </c>
      <c r="G182">
        <v>226</v>
      </c>
      <c r="H182" t="s">
        <v>922</v>
      </c>
    </row>
    <row r="183" spans="5:8" ht="12.75">
      <c r="E183">
        <v>428</v>
      </c>
      <c r="F183" t="s">
        <v>923</v>
      </c>
      <c r="G183">
        <v>228</v>
      </c>
      <c r="H183" t="s">
        <v>924</v>
      </c>
    </row>
    <row r="184" spans="5:8" ht="12.75">
      <c r="E184">
        <v>430</v>
      </c>
      <c r="F184" t="s">
        <v>925</v>
      </c>
      <c r="G184">
        <v>230</v>
      </c>
      <c r="H184" t="s">
        <v>926</v>
      </c>
    </row>
    <row r="185" spans="5:8" ht="12.75">
      <c r="E185">
        <v>432</v>
      </c>
      <c r="F185" t="s">
        <v>927</v>
      </c>
      <c r="G185">
        <v>232</v>
      </c>
      <c r="H185" t="s">
        <v>928</v>
      </c>
    </row>
    <row r="186" spans="5:8" ht="12.75">
      <c r="E186">
        <v>434</v>
      </c>
      <c r="F186" t="s">
        <v>929</v>
      </c>
      <c r="G186">
        <v>234</v>
      </c>
      <c r="H186" t="s">
        <v>930</v>
      </c>
    </row>
    <row r="187" spans="5:8" ht="12.75">
      <c r="E187">
        <v>436</v>
      </c>
      <c r="F187" t="s">
        <v>931</v>
      </c>
      <c r="G187">
        <v>236</v>
      </c>
      <c r="H187" t="s">
        <v>932</v>
      </c>
    </row>
    <row r="188" spans="5:8" ht="12.75">
      <c r="E188">
        <v>438</v>
      </c>
      <c r="F188" t="s">
        <v>933</v>
      </c>
      <c r="G188">
        <v>238</v>
      </c>
      <c r="H188" t="s">
        <v>934</v>
      </c>
    </row>
    <row r="189" spans="5:8" ht="12.75">
      <c r="E189">
        <v>440</v>
      </c>
      <c r="F189" t="s">
        <v>935</v>
      </c>
      <c r="G189">
        <v>240</v>
      </c>
      <c r="H189" t="s">
        <v>936</v>
      </c>
    </row>
    <row r="190" spans="5:8" ht="12.75">
      <c r="E190">
        <v>442</v>
      </c>
      <c r="F190" t="s">
        <v>937</v>
      </c>
      <c r="G190">
        <v>242</v>
      </c>
      <c r="H190" t="s">
        <v>938</v>
      </c>
    </row>
    <row r="191" spans="5:8" ht="12.75">
      <c r="E191">
        <v>444</v>
      </c>
      <c r="F191" t="s">
        <v>939</v>
      </c>
      <c r="G191">
        <v>244</v>
      </c>
      <c r="H191" t="s">
        <v>940</v>
      </c>
    </row>
    <row r="192" spans="5:8" ht="12.75">
      <c r="E192">
        <v>446</v>
      </c>
      <c r="F192" t="s">
        <v>941</v>
      </c>
      <c r="G192">
        <v>246</v>
      </c>
      <c r="H192" t="s">
        <v>942</v>
      </c>
    </row>
    <row r="193" spans="5:8" ht="12.75">
      <c r="E193">
        <v>448</v>
      </c>
      <c r="F193" t="s">
        <v>943</v>
      </c>
      <c r="G193">
        <v>248</v>
      </c>
      <c r="H193" t="s">
        <v>944</v>
      </c>
    </row>
    <row r="194" spans="5:8" ht="12.75">
      <c r="E194">
        <v>450</v>
      </c>
      <c r="F194" t="s">
        <v>945</v>
      </c>
      <c r="G194">
        <v>250</v>
      </c>
      <c r="H194" t="s">
        <v>946</v>
      </c>
    </row>
    <row r="195" spans="5:8" ht="12.75">
      <c r="E195">
        <v>452</v>
      </c>
      <c r="F195" t="s">
        <v>947</v>
      </c>
      <c r="G195">
        <v>252</v>
      </c>
      <c r="H195" t="s">
        <v>948</v>
      </c>
    </row>
    <row r="196" spans="5:8" ht="12.75">
      <c r="E196">
        <v>454</v>
      </c>
      <c r="F196" t="s">
        <v>949</v>
      </c>
      <c r="G196">
        <v>254</v>
      </c>
      <c r="H196" t="s">
        <v>950</v>
      </c>
    </row>
    <row r="197" spans="5:8" ht="12.75">
      <c r="E197">
        <v>498</v>
      </c>
      <c r="F197" t="s">
        <v>951</v>
      </c>
      <c r="G197">
        <v>256</v>
      </c>
      <c r="H197" t="s">
        <v>952</v>
      </c>
    </row>
    <row r="198" spans="7:8" ht="12.75">
      <c r="G198">
        <v>298</v>
      </c>
      <c r="H198" t="s">
        <v>953</v>
      </c>
    </row>
  </sheetData>
  <mergeCells count="2">
    <mergeCell ref="B2:F2"/>
    <mergeCell ref="B3:F3"/>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C1:K38"/>
  <sheetViews>
    <sheetView zoomScale="95" zoomScaleNormal="95" workbookViewId="0" topLeftCell="C1">
      <selection activeCell="H25" sqref="H25"/>
    </sheetView>
  </sheetViews>
  <sheetFormatPr defaultColWidth="11.421875" defaultRowHeight="12.75"/>
  <cols>
    <col min="4" max="4" width="16.421875" style="0" customWidth="1"/>
    <col min="5" max="5" width="15.00390625" style="0" customWidth="1"/>
    <col min="6" max="6" width="6.28125" style="0" bestFit="1" customWidth="1"/>
    <col min="7" max="7" width="15.8515625" style="0" customWidth="1"/>
    <col min="8" max="8" width="6.28125" style="0" bestFit="1" customWidth="1"/>
    <col min="9" max="9" width="13.8515625" style="0" bestFit="1" customWidth="1"/>
    <col min="10" max="10" width="11.57421875" style="0" bestFit="1" customWidth="1"/>
    <col min="11" max="11" width="18.140625" style="0" customWidth="1"/>
  </cols>
  <sheetData>
    <row r="1" spans="4:9" ht="12.75">
      <c r="D1" s="734" t="s">
        <v>1075</v>
      </c>
      <c r="E1" s="734"/>
      <c r="F1" s="734"/>
      <c r="G1" s="734"/>
      <c r="H1" s="734"/>
      <c r="I1" s="734"/>
    </row>
    <row r="2" spans="4:9" ht="12.75">
      <c r="D2" s="734" t="s">
        <v>995</v>
      </c>
      <c r="E2" s="734"/>
      <c r="F2" s="734"/>
      <c r="G2" s="734"/>
      <c r="H2" s="734"/>
      <c r="I2" s="734"/>
    </row>
    <row r="3" ht="13.5" thickBot="1">
      <c r="J3" s="603">
        <v>0.02</v>
      </c>
    </row>
    <row r="4" spans="4:11" ht="25.5">
      <c r="D4" s="604" t="s">
        <v>954</v>
      </c>
      <c r="E4" s="605" t="s">
        <v>955</v>
      </c>
      <c r="F4" s="605" t="s">
        <v>4</v>
      </c>
      <c r="G4" s="605" t="s">
        <v>956</v>
      </c>
      <c r="H4" s="605" t="s">
        <v>4</v>
      </c>
      <c r="I4" s="421" t="s">
        <v>957</v>
      </c>
      <c r="J4" t="s">
        <v>5</v>
      </c>
      <c r="K4" t="s">
        <v>5</v>
      </c>
    </row>
    <row r="5" spans="4:10" ht="12.75">
      <c r="D5" s="2" t="s">
        <v>958</v>
      </c>
      <c r="E5" s="37">
        <v>3090.322</v>
      </c>
      <c r="F5" s="606">
        <f aca="true" t="shared" si="0" ref="F5:F24">+E5/$E$24</f>
        <v>0.2117611829432834</v>
      </c>
      <c r="G5" s="37">
        <v>3848.359</v>
      </c>
      <c r="H5" s="607">
        <f aca="true" t="shared" si="1" ref="H5:H24">+G5/$G$24</f>
        <v>0.1778857514232306</v>
      </c>
      <c r="I5" s="45">
        <f>((G5*1000)/2.2)/100</f>
        <v>17492.54090909091</v>
      </c>
      <c r="J5" t="s">
        <v>5</v>
      </c>
    </row>
    <row r="6" spans="4:9" ht="12.75">
      <c r="D6" s="608" t="s">
        <v>959</v>
      </c>
      <c r="E6" s="609">
        <v>1972.666</v>
      </c>
      <c r="F6" s="610">
        <f t="shared" si="0"/>
        <v>0.13517493831128116</v>
      </c>
      <c r="G6" s="609">
        <v>2413.137</v>
      </c>
      <c r="H6" s="610">
        <f t="shared" si="1"/>
        <v>0.11154434618293159</v>
      </c>
      <c r="I6" s="611">
        <f aca="true" t="shared" si="2" ref="I6:I23">((G6*1000)/2.2)/100</f>
        <v>10968.804545454543</v>
      </c>
    </row>
    <row r="7" spans="4:9" ht="12.75">
      <c r="D7" s="608" t="s">
        <v>960</v>
      </c>
      <c r="E7" s="609">
        <v>1649.184</v>
      </c>
      <c r="F7" s="610">
        <f t="shared" si="0"/>
        <v>0.11300866211713079</v>
      </c>
      <c r="G7" s="609">
        <v>1828.322</v>
      </c>
      <c r="H7" s="610">
        <f t="shared" si="1"/>
        <v>0.08451197843382693</v>
      </c>
      <c r="I7" s="611">
        <f t="shared" si="2"/>
        <v>8310.554545454544</v>
      </c>
    </row>
    <row r="8" spans="4:9" ht="12.75">
      <c r="D8" s="612" t="s">
        <v>961</v>
      </c>
      <c r="E8" s="613">
        <v>1264.435</v>
      </c>
      <c r="F8" s="614">
        <f t="shared" si="0"/>
        <v>0.08664412684338088</v>
      </c>
      <c r="G8" s="613">
        <v>3847.235</v>
      </c>
      <c r="H8" s="615">
        <f t="shared" si="1"/>
        <v>0.17783379587942616</v>
      </c>
      <c r="I8" s="616">
        <f t="shared" si="2"/>
        <v>17487.431818181816</v>
      </c>
    </row>
    <row r="9" spans="4:9" ht="12.75">
      <c r="D9" s="2" t="s">
        <v>962</v>
      </c>
      <c r="E9" s="37">
        <v>1105.27</v>
      </c>
      <c r="F9" s="606">
        <f t="shared" si="0"/>
        <v>0.0757375065354752</v>
      </c>
      <c r="G9" s="37">
        <v>1328.661</v>
      </c>
      <c r="H9" s="606">
        <f t="shared" si="1"/>
        <v>0.061415751589636254</v>
      </c>
      <c r="I9" s="45">
        <f t="shared" si="2"/>
        <v>6039.368181818181</v>
      </c>
    </row>
    <row r="10" spans="4:9" ht="12.75">
      <c r="D10" s="608" t="s">
        <v>963</v>
      </c>
      <c r="E10" s="609">
        <v>1020.899</v>
      </c>
      <c r="F10" s="610">
        <f t="shared" si="0"/>
        <v>0.06995606927226841</v>
      </c>
      <c r="G10" s="609">
        <v>2642.571</v>
      </c>
      <c r="H10" s="610">
        <f t="shared" si="1"/>
        <v>0.12214965600252936</v>
      </c>
      <c r="I10" s="611">
        <f t="shared" si="2"/>
        <v>12011.686363636363</v>
      </c>
    </row>
    <row r="11" spans="4:9" ht="12.75">
      <c r="D11" s="608" t="s">
        <v>964</v>
      </c>
      <c r="E11" s="609">
        <v>849.5835</v>
      </c>
      <c r="F11" s="610">
        <f t="shared" si="0"/>
        <v>0.058216848266651494</v>
      </c>
      <c r="G11" s="609">
        <v>1268.359</v>
      </c>
      <c r="H11" s="610">
        <f t="shared" si="1"/>
        <v>0.05862836439880409</v>
      </c>
      <c r="I11" s="611">
        <f t="shared" si="2"/>
        <v>5765.268181818181</v>
      </c>
    </row>
    <row r="12" spans="4:9" ht="12.75">
      <c r="D12" s="2" t="s">
        <v>965</v>
      </c>
      <c r="E12" s="37">
        <v>759.0384</v>
      </c>
      <c r="F12" s="606">
        <f t="shared" si="0"/>
        <v>0.052012337058525655</v>
      </c>
      <c r="G12" s="37">
        <v>590.793</v>
      </c>
      <c r="H12" s="606">
        <f t="shared" si="1"/>
        <v>0.02730869358617132</v>
      </c>
      <c r="I12" s="45">
        <f t="shared" si="2"/>
        <v>2685.422727272727</v>
      </c>
    </row>
    <row r="13" spans="4:9" ht="12.75">
      <c r="D13" s="2" t="s">
        <v>966</v>
      </c>
      <c r="E13" s="37">
        <v>647.5964</v>
      </c>
      <c r="F13" s="606">
        <f t="shared" si="0"/>
        <v>0.04437588695734999</v>
      </c>
      <c r="G13" s="37">
        <v>1403.908</v>
      </c>
      <c r="H13" s="606">
        <f t="shared" si="1"/>
        <v>0.0648939533731351</v>
      </c>
      <c r="I13" s="45">
        <f t="shared" si="2"/>
        <v>6381.4</v>
      </c>
    </row>
    <row r="14" spans="4:9" ht="12.75">
      <c r="D14" s="608" t="s">
        <v>967</v>
      </c>
      <c r="E14" s="609">
        <v>627.7441</v>
      </c>
      <c r="F14" s="610">
        <f t="shared" si="0"/>
        <v>0.04301552822057597</v>
      </c>
      <c r="G14" s="609">
        <v>1085.751</v>
      </c>
      <c r="H14" s="610">
        <f t="shared" si="1"/>
        <v>0.05018752992990624</v>
      </c>
      <c r="I14" s="611">
        <f t="shared" si="2"/>
        <v>4935.231818181817</v>
      </c>
    </row>
    <row r="15" spans="4:9" ht="12.75">
      <c r="D15" s="2" t="s">
        <v>968</v>
      </c>
      <c r="E15" s="37">
        <v>399.6817</v>
      </c>
      <c r="F15" s="606">
        <f t="shared" si="0"/>
        <v>0.027387783406642576</v>
      </c>
      <c r="G15" s="37">
        <v>415.0812</v>
      </c>
      <c r="H15" s="606">
        <f t="shared" si="1"/>
        <v>0.019186627641458676</v>
      </c>
      <c r="I15" s="45">
        <f t="shared" si="2"/>
        <v>1886.732727272727</v>
      </c>
    </row>
    <row r="16" spans="4:9" ht="12.75">
      <c r="D16" s="2" t="s">
        <v>969</v>
      </c>
      <c r="E16" s="37">
        <v>314.0382</v>
      </c>
      <c r="F16" s="606">
        <f t="shared" si="0"/>
        <v>0.021519149370641446</v>
      </c>
      <c r="G16" s="37">
        <v>126.1096</v>
      </c>
      <c r="H16" s="606">
        <f t="shared" si="1"/>
        <v>0.0058292640987192305</v>
      </c>
      <c r="I16" s="45">
        <f t="shared" si="2"/>
        <v>573.2254545454546</v>
      </c>
    </row>
    <row r="17" spans="4:9" ht="12.75">
      <c r="D17" s="2" t="s">
        <v>970</v>
      </c>
      <c r="E17" s="37">
        <v>309.572</v>
      </c>
      <c r="F17" s="606">
        <f t="shared" si="0"/>
        <v>0.02121310754222962</v>
      </c>
      <c r="G17" s="37">
        <v>236.1702</v>
      </c>
      <c r="H17" s="606">
        <f t="shared" si="1"/>
        <v>0.01091668253683574</v>
      </c>
      <c r="I17" s="45">
        <f t="shared" si="2"/>
        <v>1073.5009090909089</v>
      </c>
    </row>
    <row r="18" spans="4:9" ht="12.75">
      <c r="D18" s="2" t="s">
        <v>971</v>
      </c>
      <c r="E18" s="37">
        <v>266.5889</v>
      </c>
      <c r="F18" s="606">
        <f t="shared" si="0"/>
        <v>0.018267734179010692</v>
      </c>
      <c r="G18" s="37">
        <v>225.3638</v>
      </c>
      <c r="H18" s="606">
        <f t="shared" si="1"/>
        <v>0.010417169735618391</v>
      </c>
      <c r="I18" s="45">
        <f t="shared" si="2"/>
        <v>1024.380909090909</v>
      </c>
    </row>
    <row r="19" spans="4:9" ht="12.75">
      <c r="D19" s="608" t="s">
        <v>972</v>
      </c>
      <c r="E19" s="609">
        <v>190.5597</v>
      </c>
      <c r="F19" s="610">
        <f t="shared" si="0"/>
        <v>0.013057910306213137</v>
      </c>
      <c r="G19" s="609">
        <v>289.9674</v>
      </c>
      <c r="H19" s="610">
        <f t="shared" si="1"/>
        <v>0.013403393196227398</v>
      </c>
      <c r="I19" s="611">
        <f t="shared" si="2"/>
        <v>1318.0336363636366</v>
      </c>
    </row>
    <row r="20" spans="4:9" ht="12.75">
      <c r="D20" s="2" t="s">
        <v>973</v>
      </c>
      <c r="E20" s="37">
        <v>112.1536</v>
      </c>
      <c r="F20" s="606">
        <f t="shared" si="0"/>
        <v>0.007685211769954013</v>
      </c>
      <c r="G20" s="37">
        <v>82.47265</v>
      </c>
      <c r="H20" s="606">
        <f t="shared" si="1"/>
        <v>0.003812198736426383</v>
      </c>
      <c r="I20" s="45">
        <f t="shared" si="2"/>
        <v>374.8756818181818</v>
      </c>
    </row>
    <row r="21" spans="4:9" ht="12.75">
      <c r="D21" s="2" t="s">
        <v>974</v>
      </c>
      <c r="E21" s="37">
        <v>9.527359</v>
      </c>
      <c r="F21" s="606">
        <f t="shared" si="0"/>
        <v>0.0006528526192951211</v>
      </c>
      <c r="G21" s="37">
        <v>1.555174</v>
      </c>
      <c r="H21" s="606">
        <f t="shared" si="1"/>
        <v>7.188604170865328E-05</v>
      </c>
      <c r="I21" s="45">
        <f t="shared" si="2"/>
        <v>7.068972727272727</v>
      </c>
    </row>
    <row r="22" spans="4:9" ht="12.75">
      <c r="D22" s="2" t="s">
        <v>975</v>
      </c>
      <c r="E22" s="37">
        <v>4.571743</v>
      </c>
      <c r="F22" s="606">
        <f t="shared" si="0"/>
        <v>0.00031327405551676333</v>
      </c>
      <c r="G22" s="37">
        <v>0.0472727</v>
      </c>
      <c r="H22" s="606">
        <f t="shared" si="1"/>
        <v>2.185123519220778E-06</v>
      </c>
      <c r="I22" s="45">
        <f t="shared" si="2"/>
        <v>0.2148759090909091</v>
      </c>
    </row>
    <row r="23" spans="4:9" ht="12.75">
      <c r="D23" s="2" t="s">
        <v>976</v>
      </c>
      <c r="E23" s="37">
        <v>0.003038</v>
      </c>
      <c r="F23" s="606">
        <f t="shared" si="0"/>
        <v>2.0817587092273713E-07</v>
      </c>
      <c r="G23" s="37">
        <v>0.01378</v>
      </c>
      <c r="H23" s="606">
        <f t="shared" si="1"/>
        <v>6.369638733320144E-07</v>
      </c>
      <c r="I23" s="45">
        <f t="shared" si="2"/>
        <v>0.06263636363636364</v>
      </c>
    </row>
    <row r="24" spans="4:9" ht="13.5" thickBot="1">
      <c r="D24" s="617" t="s">
        <v>346</v>
      </c>
      <c r="E24" s="52">
        <v>14593.43</v>
      </c>
      <c r="F24" s="618">
        <f t="shared" si="0"/>
        <v>1</v>
      </c>
      <c r="G24" s="52">
        <v>21633.88</v>
      </c>
      <c r="H24" s="618">
        <f t="shared" si="1"/>
        <v>1</v>
      </c>
      <c r="I24" s="39">
        <f>SUM(I5:I23)</f>
        <v>98335.80489409089</v>
      </c>
    </row>
    <row r="25" spans="3:4" ht="12.75">
      <c r="C25" s="18"/>
      <c r="D25" s="19" t="s">
        <v>996</v>
      </c>
    </row>
    <row r="27" spans="4:10" ht="12.75">
      <c r="D27" s="734" t="s">
        <v>1076</v>
      </c>
      <c r="E27" s="734"/>
      <c r="F27" s="734"/>
      <c r="G27" s="734"/>
      <c r="H27" s="734"/>
      <c r="I27" s="734"/>
      <c r="J27" s="734"/>
    </row>
    <row r="28" spans="4:10" ht="12.75">
      <c r="D28" s="734" t="s">
        <v>997</v>
      </c>
      <c r="E28" s="734"/>
      <c r="F28" s="734"/>
      <c r="G28" s="734"/>
      <c r="H28" s="734"/>
      <c r="I28" s="734"/>
      <c r="J28" s="734"/>
    </row>
    <row r="29" ht="13.5" thickBot="1"/>
    <row r="30" spans="4:10" ht="32.25" customHeight="1" thickBot="1">
      <c r="D30" s="628" t="s">
        <v>954</v>
      </c>
      <c r="E30" s="629" t="s">
        <v>955</v>
      </c>
      <c r="F30" s="629" t="s">
        <v>4</v>
      </c>
      <c r="G30" s="629" t="s">
        <v>956</v>
      </c>
      <c r="H30" s="629" t="s">
        <v>4</v>
      </c>
      <c r="I30" s="245" t="s">
        <v>957</v>
      </c>
      <c r="J30" s="246" t="s">
        <v>977</v>
      </c>
    </row>
    <row r="31" spans="4:10" ht="12.75">
      <c r="D31" s="623" t="s">
        <v>959</v>
      </c>
      <c r="E31" s="624">
        <v>1972.666</v>
      </c>
      <c r="F31" s="625">
        <f aca="true" t="shared" si="3" ref="F31:F37">+E31/$E$24</f>
        <v>0.13517493831128116</v>
      </c>
      <c r="G31" s="624">
        <v>2413.137</v>
      </c>
      <c r="H31" s="625">
        <f aca="true" t="shared" si="4" ref="H31:H36">G31/$G$37</f>
        <v>0.1844148142487319</v>
      </c>
      <c r="I31" s="626">
        <f aca="true" t="shared" si="5" ref="I31:I36">((G31*1000)/2.2)/100</f>
        <v>10968.804545454543</v>
      </c>
      <c r="J31" s="627">
        <f aca="true" t="shared" si="6" ref="J31:J36">I31*$J$3</f>
        <v>219.37609090909086</v>
      </c>
    </row>
    <row r="32" spans="4:10" ht="12.75">
      <c r="D32" s="608" t="s">
        <v>960</v>
      </c>
      <c r="E32" s="609">
        <v>1649.184</v>
      </c>
      <c r="F32" s="610">
        <f t="shared" si="3"/>
        <v>0.11300866211713079</v>
      </c>
      <c r="G32" s="609">
        <v>1828.322</v>
      </c>
      <c r="H32" s="610">
        <f t="shared" si="4"/>
        <v>0.13972255285003296</v>
      </c>
      <c r="I32" s="263">
        <f t="shared" si="5"/>
        <v>8310.554545454544</v>
      </c>
      <c r="J32" s="621">
        <f t="shared" si="6"/>
        <v>166.2110909090909</v>
      </c>
    </row>
    <row r="33" spans="4:10" ht="12.75">
      <c r="D33" s="612" t="s">
        <v>961</v>
      </c>
      <c r="E33" s="613">
        <v>1264.435</v>
      </c>
      <c r="F33" s="614">
        <f t="shared" si="3"/>
        <v>0.08664412684338088</v>
      </c>
      <c r="G33" s="613">
        <v>3847.235</v>
      </c>
      <c r="H33" s="614">
        <f t="shared" si="4"/>
        <v>0.2940102977560827</v>
      </c>
      <c r="I33" s="613">
        <f t="shared" si="5"/>
        <v>17487.431818181816</v>
      </c>
      <c r="J33" s="622">
        <f t="shared" si="6"/>
        <v>349.7486363636363</v>
      </c>
    </row>
    <row r="34" spans="4:10" ht="12.75">
      <c r="D34" s="608" t="s">
        <v>963</v>
      </c>
      <c r="E34" s="609">
        <v>1020.899</v>
      </c>
      <c r="F34" s="610">
        <f t="shared" si="3"/>
        <v>0.06995606927226841</v>
      </c>
      <c r="G34" s="609">
        <v>2642.571</v>
      </c>
      <c r="H34" s="610">
        <f t="shared" si="4"/>
        <v>0.20194843479839134</v>
      </c>
      <c r="I34" s="263">
        <f t="shared" si="5"/>
        <v>12011.686363636363</v>
      </c>
      <c r="J34" s="621">
        <f t="shared" si="6"/>
        <v>240.23372727272726</v>
      </c>
    </row>
    <row r="35" spans="4:10" ht="12.75">
      <c r="D35" s="608" t="s">
        <v>964</v>
      </c>
      <c r="E35" s="609">
        <v>849.5835</v>
      </c>
      <c r="F35" s="610">
        <f t="shared" si="3"/>
        <v>0.058216848266651494</v>
      </c>
      <c r="G35" s="609">
        <v>1268.359</v>
      </c>
      <c r="H35" s="610">
        <f t="shared" si="4"/>
        <v>0.0969295109998758</v>
      </c>
      <c r="I35" s="263">
        <f t="shared" si="5"/>
        <v>5765.268181818181</v>
      </c>
      <c r="J35" s="621">
        <f t="shared" si="6"/>
        <v>115.30536363636362</v>
      </c>
    </row>
    <row r="36" spans="4:10" ht="13.5" thickBot="1">
      <c r="D36" s="630" t="s">
        <v>967</v>
      </c>
      <c r="E36" s="631">
        <v>627.7441</v>
      </c>
      <c r="F36" s="632">
        <f t="shared" si="3"/>
        <v>0.04301552822057597</v>
      </c>
      <c r="G36" s="631">
        <v>1085.751</v>
      </c>
      <c r="H36" s="632">
        <f t="shared" si="4"/>
        <v>0.08297438934688536</v>
      </c>
      <c r="I36" s="633">
        <f t="shared" si="5"/>
        <v>4935.231818181817</v>
      </c>
      <c r="J36" s="634">
        <f t="shared" si="6"/>
        <v>98.70463636363635</v>
      </c>
    </row>
    <row r="37" spans="4:10" ht="13.5" thickBot="1">
      <c r="D37" s="90" t="s">
        <v>346</v>
      </c>
      <c r="E37" s="71">
        <v>14593.43</v>
      </c>
      <c r="F37" s="635">
        <f t="shared" si="3"/>
        <v>1</v>
      </c>
      <c r="G37" s="71">
        <f>+SUM(G31:G36)</f>
        <v>13085.375</v>
      </c>
      <c r="H37" s="635">
        <f>+SUM(H31:H36)</f>
        <v>1</v>
      </c>
      <c r="I37" s="71">
        <f>SUM(I31:I36)</f>
        <v>59478.977272727265</v>
      </c>
      <c r="J37" s="72">
        <f>SUM(J31:J36)</f>
        <v>1189.5795454545453</v>
      </c>
    </row>
    <row r="38" spans="3:4" ht="12.75">
      <c r="C38" s="18"/>
      <c r="D38" s="645" t="s">
        <v>996</v>
      </c>
    </row>
  </sheetData>
  <mergeCells count="4">
    <mergeCell ref="D2:I2"/>
    <mergeCell ref="D1:I1"/>
    <mergeCell ref="D27:J27"/>
    <mergeCell ref="D28:J28"/>
  </mergeCells>
  <printOptions horizontalCentered="1" verticalCentered="1"/>
  <pageMargins left="0.7874015748031497" right="0.7874015748031497" top="0.984251968503937" bottom="0.984251968503937" header="0" footer="0"/>
  <pageSetup fitToHeight="1" fitToWidth="1"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D2:J44"/>
  <sheetViews>
    <sheetView zoomScale="95" zoomScaleNormal="95" workbookViewId="0" topLeftCell="A1">
      <selection activeCell="H25" sqref="H25"/>
    </sheetView>
  </sheetViews>
  <sheetFormatPr defaultColWidth="11.421875" defaultRowHeight="12.75"/>
  <cols>
    <col min="4" max="4" width="18.28125" style="0" customWidth="1"/>
    <col min="5" max="5" width="14.57421875" style="0" customWidth="1"/>
    <col min="7" max="7" width="15.57421875" style="0" bestFit="1" customWidth="1"/>
    <col min="9" max="9" width="10.7109375" style="0" customWidth="1"/>
  </cols>
  <sheetData>
    <row r="2" spans="4:10" ht="12.75">
      <c r="D2" s="734" t="s">
        <v>742</v>
      </c>
      <c r="E2" s="734"/>
      <c r="F2" s="734"/>
      <c r="G2" s="734"/>
      <c r="H2" s="734"/>
      <c r="I2" s="734"/>
      <c r="J2" s="603">
        <v>0.01</v>
      </c>
    </row>
    <row r="3" spans="4:9" ht="12.75">
      <c r="D3" s="734" t="s">
        <v>998</v>
      </c>
      <c r="E3" s="734"/>
      <c r="F3" s="734"/>
      <c r="G3" s="734"/>
      <c r="H3" s="734"/>
      <c r="I3" s="734"/>
    </row>
    <row r="4" ht="13.5" thickBot="1"/>
    <row r="5" spans="4:9" ht="31.5" customHeight="1" thickBot="1">
      <c r="D5" s="628" t="s">
        <v>978</v>
      </c>
      <c r="E5" s="629" t="s">
        <v>955</v>
      </c>
      <c r="F5" s="629" t="s">
        <v>4</v>
      </c>
      <c r="G5" s="629" t="s">
        <v>956</v>
      </c>
      <c r="H5" s="629" t="s">
        <v>4</v>
      </c>
      <c r="I5" s="246" t="s">
        <v>979</v>
      </c>
    </row>
    <row r="6" spans="4:9" ht="12.75">
      <c r="D6" s="623" t="s">
        <v>967</v>
      </c>
      <c r="E6" s="636">
        <v>8453.245</v>
      </c>
      <c r="F6" s="625">
        <f aca="true" t="shared" si="0" ref="F6:F27">+E6/$E$27</f>
        <v>0.13902924447122725</v>
      </c>
      <c r="G6" s="636">
        <v>11488.45</v>
      </c>
      <c r="H6" s="625">
        <f aca="true" t="shared" si="1" ref="H6:H27">+G6/$G$27</f>
        <v>0.139005700486634</v>
      </c>
      <c r="I6" s="637">
        <f>((G6*1000)/2.2)/100</f>
        <v>52220.227272727265</v>
      </c>
    </row>
    <row r="7" spans="4:9" ht="12.75">
      <c r="D7" s="608" t="s">
        <v>972</v>
      </c>
      <c r="E7" s="619">
        <v>7974.364</v>
      </c>
      <c r="F7" s="610">
        <f t="shared" si="0"/>
        <v>0.13115316095281201</v>
      </c>
      <c r="G7" s="619">
        <v>11455.9</v>
      </c>
      <c r="H7" s="610">
        <f t="shared" si="1"/>
        <v>0.13861185836251455</v>
      </c>
      <c r="I7" s="611">
        <f aca="true" t="shared" si="2" ref="I7:I26">((G7*1000)/2.2)/100</f>
        <v>52072.27272727273</v>
      </c>
    </row>
    <row r="8" spans="4:9" ht="12.75">
      <c r="D8" s="612" t="s">
        <v>968</v>
      </c>
      <c r="E8" s="620">
        <v>7203.864</v>
      </c>
      <c r="F8" s="614">
        <f t="shared" si="0"/>
        <v>0.11848086376219698</v>
      </c>
      <c r="G8" s="620">
        <v>12207.3</v>
      </c>
      <c r="H8" s="614">
        <f t="shared" si="1"/>
        <v>0.14770350112943756</v>
      </c>
      <c r="I8" s="616">
        <f t="shared" si="2"/>
        <v>55487.727272727265</v>
      </c>
    </row>
    <row r="9" spans="4:9" ht="12.75">
      <c r="D9" s="2" t="s">
        <v>962</v>
      </c>
      <c r="E9" s="262">
        <v>6642.559</v>
      </c>
      <c r="F9" s="606">
        <f t="shared" si="0"/>
        <v>0.10924916515794239</v>
      </c>
      <c r="G9" s="262">
        <v>8620.968</v>
      </c>
      <c r="H9" s="606">
        <f t="shared" si="1"/>
        <v>0.10431030258327766</v>
      </c>
      <c r="I9" s="45">
        <f t="shared" si="2"/>
        <v>39186.21818181818</v>
      </c>
    </row>
    <row r="10" spans="4:9" ht="12.75">
      <c r="D10" s="612" t="s">
        <v>966</v>
      </c>
      <c r="E10" s="620">
        <v>6266.399</v>
      </c>
      <c r="F10" s="614">
        <f t="shared" si="0"/>
        <v>0.10306251842047094</v>
      </c>
      <c r="G10" s="620">
        <v>7616.735</v>
      </c>
      <c r="H10" s="614">
        <f t="shared" si="1"/>
        <v>0.09215948053010302</v>
      </c>
      <c r="I10" s="616">
        <f t="shared" si="2"/>
        <v>34621.52272727273</v>
      </c>
    </row>
    <row r="11" spans="4:9" ht="12.75">
      <c r="D11" s="612" t="s">
        <v>961</v>
      </c>
      <c r="E11" s="620">
        <v>4493.874</v>
      </c>
      <c r="F11" s="614">
        <f t="shared" si="0"/>
        <v>0.07391006731366377</v>
      </c>
      <c r="G11" s="620">
        <v>7521.092</v>
      </c>
      <c r="H11" s="614">
        <f t="shared" si="1"/>
        <v>0.09100223806383097</v>
      </c>
      <c r="I11" s="616">
        <f t="shared" si="2"/>
        <v>34186.781818181815</v>
      </c>
    </row>
    <row r="12" spans="4:9" ht="12.75">
      <c r="D12" s="608" t="s">
        <v>959</v>
      </c>
      <c r="E12" s="619">
        <v>3630.58</v>
      </c>
      <c r="F12" s="610">
        <f t="shared" si="0"/>
        <v>0.059711601212593286</v>
      </c>
      <c r="G12" s="619">
        <v>5504.191</v>
      </c>
      <c r="H12" s="610">
        <f t="shared" si="1"/>
        <v>0.06659853379413466</v>
      </c>
      <c r="I12" s="611">
        <f t="shared" si="2"/>
        <v>25019.05</v>
      </c>
    </row>
    <row r="13" spans="4:9" ht="12.75">
      <c r="D13" s="608" t="s">
        <v>960</v>
      </c>
      <c r="E13" s="619">
        <v>2813.876</v>
      </c>
      <c r="F13" s="610">
        <f t="shared" si="0"/>
        <v>0.04627939380861657</v>
      </c>
      <c r="G13" s="619">
        <v>3990.755</v>
      </c>
      <c r="H13" s="610">
        <f t="shared" si="1"/>
        <v>0.04828655686759633</v>
      </c>
      <c r="I13" s="611">
        <f t="shared" si="2"/>
        <v>18139.795454545456</v>
      </c>
    </row>
    <row r="14" spans="4:9" ht="12.75">
      <c r="D14" s="612" t="s">
        <v>973</v>
      </c>
      <c r="E14" s="620">
        <v>1892.72</v>
      </c>
      <c r="F14" s="614">
        <f t="shared" si="0"/>
        <v>0.03112928012799596</v>
      </c>
      <c r="G14" s="620">
        <v>3944.187</v>
      </c>
      <c r="H14" s="614">
        <f t="shared" si="1"/>
        <v>0.047723102488610336</v>
      </c>
      <c r="I14" s="616">
        <f t="shared" si="2"/>
        <v>17928.122727272726</v>
      </c>
    </row>
    <row r="15" spans="4:9" ht="12.75">
      <c r="D15" s="612" t="s">
        <v>975</v>
      </c>
      <c r="E15" s="620">
        <v>1838.929</v>
      </c>
      <c r="F15" s="614">
        <f t="shared" si="0"/>
        <v>0.030244587670915656</v>
      </c>
      <c r="G15" s="620">
        <v>527.7846</v>
      </c>
      <c r="H15" s="614">
        <f t="shared" si="1"/>
        <v>0.0063859848829962195</v>
      </c>
      <c r="I15" s="616">
        <f t="shared" si="2"/>
        <v>2399.020909090909</v>
      </c>
    </row>
    <row r="16" spans="4:9" ht="12.75">
      <c r="D16" s="2" t="s">
        <v>969</v>
      </c>
      <c r="E16" s="262">
        <v>1768.576</v>
      </c>
      <c r="F16" s="606">
        <f t="shared" si="0"/>
        <v>0.029087502499921057</v>
      </c>
      <c r="G16" s="262">
        <v>1346.623</v>
      </c>
      <c r="H16" s="606">
        <f t="shared" si="1"/>
        <v>0.01629360561315169</v>
      </c>
      <c r="I16" s="45">
        <f t="shared" si="2"/>
        <v>6121.013636363636</v>
      </c>
    </row>
    <row r="17" spans="4:9" ht="12.75">
      <c r="D17" s="2" t="s">
        <v>958</v>
      </c>
      <c r="E17" s="262">
        <v>1601.999</v>
      </c>
      <c r="F17" s="606">
        <f t="shared" si="0"/>
        <v>0.026347835726240224</v>
      </c>
      <c r="G17" s="262">
        <v>2315.026</v>
      </c>
      <c r="H17" s="606">
        <f t="shared" si="1"/>
        <v>0.02801089883968423</v>
      </c>
      <c r="I17" s="45">
        <f t="shared" si="2"/>
        <v>10522.845454545453</v>
      </c>
    </row>
    <row r="18" spans="4:9" ht="12.75">
      <c r="D18" s="2" t="s">
        <v>971</v>
      </c>
      <c r="E18" s="262">
        <v>1232.496</v>
      </c>
      <c r="F18" s="606">
        <f t="shared" si="0"/>
        <v>0.020270675662873806</v>
      </c>
      <c r="G18" s="262">
        <v>1391.898</v>
      </c>
      <c r="H18" s="606">
        <f t="shared" si="1"/>
        <v>0.016841415203612747</v>
      </c>
      <c r="I18" s="45">
        <f t="shared" si="2"/>
        <v>6326.809090909091</v>
      </c>
    </row>
    <row r="19" spans="4:9" ht="12.75">
      <c r="D19" s="2" t="s">
        <v>965</v>
      </c>
      <c r="E19" s="262">
        <v>1194.458</v>
      </c>
      <c r="F19" s="606">
        <f t="shared" si="0"/>
        <v>0.019645070418828882</v>
      </c>
      <c r="G19" s="262">
        <v>1578.606</v>
      </c>
      <c r="H19" s="606">
        <f t="shared" si="1"/>
        <v>0.019100508147087147</v>
      </c>
      <c r="I19" s="45">
        <f t="shared" si="2"/>
        <v>7175.481818181817</v>
      </c>
    </row>
    <row r="20" spans="4:9" ht="12.75">
      <c r="D20" s="608" t="s">
        <v>964</v>
      </c>
      <c r="E20" s="619">
        <v>957.7466</v>
      </c>
      <c r="F20" s="610">
        <f t="shared" si="0"/>
        <v>0.015751913755355094</v>
      </c>
      <c r="G20" s="619">
        <v>851.6311</v>
      </c>
      <c r="H20" s="610">
        <f t="shared" si="1"/>
        <v>0.01030439942826949</v>
      </c>
      <c r="I20" s="611">
        <f t="shared" si="2"/>
        <v>3871.050454545454</v>
      </c>
    </row>
    <row r="21" spans="4:9" ht="12.75">
      <c r="D21" s="2" t="s">
        <v>970</v>
      </c>
      <c r="E21" s="262">
        <v>831.13</v>
      </c>
      <c r="F21" s="606">
        <f t="shared" si="0"/>
        <v>0.013669469648326896</v>
      </c>
      <c r="G21" s="262">
        <v>679.4894</v>
      </c>
      <c r="H21" s="606">
        <f t="shared" si="1"/>
        <v>0.008221552952769315</v>
      </c>
      <c r="I21" s="45">
        <f t="shared" si="2"/>
        <v>3088.588181818182</v>
      </c>
    </row>
    <row r="22" spans="4:9" ht="12.75">
      <c r="D22" s="2" t="s">
        <v>980</v>
      </c>
      <c r="E22" s="262">
        <v>703.1624</v>
      </c>
      <c r="F22" s="606">
        <f t="shared" si="0"/>
        <v>0.011564805848236373</v>
      </c>
      <c r="G22" s="262">
        <v>815.7389</v>
      </c>
      <c r="H22" s="606">
        <f t="shared" si="1"/>
        <v>0.00987011800623202</v>
      </c>
      <c r="I22" s="45">
        <f t="shared" si="2"/>
        <v>3707.90409090909</v>
      </c>
    </row>
    <row r="23" spans="4:9" ht="12.75">
      <c r="D23" s="608" t="s">
        <v>963</v>
      </c>
      <c r="E23" s="619">
        <v>680.9241</v>
      </c>
      <c r="F23" s="610">
        <f t="shared" si="0"/>
        <v>0.011199055885077313</v>
      </c>
      <c r="G23" s="619">
        <v>722.6959</v>
      </c>
      <c r="H23" s="610">
        <f t="shared" si="1"/>
        <v>0.008744334511471817</v>
      </c>
      <c r="I23" s="611">
        <f t="shared" si="2"/>
        <v>3284.9813636363633</v>
      </c>
    </row>
    <row r="24" spans="4:9" ht="12.75">
      <c r="D24" s="2" t="s">
        <v>981</v>
      </c>
      <c r="E24" s="262">
        <v>384.1437</v>
      </c>
      <c r="F24" s="606">
        <f t="shared" si="0"/>
        <v>0.006317953446206962</v>
      </c>
      <c r="G24" s="262">
        <v>39.27171</v>
      </c>
      <c r="H24" s="606">
        <f t="shared" si="1"/>
        <v>0.00047517215619669745</v>
      </c>
      <c r="I24" s="45">
        <f t="shared" si="2"/>
        <v>178.5077727272727</v>
      </c>
    </row>
    <row r="25" spans="4:9" ht="12.75">
      <c r="D25" s="2" t="s">
        <v>976</v>
      </c>
      <c r="E25" s="262">
        <v>156.345</v>
      </c>
      <c r="F25" s="606">
        <f t="shared" si="0"/>
        <v>0.0025713826142332347</v>
      </c>
      <c r="G25" s="262">
        <v>26.82629</v>
      </c>
      <c r="H25" s="606">
        <f t="shared" si="1"/>
        <v>0.000324587497260952</v>
      </c>
      <c r="I25" s="45">
        <f t="shared" si="2"/>
        <v>121.93768181818182</v>
      </c>
    </row>
    <row r="26" spans="4:9" ht="13.5" thickBot="1">
      <c r="D26" s="87" t="s">
        <v>974</v>
      </c>
      <c r="E26" s="647">
        <v>80.53349</v>
      </c>
      <c r="F26" s="648">
        <f t="shared" si="0"/>
        <v>0.0013245221532477921</v>
      </c>
      <c r="G26" s="647">
        <v>2.166835</v>
      </c>
      <c r="H26" s="648">
        <f t="shared" si="1"/>
        <v>2.6217846359948952E-05</v>
      </c>
      <c r="I26" s="89">
        <f t="shared" si="2"/>
        <v>9.84925</v>
      </c>
    </row>
    <row r="27" spans="4:9" ht="13.5" thickBot="1">
      <c r="D27" s="90" t="s">
        <v>346</v>
      </c>
      <c r="E27" s="593">
        <v>60801.92</v>
      </c>
      <c r="F27" s="635">
        <f t="shared" si="0"/>
        <v>1</v>
      </c>
      <c r="G27" s="593">
        <v>82647.33</v>
      </c>
      <c r="H27" s="635">
        <f t="shared" si="1"/>
        <v>1</v>
      </c>
      <c r="I27" s="594">
        <f>SUM(I6:I26)</f>
        <v>375669.7078863638</v>
      </c>
    </row>
    <row r="28" spans="4:5" ht="12.75">
      <c r="D28" s="646" t="s">
        <v>996</v>
      </c>
      <c r="E28" s="18"/>
    </row>
    <row r="30" spans="4:10" ht="12.75">
      <c r="D30" s="734" t="s">
        <v>741</v>
      </c>
      <c r="E30" s="734"/>
      <c r="F30" s="734"/>
      <c r="G30" s="734"/>
      <c r="H30" s="734"/>
      <c r="I30" s="734"/>
      <c r="J30" s="734"/>
    </row>
    <row r="31" spans="4:10" ht="12.75">
      <c r="D31" s="734" t="s">
        <v>999</v>
      </c>
      <c r="E31" s="734"/>
      <c r="F31" s="734"/>
      <c r="G31" s="734"/>
      <c r="H31" s="734"/>
      <c r="I31" s="734"/>
      <c r="J31" s="734"/>
    </row>
    <row r="32" ht="13.5" thickBot="1"/>
    <row r="33" spans="4:10" ht="26.25" thickBot="1">
      <c r="D33" s="628" t="s">
        <v>978</v>
      </c>
      <c r="E33" s="629" t="s">
        <v>955</v>
      </c>
      <c r="F33" s="629" t="s">
        <v>4</v>
      </c>
      <c r="G33" s="629" t="s">
        <v>956</v>
      </c>
      <c r="H33" s="629" t="s">
        <v>4</v>
      </c>
      <c r="I33" s="245" t="s">
        <v>979</v>
      </c>
      <c r="J33" s="246" t="s">
        <v>977</v>
      </c>
    </row>
    <row r="34" spans="4:10" ht="12.75">
      <c r="D34" s="623" t="s">
        <v>967</v>
      </c>
      <c r="E34" s="636">
        <v>8453.245</v>
      </c>
      <c r="F34" s="625">
        <f aca="true" t="shared" si="3" ref="F34:F42">+E34/$E$43</f>
        <v>0.18967136198691742</v>
      </c>
      <c r="G34" s="636">
        <v>11488.45</v>
      </c>
      <c r="H34" s="625">
        <f aca="true" t="shared" si="4" ref="H34:H42">G34/$G$43</f>
        <v>0.17879076582986503</v>
      </c>
      <c r="I34" s="624">
        <f>((G34*1000)/2.2)/100</f>
        <v>52220.227272727265</v>
      </c>
      <c r="J34" s="637">
        <f>+I34*$J$2</f>
        <v>522.2022727272727</v>
      </c>
    </row>
    <row r="35" spans="4:10" ht="12.75">
      <c r="D35" s="608" t="s">
        <v>972</v>
      </c>
      <c r="E35" s="619">
        <v>7974.364</v>
      </c>
      <c r="F35" s="610">
        <f t="shared" si="3"/>
        <v>0.1789263745294786</v>
      </c>
      <c r="G35" s="619">
        <v>11455.9</v>
      </c>
      <c r="H35" s="610">
        <f t="shared" si="4"/>
        <v>0.1782842014606279</v>
      </c>
      <c r="I35" s="609">
        <f aca="true" t="shared" si="5" ref="I35:I42">((G35*1000)/2.2)/100</f>
        <v>52072.27272727273</v>
      </c>
      <c r="J35" s="637">
        <f aca="true" t="shared" si="6" ref="J35:J42">+I35*$J$2</f>
        <v>520.7227272727273</v>
      </c>
    </row>
    <row r="36" spans="4:10" ht="12.75">
      <c r="D36" s="612" t="s">
        <v>968</v>
      </c>
      <c r="E36" s="620">
        <v>7203.864</v>
      </c>
      <c r="F36" s="614">
        <f t="shared" si="3"/>
        <v>0.1616381278962721</v>
      </c>
      <c r="G36" s="620">
        <v>12207.3</v>
      </c>
      <c r="H36" s="614">
        <f t="shared" si="4"/>
        <v>0.18997797925002163</v>
      </c>
      <c r="I36" s="613">
        <f t="shared" si="5"/>
        <v>55487.727272727265</v>
      </c>
      <c r="J36" s="616">
        <f t="shared" si="6"/>
        <v>554.8772727272726</v>
      </c>
    </row>
    <row r="37" spans="4:10" ht="12.75">
      <c r="D37" s="612" t="s">
        <v>966</v>
      </c>
      <c r="E37" s="620">
        <v>6266.399</v>
      </c>
      <c r="F37" s="614">
        <f t="shared" si="3"/>
        <v>0.140603570946241</v>
      </c>
      <c r="G37" s="620">
        <v>7616.735</v>
      </c>
      <c r="H37" s="614">
        <f t="shared" si="4"/>
        <v>0.11853660709435448</v>
      </c>
      <c r="I37" s="613">
        <f t="shared" si="5"/>
        <v>34621.52272727273</v>
      </c>
      <c r="J37" s="616">
        <f t="shared" si="6"/>
        <v>346.2152272727273</v>
      </c>
    </row>
    <row r="38" spans="4:10" ht="12.75">
      <c r="D38" s="612" t="s">
        <v>961</v>
      </c>
      <c r="E38" s="620">
        <v>4493.874</v>
      </c>
      <c r="F38" s="614">
        <f t="shared" si="3"/>
        <v>0.10083218955295822</v>
      </c>
      <c r="G38" s="620">
        <v>7521.092</v>
      </c>
      <c r="H38" s="614">
        <f t="shared" si="4"/>
        <v>0.11704814823208275</v>
      </c>
      <c r="I38" s="613">
        <f t="shared" si="5"/>
        <v>34186.781818181815</v>
      </c>
      <c r="J38" s="616">
        <f t="shared" si="6"/>
        <v>341.86781818181817</v>
      </c>
    </row>
    <row r="39" spans="4:10" ht="12.75">
      <c r="D39" s="608" t="s">
        <v>959</v>
      </c>
      <c r="E39" s="619">
        <v>3630.58</v>
      </c>
      <c r="F39" s="610">
        <f t="shared" si="3"/>
        <v>0.08146185913249439</v>
      </c>
      <c r="G39" s="619">
        <v>5504.191</v>
      </c>
      <c r="H39" s="610">
        <f t="shared" si="4"/>
        <v>0.08565981696084768</v>
      </c>
      <c r="I39" s="609">
        <f t="shared" si="5"/>
        <v>25019.05</v>
      </c>
      <c r="J39" s="611">
        <f t="shared" si="6"/>
        <v>250.1905</v>
      </c>
    </row>
    <row r="40" spans="4:10" ht="12.75">
      <c r="D40" s="608" t="s">
        <v>960</v>
      </c>
      <c r="E40" s="619">
        <v>2813.876</v>
      </c>
      <c r="F40" s="610">
        <f t="shared" si="3"/>
        <v>0.06313690108145442</v>
      </c>
      <c r="G40" s="619">
        <v>3990.755</v>
      </c>
      <c r="H40" s="610">
        <f t="shared" si="4"/>
        <v>0.062106737000149105</v>
      </c>
      <c r="I40" s="609">
        <f t="shared" si="5"/>
        <v>18139.795454545456</v>
      </c>
      <c r="J40" s="611">
        <f t="shared" si="6"/>
        <v>181.39795454545455</v>
      </c>
    </row>
    <row r="41" spans="4:10" ht="12.75">
      <c r="D41" s="612" t="s">
        <v>973</v>
      </c>
      <c r="E41" s="620">
        <v>1892.72</v>
      </c>
      <c r="F41" s="614">
        <f t="shared" si="3"/>
        <v>0.04246828055496774</v>
      </c>
      <c r="G41" s="620">
        <v>3944.187</v>
      </c>
      <c r="H41" s="614">
        <f t="shared" si="4"/>
        <v>0.061382015355091225</v>
      </c>
      <c r="I41" s="613">
        <f t="shared" si="5"/>
        <v>17928.122727272726</v>
      </c>
      <c r="J41" s="616">
        <f t="shared" si="6"/>
        <v>179.28122727272728</v>
      </c>
    </row>
    <row r="42" spans="4:10" ht="13.5" thickBot="1">
      <c r="D42" s="638" t="s">
        <v>975</v>
      </c>
      <c r="E42" s="639">
        <v>1838.929</v>
      </c>
      <c r="F42" s="640">
        <f t="shared" si="3"/>
        <v>0.04126133431921588</v>
      </c>
      <c r="G42" s="639">
        <v>527.7846</v>
      </c>
      <c r="H42" s="640">
        <f t="shared" si="4"/>
        <v>0.008213728816960423</v>
      </c>
      <c r="I42" s="641">
        <f t="shared" si="5"/>
        <v>2399.020909090909</v>
      </c>
      <c r="J42" s="642">
        <f t="shared" si="6"/>
        <v>23.99020909090909</v>
      </c>
    </row>
    <row r="43" spans="4:10" ht="13.5" thickBot="1">
      <c r="D43" s="90" t="s">
        <v>346</v>
      </c>
      <c r="E43" s="593">
        <f>+SUM(E34:E42)</f>
        <v>44567.85100000001</v>
      </c>
      <c r="F43" s="635">
        <f>+SUM(F34:F42)</f>
        <v>0.9999999999999998</v>
      </c>
      <c r="G43" s="593">
        <f>+SUM(G34:G42)</f>
        <v>64256.394599999985</v>
      </c>
      <c r="H43" s="635">
        <f>+SUM(H34:H42)</f>
        <v>1.0000000000000002</v>
      </c>
      <c r="I43" s="593">
        <f>SUM(I34:I42)</f>
        <v>292074.52090909093</v>
      </c>
      <c r="J43" s="39">
        <f>+SUM(J34:J42)</f>
        <v>2920.745209090909</v>
      </c>
    </row>
    <row r="44" spans="4:5" ht="12.75">
      <c r="D44" s="646" t="s">
        <v>996</v>
      </c>
      <c r="E44" s="18"/>
    </row>
  </sheetData>
  <mergeCells count="4">
    <mergeCell ref="D2:I2"/>
    <mergeCell ref="D3:I3"/>
    <mergeCell ref="D30:J30"/>
    <mergeCell ref="D31:J31"/>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34.xml><?xml version="1.0" encoding="utf-8"?>
<worksheet xmlns="http://schemas.openxmlformats.org/spreadsheetml/2006/main" xmlns:r="http://schemas.openxmlformats.org/officeDocument/2006/relationships">
  <dimension ref="B3:N28"/>
  <sheetViews>
    <sheetView tabSelected="1" zoomScale="95" zoomScaleNormal="95" workbookViewId="0" topLeftCell="A3">
      <selection activeCell="H25" sqref="H25"/>
    </sheetView>
  </sheetViews>
  <sheetFormatPr defaultColWidth="11.421875" defaultRowHeight="12.75"/>
  <cols>
    <col min="1" max="1" width="20.57421875" style="649" bestFit="1" customWidth="1"/>
    <col min="2" max="2" width="13.57421875" style="651" bestFit="1" customWidth="1"/>
    <col min="3" max="3" width="49.57421875" style="651" bestFit="1" customWidth="1"/>
    <col min="4" max="4" width="11.8515625" style="651" bestFit="1" customWidth="1"/>
    <col min="5" max="5" width="7.421875" style="649" customWidth="1"/>
    <col min="6" max="6" width="13.421875" style="649" bestFit="1" customWidth="1"/>
    <col min="7" max="7" width="12.140625" style="649" bestFit="1" customWidth="1"/>
    <col min="8" max="8" width="16.28125" style="649" bestFit="1" customWidth="1"/>
    <col min="9" max="9" width="10.8515625" style="649" bestFit="1" customWidth="1"/>
    <col min="10" max="10" width="11.57421875" style="649" customWidth="1"/>
    <col min="11" max="11" width="13.421875" style="649" customWidth="1"/>
    <col min="12" max="12" width="13.00390625" style="649" bestFit="1" customWidth="1"/>
    <col min="13" max="13" width="12.8515625" style="649" bestFit="1" customWidth="1"/>
    <col min="14" max="14" width="15.57421875" style="649" customWidth="1"/>
    <col min="15" max="15" width="14.421875" style="649" bestFit="1" customWidth="1"/>
    <col min="16" max="16" width="12.7109375" style="649" bestFit="1" customWidth="1"/>
    <col min="17" max="17" width="11.421875" style="649" customWidth="1"/>
    <col min="18" max="18" width="12.8515625" style="649" bestFit="1" customWidth="1"/>
    <col min="19" max="19" width="12.7109375" style="649" bestFit="1" customWidth="1"/>
    <col min="20" max="20" width="14.421875" style="649" bestFit="1" customWidth="1"/>
    <col min="21" max="16384" width="11.421875" style="649" customWidth="1"/>
  </cols>
  <sheetData>
    <row r="3" spans="2:5" ht="12.75">
      <c r="B3" s="649"/>
      <c r="C3" s="649"/>
      <c r="D3" s="656"/>
      <c r="E3" s="662" t="s">
        <v>5</v>
      </c>
    </row>
    <row r="4" spans="2:11" ht="12.75">
      <c r="B4" s="649"/>
      <c r="C4" s="810" t="s">
        <v>1074</v>
      </c>
      <c r="D4" s="810"/>
      <c r="E4" s="810"/>
      <c r="K4" s="657"/>
    </row>
    <row r="5" spans="2:11" ht="12.75">
      <c r="B5" s="649"/>
      <c r="C5" s="810" t="s">
        <v>1017</v>
      </c>
      <c r="D5" s="810"/>
      <c r="E5" s="810"/>
      <c r="K5" s="657"/>
    </row>
    <row r="6" spans="2:11" ht="12.75">
      <c r="B6" s="649"/>
      <c r="C6" s="649"/>
      <c r="D6" s="658"/>
      <c r="K6" s="657"/>
    </row>
    <row r="7" spans="2:5" ht="12.75">
      <c r="B7" s="649"/>
      <c r="C7" s="652" t="s">
        <v>1000</v>
      </c>
      <c r="D7" s="731">
        <f>+'INVERSIÓN PLAN'!C8*0.5</f>
        <v>215823.85913220668</v>
      </c>
      <c r="E7" s="655"/>
    </row>
    <row r="8" spans="2:5" ht="12.75">
      <c r="B8" s="649"/>
      <c r="C8" s="652" t="s">
        <v>1001</v>
      </c>
      <c r="D8" s="732" t="s">
        <v>1015</v>
      </c>
      <c r="E8" s="655"/>
    </row>
    <row r="9" spans="2:7" ht="12.75">
      <c r="B9" s="659"/>
      <c r="C9" s="652" t="s">
        <v>1002</v>
      </c>
      <c r="D9" s="731">
        <f>+D7*E9</f>
        <v>194.24147321898602</v>
      </c>
      <c r="E9" s="663">
        <v>0.0009</v>
      </c>
      <c r="G9" s="650"/>
    </row>
    <row r="10" spans="2:7" ht="12.75">
      <c r="B10" s="659"/>
      <c r="C10" s="652" t="s">
        <v>1003</v>
      </c>
      <c r="D10" s="731">
        <f>+D7*E10</f>
        <v>539.5596478305167</v>
      </c>
      <c r="E10" s="663">
        <v>0.0025</v>
      </c>
      <c r="G10" s="650"/>
    </row>
    <row r="11" spans="2:7" ht="12.75">
      <c r="B11" s="659"/>
      <c r="C11" s="664"/>
      <c r="D11" s="656"/>
      <c r="G11" s="650"/>
    </row>
    <row r="12" spans="2:7" ht="12.75">
      <c r="B12" s="659"/>
      <c r="C12" s="665" t="s">
        <v>1016</v>
      </c>
      <c r="D12" s="733">
        <f>+D7</f>
        <v>215823.85913220668</v>
      </c>
      <c r="G12" s="650"/>
    </row>
    <row r="13" spans="3:4" ht="12.75">
      <c r="C13" s="653" t="s">
        <v>1004</v>
      </c>
      <c r="D13" s="731">
        <f>-12500*1.12</f>
        <v>-14000.000000000002</v>
      </c>
    </row>
    <row r="14" spans="2:14" ht="12.75">
      <c r="B14" s="660"/>
      <c r="C14" s="653" t="s">
        <v>1005</v>
      </c>
      <c r="D14" s="731">
        <f>-D7*0.05%</f>
        <v>-107.91192956610334</v>
      </c>
      <c r="E14" s="661"/>
      <c r="F14" s="661"/>
      <c r="G14" s="661"/>
      <c r="H14" s="661"/>
      <c r="I14" s="661"/>
      <c r="J14" s="661"/>
      <c r="K14" s="661"/>
      <c r="L14" s="661"/>
      <c r="M14" s="661"/>
      <c r="N14" s="660"/>
    </row>
    <row r="15" spans="2:14" ht="12.75">
      <c r="B15" s="649"/>
      <c r="C15" s="653" t="s">
        <v>1006</v>
      </c>
      <c r="D15" s="731">
        <f>-6000*1.12</f>
        <v>-6720.000000000001</v>
      </c>
      <c r="E15" s="661"/>
      <c r="F15" s="661"/>
      <c r="G15" s="661"/>
      <c r="H15" s="661"/>
      <c r="I15" s="661"/>
      <c r="J15" s="661"/>
      <c r="K15" s="661"/>
      <c r="L15" s="661"/>
      <c r="M15" s="661"/>
      <c r="N15" s="660"/>
    </row>
    <row r="16" spans="2:14" ht="12.75">
      <c r="B16" s="649"/>
      <c r="C16" s="653" t="s">
        <v>1007</v>
      </c>
      <c r="D16" s="731">
        <f>-D7*0.1%</f>
        <v>-215.82385913220668</v>
      </c>
      <c r="E16" s="661"/>
      <c r="F16" s="661"/>
      <c r="G16" s="661"/>
      <c r="H16" s="661"/>
      <c r="I16" s="661"/>
      <c r="J16" s="661"/>
      <c r="K16" s="661"/>
      <c r="L16" s="661"/>
      <c r="M16" s="661"/>
      <c r="N16" s="660"/>
    </row>
    <row r="17" spans="2:4" ht="12.75">
      <c r="B17" s="649"/>
      <c r="C17" s="653" t="s">
        <v>1008</v>
      </c>
      <c r="D17" s="731">
        <f>-250*1.12</f>
        <v>-280</v>
      </c>
    </row>
    <row r="18" spans="2:4" ht="12.75">
      <c r="B18" s="649"/>
      <c r="C18" s="653" t="s">
        <v>1009</v>
      </c>
      <c r="D18" s="731">
        <v>-150</v>
      </c>
    </row>
    <row r="19" spans="2:4" ht="12.75">
      <c r="B19" s="649"/>
      <c r="C19" s="653" t="s">
        <v>1010</v>
      </c>
      <c r="D19" s="731">
        <v>-200</v>
      </c>
    </row>
    <row r="20" spans="2:4" ht="12.75">
      <c r="B20" s="649"/>
      <c r="C20" s="653" t="s">
        <v>1011</v>
      </c>
      <c r="D20" s="731">
        <v>-600</v>
      </c>
    </row>
    <row r="21" spans="2:4" ht="12.75">
      <c r="B21" s="649"/>
      <c r="C21" s="653" t="s">
        <v>1020</v>
      </c>
      <c r="D21" s="731">
        <v>-1000</v>
      </c>
    </row>
    <row r="22" spans="2:4" ht="12.75">
      <c r="B22" s="649"/>
      <c r="C22" s="653" t="s">
        <v>1012</v>
      </c>
      <c r="D22" s="731">
        <f>-D9</f>
        <v>-194.24147321898602</v>
      </c>
    </row>
    <row r="23" spans="2:4" ht="12.75">
      <c r="B23" s="649"/>
      <c r="C23" s="653" t="s">
        <v>1013</v>
      </c>
      <c r="D23" s="731">
        <f>-D10</f>
        <v>-539.5596478305167</v>
      </c>
    </row>
    <row r="24" spans="2:4" ht="12.75">
      <c r="B24" s="649"/>
      <c r="C24" s="653" t="s">
        <v>1019</v>
      </c>
      <c r="D24" s="731">
        <f>+SUM(D13:D23)</f>
        <v>-24007.536909747818</v>
      </c>
    </row>
    <row r="25" spans="2:4" ht="12.75">
      <c r="B25" s="649"/>
      <c r="C25" s="666" t="s">
        <v>1014</v>
      </c>
      <c r="D25" s="654">
        <f>SUM(D12:D23)</f>
        <v>191816.32222245887</v>
      </c>
    </row>
    <row r="26" spans="2:3" ht="12.75">
      <c r="B26" s="649"/>
      <c r="C26" s="656" t="s">
        <v>996</v>
      </c>
    </row>
    <row r="27" spans="2:3" ht="12.75">
      <c r="B27" s="649"/>
      <c r="C27" s="656" t="s">
        <v>1018</v>
      </c>
    </row>
    <row r="28" ht="12.75">
      <c r="B28" s="649"/>
    </row>
  </sheetData>
  <mergeCells count="2">
    <mergeCell ref="C4:E4"/>
    <mergeCell ref="C5:E5"/>
  </mergeCells>
  <printOptions horizontalCentered="1" verticalCentered="1"/>
  <pageMargins left="0.2755905511811024" right="0.2755905511811024" top="0.984251968503937" bottom="0.984251968503937" header="0" footer="0"/>
  <pageSetup horizontalDpi="1200" verticalDpi="1200" orientation="landscape" paperSize="9" r:id="rId1"/>
</worksheet>
</file>

<file path=xl/worksheets/sheet35.xml><?xml version="1.0" encoding="utf-8"?>
<worksheet xmlns="http://schemas.openxmlformats.org/spreadsheetml/2006/main" xmlns:r="http://schemas.openxmlformats.org/officeDocument/2006/relationships">
  <dimension ref="A3:F21"/>
  <sheetViews>
    <sheetView zoomScale="95" zoomScaleNormal="95" workbookViewId="0" topLeftCell="A3">
      <selection activeCell="H25" sqref="H25"/>
    </sheetView>
  </sheetViews>
  <sheetFormatPr defaultColWidth="11.421875" defaultRowHeight="12.75"/>
  <cols>
    <col min="1" max="1" width="38.00390625" style="677" customWidth="1"/>
    <col min="2" max="2" width="16.28125" style="677" customWidth="1"/>
    <col min="3" max="5" width="17.57421875" style="677" customWidth="1"/>
    <col min="6" max="16384" width="16.28125" style="677" customWidth="1"/>
  </cols>
  <sheetData>
    <row r="3" spans="1:6" ht="15.75">
      <c r="A3" s="812" t="s">
        <v>993</v>
      </c>
      <c r="B3" s="812"/>
      <c r="C3" s="812"/>
      <c r="D3" s="812"/>
      <c r="E3" s="812"/>
      <c r="F3" s="812"/>
    </row>
    <row r="4" spans="1:6" ht="15.75">
      <c r="A4" s="812" t="s">
        <v>1049</v>
      </c>
      <c r="B4" s="812"/>
      <c r="C4" s="812"/>
      <c r="D4" s="812"/>
      <c r="E4" s="812"/>
      <c r="F4" s="812"/>
    </row>
    <row r="5" ht="15.75" thickBot="1"/>
    <row r="6" spans="1:6" ht="48" customHeight="1">
      <c r="A6" s="678" t="s">
        <v>1034</v>
      </c>
      <c r="B6" s="679" t="s">
        <v>1035</v>
      </c>
      <c r="C6" s="679" t="s">
        <v>1036</v>
      </c>
      <c r="D6" s="679" t="s">
        <v>1037</v>
      </c>
      <c r="E6" s="679" t="s">
        <v>1038</v>
      </c>
      <c r="F6" s="680" t="s">
        <v>1039</v>
      </c>
    </row>
    <row r="7" spans="1:6" ht="15.75">
      <c r="A7" s="681" t="s">
        <v>1023</v>
      </c>
      <c r="B7" s="682">
        <v>0.45</v>
      </c>
      <c r="C7" s="683"/>
      <c r="D7" s="683" t="s">
        <v>5</v>
      </c>
      <c r="E7" s="683"/>
      <c r="F7" s="684" t="s">
        <v>5</v>
      </c>
    </row>
    <row r="8" spans="1:6" ht="15">
      <c r="A8" s="685" t="s">
        <v>1024</v>
      </c>
      <c r="B8" s="686">
        <v>0.05</v>
      </c>
      <c r="C8" s="683"/>
      <c r="D8" s="683">
        <v>6</v>
      </c>
      <c r="E8" s="683"/>
      <c r="F8" s="684">
        <v>0.3</v>
      </c>
    </row>
    <row r="9" spans="1:6" ht="15">
      <c r="A9" s="685" t="s">
        <v>1025</v>
      </c>
      <c r="B9" s="686">
        <v>0.1</v>
      </c>
      <c r="C9" s="683"/>
      <c r="D9" s="683"/>
      <c r="E9" s="683">
        <v>9</v>
      </c>
      <c r="F9" s="684">
        <v>0.9</v>
      </c>
    </row>
    <row r="10" spans="1:6" ht="15">
      <c r="A10" s="685" t="s">
        <v>1026</v>
      </c>
      <c r="B10" s="686">
        <v>0.05</v>
      </c>
      <c r="C10" s="683"/>
      <c r="D10" s="683"/>
      <c r="E10" s="683">
        <v>8</v>
      </c>
      <c r="F10" s="684">
        <v>0.4</v>
      </c>
    </row>
    <row r="11" spans="1:6" ht="15">
      <c r="A11" s="685" t="s">
        <v>1027</v>
      </c>
      <c r="B11" s="686">
        <v>0.1</v>
      </c>
      <c r="C11" s="683"/>
      <c r="D11" s="683"/>
      <c r="E11" s="683">
        <v>8</v>
      </c>
      <c r="F11" s="684">
        <v>0.8</v>
      </c>
    </row>
    <row r="12" spans="1:6" ht="15">
      <c r="A12" s="685" t="s">
        <v>1028</v>
      </c>
      <c r="B12" s="686">
        <v>0.1</v>
      </c>
      <c r="C12" s="683"/>
      <c r="D12" s="683"/>
      <c r="E12" s="683">
        <v>8</v>
      </c>
      <c r="F12" s="684">
        <v>0.8</v>
      </c>
    </row>
    <row r="13" spans="1:6" ht="15">
      <c r="A13" s="685" t="s">
        <v>1029</v>
      </c>
      <c r="B13" s="686">
        <v>0.05</v>
      </c>
      <c r="C13" s="683"/>
      <c r="D13" s="683">
        <v>7</v>
      </c>
      <c r="E13" s="683"/>
      <c r="F13" s="684">
        <v>0.35</v>
      </c>
    </row>
    <row r="14" spans="1:6" ht="15.75">
      <c r="A14" s="681" t="s">
        <v>229</v>
      </c>
      <c r="B14" s="682">
        <v>0.35</v>
      </c>
      <c r="C14" s="683"/>
      <c r="D14" s="683" t="s">
        <v>5</v>
      </c>
      <c r="E14" s="683"/>
      <c r="F14" s="684" t="s">
        <v>5</v>
      </c>
    </row>
    <row r="15" spans="1:6" ht="15">
      <c r="A15" s="685" t="s">
        <v>1030</v>
      </c>
      <c r="B15" s="686">
        <v>0.05</v>
      </c>
      <c r="C15" s="683"/>
      <c r="D15" s="683">
        <v>7</v>
      </c>
      <c r="E15" s="683"/>
      <c r="F15" s="684">
        <v>0.35</v>
      </c>
    </row>
    <row r="16" spans="1:6" ht="15">
      <c r="A16" s="685" t="s">
        <v>1031</v>
      </c>
      <c r="B16" s="686">
        <v>0.1</v>
      </c>
      <c r="C16" s="683"/>
      <c r="D16" s="683">
        <v>6</v>
      </c>
      <c r="E16" s="683"/>
      <c r="F16" s="684">
        <v>0.6</v>
      </c>
    </row>
    <row r="17" spans="1:6" ht="15">
      <c r="A17" s="685" t="s">
        <v>1032</v>
      </c>
      <c r="B17" s="686">
        <v>0.2</v>
      </c>
      <c r="C17" s="683"/>
      <c r="D17" s="683">
        <v>5</v>
      </c>
      <c r="E17" s="683"/>
      <c r="F17" s="684">
        <v>1</v>
      </c>
    </row>
    <row r="18" spans="1:6" ht="15.75">
      <c r="A18" s="681" t="s">
        <v>1033</v>
      </c>
      <c r="B18" s="682">
        <v>0.2</v>
      </c>
      <c r="C18" s="683"/>
      <c r="D18" s="683"/>
      <c r="E18" s="683">
        <v>10</v>
      </c>
      <c r="F18" s="684">
        <v>2</v>
      </c>
    </row>
    <row r="19" spans="1:6" ht="16.5" thickBot="1">
      <c r="A19" s="687"/>
      <c r="B19" s="811" t="s">
        <v>1040</v>
      </c>
      <c r="C19" s="811"/>
      <c r="D19" s="811"/>
      <c r="E19" s="811"/>
      <c r="F19" s="688">
        <v>7.5</v>
      </c>
    </row>
    <row r="20" ht="15">
      <c r="A20" s="677" t="s">
        <v>1048</v>
      </c>
    </row>
    <row r="21" ht="15.75">
      <c r="A21" s="689" t="s">
        <v>1047</v>
      </c>
    </row>
  </sheetData>
  <mergeCells count="3">
    <mergeCell ref="B19:E19"/>
    <mergeCell ref="A3:F3"/>
    <mergeCell ref="A4:F4"/>
  </mergeCells>
  <printOptions horizontalCentered="1" verticalCentered="1"/>
  <pageMargins left="0.7874015748031497" right="0.7874015748031497" top="0.984251968503937" bottom="0.984251968503937"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codeName="Hoja6"/>
  <dimension ref="A3:F48"/>
  <sheetViews>
    <sheetView zoomScale="95" zoomScaleNormal="95" workbookViewId="0" topLeftCell="A1">
      <selection activeCell="H25" sqref="H25"/>
    </sheetView>
  </sheetViews>
  <sheetFormatPr defaultColWidth="11.421875" defaultRowHeight="12.75"/>
  <cols>
    <col min="1" max="1" width="46.8515625" style="265" customWidth="1"/>
    <col min="2" max="2" width="36.7109375" style="265" customWidth="1"/>
    <col min="3" max="3" width="16.140625" style="265" customWidth="1"/>
    <col min="4" max="4" width="18.8515625" style="265" customWidth="1"/>
    <col min="5" max="5" width="16.421875" style="265" bestFit="1" customWidth="1"/>
    <col min="6" max="6" width="17.00390625" style="265" customWidth="1"/>
    <col min="7" max="7" width="16.57421875" style="265" bestFit="1" customWidth="1"/>
    <col min="8" max="8" width="11.57421875" style="265" bestFit="1" customWidth="1"/>
    <col min="9" max="9" width="15.57421875" style="265" bestFit="1" customWidth="1"/>
    <col min="10" max="10" width="15.421875" style="265" bestFit="1" customWidth="1"/>
    <col min="11" max="11" width="16.7109375" style="265" bestFit="1" customWidth="1"/>
    <col min="12" max="12" width="11.57421875" style="265" bestFit="1" customWidth="1"/>
    <col min="13" max="16384" width="11.421875" style="265" customWidth="1"/>
  </cols>
  <sheetData>
    <row r="3" spans="1:2" ht="12.75">
      <c r="A3" s="734" t="s">
        <v>708</v>
      </c>
      <c r="B3" s="734"/>
    </row>
    <row r="4" spans="1:2" ht="12.75">
      <c r="A4" s="749" t="s">
        <v>10</v>
      </c>
      <c r="B4" s="749"/>
    </row>
    <row r="5" spans="1:2" ht="13.5" thickBot="1">
      <c r="A5" s="100"/>
      <c r="B5" s="100"/>
    </row>
    <row r="6" spans="1:2" ht="25.5">
      <c r="A6" s="174" t="s">
        <v>80</v>
      </c>
      <c r="B6" s="175">
        <f>'BETAS '!D41</f>
        <v>0.2239</v>
      </c>
    </row>
    <row r="7" spans="1:3" ht="12.75">
      <c r="A7" s="176" t="s">
        <v>197</v>
      </c>
      <c r="B7" s="177">
        <f>'BETAS '!C42</f>
        <v>0.72</v>
      </c>
      <c r="C7" s="16"/>
    </row>
    <row r="8" spans="1:3" ht="14.25">
      <c r="A8" s="176" t="s">
        <v>196</v>
      </c>
      <c r="B8" s="178">
        <f>'BETAS '!E41</f>
        <v>0.196</v>
      </c>
      <c r="C8" s="16"/>
    </row>
    <row r="9" spans="1:2" ht="12.75">
      <c r="A9" s="139"/>
      <c r="B9" s="106"/>
    </row>
    <row r="10" spans="1:2" ht="14.25">
      <c r="A10" s="745" t="s">
        <v>625</v>
      </c>
      <c r="B10" s="746"/>
    </row>
    <row r="11" spans="1:6" s="1" customFormat="1" ht="13.5" thickBot="1">
      <c r="A11" s="179" t="s">
        <v>11</v>
      </c>
      <c r="B11" s="180">
        <f>(B7/(1+(B6)*(1-B8)))</f>
        <v>0.6101614249845511</v>
      </c>
      <c r="C11" s="265"/>
      <c r="D11" s="3" t="s">
        <v>5</v>
      </c>
      <c r="E11" s="4"/>
      <c r="F11" s="4"/>
    </row>
    <row r="12" spans="1:2" ht="12.75">
      <c r="A12" s="191" t="s">
        <v>12</v>
      </c>
      <c r="B12" s="195"/>
    </row>
    <row r="13" spans="1:2" ht="12.75" hidden="1">
      <c r="A13" s="181" t="s">
        <v>13</v>
      </c>
      <c r="B13" s="182">
        <v>15350</v>
      </c>
    </row>
    <row r="14" spans="1:2" ht="12.75" hidden="1">
      <c r="A14" s="181" t="s">
        <v>14</v>
      </c>
      <c r="B14" s="60">
        <f>B13*0.7</f>
        <v>10745</v>
      </c>
    </row>
    <row r="15" spans="1:2" ht="12.75" hidden="1">
      <c r="A15" s="181" t="s">
        <v>15</v>
      </c>
      <c r="B15" s="60">
        <f>B13*0.3</f>
        <v>4605</v>
      </c>
    </row>
    <row r="16" spans="1:2" ht="12.75">
      <c r="A16" s="176" t="s">
        <v>16</v>
      </c>
      <c r="B16" s="183">
        <f>D48</f>
        <v>0.758039881242839</v>
      </c>
    </row>
    <row r="17" spans="1:2" ht="12.75">
      <c r="A17" s="181" t="s">
        <v>11</v>
      </c>
      <c r="B17" s="184">
        <f>B11</f>
        <v>0.6101614249845511</v>
      </c>
    </row>
    <row r="18" spans="1:2" ht="14.25">
      <c r="A18" s="176" t="s">
        <v>17</v>
      </c>
      <c r="B18" s="185">
        <v>0.3625</v>
      </c>
    </row>
    <row r="19" spans="1:2" ht="13.5" thickBot="1">
      <c r="A19" s="747" t="s">
        <v>18</v>
      </c>
      <c r="B19" s="748"/>
    </row>
    <row r="20" spans="1:2" ht="13.5" thickBot="1">
      <c r="A20" s="198" t="s">
        <v>1056</v>
      </c>
      <c r="B20" s="199">
        <f>(B11*((1+(B16))*(1-B18)))</f>
        <v>0.683838675938236</v>
      </c>
    </row>
    <row r="21" spans="1:2" ht="15" customHeight="1" thickBot="1">
      <c r="A21" s="743" t="s">
        <v>626</v>
      </c>
      <c r="B21" s="744"/>
    </row>
    <row r="22" spans="1:4" ht="15.75">
      <c r="A22" s="196" t="s">
        <v>627</v>
      </c>
      <c r="B22" s="186">
        <f>'RIESGO PAÍS TASA BONOS'!D7</f>
        <v>0.056</v>
      </c>
      <c r="D22" s="398"/>
    </row>
    <row r="23" spans="1:4" ht="14.25" customHeight="1">
      <c r="A23" s="187" t="s">
        <v>19</v>
      </c>
      <c r="B23" s="183">
        <f>B20</f>
        <v>0.683838675938236</v>
      </c>
      <c r="D23" s="399"/>
    </row>
    <row r="24" spans="1:4" ht="14.25" customHeight="1">
      <c r="A24" s="189" t="s">
        <v>20</v>
      </c>
      <c r="B24" s="188">
        <f>'S&amp;P 500'!K8</f>
        <v>0.0761603270149811</v>
      </c>
      <c r="D24" s="400"/>
    </row>
    <row r="25" spans="1:4" ht="14.25" customHeight="1" thickBot="1">
      <c r="A25" s="189" t="s">
        <v>22</v>
      </c>
      <c r="B25" s="188">
        <f>'RIESGO PAÍS TASA BONOS'!D11</f>
        <v>0.0547</v>
      </c>
      <c r="D25" s="400"/>
    </row>
    <row r="26" spans="1:4" ht="14.25" customHeight="1" thickBot="1">
      <c r="A26" s="122" t="s">
        <v>24</v>
      </c>
      <c r="B26" s="192">
        <f>B22+(B23*(B24-B22))+B25</f>
        <v>0.12448641133240652</v>
      </c>
      <c r="D26" s="401"/>
    </row>
    <row r="27" spans="1:2" ht="13.5" thickBot="1">
      <c r="A27" s="200" t="s">
        <v>25</v>
      </c>
      <c r="B27" s="190">
        <v>0.1258</v>
      </c>
    </row>
    <row r="28" spans="1:2" ht="13.5" thickBot="1">
      <c r="A28" s="743" t="s">
        <v>27</v>
      </c>
      <c r="B28" s="744"/>
    </row>
    <row r="29" spans="1:5" ht="12.75" hidden="1">
      <c r="A29" s="145"/>
      <c r="B29" s="197"/>
      <c r="E29" s="16"/>
    </row>
    <row r="30" spans="1:2" ht="12.75">
      <c r="A30" s="193" t="s">
        <v>28</v>
      </c>
      <c r="B30" s="106"/>
    </row>
    <row r="31" spans="1:2" ht="13.5" thickBot="1">
      <c r="A31" s="194" t="s">
        <v>29</v>
      </c>
      <c r="B31" s="17">
        <f>((B44)*(B27)*(1-B18))+((C44)*B26)</f>
        <v>0.11114312961798863</v>
      </c>
    </row>
    <row r="32" spans="1:2" ht="12.75">
      <c r="A32" s="100" t="s">
        <v>1055</v>
      </c>
      <c r="B32" s="100"/>
    </row>
    <row r="33" spans="1:2" ht="12.75">
      <c r="A33" s="100" t="s">
        <v>30</v>
      </c>
      <c r="B33" s="100"/>
    </row>
    <row r="34" spans="1:2" ht="12.75">
      <c r="A34" s="92" t="s">
        <v>270</v>
      </c>
      <c r="B34" s="100"/>
    </row>
    <row r="35" spans="1:2" ht="12.75">
      <c r="A35" s="92" t="s">
        <v>1057</v>
      </c>
      <c r="B35" s="100"/>
    </row>
    <row r="36" spans="1:2" ht="12.75">
      <c r="A36" s="92" t="s">
        <v>21</v>
      </c>
      <c r="B36" s="100"/>
    </row>
    <row r="37" spans="1:2" ht="12.75">
      <c r="A37" s="92" t="s">
        <v>23</v>
      </c>
      <c r="B37" s="100"/>
    </row>
    <row r="38" spans="1:2" ht="12.75">
      <c r="A38" s="100" t="s">
        <v>31</v>
      </c>
      <c r="B38" s="100"/>
    </row>
    <row r="41" ht="12.75" hidden="1"/>
    <row r="42" spans="2:4" ht="12.75" hidden="1">
      <c r="B42" s="7" t="s">
        <v>266</v>
      </c>
      <c r="C42" s="8" t="s">
        <v>267</v>
      </c>
      <c r="D42" s="8" t="s">
        <v>268</v>
      </c>
    </row>
    <row r="43" spans="1:5" ht="12.75" hidden="1">
      <c r="A43" s="8">
        <v>2007</v>
      </c>
      <c r="B43" s="402">
        <v>118746.25</v>
      </c>
      <c r="C43" s="402">
        <v>275395.33</v>
      </c>
      <c r="D43" s="266">
        <f>B43+C43</f>
        <v>394141.58</v>
      </c>
      <c r="E43" s="265">
        <f>B43/C43</f>
        <v>0.43118469002361076</v>
      </c>
    </row>
    <row r="44" spans="1:3" ht="12.75" hidden="1">
      <c r="A44" s="8" t="s">
        <v>4</v>
      </c>
      <c r="B44" s="279">
        <f>B43/D43</f>
        <v>0.30127815999519764</v>
      </c>
      <c r="C44" s="279">
        <f>C43/D43</f>
        <v>0.6987218400048023</v>
      </c>
    </row>
    <row r="45" ht="12.75" hidden="1">
      <c r="D45" s="265" t="s">
        <v>7</v>
      </c>
    </row>
    <row r="46" ht="12.75" hidden="1">
      <c r="D46" s="266">
        <f>C43-B43</f>
        <v>156649.08000000002</v>
      </c>
    </row>
    <row r="47" ht="12.75" hidden="1">
      <c r="D47" s="265" t="s">
        <v>269</v>
      </c>
    </row>
    <row r="48" ht="12.75" hidden="1">
      <c r="D48" s="265">
        <f>B43/D46</f>
        <v>0.758039881242839</v>
      </c>
    </row>
  </sheetData>
  <mergeCells count="6">
    <mergeCell ref="A28:B28"/>
    <mergeCell ref="A10:B10"/>
    <mergeCell ref="A19:B19"/>
    <mergeCell ref="A3:B3"/>
    <mergeCell ref="A21:B21"/>
    <mergeCell ref="A4:B4"/>
  </mergeCells>
  <printOptions horizontalCentered="1" verticalCentered="1"/>
  <pageMargins left="0.7874015748031497" right="0.7874015748031497" top="0.984251968503937" bottom="0.984251968503937"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Hoja7">
    <pageSetUpPr fitToPage="1"/>
  </sheetPr>
  <dimension ref="A2:H110"/>
  <sheetViews>
    <sheetView zoomScale="95" zoomScaleNormal="95" workbookViewId="0" topLeftCell="G1">
      <selection activeCell="H25" sqref="H25"/>
    </sheetView>
  </sheetViews>
  <sheetFormatPr defaultColWidth="11.421875" defaultRowHeight="12.75"/>
  <cols>
    <col min="1" max="1" width="47.28125" style="78" hidden="1" customWidth="1"/>
    <col min="2" max="2" width="9.421875" style="78" hidden="1" customWidth="1"/>
    <col min="3" max="3" width="9.57421875" style="78" hidden="1" customWidth="1"/>
    <col min="4" max="4" width="11.7109375" style="78" hidden="1" customWidth="1"/>
    <col min="5" max="5" width="17.00390625" style="78" hidden="1" customWidth="1"/>
    <col min="6" max="6" width="22.00390625" style="78" hidden="1" customWidth="1"/>
    <col min="7" max="16384" width="11.421875" style="78" customWidth="1"/>
  </cols>
  <sheetData>
    <row r="2" spans="1:6" ht="18">
      <c r="A2" s="750" t="s">
        <v>709</v>
      </c>
      <c r="B2" s="750"/>
      <c r="C2" s="750"/>
      <c r="D2" s="750"/>
      <c r="E2" s="750"/>
      <c r="F2" s="750"/>
    </row>
    <row r="3" spans="1:6" ht="18">
      <c r="A3" s="750" t="s">
        <v>1053</v>
      </c>
      <c r="B3" s="750"/>
      <c r="C3" s="750"/>
      <c r="D3" s="750"/>
      <c r="E3" s="750"/>
      <c r="F3" s="750"/>
    </row>
    <row r="4" spans="1:6" ht="13.5" thickBot="1">
      <c r="A4" s="116"/>
      <c r="B4" s="116"/>
      <c r="F4" s="417"/>
    </row>
    <row r="5" spans="1:6" ht="12.75">
      <c r="A5" s="394" t="s">
        <v>228</v>
      </c>
      <c r="B5" s="361"/>
      <c r="C5" s="361"/>
      <c r="D5" s="361"/>
      <c r="E5" s="361"/>
      <c r="F5" s="35">
        <f>E6+E11</f>
        <v>649775.24</v>
      </c>
    </row>
    <row r="6" spans="1:6" s="12" customFormat="1" ht="12.75">
      <c r="A6" s="32" t="s">
        <v>233</v>
      </c>
      <c r="B6" s="35"/>
      <c r="C6" s="35"/>
      <c r="D6" s="35"/>
      <c r="E6" s="35">
        <f>+D7</f>
        <v>590345.66</v>
      </c>
      <c r="F6" s="35"/>
    </row>
    <row r="7" spans="1:6" ht="12.75">
      <c r="A7" s="348" t="s">
        <v>229</v>
      </c>
      <c r="B7" s="233"/>
      <c r="C7" s="233"/>
      <c r="D7" s="233">
        <f>+C8+C9+C10</f>
        <v>590345.66</v>
      </c>
      <c r="E7" s="233"/>
      <c r="F7" s="233"/>
    </row>
    <row r="8" spans="1:6" ht="12.75">
      <c r="A8" s="350" t="s">
        <v>230</v>
      </c>
      <c r="B8" s="233"/>
      <c r="C8" s="234">
        <v>27373.51</v>
      </c>
      <c r="D8" s="233"/>
      <c r="E8" s="233"/>
      <c r="F8" s="233"/>
    </row>
    <row r="9" spans="1:6" ht="12.75">
      <c r="A9" s="350" t="s">
        <v>231</v>
      </c>
      <c r="B9" s="233"/>
      <c r="C9" s="234">
        <v>563906.5</v>
      </c>
      <c r="D9" s="233"/>
      <c r="E9" s="233"/>
      <c r="F9" s="233"/>
    </row>
    <row r="10" spans="1:6" ht="12.75">
      <c r="A10" s="350" t="s">
        <v>232</v>
      </c>
      <c r="B10" s="233"/>
      <c r="C10" s="234">
        <v>-934.35</v>
      </c>
      <c r="D10" s="233"/>
      <c r="E10" s="233"/>
      <c r="F10" s="233"/>
    </row>
    <row r="11" spans="1:6" s="12" customFormat="1" ht="12.75">
      <c r="A11" s="32" t="s">
        <v>234</v>
      </c>
      <c r="B11" s="35"/>
      <c r="C11" s="35"/>
      <c r="D11" s="35"/>
      <c r="E11" s="36">
        <f>D12</f>
        <v>59429.58</v>
      </c>
      <c r="F11" s="35"/>
    </row>
    <row r="12" spans="1:6" ht="12.75">
      <c r="A12" s="348" t="s">
        <v>235</v>
      </c>
      <c r="B12" s="233"/>
      <c r="C12" s="233"/>
      <c r="D12" s="233">
        <f>SUM(B13:B17)</f>
        <v>59429.58</v>
      </c>
      <c r="E12" s="233"/>
      <c r="F12" s="233"/>
    </row>
    <row r="13" spans="1:6" ht="12.75">
      <c r="A13" s="350" t="s">
        <v>236</v>
      </c>
      <c r="B13" s="382">
        <v>2845.44</v>
      </c>
      <c r="C13" s="233"/>
      <c r="D13" s="233"/>
      <c r="E13" s="233"/>
      <c r="F13" s="233"/>
    </row>
    <row r="14" spans="1:6" ht="12.75">
      <c r="A14" s="350" t="s">
        <v>237</v>
      </c>
      <c r="B14" s="234">
        <v>0</v>
      </c>
      <c r="C14" s="233"/>
      <c r="D14" s="233"/>
      <c r="E14" s="233"/>
      <c r="F14" s="233"/>
    </row>
    <row r="15" spans="1:6" ht="12.75">
      <c r="A15" s="350" t="s">
        <v>238</v>
      </c>
      <c r="B15" s="382">
        <v>52679.07</v>
      </c>
      <c r="C15" s="233"/>
      <c r="D15" s="233"/>
      <c r="E15" s="233"/>
      <c r="F15" s="233"/>
    </row>
    <row r="16" spans="1:6" ht="12.75">
      <c r="A16" s="350" t="s">
        <v>235</v>
      </c>
      <c r="B16" s="234">
        <v>2848.65</v>
      </c>
      <c r="C16" s="233"/>
      <c r="D16" s="233"/>
      <c r="E16" s="233"/>
      <c r="F16" s="233"/>
    </row>
    <row r="17" spans="1:6" ht="12.75">
      <c r="A17" s="357" t="s">
        <v>239</v>
      </c>
      <c r="B17" s="382">
        <v>1056.42</v>
      </c>
      <c r="C17" s="233"/>
      <c r="D17" s="233"/>
      <c r="E17" s="233"/>
      <c r="F17" s="233"/>
    </row>
    <row r="18" spans="1:6" ht="12.75">
      <c r="A18" s="35" t="s">
        <v>240</v>
      </c>
      <c r="B18" s="233"/>
      <c r="C18" s="233"/>
      <c r="D18" s="233"/>
      <c r="E18" s="233"/>
      <c r="F18" s="35">
        <f>SUM(E19:E101)</f>
        <v>646528.1900000001</v>
      </c>
    </row>
    <row r="19" spans="1:6" s="12" customFormat="1" ht="12.75">
      <c r="A19" s="33" t="s">
        <v>241</v>
      </c>
      <c r="B19" s="35"/>
      <c r="C19" s="35"/>
      <c r="D19" s="35"/>
      <c r="E19" s="35">
        <f>D20</f>
        <v>490541.3</v>
      </c>
      <c r="F19" s="35"/>
    </row>
    <row r="20" spans="1:6" ht="12.75">
      <c r="A20" s="356" t="s">
        <v>242</v>
      </c>
      <c r="B20" s="233"/>
      <c r="C20" s="233"/>
      <c r="D20" s="233">
        <f>C21+C23</f>
        <v>490541.3</v>
      </c>
      <c r="E20" s="233"/>
      <c r="F20" s="233"/>
    </row>
    <row r="21" spans="1:6" ht="12.75">
      <c r="A21" s="357" t="s">
        <v>324</v>
      </c>
      <c r="B21" s="233"/>
      <c r="C21" s="233">
        <f>+B22</f>
        <v>468682.75</v>
      </c>
      <c r="D21" s="233"/>
      <c r="E21" s="233"/>
      <c r="F21" s="233"/>
    </row>
    <row r="22" spans="1:8" ht="12.75">
      <c r="A22" s="357" t="s">
        <v>325</v>
      </c>
      <c r="B22" s="233">
        <v>468682.75</v>
      </c>
      <c r="C22" s="233"/>
      <c r="D22" s="233"/>
      <c r="E22" s="233"/>
      <c r="F22" s="233"/>
      <c r="H22" s="78" t="s">
        <v>5</v>
      </c>
    </row>
    <row r="23" spans="1:6" ht="12.75">
      <c r="A23" s="357" t="s">
        <v>243</v>
      </c>
      <c r="B23" s="233"/>
      <c r="C23" s="233">
        <v>21858.55</v>
      </c>
      <c r="D23" s="233"/>
      <c r="E23" s="233"/>
      <c r="F23" s="233"/>
    </row>
    <row r="24" spans="1:6" s="12" customFormat="1" ht="12.75">
      <c r="A24" s="34" t="s">
        <v>244</v>
      </c>
      <c r="B24" s="35"/>
      <c r="C24" s="35"/>
      <c r="D24" s="35"/>
      <c r="E24" s="35">
        <v>39729.33</v>
      </c>
      <c r="F24" s="35"/>
    </row>
    <row r="25" spans="1:6" ht="12.75">
      <c r="A25" s="357" t="s">
        <v>6</v>
      </c>
      <c r="B25" s="233"/>
      <c r="C25" s="233"/>
      <c r="D25" s="233">
        <f>SUM(C26:C35)</f>
        <v>35669.979999999996</v>
      </c>
      <c r="E25" s="233"/>
      <c r="F25" s="233"/>
    </row>
    <row r="26" spans="1:6" ht="12.75">
      <c r="A26" s="353" t="s">
        <v>245</v>
      </c>
      <c r="B26" s="233"/>
      <c r="C26" s="233">
        <v>26250</v>
      </c>
      <c r="D26" s="233"/>
      <c r="E26" s="233"/>
      <c r="F26" s="233"/>
    </row>
    <row r="27" spans="1:6" ht="12.75">
      <c r="A27" s="353" t="s">
        <v>246</v>
      </c>
      <c r="B27" s="233"/>
      <c r="C27" s="233">
        <v>239</v>
      </c>
      <c r="D27" s="233"/>
      <c r="E27" s="233"/>
      <c r="F27" s="233"/>
    </row>
    <row r="28" spans="1:6" ht="12.75">
      <c r="A28" s="353" t="s">
        <v>247</v>
      </c>
      <c r="B28" s="233"/>
      <c r="C28" s="233">
        <v>2104.16</v>
      </c>
      <c r="D28" s="233"/>
      <c r="E28" s="233"/>
      <c r="F28" s="233"/>
    </row>
    <row r="29" spans="1:6" ht="12.75">
      <c r="A29" s="353" t="s">
        <v>248</v>
      </c>
      <c r="B29" s="233"/>
      <c r="C29" s="233">
        <v>151.1</v>
      </c>
      <c r="D29" s="233"/>
      <c r="E29" s="233"/>
      <c r="F29" s="233"/>
    </row>
    <row r="30" spans="1:6" ht="12.75">
      <c r="A30" s="353" t="s">
        <v>249</v>
      </c>
      <c r="B30" s="233"/>
      <c r="C30" s="233">
        <v>3098.18</v>
      </c>
      <c r="D30" s="233"/>
      <c r="E30" s="233"/>
      <c r="F30" s="233"/>
    </row>
    <row r="31" spans="1:6" ht="12.75">
      <c r="A31" s="353" t="s">
        <v>250</v>
      </c>
      <c r="B31" s="233"/>
      <c r="C31" s="233">
        <v>1300.04</v>
      </c>
      <c r="D31" s="233"/>
      <c r="E31" s="233"/>
      <c r="F31" s="233"/>
    </row>
    <row r="32" spans="1:6" ht="12.75">
      <c r="A32" s="353" t="s">
        <v>251</v>
      </c>
      <c r="B32" s="233"/>
      <c r="C32" s="233">
        <v>131.25</v>
      </c>
      <c r="D32" s="233"/>
      <c r="E32" s="233"/>
      <c r="F32" s="233"/>
    </row>
    <row r="33" spans="1:6" ht="12.75">
      <c r="A33" s="353" t="s">
        <v>252</v>
      </c>
      <c r="B33" s="233"/>
      <c r="C33" s="233">
        <v>131.25</v>
      </c>
      <c r="D33" s="233"/>
      <c r="E33" s="233"/>
      <c r="F33" s="233"/>
    </row>
    <row r="34" spans="1:6" ht="12.75">
      <c r="A34" s="353" t="s">
        <v>253</v>
      </c>
      <c r="B34" s="233"/>
      <c r="C34" s="233">
        <v>1600</v>
      </c>
      <c r="D34" s="233"/>
      <c r="E34" s="233"/>
      <c r="F34" s="233"/>
    </row>
    <row r="35" spans="1:6" ht="12.75">
      <c r="A35" s="353" t="s">
        <v>254</v>
      </c>
      <c r="B35" s="233"/>
      <c r="C35" s="233">
        <v>665</v>
      </c>
      <c r="D35" s="233"/>
      <c r="E35" s="233"/>
      <c r="F35" s="233"/>
    </row>
    <row r="36" spans="1:6" ht="12.75">
      <c r="A36" s="356" t="s">
        <v>255</v>
      </c>
      <c r="B36" s="233"/>
      <c r="C36" s="233"/>
      <c r="D36" s="233">
        <f>SUM(C37:C39)</f>
        <v>3754.45</v>
      </c>
      <c r="E36" s="233"/>
      <c r="F36" s="233"/>
    </row>
    <row r="37" spans="1:6" ht="12.75">
      <c r="A37" s="357" t="s">
        <v>256</v>
      </c>
      <c r="B37" s="233"/>
      <c r="C37" s="233">
        <v>3255.56</v>
      </c>
      <c r="D37" s="233"/>
      <c r="E37" s="233"/>
      <c r="F37" s="233"/>
    </row>
    <row r="38" spans="1:6" ht="12.75">
      <c r="A38" s="357" t="s">
        <v>257</v>
      </c>
      <c r="B38" s="233"/>
      <c r="C38" s="233">
        <v>140</v>
      </c>
      <c r="D38" s="233"/>
      <c r="E38" s="233"/>
      <c r="F38" s="233"/>
    </row>
    <row r="39" spans="1:6" ht="12.75">
      <c r="A39" s="357" t="s">
        <v>258</v>
      </c>
      <c r="B39" s="233"/>
      <c r="C39" s="233">
        <v>358.89</v>
      </c>
      <c r="D39" s="233"/>
      <c r="E39" s="233"/>
      <c r="F39" s="233"/>
    </row>
    <row r="40" spans="1:6" ht="12.75">
      <c r="A40" s="356" t="s">
        <v>259</v>
      </c>
      <c r="B40" s="233"/>
      <c r="C40" s="233"/>
      <c r="D40" s="233">
        <f>SUM(C41:C42)</f>
        <v>304.9</v>
      </c>
      <c r="E40" s="233"/>
      <c r="F40" s="233"/>
    </row>
    <row r="41" spans="1:6" ht="12.75">
      <c r="A41" s="357" t="s">
        <v>260</v>
      </c>
      <c r="B41" s="233"/>
      <c r="C41" s="233">
        <v>148.59</v>
      </c>
      <c r="D41" s="233"/>
      <c r="E41" s="233"/>
      <c r="F41" s="233"/>
    </row>
    <row r="42" spans="1:6" ht="12.75">
      <c r="A42" s="357" t="s">
        <v>261</v>
      </c>
      <c r="B42" s="233"/>
      <c r="C42" s="233">
        <v>156.31</v>
      </c>
      <c r="D42" s="233"/>
      <c r="E42" s="233"/>
      <c r="F42" s="233"/>
    </row>
    <row r="43" spans="1:6" s="12" customFormat="1" ht="12.75">
      <c r="A43" s="33" t="s">
        <v>262</v>
      </c>
      <c r="B43" s="35"/>
      <c r="C43" s="35"/>
      <c r="D43" s="35"/>
      <c r="E43" s="35">
        <f>D44+D46+D51</f>
        <v>18673.409999999996</v>
      </c>
      <c r="F43" s="35"/>
    </row>
    <row r="44" spans="1:6" ht="12.75">
      <c r="A44" s="356" t="s">
        <v>263</v>
      </c>
      <c r="B44" s="233"/>
      <c r="C44" s="233"/>
      <c r="D44" s="233">
        <f>+C45</f>
        <v>520.06</v>
      </c>
      <c r="E44" s="233"/>
      <c r="F44" s="233"/>
    </row>
    <row r="45" spans="1:6" ht="12.75">
      <c r="A45" s="357" t="s">
        <v>264</v>
      </c>
      <c r="B45" s="233"/>
      <c r="C45" s="233">
        <v>520.06</v>
      </c>
      <c r="D45" s="233"/>
      <c r="E45" s="233"/>
      <c r="F45" s="233"/>
    </row>
    <row r="46" spans="1:6" ht="12.75">
      <c r="A46" s="384" t="s">
        <v>265</v>
      </c>
      <c r="B46" s="233"/>
      <c r="C46" s="233"/>
      <c r="D46" s="233">
        <f>SUM(C47:C50)</f>
        <v>4773.469999999999</v>
      </c>
      <c r="E46" s="233"/>
      <c r="F46" s="233"/>
    </row>
    <row r="47" spans="1:6" ht="12.75">
      <c r="A47" s="356" t="s">
        <v>271</v>
      </c>
      <c r="B47" s="233"/>
      <c r="C47" s="233">
        <v>403.34</v>
      </c>
      <c r="D47" s="233"/>
      <c r="E47" s="233"/>
      <c r="F47" s="233"/>
    </row>
    <row r="48" spans="1:6" ht="12.75">
      <c r="A48" s="356" t="s">
        <v>272</v>
      </c>
      <c r="B48" s="233"/>
      <c r="C48" s="233">
        <v>51.5</v>
      </c>
      <c r="D48" s="233"/>
      <c r="E48" s="233"/>
      <c r="F48" s="233"/>
    </row>
    <row r="49" spans="1:6" ht="12.75">
      <c r="A49" s="356" t="s">
        <v>273</v>
      </c>
      <c r="B49" s="233"/>
      <c r="C49" s="233">
        <v>4312.23</v>
      </c>
      <c r="D49" s="233"/>
      <c r="E49" s="233"/>
      <c r="F49" s="233"/>
    </row>
    <row r="50" spans="1:6" ht="12.75">
      <c r="A50" s="356" t="s">
        <v>274</v>
      </c>
      <c r="B50" s="233"/>
      <c r="C50" s="233">
        <v>6.4</v>
      </c>
      <c r="D50" s="233"/>
      <c r="E50" s="233"/>
      <c r="F50" s="233"/>
    </row>
    <row r="51" spans="1:6" ht="12.75">
      <c r="A51" s="384" t="s">
        <v>275</v>
      </c>
      <c r="B51" s="233"/>
      <c r="C51" s="233"/>
      <c r="D51" s="233">
        <f>SUM(C52:C64)</f>
        <v>13379.88</v>
      </c>
      <c r="E51" s="233"/>
      <c r="F51" s="233"/>
    </row>
    <row r="52" spans="1:6" ht="12.75">
      <c r="A52" s="356" t="s">
        <v>276</v>
      </c>
      <c r="B52" s="233"/>
      <c r="C52" s="233">
        <v>47.7</v>
      </c>
      <c r="D52" s="233"/>
      <c r="E52" s="233"/>
      <c r="F52" s="233"/>
    </row>
    <row r="53" spans="1:6" ht="12.75">
      <c r="A53" s="356" t="s">
        <v>277</v>
      </c>
      <c r="B53" s="233"/>
      <c r="C53" s="233">
        <v>2.68</v>
      </c>
      <c r="D53" s="233"/>
      <c r="E53" s="233"/>
      <c r="F53" s="233"/>
    </row>
    <row r="54" spans="1:6" ht="12.75">
      <c r="A54" s="356" t="s">
        <v>278</v>
      </c>
      <c r="B54" s="233"/>
      <c r="C54" s="233">
        <v>870.05</v>
      </c>
      <c r="D54" s="233"/>
      <c r="E54" s="233"/>
      <c r="F54" s="233"/>
    </row>
    <row r="55" spans="1:6" ht="12.75">
      <c r="A55" s="356" t="s">
        <v>279</v>
      </c>
      <c r="B55" s="233"/>
      <c r="C55" s="233">
        <v>0</v>
      </c>
      <c r="D55" s="233"/>
      <c r="E55" s="233"/>
      <c r="F55" s="233"/>
    </row>
    <row r="56" spans="1:6" ht="12.75">
      <c r="A56" s="356" t="s">
        <v>280</v>
      </c>
      <c r="B56" s="233"/>
      <c r="C56" s="233">
        <v>25</v>
      </c>
      <c r="D56" s="233"/>
      <c r="E56" s="233"/>
      <c r="F56" s="233"/>
    </row>
    <row r="57" spans="1:6" ht="12.75">
      <c r="A57" s="356" t="s">
        <v>281</v>
      </c>
      <c r="B57" s="233"/>
      <c r="C57" s="233">
        <v>50</v>
      </c>
      <c r="D57" s="233"/>
      <c r="E57" s="233"/>
      <c r="F57" s="233"/>
    </row>
    <row r="58" spans="1:6" ht="12.75">
      <c r="A58" s="356" t="s">
        <v>282</v>
      </c>
      <c r="B58" s="233"/>
      <c r="C58" s="233">
        <v>30</v>
      </c>
      <c r="D58" s="233"/>
      <c r="E58" s="233"/>
      <c r="F58" s="233"/>
    </row>
    <row r="59" spans="1:6" ht="12.75">
      <c r="A59" s="356" t="s">
        <v>283</v>
      </c>
      <c r="B59" s="233"/>
      <c r="C59" s="233">
        <v>728.7</v>
      </c>
      <c r="D59" s="233"/>
      <c r="E59" s="233"/>
      <c r="F59" s="233"/>
    </row>
    <row r="60" spans="1:6" ht="12.75">
      <c r="A60" s="356" t="s">
        <v>284</v>
      </c>
      <c r="B60" s="233"/>
      <c r="C60" s="233">
        <v>247.91</v>
      </c>
      <c r="D60" s="233"/>
      <c r="E60" s="233"/>
      <c r="F60" s="233"/>
    </row>
    <row r="61" spans="1:6" ht="12.75">
      <c r="A61" s="356" t="s">
        <v>285</v>
      </c>
      <c r="B61" s="233"/>
      <c r="C61" s="233">
        <v>10793.6</v>
      </c>
      <c r="D61" s="233"/>
      <c r="E61" s="233"/>
      <c r="F61" s="233"/>
    </row>
    <row r="62" spans="1:6" ht="12.75">
      <c r="A62" s="356" t="s">
        <v>286</v>
      </c>
      <c r="B62" s="233"/>
      <c r="C62" s="233">
        <v>30</v>
      </c>
      <c r="D62" s="233"/>
      <c r="E62" s="233"/>
      <c r="F62" s="233"/>
    </row>
    <row r="63" spans="1:6" ht="12.75">
      <c r="A63" s="356" t="s">
        <v>287</v>
      </c>
      <c r="B63" s="233"/>
      <c r="C63" s="233">
        <v>470.24</v>
      </c>
      <c r="D63" s="233"/>
      <c r="E63" s="233"/>
      <c r="F63" s="233"/>
    </row>
    <row r="64" spans="1:6" ht="12.75">
      <c r="A64" s="356" t="s">
        <v>288</v>
      </c>
      <c r="B64" s="233"/>
      <c r="C64" s="233">
        <v>84</v>
      </c>
      <c r="D64" s="233"/>
      <c r="E64" s="233"/>
      <c r="F64" s="233"/>
    </row>
    <row r="65" spans="1:6" s="12" customFormat="1" ht="12.75">
      <c r="A65" s="33" t="s">
        <v>289</v>
      </c>
      <c r="B65" s="35"/>
      <c r="C65" s="35"/>
      <c r="D65" s="35"/>
      <c r="E65" s="35">
        <f>SUM(D66:D67)</f>
        <v>2764.55</v>
      </c>
      <c r="F65" s="35"/>
    </row>
    <row r="66" spans="1:6" ht="12.75">
      <c r="A66" s="356" t="s">
        <v>290</v>
      </c>
      <c r="B66" s="233"/>
      <c r="C66" s="233"/>
      <c r="D66" s="233">
        <f>C67</f>
        <v>2764.55</v>
      </c>
      <c r="E66" s="233"/>
      <c r="F66" s="233"/>
    </row>
    <row r="67" spans="1:6" ht="12.75">
      <c r="A67" s="356" t="s">
        <v>290</v>
      </c>
      <c r="B67" s="233" t="s">
        <v>5</v>
      </c>
      <c r="C67" s="233">
        <v>2764.55</v>
      </c>
      <c r="D67" s="233"/>
      <c r="E67" s="233"/>
      <c r="F67" s="233"/>
    </row>
    <row r="68" spans="1:6" s="12" customFormat="1" ht="12.75">
      <c r="A68" s="33" t="s">
        <v>322</v>
      </c>
      <c r="B68" s="35"/>
      <c r="C68" s="35"/>
      <c r="D68" s="35"/>
      <c r="E68" s="35">
        <f>SUM(D69:D88)</f>
        <v>78628.47</v>
      </c>
      <c r="F68" s="35"/>
    </row>
    <row r="69" spans="1:6" ht="12.75">
      <c r="A69" s="356" t="s">
        <v>291</v>
      </c>
      <c r="B69" s="233"/>
      <c r="C69" s="233"/>
      <c r="D69" s="233">
        <v>189.83</v>
      </c>
      <c r="F69" s="233"/>
    </row>
    <row r="70" spans="1:6" ht="12.75">
      <c r="A70" s="356" t="s">
        <v>292</v>
      </c>
      <c r="B70" s="233"/>
      <c r="C70" s="233"/>
      <c r="D70" s="233">
        <v>644.33</v>
      </c>
      <c r="F70" s="233"/>
    </row>
    <row r="71" spans="1:6" ht="12.75">
      <c r="A71" s="356" t="s">
        <v>293</v>
      </c>
      <c r="B71" s="233"/>
      <c r="C71" s="233"/>
      <c r="D71" s="233">
        <v>945.63</v>
      </c>
      <c r="F71" s="233"/>
    </row>
    <row r="72" spans="1:6" ht="12.75">
      <c r="A72" s="356" t="s">
        <v>294</v>
      </c>
      <c r="B72" s="233"/>
      <c r="C72" s="233"/>
      <c r="D72" s="233">
        <v>594.31</v>
      </c>
      <c r="F72" s="233"/>
    </row>
    <row r="73" spans="1:6" ht="12.75">
      <c r="A73" s="356" t="s">
        <v>295</v>
      </c>
      <c r="B73" s="233"/>
      <c r="C73" s="233"/>
      <c r="D73" s="233">
        <v>480</v>
      </c>
      <c r="F73" s="233"/>
    </row>
    <row r="74" spans="1:6" ht="12.75">
      <c r="A74" s="356" t="s">
        <v>296</v>
      </c>
      <c r="B74" s="233"/>
      <c r="C74" s="233"/>
      <c r="D74" s="35">
        <f>SUM(C75:C79)</f>
        <v>23702.079999999998</v>
      </c>
      <c r="F74" s="233"/>
    </row>
    <row r="75" spans="1:6" ht="12.75">
      <c r="A75" s="357" t="s">
        <v>297</v>
      </c>
      <c r="B75" s="233"/>
      <c r="C75" s="233">
        <v>3513.51</v>
      </c>
      <c r="E75" s="233"/>
      <c r="F75" s="233"/>
    </row>
    <row r="76" spans="1:6" ht="12.75">
      <c r="A76" s="357" t="s">
        <v>298</v>
      </c>
      <c r="B76" s="233"/>
      <c r="C76" s="233">
        <v>2360</v>
      </c>
      <c r="E76" s="233"/>
      <c r="F76" s="233"/>
    </row>
    <row r="77" spans="1:6" ht="12.75">
      <c r="A77" s="357" t="s">
        <v>299</v>
      </c>
      <c r="B77" s="233"/>
      <c r="C77" s="233">
        <v>606.48</v>
      </c>
      <c r="E77" s="233"/>
      <c r="F77" s="233"/>
    </row>
    <row r="78" spans="1:6" ht="12.75">
      <c r="A78" s="357" t="s">
        <v>300</v>
      </c>
      <c r="B78" s="233"/>
      <c r="C78" s="233">
        <v>16395.15</v>
      </c>
      <c r="E78" s="233"/>
      <c r="F78" s="233"/>
    </row>
    <row r="79" spans="1:6" ht="12.75">
      <c r="A79" s="357" t="s">
        <v>301</v>
      </c>
      <c r="B79" s="233"/>
      <c r="C79" s="233">
        <v>826.94</v>
      </c>
      <c r="E79" s="233"/>
      <c r="F79" s="233"/>
    </row>
    <row r="80" spans="1:6" ht="12.75">
      <c r="A80" s="356" t="s">
        <v>323</v>
      </c>
      <c r="B80" s="233"/>
      <c r="C80" s="233"/>
      <c r="D80" s="233">
        <v>4057.07</v>
      </c>
      <c r="E80" s="233"/>
      <c r="F80" s="233"/>
    </row>
    <row r="81" spans="1:6" ht="12.75">
      <c r="A81" s="356" t="s">
        <v>302</v>
      </c>
      <c r="B81" s="233"/>
      <c r="C81" s="233"/>
      <c r="D81" s="233">
        <v>101.7</v>
      </c>
      <c r="E81" s="233"/>
      <c r="F81" s="233"/>
    </row>
    <row r="82" spans="1:6" ht="12.75">
      <c r="A82" s="356" t="s">
        <v>303</v>
      </c>
      <c r="B82" s="233"/>
      <c r="C82" s="233"/>
      <c r="D82" s="233">
        <v>282.35</v>
      </c>
      <c r="E82" s="233"/>
      <c r="F82" s="233"/>
    </row>
    <row r="83" spans="1:6" ht="12.75">
      <c r="A83" s="356" t="s">
        <v>304</v>
      </c>
      <c r="B83" s="233"/>
      <c r="C83" s="233"/>
      <c r="D83" s="233">
        <v>3791.19</v>
      </c>
      <c r="E83" s="233"/>
      <c r="F83" s="233"/>
    </row>
    <row r="84" spans="1:6" ht="12.75">
      <c r="A84" s="356" t="s">
        <v>305</v>
      </c>
      <c r="B84" s="233"/>
      <c r="C84" s="233"/>
      <c r="D84" s="233">
        <v>2180.5</v>
      </c>
      <c r="E84" s="233"/>
      <c r="F84" s="233"/>
    </row>
    <row r="85" spans="1:6" ht="12.75">
      <c r="A85" s="356" t="s">
        <v>330</v>
      </c>
      <c r="B85" s="233"/>
      <c r="C85" s="233"/>
      <c r="D85" s="78">
        <v>173.97</v>
      </c>
      <c r="E85" s="233"/>
      <c r="F85" s="233"/>
    </row>
    <row r="86" spans="1:6" ht="12.75">
      <c r="A86" s="356" t="s">
        <v>306</v>
      </c>
      <c r="B86" s="233"/>
      <c r="C86" s="233"/>
      <c r="D86" s="233">
        <v>199.71</v>
      </c>
      <c r="E86" s="233"/>
      <c r="F86" s="233"/>
    </row>
    <row r="87" spans="1:6" ht="12.75">
      <c r="A87" s="356" t="s">
        <v>307</v>
      </c>
      <c r="B87" s="233"/>
      <c r="C87" s="233"/>
      <c r="D87" s="233">
        <v>39</v>
      </c>
      <c r="E87" s="233"/>
      <c r="F87" s="233"/>
    </row>
    <row r="88" spans="1:6" ht="12.75">
      <c r="A88" s="356" t="s">
        <v>308</v>
      </c>
      <c r="B88" s="233"/>
      <c r="C88" s="233"/>
      <c r="D88" s="233">
        <v>41246.8</v>
      </c>
      <c r="E88" s="233"/>
      <c r="F88" s="233"/>
    </row>
    <row r="89" spans="1:6" s="12" customFormat="1" ht="12.75">
      <c r="A89" s="33" t="s">
        <v>309</v>
      </c>
      <c r="B89" s="35"/>
      <c r="C89" s="35"/>
      <c r="E89" s="35">
        <f>SUM(D90:D98)</f>
        <v>16191.130000000001</v>
      </c>
      <c r="F89" s="35"/>
    </row>
    <row r="90" spans="1:6" ht="12.75">
      <c r="A90" s="356" t="s">
        <v>310</v>
      </c>
      <c r="B90" s="233"/>
      <c r="C90" s="233"/>
      <c r="D90" s="233">
        <v>36.28</v>
      </c>
      <c r="E90" s="233"/>
      <c r="F90" s="233"/>
    </row>
    <row r="91" spans="1:6" ht="12.75">
      <c r="A91" s="356" t="s">
        <v>311</v>
      </c>
      <c r="B91" s="233"/>
      <c r="C91" s="233"/>
      <c r="D91" s="233">
        <v>1246.9</v>
      </c>
      <c r="E91" s="233"/>
      <c r="F91" s="233"/>
    </row>
    <row r="92" spans="1:6" ht="12.75">
      <c r="A92" s="356" t="s">
        <v>312</v>
      </c>
      <c r="B92" s="233"/>
      <c r="C92" s="233"/>
      <c r="D92" s="233">
        <f>SUM(C93:C96)</f>
        <v>3912.43</v>
      </c>
      <c r="E92" s="233"/>
      <c r="F92" s="233"/>
    </row>
    <row r="93" spans="1:6" ht="12.75">
      <c r="A93" s="357" t="s">
        <v>313</v>
      </c>
      <c r="B93" s="233"/>
      <c r="C93" s="233">
        <v>3767.73</v>
      </c>
      <c r="D93" s="233"/>
      <c r="E93" s="233"/>
      <c r="F93" s="233"/>
    </row>
    <row r="94" spans="1:6" ht="12.75">
      <c r="A94" s="357" t="s">
        <v>314</v>
      </c>
      <c r="B94" s="233"/>
      <c r="C94" s="233">
        <v>24.7</v>
      </c>
      <c r="D94" s="233"/>
      <c r="E94" s="233"/>
      <c r="F94" s="233"/>
    </row>
    <row r="95" spans="1:6" ht="12.75">
      <c r="A95" s="357" t="s">
        <v>315</v>
      </c>
      <c r="B95" s="233"/>
      <c r="C95" s="233">
        <v>120</v>
      </c>
      <c r="D95" s="233"/>
      <c r="E95" s="233"/>
      <c r="F95" s="233"/>
    </row>
    <row r="96" spans="1:6" ht="12.75">
      <c r="A96" s="357" t="s">
        <v>316</v>
      </c>
      <c r="B96" s="233"/>
      <c r="C96" s="233">
        <v>0</v>
      </c>
      <c r="E96" s="233"/>
      <c r="F96" s="233"/>
    </row>
    <row r="97" spans="1:6" ht="12.75">
      <c r="A97" s="233" t="s">
        <v>275</v>
      </c>
      <c r="B97" s="233"/>
      <c r="C97" s="233"/>
      <c r="D97" s="233">
        <f>SUM(C98:C101)</f>
        <v>10995.52</v>
      </c>
      <c r="E97" s="233"/>
      <c r="F97" s="233"/>
    </row>
    <row r="98" spans="1:6" ht="12.75">
      <c r="A98" s="233" t="s">
        <v>317</v>
      </c>
      <c r="C98" s="233">
        <v>1364.13</v>
      </c>
      <c r="D98" s="233"/>
      <c r="E98" s="233"/>
      <c r="F98" s="233"/>
    </row>
    <row r="99" spans="1:6" ht="12.75">
      <c r="A99" s="233" t="s">
        <v>318</v>
      </c>
      <c r="C99" s="233">
        <v>217.85</v>
      </c>
      <c r="D99" s="233"/>
      <c r="E99" s="233"/>
      <c r="F99" s="233"/>
    </row>
    <row r="100" spans="1:6" ht="12.75">
      <c r="A100" s="233" t="s">
        <v>319</v>
      </c>
      <c r="C100" s="233">
        <v>1412.58</v>
      </c>
      <c r="D100" s="233"/>
      <c r="E100" s="233"/>
      <c r="F100" s="233"/>
    </row>
    <row r="101" spans="1:6" ht="13.5" thickBot="1">
      <c r="A101" s="233" t="s">
        <v>320</v>
      </c>
      <c r="C101" s="233">
        <v>8000.96</v>
      </c>
      <c r="D101" s="233"/>
      <c r="E101" s="233"/>
      <c r="F101" s="390"/>
    </row>
    <row r="102" spans="1:6" s="12" customFormat="1" ht="13.5" thickBot="1">
      <c r="A102" s="395" t="s">
        <v>321</v>
      </c>
      <c r="B102" s="396"/>
      <c r="C102" s="396"/>
      <c r="D102" s="396"/>
      <c r="E102" s="396"/>
      <c r="F102" s="397">
        <f>F5-F18</f>
        <v>3247.04999999993</v>
      </c>
    </row>
    <row r="103" spans="1:6" ht="12.75">
      <c r="A103" s="392" t="s">
        <v>326</v>
      </c>
      <c r="B103" s="393"/>
      <c r="C103" s="393"/>
      <c r="D103" s="393"/>
      <c r="E103" s="393"/>
      <c r="F103" s="362">
        <f>F102*0.15</f>
        <v>487.0574999999895</v>
      </c>
    </row>
    <row r="104" spans="1:6" ht="12.75">
      <c r="A104" s="349" t="s">
        <v>327</v>
      </c>
      <c r="B104" s="77"/>
      <c r="C104" s="77"/>
      <c r="D104" s="77"/>
      <c r="E104" s="77"/>
      <c r="F104" s="363">
        <f>F102-F103</f>
        <v>2759.9924999999407</v>
      </c>
    </row>
    <row r="105" spans="1:6" ht="13.5" thickBot="1">
      <c r="A105" s="349" t="s">
        <v>328</v>
      </c>
      <c r="B105" s="77"/>
      <c r="C105" s="77"/>
      <c r="D105" s="77"/>
      <c r="E105" s="77"/>
      <c r="F105" s="363">
        <f>F104*0.25</f>
        <v>689.9981249999852</v>
      </c>
    </row>
    <row r="106" spans="1:6" ht="13.5" thickBot="1">
      <c r="A106" s="63" t="s">
        <v>329</v>
      </c>
      <c r="B106" s="64"/>
      <c r="C106" s="64"/>
      <c r="D106" s="64"/>
      <c r="E106" s="64"/>
      <c r="F106" s="41">
        <f>F104-F105</f>
        <v>2069.9943749999557</v>
      </c>
    </row>
    <row r="107" ht="12.75">
      <c r="A107" s="78" t="s">
        <v>1054</v>
      </c>
    </row>
    <row r="110" ht="12.75">
      <c r="A110" s="116" t="s">
        <v>5</v>
      </c>
    </row>
  </sheetData>
  <sheetProtection password="CC4D" sheet="1" objects="1" scenarios="1" selectLockedCells="1" selectUnlockedCells="1"/>
  <mergeCells count="2">
    <mergeCell ref="A3:F3"/>
    <mergeCell ref="A2:F2"/>
  </mergeCells>
  <printOptions horizontalCentered="1" verticalCentered="1"/>
  <pageMargins left="0.7874015748031497" right="0.7874015748031497" top="0.37" bottom="0.43" header="0" footer="0"/>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64"/>
  <sheetViews>
    <sheetView zoomScale="95" zoomScaleNormal="95" workbookViewId="0" topLeftCell="G1">
      <selection activeCell="H25" sqref="H25"/>
    </sheetView>
  </sheetViews>
  <sheetFormatPr defaultColWidth="11.421875" defaultRowHeight="12.75"/>
  <cols>
    <col min="1" max="1" width="20.00390625" style="266" hidden="1" customWidth="1"/>
    <col min="2" max="2" width="24.57421875" style="266" hidden="1" customWidth="1"/>
    <col min="3" max="3" width="18.00390625" style="266" hidden="1" customWidth="1"/>
    <col min="4" max="6" width="0" style="266" hidden="1" customWidth="1"/>
    <col min="7" max="16384" width="11.421875" style="266" customWidth="1"/>
  </cols>
  <sheetData>
    <row r="1" spans="1:6" ht="12.75">
      <c r="A1" s="754" t="s">
        <v>710</v>
      </c>
      <c r="B1" s="754"/>
      <c r="C1" s="754"/>
      <c r="D1" s="754"/>
      <c r="E1" s="754"/>
      <c r="F1" s="754"/>
    </row>
    <row r="2" spans="1:6" ht="13.5" thickBot="1">
      <c r="A2" s="754" t="s">
        <v>1052</v>
      </c>
      <c r="B2" s="754"/>
      <c r="C2" s="754"/>
      <c r="D2" s="754"/>
      <c r="E2" s="754"/>
      <c r="F2" s="754"/>
    </row>
    <row r="3" spans="1:6" ht="12.75">
      <c r="A3" s="418" t="s">
        <v>640</v>
      </c>
      <c r="B3" s="419"/>
      <c r="C3" s="419"/>
      <c r="D3" s="419"/>
      <c r="E3" s="419"/>
      <c r="F3" s="420"/>
    </row>
    <row r="4" spans="1:6" ht="12.75">
      <c r="A4" s="281"/>
      <c r="B4" s="282"/>
      <c r="C4" s="282"/>
      <c r="D4" s="282"/>
      <c r="E4" s="282"/>
      <c r="F4" s="304"/>
    </row>
    <row r="5" spans="1:6" ht="30" customHeight="1">
      <c r="A5" s="751" t="s">
        <v>641</v>
      </c>
      <c r="B5" s="752"/>
      <c r="C5" s="752"/>
      <c r="D5" s="752"/>
      <c r="E5" s="752"/>
      <c r="F5" s="753"/>
    </row>
    <row r="6" spans="1:6" ht="12.75">
      <c r="A6" s="281"/>
      <c r="B6" s="282"/>
      <c r="C6" s="282"/>
      <c r="D6" s="282"/>
      <c r="E6" s="282"/>
      <c r="F6" s="304"/>
    </row>
    <row r="7" spans="1:6" ht="12.75">
      <c r="A7" s="281" t="s">
        <v>642</v>
      </c>
      <c r="B7" s="282"/>
      <c r="C7" s="282"/>
      <c r="D7" s="282"/>
      <c r="E7" s="282"/>
      <c r="F7" s="304"/>
    </row>
    <row r="8" spans="1:6" ht="12.75">
      <c r="A8" s="281"/>
      <c r="B8" s="282"/>
      <c r="C8" s="282"/>
      <c r="D8" s="282"/>
      <c r="E8" s="282"/>
      <c r="F8" s="304"/>
    </row>
    <row r="9" spans="1:6" ht="12.75">
      <c r="A9" s="281" t="s">
        <v>643</v>
      </c>
      <c r="B9" s="282">
        <v>128300</v>
      </c>
      <c r="C9" s="282"/>
      <c r="D9" s="282"/>
      <c r="E9" s="282"/>
      <c r="F9" s="304"/>
    </row>
    <row r="10" spans="1:6" ht="12.75">
      <c r="A10" s="281" t="s">
        <v>644</v>
      </c>
      <c r="B10" s="282">
        <v>118746.25</v>
      </c>
      <c r="C10" s="282"/>
      <c r="D10" s="282"/>
      <c r="E10" s="282"/>
      <c r="F10" s="304"/>
    </row>
    <row r="11" spans="1:6" ht="12.75">
      <c r="A11" s="281" t="s">
        <v>645</v>
      </c>
      <c r="B11" s="66">
        <f>B9/B10</f>
        <v>1.080455172268598</v>
      </c>
      <c r="C11" s="282"/>
      <c r="D11" s="282"/>
      <c r="E11" s="282"/>
      <c r="F11" s="304"/>
    </row>
    <row r="12" spans="1:6" ht="13.5" thickBot="1">
      <c r="A12" s="424"/>
      <c r="B12" s="425"/>
      <c r="C12" s="425"/>
      <c r="D12" s="425"/>
      <c r="E12" s="425"/>
      <c r="F12" s="426"/>
    </row>
    <row r="13" spans="1:6" ht="12.75">
      <c r="A13" s="347" t="s">
        <v>646</v>
      </c>
      <c r="B13" s="282"/>
      <c r="C13" s="282"/>
      <c r="D13" s="282"/>
      <c r="E13" s="282"/>
      <c r="F13" s="304"/>
    </row>
    <row r="14" spans="1:6" ht="12.75">
      <c r="A14" s="281"/>
      <c r="B14" s="282"/>
      <c r="C14" s="282"/>
      <c r="D14" s="282"/>
      <c r="E14" s="282"/>
      <c r="F14" s="304"/>
    </row>
    <row r="15" spans="1:6" ht="39.75" customHeight="1">
      <c r="A15" s="751" t="s">
        <v>647</v>
      </c>
      <c r="B15" s="752"/>
      <c r="C15" s="752"/>
      <c r="D15" s="752"/>
      <c r="E15" s="752"/>
      <c r="F15" s="753"/>
    </row>
    <row r="16" spans="1:6" ht="12.75">
      <c r="A16" s="281"/>
      <c r="B16" s="282"/>
      <c r="C16" s="282"/>
      <c r="D16" s="282"/>
      <c r="E16" s="282"/>
      <c r="F16" s="304"/>
    </row>
    <row r="17" spans="1:6" ht="12.75">
      <c r="A17" s="281"/>
      <c r="B17" s="282" t="s">
        <v>648</v>
      </c>
      <c r="C17" s="282"/>
      <c r="D17" s="282"/>
      <c r="E17" s="282"/>
      <c r="F17" s="304"/>
    </row>
    <row r="18" spans="1:6" ht="12.75">
      <c r="A18" s="281"/>
      <c r="B18" s="282"/>
      <c r="C18" s="282"/>
      <c r="D18" s="282"/>
      <c r="E18" s="282"/>
      <c r="F18" s="304"/>
    </row>
    <row r="19" spans="1:6" ht="12.75">
      <c r="A19" s="281"/>
      <c r="B19" s="282" t="s">
        <v>649</v>
      </c>
      <c r="C19" s="282"/>
      <c r="D19" s="282"/>
      <c r="E19" s="282"/>
      <c r="F19" s="304"/>
    </row>
    <row r="20" spans="1:6" ht="12.75">
      <c r="A20" s="281"/>
      <c r="B20" s="282"/>
      <c r="C20" s="282"/>
      <c r="D20" s="282"/>
      <c r="E20" s="282"/>
      <c r="F20" s="304"/>
    </row>
    <row r="21" spans="1:6" ht="12.75">
      <c r="A21" s="281" t="s">
        <v>650</v>
      </c>
      <c r="B21" s="282">
        <v>118746.25</v>
      </c>
      <c r="C21" s="282"/>
      <c r="D21" s="282"/>
      <c r="E21" s="282"/>
      <c r="F21" s="304"/>
    </row>
    <row r="22" spans="1:6" ht="12.75">
      <c r="A22" s="281" t="s">
        <v>651</v>
      </c>
      <c r="B22" s="282">
        <v>156649</v>
      </c>
      <c r="C22" s="282"/>
      <c r="D22" s="282"/>
      <c r="E22" s="282"/>
      <c r="F22" s="304"/>
    </row>
    <row r="23" spans="1:6" ht="12.75">
      <c r="A23" s="281" t="s">
        <v>652</v>
      </c>
      <c r="B23" s="282">
        <v>275395.33</v>
      </c>
      <c r="C23" s="282"/>
      <c r="D23" s="282"/>
      <c r="E23" s="282"/>
      <c r="F23" s="304"/>
    </row>
    <row r="24" spans="1:6" ht="12.75">
      <c r="A24" s="281" t="s">
        <v>0</v>
      </c>
      <c r="B24" s="282"/>
      <c r="C24" s="66">
        <f>B21/B22</f>
        <v>0.7580402683706886</v>
      </c>
      <c r="D24" s="282"/>
      <c r="E24" s="282"/>
      <c r="F24" s="304"/>
    </row>
    <row r="25" spans="1:6" ht="12.75">
      <c r="A25" s="281" t="s">
        <v>1</v>
      </c>
      <c r="B25" s="282"/>
      <c r="C25" s="66">
        <f>B21/B23</f>
        <v>0.43118469002361076</v>
      </c>
      <c r="D25" s="282"/>
      <c r="E25" s="282"/>
      <c r="F25" s="304"/>
    </row>
    <row r="26" spans="1:6" ht="13.5" thickBot="1">
      <c r="A26" s="281"/>
      <c r="B26" s="282"/>
      <c r="C26" s="282"/>
      <c r="D26" s="282"/>
      <c r="E26" s="282"/>
      <c r="F26" s="304"/>
    </row>
    <row r="27" spans="1:6" ht="12.75">
      <c r="A27" s="418" t="s">
        <v>653</v>
      </c>
      <c r="B27" s="419"/>
      <c r="C27" s="419"/>
      <c r="D27" s="419"/>
      <c r="E27" s="419"/>
      <c r="F27" s="420"/>
    </row>
    <row r="28" spans="1:6" ht="12.75">
      <c r="A28" s="281"/>
      <c r="B28" s="282"/>
      <c r="C28" s="282"/>
      <c r="D28" s="282"/>
      <c r="E28" s="282"/>
      <c r="F28" s="304"/>
    </row>
    <row r="29" spans="1:6" ht="12.75">
      <c r="A29" s="281" t="s">
        <v>654</v>
      </c>
      <c r="B29" s="282"/>
      <c r="C29" s="282"/>
      <c r="D29" s="282"/>
      <c r="E29" s="77"/>
      <c r="F29" s="304"/>
    </row>
    <row r="30" spans="1:6" ht="12.75">
      <c r="A30" s="281"/>
      <c r="B30" s="282"/>
      <c r="C30" s="282"/>
      <c r="D30" s="282"/>
      <c r="E30" s="282"/>
      <c r="F30" s="304"/>
    </row>
    <row r="31" spans="1:6" ht="12.75">
      <c r="A31" s="281" t="s">
        <v>655</v>
      </c>
      <c r="B31" s="282">
        <f>C!F106</f>
        <v>2069.9943749999557</v>
      </c>
      <c r="C31" s="282"/>
      <c r="D31" s="282"/>
      <c r="E31" s="282"/>
      <c r="F31" s="304"/>
    </row>
    <row r="32" spans="1:6" ht="12.75">
      <c r="A32" s="281" t="s">
        <v>656</v>
      </c>
      <c r="B32" s="282">
        <f>B23</f>
        <v>275395.33</v>
      </c>
      <c r="C32" s="422" t="s">
        <v>2</v>
      </c>
      <c r="D32" s="423">
        <f>B31/B32</f>
        <v>0.007516446901986157</v>
      </c>
      <c r="E32" s="282"/>
      <c r="F32" s="304"/>
    </row>
    <row r="33" spans="1:6" ht="12.75">
      <c r="A33" s="281"/>
      <c r="B33" s="282"/>
      <c r="C33" s="282"/>
      <c r="D33" s="282"/>
      <c r="E33" s="282"/>
      <c r="F33" s="304"/>
    </row>
    <row r="34" spans="1:6" ht="12.75">
      <c r="A34" s="281"/>
      <c r="B34" s="282"/>
      <c r="C34" s="282"/>
      <c r="D34" s="282"/>
      <c r="E34" s="282"/>
      <c r="F34" s="304"/>
    </row>
    <row r="35" spans="1:6" ht="12.75">
      <c r="A35" s="281"/>
      <c r="B35" s="282"/>
      <c r="C35" s="282"/>
      <c r="D35" s="282"/>
      <c r="E35" s="282"/>
      <c r="F35" s="304"/>
    </row>
    <row r="36" spans="1:6" ht="12.75">
      <c r="A36" s="281" t="s">
        <v>657</v>
      </c>
      <c r="B36" s="282"/>
      <c r="C36" s="282"/>
      <c r="D36" s="282"/>
      <c r="E36" s="282"/>
      <c r="F36" s="304"/>
    </row>
    <row r="37" spans="1:6" ht="12.75">
      <c r="A37" s="281"/>
      <c r="B37" s="282"/>
      <c r="C37" s="282"/>
      <c r="D37" s="282"/>
      <c r="E37" s="282"/>
      <c r="F37" s="304"/>
    </row>
    <row r="38" spans="1:6" ht="12.75">
      <c r="A38" s="281"/>
      <c r="B38" s="282"/>
      <c r="C38" s="282" t="s">
        <v>655</v>
      </c>
      <c r="D38" s="282">
        <f>B31</f>
        <v>2069.9943749999557</v>
      </c>
      <c r="E38" s="282"/>
      <c r="F38" s="304"/>
    </row>
    <row r="39" spans="1:6" ht="12.75">
      <c r="A39" s="281"/>
      <c r="B39" s="282" t="s">
        <v>3</v>
      </c>
      <c r="C39" s="282" t="s">
        <v>658</v>
      </c>
      <c r="D39" s="282">
        <f>B22</f>
        <v>156649</v>
      </c>
      <c r="E39" s="423">
        <f>D38/D39</f>
        <v>0.013214220167380294</v>
      </c>
      <c r="F39" s="304"/>
    </row>
    <row r="40" spans="1:6" ht="13.5" thickBot="1">
      <c r="A40" s="281"/>
      <c r="B40" s="282"/>
      <c r="C40" s="282"/>
      <c r="D40" s="282"/>
      <c r="E40" s="282"/>
      <c r="F40" s="304"/>
    </row>
    <row r="41" spans="1:6" ht="12.75">
      <c r="A41" s="418" t="s">
        <v>659</v>
      </c>
      <c r="B41" s="419"/>
      <c r="C41" s="419"/>
      <c r="D41" s="419"/>
      <c r="E41" s="419"/>
      <c r="F41" s="420"/>
    </row>
    <row r="42" spans="1:6" ht="12.75">
      <c r="A42" s="281"/>
      <c r="B42" s="282"/>
      <c r="C42" s="282"/>
      <c r="D42" s="282"/>
      <c r="E42" s="282"/>
      <c r="F42" s="304"/>
    </row>
    <row r="43" spans="1:6" ht="12.75">
      <c r="A43" s="281" t="s">
        <v>660</v>
      </c>
      <c r="B43" s="282"/>
      <c r="C43" s="282"/>
      <c r="D43" s="282"/>
      <c r="E43" s="282"/>
      <c r="F43" s="304"/>
    </row>
    <row r="44" spans="1:6" ht="12.75">
      <c r="A44" s="281"/>
      <c r="B44" s="282"/>
      <c r="C44" s="282"/>
      <c r="D44" s="282"/>
      <c r="E44" s="282"/>
      <c r="F44" s="304"/>
    </row>
    <row r="45" spans="1:6" ht="12.75">
      <c r="A45" s="281" t="s">
        <v>662</v>
      </c>
      <c r="B45" s="282" t="s">
        <v>661</v>
      </c>
      <c r="C45" s="282">
        <f>(C!F4-C!E19-C!E24)</f>
        <v>80605.47</v>
      </c>
      <c r="D45" s="423">
        <f>C45/C46</f>
        <v>0.136539447075803</v>
      </c>
      <c r="E45" s="282"/>
      <c r="F45" s="304"/>
    </row>
    <row r="46" spans="1:6" ht="12.75">
      <c r="A46" s="281"/>
      <c r="B46" s="282" t="s">
        <v>663</v>
      </c>
      <c r="C46" s="282">
        <f>C!E5</f>
        <v>590345.66</v>
      </c>
      <c r="D46" s="282"/>
      <c r="E46" s="282"/>
      <c r="F46" s="304"/>
    </row>
    <row r="47" spans="1:6" ht="12.75">
      <c r="A47" s="281"/>
      <c r="B47" s="282"/>
      <c r="C47" s="282"/>
      <c r="D47" s="282"/>
      <c r="E47" s="282"/>
      <c r="F47" s="304"/>
    </row>
    <row r="48" spans="1:6" ht="12.75">
      <c r="A48" s="281" t="s">
        <v>664</v>
      </c>
      <c r="B48" s="282"/>
      <c r="C48" s="282"/>
      <c r="D48" s="282"/>
      <c r="E48" s="282"/>
      <c r="F48" s="304"/>
    </row>
    <row r="49" spans="1:6" ht="12.75">
      <c r="A49" s="281"/>
      <c r="B49" s="282"/>
      <c r="C49" s="282"/>
      <c r="D49" s="282"/>
      <c r="E49" s="282"/>
      <c r="F49" s="304"/>
    </row>
    <row r="50" spans="1:6" ht="12.75">
      <c r="A50" s="281"/>
      <c r="B50" s="282"/>
      <c r="C50" s="282"/>
      <c r="D50" s="282"/>
      <c r="E50" s="282"/>
      <c r="F50" s="304"/>
    </row>
    <row r="51" spans="1:6" ht="12.75">
      <c r="A51" s="281" t="s">
        <v>666</v>
      </c>
      <c r="B51" s="282" t="s">
        <v>665</v>
      </c>
      <c r="C51" s="282">
        <f>(C!E5-C!E19)</f>
        <v>99804.36000000004</v>
      </c>
      <c r="D51" s="423">
        <f>C51/C52</f>
        <v>0.16906088544802725</v>
      </c>
      <c r="E51" s="282"/>
      <c r="F51" s="304"/>
    </row>
    <row r="52" spans="1:6" ht="12.75">
      <c r="A52" s="281"/>
      <c r="B52" s="282" t="s">
        <v>667</v>
      </c>
      <c r="C52" s="282">
        <f>C46</f>
        <v>590345.66</v>
      </c>
      <c r="D52" s="282"/>
      <c r="E52" s="282"/>
      <c r="F52" s="304" t="s">
        <v>5</v>
      </c>
    </row>
    <row r="53" spans="1:6" ht="12.75">
      <c r="A53" s="281"/>
      <c r="B53" s="282"/>
      <c r="C53" s="282"/>
      <c r="D53" s="282"/>
      <c r="E53" s="282"/>
      <c r="F53" s="304"/>
    </row>
    <row r="54" spans="1:6" ht="12.75">
      <c r="A54" s="281" t="s">
        <v>668</v>
      </c>
      <c r="B54" s="282"/>
      <c r="C54" s="282"/>
      <c r="D54" s="282"/>
      <c r="E54" s="282"/>
      <c r="F54" s="304"/>
    </row>
    <row r="55" spans="1:6" ht="12.75">
      <c r="A55" s="281"/>
      <c r="B55" s="282"/>
      <c r="C55" s="282"/>
      <c r="D55" s="282"/>
      <c r="E55" s="282"/>
      <c r="F55" s="304"/>
    </row>
    <row r="56" spans="1:6" ht="12.75">
      <c r="A56" s="281" t="s">
        <v>666</v>
      </c>
      <c r="B56" s="282" t="s">
        <v>669</v>
      </c>
      <c r="C56" s="282">
        <f>C!F102</f>
        <v>3247.04999999993</v>
      </c>
      <c r="D56" s="423">
        <f>C56/C57</f>
        <v>0.005500252174293837</v>
      </c>
      <c r="E56" s="282"/>
      <c r="F56" s="304"/>
    </row>
    <row r="57" spans="1:7" ht="12.75">
      <c r="A57" s="281"/>
      <c r="B57" s="282" t="s">
        <v>667</v>
      </c>
      <c r="C57" s="282">
        <f>C52</f>
        <v>590345.66</v>
      </c>
      <c r="D57" s="282"/>
      <c r="E57" s="282"/>
      <c r="F57" s="304"/>
      <c r="G57" s="266" t="s">
        <v>5</v>
      </c>
    </row>
    <row r="58" spans="1:6" ht="12.75">
      <c r="A58" s="281"/>
      <c r="B58" s="282"/>
      <c r="C58" s="282"/>
      <c r="D58" s="282"/>
      <c r="E58" s="282"/>
      <c r="F58" s="304"/>
    </row>
    <row r="59" spans="1:6" ht="12.75">
      <c r="A59" s="281" t="s">
        <v>670</v>
      </c>
      <c r="B59" s="282"/>
      <c r="C59" s="282"/>
      <c r="D59" s="282"/>
      <c r="E59" s="282"/>
      <c r="F59" s="304"/>
    </row>
    <row r="60" spans="1:6" ht="12.75">
      <c r="A60" s="281"/>
      <c r="B60" s="282"/>
      <c r="C60" s="282"/>
      <c r="D60" s="282"/>
      <c r="E60" s="282"/>
      <c r="F60" s="304"/>
    </row>
    <row r="61" spans="1:6" ht="12.75">
      <c r="A61" s="281" t="s">
        <v>671</v>
      </c>
      <c r="B61" s="282"/>
      <c r="C61" s="282"/>
      <c r="D61" s="282"/>
      <c r="E61" s="282"/>
      <c r="F61" s="304"/>
    </row>
    <row r="62" spans="1:6" ht="12.75">
      <c r="A62" s="281" t="s">
        <v>673</v>
      </c>
      <c r="B62" s="282" t="s">
        <v>672</v>
      </c>
      <c r="C62" s="282">
        <f>C57-(C!E24+C!E19)</f>
        <v>21175.890000000014</v>
      </c>
      <c r="D62" s="423">
        <f>C62/C63</f>
        <v>0.03720487474238137</v>
      </c>
      <c r="E62" s="282"/>
      <c r="F62" s="304"/>
    </row>
    <row r="63" spans="1:6" ht="13.5" thickBot="1">
      <c r="A63" s="424" t="s">
        <v>674</v>
      </c>
      <c r="B63" s="425" t="s">
        <v>675</v>
      </c>
      <c r="C63" s="425">
        <f>+(C!E19+C!E24)</f>
        <v>569169.77</v>
      </c>
      <c r="D63" s="425"/>
      <c r="E63" s="425"/>
      <c r="F63" s="426"/>
    </row>
    <row r="64" ht="12.75">
      <c r="A64" s="266" t="s">
        <v>1060</v>
      </c>
    </row>
  </sheetData>
  <sheetProtection password="CC4D" sheet="1" objects="1" scenarios="1" selectLockedCells="1" selectUnlockedCells="1"/>
  <mergeCells count="4">
    <mergeCell ref="A5:F5"/>
    <mergeCell ref="A15:F15"/>
    <mergeCell ref="A2:F2"/>
    <mergeCell ref="A1:F1"/>
  </mergeCells>
  <printOptions horizontalCentered="1" verticalCentered="1"/>
  <pageMargins left="0.7874015748031497" right="0.7874015748031497" top="0.984251968503937" bottom="0.984251968503937" header="0" footer="0"/>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107"/>
  <sheetViews>
    <sheetView zoomScale="95" zoomScaleNormal="95" workbookViewId="0" topLeftCell="I1">
      <selection activeCell="H25" sqref="H25"/>
    </sheetView>
  </sheetViews>
  <sheetFormatPr defaultColWidth="11.421875" defaultRowHeight="12.75"/>
  <cols>
    <col min="1" max="1" width="58.00390625" style="266" hidden="1" customWidth="1"/>
    <col min="2" max="2" width="16.28125" style="266" hidden="1" customWidth="1"/>
    <col min="3" max="3" width="13.8515625" style="266" hidden="1" customWidth="1"/>
    <col min="4" max="4" width="13.140625" style="266" hidden="1" customWidth="1"/>
    <col min="5" max="5" width="11.57421875" style="266" hidden="1" customWidth="1"/>
    <col min="6" max="6" width="17.00390625" style="266" hidden="1" customWidth="1"/>
    <col min="7" max="7" width="12.57421875" style="266" hidden="1" customWidth="1"/>
    <col min="8" max="8" width="0" style="266" hidden="1" customWidth="1"/>
    <col min="9" max="16384" width="11.421875" style="266" customWidth="1"/>
  </cols>
  <sheetData>
    <row r="1" spans="1:8" ht="18">
      <c r="A1" s="757" t="s">
        <v>711</v>
      </c>
      <c r="B1" s="757"/>
      <c r="C1" s="757"/>
      <c r="D1" s="757"/>
      <c r="E1" s="757"/>
      <c r="F1" s="757"/>
      <c r="G1" s="757"/>
      <c r="H1" s="757"/>
    </row>
    <row r="2" spans="1:8" ht="18">
      <c r="A2" s="750" t="s">
        <v>1051</v>
      </c>
      <c r="B2" s="750"/>
      <c r="C2" s="750"/>
      <c r="D2" s="750"/>
      <c r="E2" s="750"/>
      <c r="F2" s="750"/>
      <c r="G2" s="750"/>
      <c r="H2" s="750"/>
    </row>
    <row r="3" ht="13.5" thickBot="1">
      <c r="H3" s="371" t="s">
        <v>607</v>
      </c>
    </row>
    <row r="4" spans="1:8" s="377" customFormat="1" ht="13.5" thickBot="1">
      <c r="A4" s="372" t="s">
        <v>228</v>
      </c>
      <c r="B4" s="373"/>
      <c r="C4" s="374"/>
      <c r="D4" s="373"/>
      <c r="E4" s="373"/>
      <c r="F4" s="375">
        <f>E5+E10</f>
        <v>649775.24</v>
      </c>
      <c r="G4" s="376">
        <f>SUM(B4:F4)</f>
        <v>649775.24</v>
      </c>
      <c r="H4" s="228">
        <f>G4/$G$4</f>
        <v>1</v>
      </c>
    </row>
    <row r="5" spans="1:8" s="12" customFormat="1" ht="12.75">
      <c r="A5" s="32" t="s">
        <v>233</v>
      </c>
      <c r="B5" s="35"/>
      <c r="C5" s="378"/>
      <c r="D5" s="35"/>
      <c r="E5" s="35">
        <f>+D6</f>
        <v>590345.66</v>
      </c>
      <c r="F5" s="35"/>
      <c r="G5" s="376">
        <f aca="true" t="shared" si="0" ref="G5:G68">SUM(B5:F5)</f>
        <v>590345.66</v>
      </c>
      <c r="H5" s="379">
        <f aca="true" t="shared" si="1" ref="H5:H68">G5/$G$4</f>
        <v>0.9085382508573273</v>
      </c>
    </row>
    <row r="6" spans="1:8" s="78" customFormat="1" ht="12.75">
      <c r="A6" s="348" t="s">
        <v>229</v>
      </c>
      <c r="B6" s="233"/>
      <c r="C6" s="363"/>
      <c r="D6" s="233">
        <f>+C7+C8+C9</f>
        <v>590345.66</v>
      </c>
      <c r="E6" s="233"/>
      <c r="F6" s="233"/>
      <c r="G6" s="376">
        <f t="shared" si="0"/>
        <v>590345.66</v>
      </c>
      <c r="H6" s="379">
        <f t="shared" si="1"/>
        <v>0.9085382508573273</v>
      </c>
    </row>
    <row r="7" spans="1:8" s="78" customFormat="1" ht="12.75">
      <c r="A7" s="350" t="s">
        <v>230</v>
      </c>
      <c r="B7" s="233"/>
      <c r="C7" s="132">
        <v>27373.51</v>
      </c>
      <c r="D7" s="233"/>
      <c r="E7" s="233"/>
      <c r="F7" s="233"/>
      <c r="G7" s="376">
        <f t="shared" si="0"/>
        <v>27373.51</v>
      </c>
      <c r="H7" s="379">
        <f t="shared" si="1"/>
        <v>0.04212765940419644</v>
      </c>
    </row>
    <row r="8" spans="1:8" s="78" customFormat="1" ht="12.75">
      <c r="A8" s="350" t="s">
        <v>231</v>
      </c>
      <c r="B8" s="233"/>
      <c r="C8" s="132">
        <v>563906.5</v>
      </c>
      <c r="D8" s="233"/>
      <c r="E8" s="233"/>
      <c r="F8" s="233"/>
      <c r="G8" s="376">
        <f t="shared" si="0"/>
        <v>563906.5</v>
      </c>
      <c r="H8" s="379">
        <f t="shared" si="1"/>
        <v>0.8678485502156099</v>
      </c>
    </row>
    <row r="9" spans="1:8" s="78" customFormat="1" ht="12.75">
      <c r="A9" s="350" t="s">
        <v>232</v>
      </c>
      <c r="B9" s="233"/>
      <c r="C9" s="380">
        <v>-934.35</v>
      </c>
      <c r="D9" s="233"/>
      <c r="E9" s="233"/>
      <c r="F9" s="233"/>
      <c r="G9" s="376">
        <f t="shared" si="0"/>
        <v>-934.35</v>
      </c>
      <c r="H9" s="379">
        <f t="shared" si="1"/>
        <v>-0.0014379587624791612</v>
      </c>
    </row>
    <row r="10" spans="1:8" s="12" customFormat="1" ht="12.75">
      <c r="A10" s="32" t="s">
        <v>234</v>
      </c>
      <c r="B10" s="35"/>
      <c r="C10" s="378"/>
      <c r="D10" s="35"/>
      <c r="E10" s="36">
        <f>D11</f>
        <v>59429.58</v>
      </c>
      <c r="F10" s="35"/>
      <c r="G10" s="376">
        <f t="shared" si="0"/>
        <v>59429.58</v>
      </c>
      <c r="H10" s="381">
        <f t="shared" si="1"/>
        <v>0.09146174914267279</v>
      </c>
    </row>
    <row r="11" spans="1:8" s="78" customFormat="1" ht="12.75">
      <c r="A11" s="348" t="s">
        <v>235</v>
      </c>
      <c r="B11" s="233"/>
      <c r="C11" s="363"/>
      <c r="D11" s="233">
        <f>SUM(B13:B17)</f>
        <v>59429.58</v>
      </c>
      <c r="E11" s="233"/>
      <c r="F11" s="233"/>
      <c r="G11" s="376">
        <f t="shared" si="0"/>
        <v>59429.58</v>
      </c>
      <c r="H11" s="381">
        <f t="shared" si="1"/>
        <v>0.09146174914267279</v>
      </c>
    </row>
    <row r="12" spans="1:8" s="78" customFormat="1" ht="12.75">
      <c r="A12" s="350" t="s">
        <v>235</v>
      </c>
      <c r="B12" s="233"/>
      <c r="C12" s="77">
        <f>SUM(B13:B17)</f>
        <v>59429.58</v>
      </c>
      <c r="D12" s="233"/>
      <c r="E12" s="233"/>
      <c r="F12" s="233"/>
      <c r="G12" s="376">
        <f t="shared" si="0"/>
        <v>59429.58</v>
      </c>
      <c r="H12" s="381">
        <f t="shared" si="1"/>
        <v>0.09146174914267279</v>
      </c>
    </row>
    <row r="13" spans="1:8" s="78" customFormat="1" ht="12.75">
      <c r="A13" s="351" t="s">
        <v>236</v>
      </c>
      <c r="B13" s="382">
        <v>2845.44</v>
      </c>
      <c r="D13" s="233"/>
      <c r="E13" s="233"/>
      <c r="F13" s="233"/>
      <c r="G13" s="376">
        <f t="shared" si="0"/>
        <v>2845.44</v>
      </c>
      <c r="H13" s="379">
        <f t="shared" si="1"/>
        <v>0.00437911423032986</v>
      </c>
    </row>
    <row r="14" spans="1:8" s="78" customFormat="1" ht="12.75">
      <c r="A14" s="351" t="s">
        <v>237</v>
      </c>
      <c r="B14" s="234">
        <v>0</v>
      </c>
      <c r="D14" s="233"/>
      <c r="E14" s="233"/>
      <c r="F14" s="233"/>
      <c r="G14" s="376">
        <f t="shared" si="0"/>
        <v>0</v>
      </c>
      <c r="H14" s="379">
        <f t="shared" si="1"/>
        <v>0</v>
      </c>
    </row>
    <row r="15" spans="1:8" s="78" customFormat="1" ht="12.75">
      <c r="A15" s="351" t="s">
        <v>238</v>
      </c>
      <c r="B15" s="382">
        <v>52679.07</v>
      </c>
      <c r="D15" s="233"/>
      <c r="E15" s="233"/>
      <c r="F15" s="233"/>
      <c r="G15" s="376">
        <f t="shared" si="0"/>
        <v>52679.07</v>
      </c>
      <c r="H15" s="269"/>
    </row>
    <row r="16" spans="1:8" s="78" customFormat="1" ht="12.75">
      <c r="A16" s="351" t="s">
        <v>235</v>
      </c>
      <c r="B16" s="382">
        <v>2848.65</v>
      </c>
      <c r="D16" s="233"/>
      <c r="E16" s="233"/>
      <c r="F16" s="233"/>
      <c r="G16" s="376">
        <f t="shared" si="0"/>
        <v>2848.65</v>
      </c>
      <c r="H16" s="379">
        <f t="shared" si="1"/>
        <v>0.004384054400103026</v>
      </c>
    </row>
    <row r="17" spans="1:8" s="78" customFormat="1" ht="13.5" thickBot="1">
      <c r="A17" s="353" t="s">
        <v>239</v>
      </c>
      <c r="B17" s="382">
        <v>1056.42</v>
      </c>
      <c r="D17" s="233"/>
      <c r="E17" s="233"/>
      <c r="F17" s="233"/>
      <c r="G17" s="376">
        <f t="shared" si="0"/>
        <v>1056.42</v>
      </c>
      <c r="H17" s="379">
        <f t="shared" si="1"/>
        <v>0.0016258237232923804</v>
      </c>
    </row>
    <row r="18" spans="1:8" s="377" customFormat="1" ht="13.5" thickBot="1">
      <c r="A18" s="383" t="s">
        <v>240</v>
      </c>
      <c r="B18" s="373"/>
      <c r="C18" s="374"/>
      <c r="D18" s="373"/>
      <c r="E18" s="373"/>
      <c r="F18" s="375">
        <f>SUM(E19:E101)</f>
        <v>646528.1900000001</v>
      </c>
      <c r="G18" s="376">
        <f t="shared" si="0"/>
        <v>646528.1900000001</v>
      </c>
      <c r="H18" s="228">
        <f t="shared" si="1"/>
        <v>0.9950028105102928</v>
      </c>
    </row>
    <row r="19" spans="1:8" s="12" customFormat="1" ht="12.75">
      <c r="A19" s="33" t="s">
        <v>241</v>
      </c>
      <c r="B19" s="35"/>
      <c r="C19" s="378"/>
      <c r="D19" s="35"/>
      <c r="E19" s="35">
        <f>D20</f>
        <v>490541.3</v>
      </c>
      <c r="F19" s="35"/>
      <c r="G19" s="376">
        <f t="shared" si="0"/>
        <v>490541.3</v>
      </c>
      <c r="H19" s="269">
        <f t="shared" si="1"/>
        <v>0.7549399697039856</v>
      </c>
    </row>
    <row r="20" spans="1:8" s="78" customFormat="1" ht="12.75">
      <c r="A20" s="356" t="s">
        <v>242</v>
      </c>
      <c r="B20" s="233"/>
      <c r="C20" s="363"/>
      <c r="D20" s="233">
        <f>C21+C23</f>
        <v>490541.3</v>
      </c>
      <c r="E20" s="233"/>
      <c r="F20" s="233"/>
      <c r="G20" s="376">
        <f t="shared" si="0"/>
        <v>490541.3</v>
      </c>
      <c r="H20" s="269">
        <f t="shared" si="1"/>
        <v>0.7549399697039856</v>
      </c>
    </row>
    <row r="21" spans="1:8" s="78" customFormat="1" ht="12.75">
      <c r="A21" s="357" t="s">
        <v>324</v>
      </c>
      <c r="B21" s="233"/>
      <c r="C21" s="363">
        <f>+B22</f>
        <v>468682.75</v>
      </c>
      <c r="D21" s="233"/>
      <c r="E21" s="233"/>
      <c r="F21" s="233"/>
      <c r="G21" s="376">
        <f t="shared" si="0"/>
        <v>468682.75</v>
      </c>
      <c r="H21" s="269">
        <f t="shared" si="1"/>
        <v>0.721299798988955</v>
      </c>
    </row>
    <row r="22" spans="1:8" s="78" customFormat="1" ht="12.75">
      <c r="A22" s="353" t="s">
        <v>325</v>
      </c>
      <c r="B22" s="382">
        <v>468682.75</v>
      </c>
      <c r="C22" s="363"/>
      <c r="D22" s="233"/>
      <c r="E22" s="233"/>
      <c r="F22" s="233"/>
      <c r="G22" s="376">
        <f t="shared" si="0"/>
        <v>468682.75</v>
      </c>
      <c r="H22" s="269">
        <f t="shared" si="1"/>
        <v>0.721299798988955</v>
      </c>
    </row>
    <row r="23" spans="1:8" s="78" customFormat="1" ht="12.75">
      <c r="A23" s="357" t="s">
        <v>243</v>
      </c>
      <c r="B23" s="233"/>
      <c r="C23" s="363">
        <v>21858.55</v>
      </c>
      <c r="D23" s="233"/>
      <c r="E23" s="233"/>
      <c r="F23" s="233"/>
      <c r="G23" s="376">
        <f t="shared" si="0"/>
        <v>21858.55</v>
      </c>
      <c r="H23" s="269">
        <f t="shared" si="1"/>
        <v>0.03364017071503063</v>
      </c>
    </row>
    <row r="24" spans="1:8" s="12" customFormat="1" ht="12.75">
      <c r="A24" s="33" t="s">
        <v>322</v>
      </c>
      <c r="B24" s="35"/>
      <c r="C24" s="378"/>
      <c r="D24" s="35"/>
      <c r="E24" s="35">
        <f>SUM(D25:D44)</f>
        <v>78628.47</v>
      </c>
      <c r="F24" s="35"/>
      <c r="G24" s="376">
        <f t="shared" si="0"/>
        <v>78628.47</v>
      </c>
      <c r="H24" s="269">
        <f t="shared" si="1"/>
        <v>0.12100871987673768</v>
      </c>
    </row>
    <row r="25" spans="1:10" s="78" customFormat="1" ht="12.75">
      <c r="A25" s="356" t="s">
        <v>291</v>
      </c>
      <c r="B25" s="233"/>
      <c r="C25" s="363"/>
      <c r="D25" s="233">
        <v>189.83</v>
      </c>
      <c r="E25" s="77"/>
      <c r="F25" s="233"/>
      <c r="G25" s="376">
        <f t="shared" si="0"/>
        <v>189.83</v>
      </c>
      <c r="H25" s="379">
        <f t="shared" si="1"/>
        <v>0.00029214717384429734</v>
      </c>
      <c r="J25" s="78" t="s">
        <v>5</v>
      </c>
    </row>
    <row r="26" spans="1:8" s="78" customFormat="1" ht="12.75">
      <c r="A26" s="356" t="s">
        <v>292</v>
      </c>
      <c r="B26" s="233"/>
      <c r="C26" s="363"/>
      <c r="D26" s="382">
        <v>644.33</v>
      </c>
      <c r="E26" s="77"/>
      <c r="F26" s="233"/>
      <c r="G26" s="376">
        <f t="shared" si="0"/>
        <v>644.33</v>
      </c>
      <c r="H26" s="379">
        <f t="shared" si="1"/>
        <v>0.000991619809951515</v>
      </c>
    </row>
    <row r="27" spans="1:8" s="78" customFormat="1" ht="12.75">
      <c r="A27" s="356" t="s">
        <v>293</v>
      </c>
      <c r="B27" s="233"/>
      <c r="C27" s="363"/>
      <c r="D27" s="382">
        <v>945.63</v>
      </c>
      <c r="E27" s="77"/>
      <c r="F27" s="233"/>
      <c r="G27" s="376">
        <f t="shared" si="0"/>
        <v>945.63</v>
      </c>
      <c r="H27" s="379">
        <f t="shared" si="1"/>
        <v>0.0014553186114016903</v>
      </c>
    </row>
    <row r="28" spans="1:8" s="78" customFormat="1" ht="12.75">
      <c r="A28" s="356" t="s">
        <v>294</v>
      </c>
      <c r="B28" s="233"/>
      <c r="C28" s="363"/>
      <c r="D28" s="233">
        <v>594.31</v>
      </c>
      <c r="E28" s="77"/>
      <c r="F28" s="233"/>
      <c r="G28" s="376">
        <f t="shared" si="0"/>
        <v>594.31</v>
      </c>
      <c r="H28" s="379">
        <f t="shared" si="1"/>
        <v>0.0009146393451372508</v>
      </c>
    </row>
    <row r="29" spans="1:8" s="78" customFormat="1" ht="12.75">
      <c r="A29" s="356" t="s">
        <v>295</v>
      </c>
      <c r="B29" s="233"/>
      <c r="C29" s="363"/>
      <c r="D29" s="233">
        <v>480</v>
      </c>
      <c r="E29" s="77"/>
      <c r="F29" s="233"/>
      <c r="G29" s="376">
        <f t="shared" si="0"/>
        <v>480</v>
      </c>
      <c r="H29" s="379">
        <f t="shared" si="1"/>
        <v>0.0007387169754267645</v>
      </c>
    </row>
    <row r="30" spans="1:8" s="78" customFormat="1" ht="12.75">
      <c r="A30" s="356" t="s">
        <v>296</v>
      </c>
      <c r="B30" s="233"/>
      <c r="C30" s="363"/>
      <c r="D30" s="233">
        <f>SUM(C31:C35)</f>
        <v>23702.079999999998</v>
      </c>
      <c r="E30" s="77"/>
      <c r="F30" s="233"/>
      <c r="G30" s="376">
        <f t="shared" si="0"/>
        <v>23702.079999999998</v>
      </c>
      <c r="H30" s="379">
        <f t="shared" si="1"/>
        <v>0.03647735176859001</v>
      </c>
    </row>
    <row r="31" spans="1:8" s="78" customFormat="1" ht="12.75">
      <c r="A31" s="357" t="s">
        <v>297</v>
      </c>
      <c r="B31" s="233"/>
      <c r="C31" s="363">
        <v>3513.51</v>
      </c>
      <c r="D31" s="77"/>
      <c r="E31" s="233"/>
      <c r="F31" s="233"/>
      <c r="G31" s="376">
        <f t="shared" si="0"/>
        <v>3513.51</v>
      </c>
      <c r="H31" s="379">
        <f t="shared" si="1"/>
        <v>0.005407269750691024</v>
      </c>
    </row>
    <row r="32" spans="1:8" s="78" customFormat="1" ht="12.75">
      <c r="A32" s="357" t="s">
        <v>298</v>
      </c>
      <c r="B32" s="233"/>
      <c r="C32" s="363">
        <v>2360</v>
      </c>
      <c r="D32" s="77"/>
      <c r="E32" s="233"/>
      <c r="F32" s="233"/>
      <c r="G32" s="376">
        <f t="shared" si="0"/>
        <v>2360</v>
      </c>
      <c r="H32" s="379">
        <f t="shared" si="1"/>
        <v>0.003632025129181592</v>
      </c>
    </row>
    <row r="33" spans="1:8" s="78" customFormat="1" ht="12.75">
      <c r="A33" s="357" t="s">
        <v>299</v>
      </c>
      <c r="B33" s="233"/>
      <c r="C33" s="363">
        <v>606.48</v>
      </c>
      <c r="D33" s="77"/>
      <c r="E33" s="233"/>
      <c r="F33" s="233"/>
      <c r="G33" s="376">
        <f t="shared" si="0"/>
        <v>606.48</v>
      </c>
      <c r="H33" s="379">
        <f t="shared" si="1"/>
        <v>0.000933368898451717</v>
      </c>
    </row>
    <row r="34" spans="1:8" s="78" customFormat="1" ht="12.75">
      <c r="A34" s="357" t="s">
        <v>300</v>
      </c>
      <c r="B34" s="233"/>
      <c r="C34" s="363">
        <v>16395.15</v>
      </c>
      <c r="D34" s="77"/>
      <c r="E34" s="233"/>
      <c r="F34" s="233"/>
      <c r="G34" s="376">
        <f t="shared" si="0"/>
        <v>16395.15</v>
      </c>
      <c r="H34" s="379">
        <f t="shared" si="1"/>
        <v>0.02523203254097525</v>
      </c>
    </row>
    <row r="35" spans="1:8" s="78" customFormat="1" ht="12.75">
      <c r="A35" s="357" t="s">
        <v>301</v>
      </c>
      <c r="B35" s="233"/>
      <c r="C35" s="363">
        <v>826.94</v>
      </c>
      <c r="D35" s="77"/>
      <c r="E35" s="233"/>
      <c r="F35" s="233"/>
      <c r="G35" s="376">
        <f t="shared" si="0"/>
        <v>826.94</v>
      </c>
      <c r="H35" s="379">
        <f t="shared" si="1"/>
        <v>0.0012726554492904346</v>
      </c>
    </row>
    <row r="36" spans="1:8" s="78" customFormat="1" ht="12.75">
      <c r="A36" s="356" t="s">
        <v>323</v>
      </c>
      <c r="B36" s="233"/>
      <c r="C36" s="363"/>
      <c r="D36" s="233">
        <v>4057.07</v>
      </c>
      <c r="E36" s="233"/>
      <c r="F36" s="233"/>
      <c r="G36" s="376">
        <f t="shared" si="0"/>
        <v>4057.07</v>
      </c>
      <c r="H36" s="379">
        <f t="shared" si="1"/>
        <v>0.006243805165613883</v>
      </c>
    </row>
    <row r="37" spans="1:8" s="78" customFormat="1" ht="12.75">
      <c r="A37" s="356" t="s">
        <v>302</v>
      </c>
      <c r="B37" s="233"/>
      <c r="C37" s="363"/>
      <c r="D37" s="233">
        <v>101.7</v>
      </c>
      <c r="E37" s="233"/>
      <c r="F37" s="233"/>
      <c r="G37" s="376">
        <f t="shared" si="0"/>
        <v>101.7</v>
      </c>
      <c r="H37" s="379">
        <f t="shared" si="1"/>
        <v>0.00015651565916854573</v>
      </c>
    </row>
    <row r="38" spans="1:8" s="78" customFormat="1" ht="12.75">
      <c r="A38" s="356" t="s">
        <v>303</v>
      </c>
      <c r="B38" s="233"/>
      <c r="C38" s="363"/>
      <c r="D38" s="233">
        <v>282.35</v>
      </c>
      <c r="E38" s="233"/>
      <c r="F38" s="233"/>
      <c r="G38" s="376">
        <f t="shared" si="0"/>
        <v>282.35</v>
      </c>
      <c r="H38" s="379">
        <f t="shared" si="1"/>
        <v>0.0004345348708578062</v>
      </c>
    </row>
    <row r="39" spans="1:8" s="78" customFormat="1" ht="12.75">
      <c r="A39" s="356" t="s">
        <v>304</v>
      </c>
      <c r="B39" s="233"/>
      <c r="C39" s="363"/>
      <c r="D39" s="233">
        <v>3791.19</v>
      </c>
      <c r="E39" s="233"/>
      <c r="F39" s="233"/>
      <c r="G39" s="376">
        <f t="shared" si="0"/>
        <v>3791.19</v>
      </c>
      <c r="H39" s="379">
        <f t="shared" si="1"/>
        <v>0.005834617520975407</v>
      </c>
    </row>
    <row r="40" spans="1:8" s="78" customFormat="1" ht="12.75">
      <c r="A40" s="356" t="s">
        <v>305</v>
      </c>
      <c r="B40" s="233"/>
      <c r="C40" s="363"/>
      <c r="D40" s="233">
        <v>2180.5</v>
      </c>
      <c r="E40" s="233"/>
      <c r="F40" s="233"/>
      <c r="G40" s="376">
        <f t="shared" si="0"/>
        <v>2180.5</v>
      </c>
      <c r="H40" s="379">
        <f t="shared" si="1"/>
        <v>0.0033557757602459583</v>
      </c>
    </row>
    <row r="41" spans="1:8" s="78" customFormat="1" ht="12.75">
      <c r="A41" s="356" t="s">
        <v>330</v>
      </c>
      <c r="B41" s="233"/>
      <c r="C41" s="363"/>
      <c r="D41" s="77">
        <v>173.97</v>
      </c>
      <c r="E41" s="233"/>
      <c r="F41" s="233"/>
      <c r="G41" s="376">
        <f t="shared" si="0"/>
        <v>173.97</v>
      </c>
      <c r="H41" s="379">
        <f t="shared" si="1"/>
        <v>0.000267738733781238</v>
      </c>
    </row>
    <row r="42" spans="1:8" s="78" customFormat="1" ht="12.75">
      <c r="A42" s="356" t="s">
        <v>306</v>
      </c>
      <c r="B42" s="233"/>
      <c r="C42" s="363"/>
      <c r="D42" s="233">
        <v>199.71</v>
      </c>
      <c r="E42" s="233"/>
      <c r="F42" s="233"/>
      <c r="G42" s="376">
        <f t="shared" si="0"/>
        <v>199.71</v>
      </c>
      <c r="H42" s="379">
        <f t="shared" si="1"/>
        <v>0.0003073524315884982</v>
      </c>
    </row>
    <row r="43" spans="1:8" s="78" customFormat="1" ht="12.75">
      <c r="A43" s="356" t="s">
        <v>307</v>
      </c>
      <c r="B43" s="233"/>
      <c r="C43" s="363"/>
      <c r="D43" s="233">
        <v>39</v>
      </c>
      <c r="E43" s="233"/>
      <c r="F43" s="233"/>
      <c r="G43" s="376">
        <f t="shared" si="0"/>
        <v>39</v>
      </c>
      <c r="H43" s="379">
        <f t="shared" si="1"/>
        <v>6.0020754253424615E-05</v>
      </c>
    </row>
    <row r="44" spans="1:8" s="78" customFormat="1" ht="12.75">
      <c r="A44" s="356" t="s">
        <v>308</v>
      </c>
      <c r="B44" s="233"/>
      <c r="C44" s="363"/>
      <c r="D44" s="233">
        <v>41246.8</v>
      </c>
      <c r="E44" s="233"/>
      <c r="F44" s="233"/>
      <c r="G44" s="376">
        <f t="shared" si="0"/>
        <v>41246.8</v>
      </c>
      <c r="H44" s="379">
        <f t="shared" si="1"/>
        <v>0.0634785652959014</v>
      </c>
    </row>
    <row r="45" spans="1:8" s="12" customFormat="1" ht="12.75">
      <c r="A45" s="33" t="s">
        <v>244</v>
      </c>
      <c r="B45" s="35"/>
      <c r="C45" s="378"/>
      <c r="D45" s="35"/>
      <c r="E45" s="35">
        <v>39729.33</v>
      </c>
      <c r="F45" s="35"/>
      <c r="G45" s="376">
        <f t="shared" si="0"/>
        <v>39729.33</v>
      </c>
      <c r="H45" s="379">
        <f t="shared" si="1"/>
        <v>0.061143188527774624</v>
      </c>
    </row>
    <row r="46" spans="1:8" s="78" customFormat="1" ht="12.75">
      <c r="A46" s="356" t="s">
        <v>6</v>
      </c>
      <c r="B46" s="233"/>
      <c r="C46" s="363"/>
      <c r="D46" s="233">
        <f>SUM(C47:C56)</f>
        <v>35669.979999999996</v>
      </c>
      <c r="E46" s="233"/>
      <c r="F46" s="233"/>
      <c r="G46" s="376">
        <f t="shared" si="0"/>
        <v>35669.979999999996</v>
      </c>
      <c r="H46" s="379">
        <f t="shared" si="1"/>
        <v>0.05489587445652745</v>
      </c>
    </row>
    <row r="47" spans="1:8" s="78" customFormat="1" ht="12.75">
      <c r="A47" s="357" t="s">
        <v>245</v>
      </c>
      <c r="B47" s="233"/>
      <c r="C47" s="363">
        <v>26250</v>
      </c>
      <c r="D47" s="233"/>
      <c r="E47" s="233"/>
      <c r="F47" s="233"/>
      <c r="G47" s="376">
        <f t="shared" si="0"/>
        <v>26250</v>
      </c>
      <c r="H47" s="379">
        <f t="shared" si="1"/>
        <v>0.040398584593651185</v>
      </c>
    </row>
    <row r="48" spans="1:8" s="78" customFormat="1" ht="12.75">
      <c r="A48" s="357" t="s">
        <v>246</v>
      </c>
      <c r="B48" s="233"/>
      <c r="C48" s="363">
        <v>239</v>
      </c>
      <c r="D48" s="233"/>
      <c r="E48" s="233"/>
      <c r="F48" s="233"/>
      <c r="G48" s="376">
        <f t="shared" si="0"/>
        <v>239</v>
      </c>
      <c r="H48" s="379">
        <f t="shared" si="1"/>
        <v>0.0003678194940145765</v>
      </c>
    </row>
    <row r="49" spans="1:8" s="78" customFormat="1" ht="12.75">
      <c r="A49" s="357" t="s">
        <v>247</v>
      </c>
      <c r="B49" s="233"/>
      <c r="C49" s="363">
        <v>2104.16</v>
      </c>
      <c r="D49" s="233"/>
      <c r="E49" s="233"/>
      <c r="F49" s="233"/>
      <c r="G49" s="376">
        <f t="shared" si="0"/>
        <v>2104.16</v>
      </c>
      <c r="H49" s="379">
        <f t="shared" si="1"/>
        <v>0.0032382889812791263</v>
      </c>
    </row>
    <row r="50" spans="1:8" s="78" customFormat="1" ht="12.75">
      <c r="A50" s="357" t="s">
        <v>248</v>
      </c>
      <c r="B50" s="233"/>
      <c r="C50" s="363">
        <v>151.1</v>
      </c>
      <c r="D50" s="233"/>
      <c r="E50" s="233"/>
      <c r="F50" s="233"/>
      <c r="G50" s="376">
        <f t="shared" si="0"/>
        <v>151.1</v>
      </c>
      <c r="H50" s="379">
        <f t="shared" si="1"/>
        <v>0.00023254194788955023</v>
      </c>
    </row>
    <row r="51" spans="1:8" s="78" customFormat="1" ht="12.75">
      <c r="A51" s="357" t="s">
        <v>249</v>
      </c>
      <c r="B51" s="233"/>
      <c r="C51" s="363">
        <v>3098.18</v>
      </c>
      <c r="D51" s="233"/>
      <c r="E51" s="233"/>
      <c r="F51" s="233"/>
      <c r="G51" s="376">
        <f t="shared" si="0"/>
        <v>3098.18</v>
      </c>
      <c r="H51" s="379">
        <f t="shared" si="1"/>
        <v>0.004768079497766028</v>
      </c>
    </row>
    <row r="52" spans="1:8" s="78" customFormat="1" ht="12.75">
      <c r="A52" s="357" t="s">
        <v>250</v>
      </c>
      <c r="B52" s="233"/>
      <c r="C52" s="363">
        <v>1300.04</v>
      </c>
      <c r="D52" s="233"/>
      <c r="E52" s="233"/>
      <c r="F52" s="233"/>
      <c r="G52" s="376">
        <f t="shared" si="0"/>
        <v>1300.04</v>
      </c>
      <c r="H52" s="379">
        <f t="shared" si="1"/>
        <v>0.0020007533681954395</v>
      </c>
    </row>
    <row r="53" spans="1:8" s="78" customFormat="1" ht="12.75">
      <c r="A53" s="357" t="s">
        <v>251</v>
      </c>
      <c r="B53" s="233"/>
      <c r="C53" s="363">
        <v>131.25</v>
      </c>
      <c r="D53" s="233"/>
      <c r="E53" s="233"/>
      <c r="F53" s="233"/>
      <c r="G53" s="376">
        <f t="shared" si="0"/>
        <v>131.25</v>
      </c>
      <c r="H53" s="379">
        <f t="shared" si="1"/>
        <v>0.00020199292296825593</v>
      </c>
    </row>
    <row r="54" spans="1:8" s="78" customFormat="1" ht="12.75">
      <c r="A54" s="357" t="s">
        <v>252</v>
      </c>
      <c r="B54" s="233"/>
      <c r="C54" s="363">
        <v>131.25</v>
      </c>
      <c r="D54" s="233"/>
      <c r="E54" s="233"/>
      <c r="F54" s="233"/>
      <c r="G54" s="376">
        <f t="shared" si="0"/>
        <v>131.25</v>
      </c>
      <c r="H54" s="379">
        <f t="shared" si="1"/>
        <v>0.00020199292296825593</v>
      </c>
    </row>
    <row r="55" spans="1:8" s="78" customFormat="1" ht="12.75">
      <c r="A55" s="357" t="s">
        <v>253</v>
      </c>
      <c r="B55" s="233"/>
      <c r="C55" s="363">
        <v>1600</v>
      </c>
      <c r="D55" s="233"/>
      <c r="E55" s="233"/>
      <c r="F55" s="233"/>
      <c r="G55" s="376">
        <f t="shared" si="0"/>
        <v>1600</v>
      </c>
      <c r="H55" s="379">
        <f t="shared" si="1"/>
        <v>0.002462389918089215</v>
      </c>
    </row>
    <row r="56" spans="1:8" s="78" customFormat="1" ht="12.75">
      <c r="A56" s="357" t="s">
        <v>254</v>
      </c>
      <c r="B56" s="233"/>
      <c r="C56" s="363">
        <v>665</v>
      </c>
      <c r="D56" s="233"/>
      <c r="E56" s="233"/>
      <c r="F56" s="233"/>
      <c r="G56" s="376">
        <f t="shared" si="0"/>
        <v>665</v>
      </c>
      <c r="H56" s="379">
        <f t="shared" si="1"/>
        <v>0.00102343080970583</v>
      </c>
    </row>
    <row r="57" spans="1:8" s="78" customFormat="1" ht="12.75">
      <c r="A57" s="356" t="s">
        <v>255</v>
      </c>
      <c r="B57" s="233"/>
      <c r="C57" s="363"/>
      <c r="D57" s="233">
        <f>SUM(C58:C60)</f>
        <v>3754.45</v>
      </c>
      <c r="E57" s="233"/>
      <c r="F57" s="233"/>
      <c r="G57" s="376">
        <f t="shared" si="0"/>
        <v>3754.45</v>
      </c>
      <c r="H57" s="379">
        <f t="shared" si="1"/>
        <v>0.005778074892481283</v>
      </c>
    </row>
    <row r="58" spans="1:8" s="78" customFormat="1" ht="12.75">
      <c r="A58" s="357" t="s">
        <v>256</v>
      </c>
      <c r="B58" s="233"/>
      <c r="C58" s="380">
        <v>3255.56</v>
      </c>
      <c r="D58" s="233"/>
      <c r="E58" s="233"/>
      <c r="F58" s="233"/>
      <c r="G58" s="376">
        <f t="shared" si="0"/>
        <v>3255.56</v>
      </c>
      <c r="H58" s="379">
        <f t="shared" si="1"/>
        <v>0.005010286326084078</v>
      </c>
    </row>
    <row r="59" spans="1:8" s="78" customFormat="1" ht="12.75">
      <c r="A59" s="357" t="s">
        <v>257</v>
      </c>
      <c r="B59" s="233"/>
      <c r="C59" s="380">
        <v>140</v>
      </c>
      <c r="D59" s="233"/>
      <c r="E59" s="233"/>
      <c r="F59" s="233"/>
      <c r="G59" s="376">
        <f t="shared" si="0"/>
        <v>140</v>
      </c>
      <c r="H59" s="379">
        <f t="shared" si="1"/>
        <v>0.00021545911783280632</v>
      </c>
    </row>
    <row r="60" spans="1:8" s="78" customFormat="1" ht="12.75">
      <c r="A60" s="357" t="s">
        <v>258</v>
      </c>
      <c r="B60" s="233"/>
      <c r="C60" s="380">
        <v>358.89</v>
      </c>
      <c r="D60" s="233"/>
      <c r="E60" s="233"/>
      <c r="F60" s="233"/>
      <c r="G60" s="376">
        <f t="shared" si="0"/>
        <v>358.89</v>
      </c>
      <c r="H60" s="379">
        <f t="shared" si="1"/>
        <v>0.000552329448564399</v>
      </c>
    </row>
    <row r="61" spans="1:8" s="78" customFormat="1" ht="12.75">
      <c r="A61" s="356" t="s">
        <v>259</v>
      </c>
      <c r="B61" s="233"/>
      <c r="C61" s="363"/>
      <c r="D61" s="233">
        <f>SUM(C62:C63)</f>
        <v>304.9</v>
      </c>
      <c r="E61" s="233"/>
      <c r="F61" s="233"/>
      <c r="G61" s="376">
        <f t="shared" si="0"/>
        <v>304.9</v>
      </c>
      <c r="H61" s="379">
        <f t="shared" si="1"/>
        <v>0.000469239178765876</v>
      </c>
    </row>
    <row r="62" spans="1:8" s="78" customFormat="1" ht="12.75">
      <c r="A62" s="357" t="s">
        <v>260</v>
      </c>
      <c r="B62" s="233"/>
      <c r="C62" s="363">
        <v>148.59</v>
      </c>
      <c r="D62" s="233"/>
      <c r="E62" s="233"/>
      <c r="F62" s="233"/>
      <c r="G62" s="376">
        <f t="shared" si="0"/>
        <v>148.59</v>
      </c>
      <c r="H62" s="379">
        <f t="shared" si="1"/>
        <v>0.0002286790737055478</v>
      </c>
    </row>
    <row r="63" spans="1:8" s="78" customFormat="1" ht="12.75">
      <c r="A63" s="357" t="s">
        <v>261</v>
      </c>
      <c r="B63" s="233"/>
      <c r="C63" s="363">
        <v>156.31</v>
      </c>
      <c r="D63" s="233"/>
      <c r="E63" s="233"/>
      <c r="F63" s="233"/>
      <c r="G63" s="376">
        <f t="shared" si="0"/>
        <v>156.31</v>
      </c>
      <c r="H63" s="379">
        <f t="shared" si="1"/>
        <v>0.00024056010506032826</v>
      </c>
    </row>
    <row r="64" spans="1:8" s="12" customFormat="1" ht="12.75">
      <c r="A64" s="33" t="s">
        <v>309</v>
      </c>
      <c r="B64" s="35"/>
      <c r="C64" s="378"/>
      <c r="D64" s="66"/>
      <c r="E64" s="35">
        <f>SUM(D65:D65:D67)</f>
        <v>5195.61</v>
      </c>
      <c r="F64" s="35"/>
      <c r="G64" s="376">
        <f t="shared" si="0"/>
        <v>5195.61</v>
      </c>
      <c r="H64" s="379">
        <f t="shared" si="1"/>
        <v>0.00799601105145219</v>
      </c>
    </row>
    <row r="65" spans="1:8" s="78" customFormat="1" ht="12.75">
      <c r="A65" s="356" t="s">
        <v>310</v>
      </c>
      <c r="B65" s="233"/>
      <c r="C65" s="363"/>
      <c r="D65" s="233">
        <v>36.28</v>
      </c>
      <c r="E65" s="233"/>
      <c r="F65" s="233"/>
      <c r="G65" s="376">
        <f t="shared" si="0"/>
        <v>36.28</v>
      </c>
      <c r="H65" s="379">
        <f t="shared" si="1"/>
        <v>5.583469139267295E-05</v>
      </c>
    </row>
    <row r="66" spans="1:8" s="78" customFormat="1" ht="12.75">
      <c r="A66" s="356" t="s">
        <v>311</v>
      </c>
      <c r="B66" s="233"/>
      <c r="C66" s="363"/>
      <c r="D66" s="233">
        <v>1246.9</v>
      </c>
      <c r="E66" s="233"/>
      <c r="F66" s="233"/>
      <c r="G66" s="376">
        <f t="shared" si="0"/>
        <v>1246.9</v>
      </c>
      <c r="H66" s="379">
        <f t="shared" si="1"/>
        <v>0.0019189712430409014</v>
      </c>
    </row>
    <row r="67" spans="1:8" s="78" customFormat="1" ht="12.75">
      <c r="A67" s="356" t="s">
        <v>312</v>
      </c>
      <c r="B67" s="233"/>
      <c r="C67" s="363"/>
      <c r="D67" s="233">
        <f>SUM(C68:C71)</f>
        <v>3912.43</v>
      </c>
      <c r="E67" s="233"/>
      <c r="F67" s="233"/>
      <c r="G67" s="376">
        <f t="shared" si="0"/>
        <v>3912.43</v>
      </c>
      <c r="H67" s="379">
        <f t="shared" si="1"/>
        <v>0.006021205117018617</v>
      </c>
    </row>
    <row r="68" spans="1:8" s="78" customFormat="1" ht="12.75">
      <c r="A68" s="357" t="s">
        <v>313</v>
      </c>
      <c r="B68" s="233"/>
      <c r="C68" s="363">
        <v>3767.73</v>
      </c>
      <c r="D68" s="233"/>
      <c r="E68" s="233"/>
      <c r="F68" s="233"/>
      <c r="G68" s="376">
        <f t="shared" si="0"/>
        <v>3767.73</v>
      </c>
      <c r="H68" s="379">
        <f t="shared" si="1"/>
        <v>0.005798512728801424</v>
      </c>
    </row>
    <row r="69" spans="1:8" s="78" customFormat="1" ht="12.75">
      <c r="A69" s="357" t="s">
        <v>314</v>
      </c>
      <c r="B69" s="233"/>
      <c r="C69" s="363">
        <v>24.7</v>
      </c>
      <c r="D69" s="233"/>
      <c r="E69" s="233"/>
      <c r="F69" s="233"/>
      <c r="G69" s="376">
        <f aca="true" t="shared" si="2" ref="G69:G101">SUM(B69:F69)</f>
        <v>24.7</v>
      </c>
      <c r="H69" s="379">
        <f aca="true" t="shared" si="3" ref="H69:H101">G69/$G$4</f>
        <v>3.8013144360502254E-05</v>
      </c>
    </row>
    <row r="70" spans="1:8" s="78" customFormat="1" ht="12.75">
      <c r="A70" s="357" t="s">
        <v>315</v>
      </c>
      <c r="B70" s="233"/>
      <c r="C70" s="363">
        <v>120</v>
      </c>
      <c r="D70" s="233"/>
      <c r="E70" s="233"/>
      <c r="F70" s="233"/>
      <c r="G70" s="376">
        <f t="shared" si="2"/>
        <v>120</v>
      </c>
      <c r="H70" s="379">
        <f t="shared" si="3"/>
        <v>0.00018467924385669112</v>
      </c>
    </row>
    <row r="71" spans="1:8" s="78" customFormat="1" ht="12.75">
      <c r="A71" s="357" t="s">
        <v>316</v>
      </c>
      <c r="B71" s="233"/>
      <c r="C71" s="363">
        <v>0</v>
      </c>
      <c r="D71" s="77"/>
      <c r="E71" s="233"/>
      <c r="F71" s="233"/>
      <c r="G71" s="376">
        <f t="shared" si="2"/>
        <v>0</v>
      </c>
      <c r="H71" s="379">
        <f t="shared" si="3"/>
        <v>0</v>
      </c>
    </row>
    <row r="72" spans="1:8" s="12" customFormat="1" ht="12.75">
      <c r="A72" s="33" t="s">
        <v>289</v>
      </c>
      <c r="B72" s="35"/>
      <c r="C72" s="378"/>
      <c r="D72" s="35"/>
      <c r="E72" s="35">
        <f>SUM(D73:D74)</f>
        <v>2764.55</v>
      </c>
      <c r="F72" s="35"/>
      <c r="G72" s="376">
        <f t="shared" si="2"/>
        <v>2764.55</v>
      </c>
      <c r="H72" s="379">
        <f t="shared" si="3"/>
        <v>0.004254625030033462</v>
      </c>
    </row>
    <row r="73" spans="1:8" s="78" customFormat="1" ht="12.75">
      <c r="A73" s="356" t="s">
        <v>290</v>
      </c>
      <c r="B73" s="233"/>
      <c r="C73" s="363"/>
      <c r="D73" s="233">
        <f>C74</f>
        <v>2764.55</v>
      </c>
      <c r="E73" s="233"/>
      <c r="F73" s="233"/>
      <c r="G73" s="376">
        <f t="shared" si="2"/>
        <v>2764.55</v>
      </c>
      <c r="H73" s="379">
        <f t="shared" si="3"/>
        <v>0.004254625030033462</v>
      </c>
    </row>
    <row r="74" spans="1:8" s="78" customFormat="1" ht="12.75">
      <c r="A74" s="357" t="s">
        <v>290</v>
      </c>
      <c r="B74" s="233" t="s">
        <v>5</v>
      </c>
      <c r="C74" s="363">
        <v>2764.55</v>
      </c>
      <c r="D74" s="233"/>
      <c r="E74" s="233"/>
      <c r="F74" s="233"/>
      <c r="G74" s="376">
        <f t="shared" si="2"/>
        <v>2764.55</v>
      </c>
      <c r="H74" s="379">
        <f t="shared" si="3"/>
        <v>0.004254625030033462</v>
      </c>
    </row>
    <row r="75" spans="1:8" s="12" customFormat="1" ht="12.75">
      <c r="A75" s="33" t="s">
        <v>262</v>
      </c>
      <c r="B75" s="35"/>
      <c r="C75" s="378"/>
      <c r="D75" s="35"/>
      <c r="E75" s="35">
        <f>D76+D78+D83</f>
        <v>18673.409999999996</v>
      </c>
      <c r="F75" s="35"/>
      <c r="G75" s="376">
        <f t="shared" si="2"/>
        <v>18673.409999999996</v>
      </c>
      <c r="H75" s="269">
        <f t="shared" si="3"/>
        <v>0.02873826032521645</v>
      </c>
    </row>
    <row r="76" spans="1:8" s="78" customFormat="1" ht="12.75">
      <c r="A76" s="356" t="s">
        <v>263</v>
      </c>
      <c r="B76" s="233"/>
      <c r="C76" s="363"/>
      <c r="D76" s="233">
        <f>+C77</f>
        <v>520.06</v>
      </c>
      <c r="E76" s="233"/>
      <c r="F76" s="233"/>
      <c r="G76" s="376">
        <f t="shared" si="2"/>
        <v>520.06</v>
      </c>
      <c r="H76" s="379">
        <f t="shared" si="3"/>
        <v>0.0008003690630009232</v>
      </c>
    </row>
    <row r="77" spans="1:8" s="78" customFormat="1" ht="12.75">
      <c r="A77" s="357" t="s">
        <v>264</v>
      </c>
      <c r="B77" s="233"/>
      <c r="C77" s="363">
        <v>520.06</v>
      </c>
      <c r="D77" s="233"/>
      <c r="E77" s="233"/>
      <c r="F77" s="233"/>
      <c r="G77" s="376">
        <f t="shared" si="2"/>
        <v>520.06</v>
      </c>
      <c r="H77" s="379">
        <f t="shared" si="3"/>
        <v>0.0008003690630009232</v>
      </c>
    </row>
    <row r="78" spans="1:8" s="78" customFormat="1" ht="12.75">
      <c r="A78" s="356" t="s">
        <v>265</v>
      </c>
      <c r="B78" s="233"/>
      <c r="C78" s="363"/>
      <c r="D78" s="233">
        <f>SUM(C79:C82)</f>
        <v>4773.469999999999</v>
      </c>
      <c r="E78" s="233"/>
      <c r="F78" s="233"/>
      <c r="G78" s="376">
        <f t="shared" si="2"/>
        <v>4773.469999999999</v>
      </c>
      <c r="H78" s="379">
        <f t="shared" si="3"/>
        <v>0.0073463402514383274</v>
      </c>
    </row>
    <row r="79" spans="1:8" s="78" customFormat="1" ht="12.75">
      <c r="A79" s="357" t="s">
        <v>271</v>
      </c>
      <c r="B79" s="233"/>
      <c r="C79" s="363">
        <v>403.34</v>
      </c>
      <c r="D79" s="233"/>
      <c r="E79" s="233"/>
      <c r="F79" s="233"/>
      <c r="G79" s="376">
        <f t="shared" si="2"/>
        <v>403.34</v>
      </c>
      <c r="H79" s="379">
        <f t="shared" si="3"/>
        <v>0.0006207377184763149</v>
      </c>
    </row>
    <row r="80" spans="1:8" s="78" customFormat="1" ht="12.75">
      <c r="A80" s="357" t="s">
        <v>272</v>
      </c>
      <c r="B80" s="233"/>
      <c r="C80" s="363">
        <v>51.5</v>
      </c>
      <c r="D80" s="233"/>
      <c r="E80" s="233"/>
      <c r="F80" s="233"/>
      <c r="G80" s="376">
        <f t="shared" si="2"/>
        <v>51.5</v>
      </c>
      <c r="H80" s="379">
        <f t="shared" si="3"/>
        <v>7.925817548849661E-05</v>
      </c>
    </row>
    <row r="81" spans="1:8" s="78" customFormat="1" ht="12.75">
      <c r="A81" s="357" t="s">
        <v>273</v>
      </c>
      <c r="B81" s="233"/>
      <c r="C81" s="380">
        <v>4312.23</v>
      </c>
      <c r="D81" s="233"/>
      <c r="E81" s="233"/>
      <c r="F81" s="233"/>
      <c r="G81" s="376">
        <f t="shared" si="2"/>
        <v>4312.23</v>
      </c>
      <c r="H81" s="379">
        <f t="shared" si="3"/>
        <v>0.006636494797801159</v>
      </c>
    </row>
    <row r="82" spans="1:8" s="78" customFormat="1" ht="12.75">
      <c r="A82" s="357" t="s">
        <v>274</v>
      </c>
      <c r="B82" s="233"/>
      <c r="C82" s="363">
        <v>6.4</v>
      </c>
      <c r="D82" s="233"/>
      <c r="E82" s="233"/>
      <c r="F82" s="233"/>
      <c r="G82" s="376">
        <f t="shared" si="2"/>
        <v>6.4</v>
      </c>
      <c r="H82" s="379">
        <f t="shared" si="3"/>
        <v>9.84955967235686E-06</v>
      </c>
    </row>
    <row r="83" spans="1:8" s="78" customFormat="1" ht="12.75">
      <c r="A83" s="356" t="s">
        <v>275</v>
      </c>
      <c r="B83" s="233"/>
      <c r="C83" s="363"/>
      <c r="D83" s="233">
        <f>SUM(C84:C96)</f>
        <v>13379.88</v>
      </c>
      <c r="E83" s="233"/>
      <c r="F83" s="233"/>
      <c r="G83" s="376">
        <f t="shared" si="2"/>
        <v>13379.88</v>
      </c>
      <c r="H83" s="269">
        <f t="shared" si="3"/>
        <v>0.0205915510107772</v>
      </c>
    </row>
    <row r="84" spans="1:8" s="78" customFormat="1" ht="12.75">
      <c r="A84" s="357" t="s">
        <v>276</v>
      </c>
      <c r="B84" s="233"/>
      <c r="C84" s="363">
        <v>47.7</v>
      </c>
      <c r="D84" s="233"/>
      <c r="E84" s="233"/>
      <c r="F84" s="233"/>
      <c r="G84" s="376">
        <f t="shared" si="2"/>
        <v>47.7</v>
      </c>
      <c r="H84" s="379">
        <f t="shared" si="3"/>
        <v>7.340999943303473E-05</v>
      </c>
    </row>
    <row r="85" spans="1:8" s="78" customFormat="1" ht="12.75">
      <c r="A85" s="357" t="s">
        <v>277</v>
      </c>
      <c r="B85" s="233"/>
      <c r="C85" s="363">
        <v>2.68</v>
      </c>
      <c r="D85" s="233"/>
      <c r="E85" s="233"/>
      <c r="F85" s="233"/>
      <c r="G85" s="376">
        <f t="shared" si="2"/>
        <v>2.68</v>
      </c>
      <c r="H85" s="379">
        <f t="shared" si="3"/>
        <v>4.124503112799435E-06</v>
      </c>
    </row>
    <row r="86" spans="1:8" s="78" customFormat="1" ht="12.75">
      <c r="A86" s="357" t="s">
        <v>278</v>
      </c>
      <c r="B86" s="233"/>
      <c r="C86" s="363">
        <v>870.05</v>
      </c>
      <c r="D86" s="233"/>
      <c r="E86" s="233"/>
      <c r="F86" s="233"/>
      <c r="G86" s="376">
        <f t="shared" si="2"/>
        <v>870.05</v>
      </c>
      <c r="H86" s="379">
        <f t="shared" si="3"/>
        <v>0.0013390014676459509</v>
      </c>
    </row>
    <row r="87" spans="1:8" s="78" customFormat="1" ht="12.75">
      <c r="A87" s="357" t="s">
        <v>279</v>
      </c>
      <c r="B87" s="233"/>
      <c r="C87" s="363">
        <v>0</v>
      </c>
      <c r="D87" s="233"/>
      <c r="E87" s="233"/>
      <c r="F87" s="233"/>
      <c r="G87" s="376">
        <f t="shared" si="2"/>
        <v>0</v>
      </c>
      <c r="H87" s="379">
        <f t="shared" si="3"/>
        <v>0</v>
      </c>
    </row>
    <row r="88" spans="1:8" s="78" customFormat="1" ht="12.75">
      <c r="A88" s="357" t="s">
        <v>280</v>
      </c>
      <c r="B88" s="233"/>
      <c r="C88" s="363">
        <v>25</v>
      </c>
      <c r="D88" s="233"/>
      <c r="E88" s="233"/>
      <c r="F88" s="233"/>
      <c r="G88" s="376">
        <f t="shared" si="2"/>
        <v>25</v>
      </c>
      <c r="H88" s="379">
        <f t="shared" si="3"/>
        <v>3.8474842470143985E-05</v>
      </c>
    </row>
    <row r="89" spans="1:8" s="78" customFormat="1" ht="12.75">
      <c r="A89" s="357" t="s">
        <v>281</v>
      </c>
      <c r="B89" s="233"/>
      <c r="C89" s="363">
        <v>50</v>
      </c>
      <c r="D89" s="233"/>
      <c r="E89" s="233"/>
      <c r="F89" s="233"/>
      <c r="G89" s="376">
        <f t="shared" si="2"/>
        <v>50</v>
      </c>
      <c r="H89" s="379">
        <f t="shared" si="3"/>
        <v>7.694968494028797E-05</v>
      </c>
    </row>
    <row r="90" spans="1:8" s="78" customFormat="1" ht="12.75">
      <c r="A90" s="357" t="s">
        <v>282</v>
      </c>
      <c r="B90" s="233"/>
      <c r="C90" s="363">
        <v>30</v>
      </c>
      <c r="D90" s="233"/>
      <c r="E90" s="233"/>
      <c r="F90" s="233"/>
      <c r="G90" s="376">
        <f t="shared" si="2"/>
        <v>30</v>
      </c>
      <c r="H90" s="379">
        <f t="shared" si="3"/>
        <v>4.616981096417278E-05</v>
      </c>
    </row>
    <row r="91" spans="1:8" s="78" customFormat="1" ht="12.75">
      <c r="A91" s="357" t="s">
        <v>283</v>
      </c>
      <c r="B91" s="233"/>
      <c r="C91" s="363">
        <v>728.7</v>
      </c>
      <c r="D91" s="233"/>
      <c r="E91" s="233"/>
      <c r="F91" s="233"/>
      <c r="G91" s="376">
        <f t="shared" si="2"/>
        <v>728.7</v>
      </c>
      <c r="H91" s="379">
        <f t="shared" si="3"/>
        <v>0.001121464708319757</v>
      </c>
    </row>
    <row r="92" spans="1:8" s="78" customFormat="1" ht="12.75">
      <c r="A92" s="357" t="s">
        <v>284</v>
      </c>
      <c r="B92" s="233"/>
      <c r="C92" s="363">
        <v>247.91</v>
      </c>
      <c r="D92" s="233"/>
      <c r="E92" s="233"/>
      <c r="F92" s="233"/>
      <c r="G92" s="376">
        <f t="shared" si="2"/>
        <v>247.91</v>
      </c>
      <c r="H92" s="379">
        <f t="shared" si="3"/>
        <v>0.0003815319278709358</v>
      </c>
    </row>
    <row r="93" spans="1:8" s="78" customFormat="1" ht="12.75">
      <c r="A93" s="357" t="s">
        <v>285</v>
      </c>
      <c r="B93" s="233"/>
      <c r="C93" s="380">
        <v>10793.6</v>
      </c>
      <c r="D93" s="233"/>
      <c r="E93" s="233"/>
      <c r="F93" s="233"/>
      <c r="G93" s="376">
        <f t="shared" si="2"/>
        <v>10793.6</v>
      </c>
      <c r="H93" s="379">
        <f t="shared" si="3"/>
        <v>0.016611282387429847</v>
      </c>
    </row>
    <row r="94" spans="1:8" s="78" customFormat="1" ht="12.75">
      <c r="A94" s="357" t="s">
        <v>286</v>
      </c>
      <c r="B94" s="233"/>
      <c r="C94" s="363">
        <v>30</v>
      </c>
      <c r="D94" s="233"/>
      <c r="E94" s="233"/>
      <c r="F94" s="233"/>
      <c r="G94" s="376">
        <f t="shared" si="2"/>
        <v>30</v>
      </c>
      <c r="H94" s="379">
        <f t="shared" si="3"/>
        <v>4.616981096417278E-05</v>
      </c>
    </row>
    <row r="95" spans="1:8" s="78" customFormat="1" ht="12.75">
      <c r="A95" s="357" t="s">
        <v>287</v>
      </c>
      <c r="B95" s="233"/>
      <c r="C95" s="363">
        <v>470.24</v>
      </c>
      <c r="D95" s="233"/>
      <c r="E95" s="233"/>
      <c r="F95" s="233"/>
      <c r="G95" s="376">
        <f t="shared" si="2"/>
        <v>470.24</v>
      </c>
      <c r="H95" s="379">
        <f t="shared" si="3"/>
        <v>0.0007236963969264204</v>
      </c>
    </row>
    <row r="96" spans="1:8" s="78" customFormat="1" ht="12.75">
      <c r="A96" s="357" t="s">
        <v>288</v>
      </c>
      <c r="B96" s="233"/>
      <c r="C96" s="363">
        <v>84</v>
      </c>
      <c r="D96" s="233"/>
      <c r="E96" s="233"/>
      <c r="F96" s="233"/>
      <c r="G96" s="376">
        <f t="shared" si="2"/>
        <v>84</v>
      </c>
      <c r="H96" s="379">
        <f t="shared" si="3"/>
        <v>0.00012927547069968378</v>
      </c>
    </row>
    <row r="97" spans="1:8" s="12" customFormat="1" ht="12.75">
      <c r="A97" s="33" t="s">
        <v>275</v>
      </c>
      <c r="B97" s="35"/>
      <c r="C97" s="378"/>
      <c r="D97" s="66"/>
      <c r="E97" s="35">
        <f>SUM(D98:D101)</f>
        <v>10995.52</v>
      </c>
      <c r="F97" s="35"/>
      <c r="G97" s="376">
        <f t="shared" si="2"/>
        <v>10995.52</v>
      </c>
      <c r="H97" s="379">
        <f t="shared" si="3"/>
        <v>0.016922035995092705</v>
      </c>
    </row>
    <row r="98" spans="1:8" s="78" customFormat="1" ht="12.75">
      <c r="A98" s="356" t="s">
        <v>317</v>
      </c>
      <c r="B98" s="384"/>
      <c r="C98" s="385"/>
      <c r="D98" s="363">
        <v>1364.13</v>
      </c>
      <c r="E98" s="384"/>
      <c r="F98" s="233"/>
      <c r="G98" s="376">
        <f t="shared" si="2"/>
        <v>1364.13</v>
      </c>
      <c r="H98" s="379">
        <f t="shared" si="3"/>
        <v>0.0020993874743519005</v>
      </c>
    </row>
    <row r="99" spans="1:8" s="78" customFormat="1" ht="12.75">
      <c r="A99" s="356" t="s">
        <v>318</v>
      </c>
      <c r="B99" s="384"/>
      <c r="C99" s="385"/>
      <c r="D99" s="363">
        <v>217.85</v>
      </c>
      <c r="E99" s="384"/>
      <c r="F99" s="233"/>
      <c r="G99" s="376">
        <f t="shared" si="2"/>
        <v>217.85</v>
      </c>
      <c r="H99" s="379">
        <f t="shared" si="3"/>
        <v>0.00033526977728483466</v>
      </c>
    </row>
    <row r="100" spans="1:8" s="78" customFormat="1" ht="12.75">
      <c r="A100" s="356" t="s">
        <v>319</v>
      </c>
      <c r="B100" s="384"/>
      <c r="C100" s="385"/>
      <c r="D100" s="363">
        <v>1412.58</v>
      </c>
      <c r="E100" s="384"/>
      <c r="F100" s="233"/>
      <c r="G100" s="376">
        <f t="shared" si="2"/>
        <v>1412.58</v>
      </c>
      <c r="H100" s="379">
        <f t="shared" si="3"/>
        <v>0.0021739517190590397</v>
      </c>
    </row>
    <row r="101" spans="1:8" s="78" customFormat="1" ht="13.5" thickBot="1">
      <c r="A101" s="386" t="s">
        <v>320</v>
      </c>
      <c r="B101" s="387"/>
      <c r="C101" s="388"/>
      <c r="D101" s="389">
        <v>8000.96</v>
      </c>
      <c r="E101" s="387"/>
      <c r="F101" s="390"/>
      <c r="G101" s="376">
        <f t="shared" si="2"/>
        <v>8000.96</v>
      </c>
      <c r="H101" s="391">
        <f t="shared" si="3"/>
        <v>0.012313427024396929</v>
      </c>
    </row>
    <row r="102" spans="1:7" s="78" customFormat="1" ht="37.5" customHeight="1" thickBot="1">
      <c r="A102" s="755" t="s">
        <v>331</v>
      </c>
      <c r="B102" s="756"/>
      <c r="C102" s="756"/>
      <c r="D102" s="756"/>
      <c r="E102" s="756"/>
      <c r="F102" s="360">
        <f>F4-F18</f>
        <v>3247.04999999993</v>
      </c>
      <c r="G102" s="376"/>
    </row>
    <row r="103" spans="1:7" s="78" customFormat="1" ht="12.75">
      <c r="A103" s="392" t="s">
        <v>332</v>
      </c>
      <c r="B103" s="393"/>
      <c r="C103" s="393"/>
      <c r="D103" s="393"/>
      <c r="E103" s="393"/>
      <c r="F103" s="362">
        <f>F102*0.15</f>
        <v>487.0574999999895</v>
      </c>
      <c r="G103" s="376"/>
    </row>
    <row r="104" spans="1:7" s="78" customFormat="1" ht="12.75">
      <c r="A104" s="349" t="s">
        <v>327</v>
      </c>
      <c r="B104" s="77"/>
      <c r="C104" s="77"/>
      <c r="D104" s="77"/>
      <c r="E104" s="77"/>
      <c r="F104" s="363">
        <f>F102-F103</f>
        <v>2759.9924999999407</v>
      </c>
      <c r="G104" s="376"/>
    </row>
    <row r="105" spans="1:7" s="78" customFormat="1" ht="12.75">
      <c r="A105" s="349" t="s">
        <v>333</v>
      </c>
      <c r="B105" s="77"/>
      <c r="C105" s="77"/>
      <c r="D105" s="77"/>
      <c r="E105" s="77"/>
      <c r="F105" s="363">
        <f>F104*0.25</f>
        <v>689.9981249999852</v>
      </c>
      <c r="G105" s="376"/>
    </row>
    <row r="106" spans="1:7" s="78" customFormat="1" ht="13.5" thickBot="1">
      <c r="A106" s="63" t="s">
        <v>329</v>
      </c>
      <c r="B106" s="64"/>
      <c r="C106" s="64"/>
      <c r="D106" s="64"/>
      <c r="E106" s="64"/>
      <c r="F106" s="365">
        <f>F104-F105</f>
        <v>2069.9943749999557</v>
      </c>
      <c r="G106" s="376"/>
    </row>
    <row r="107" ht="12.75">
      <c r="A107" s="266" t="str">
        <f>B!A64</f>
        <v>Elaboración: El Autor en base a información provista por CAFÉ MANABI</v>
      </c>
    </row>
  </sheetData>
  <sheetProtection password="CC4D" sheet="1" objects="1" scenarios="1" selectLockedCells="1" selectUnlockedCells="1"/>
  <mergeCells count="3">
    <mergeCell ref="A102:E102"/>
    <mergeCell ref="A2:H2"/>
    <mergeCell ref="A1:H1"/>
  </mergeCells>
  <printOptions horizontalCentered="1" verticalCentered="1"/>
  <pageMargins left="0.7874015748031497" right="0.7874015748031497" top="0.39" bottom="0.34" header="0" footer="0"/>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3:O126"/>
  <sheetViews>
    <sheetView zoomScale="95" zoomScaleNormal="95" workbookViewId="0" topLeftCell="I1">
      <selection activeCell="H25" sqref="H25"/>
    </sheetView>
  </sheetViews>
  <sheetFormatPr defaultColWidth="11.421875" defaultRowHeight="12.75"/>
  <cols>
    <col min="1" max="1" width="38.421875" style="266" hidden="1" customWidth="1"/>
    <col min="2" max="2" width="12.7109375" style="266" hidden="1" customWidth="1"/>
    <col min="3" max="3" width="11.140625" style="266" hidden="1" customWidth="1"/>
    <col min="4" max="5" width="12.28125" style="266" hidden="1" customWidth="1"/>
    <col min="6" max="6" width="12.00390625" style="266" hidden="1" customWidth="1"/>
    <col min="7" max="7" width="11.57421875" style="266" hidden="1" customWidth="1"/>
    <col min="8" max="8" width="12.00390625" style="266" hidden="1" customWidth="1"/>
    <col min="9" max="10" width="13.421875" style="266" customWidth="1"/>
    <col min="11" max="11" width="13.421875" style="266" hidden="1" customWidth="1"/>
    <col min="12" max="13" width="11.7109375" style="266" hidden="1" customWidth="1"/>
    <col min="14" max="14" width="0" style="266" hidden="1" customWidth="1"/>
    <col min="15" max="15" width="11.57421875" style="266" hidden="1" customWidth="1"/>
    <col min="16" max="16" width="0" style="266" hidden="1" customWidth="1"/>
    <col min="17" max="16384" width="11.421875" style="266" customWidth="1"/>
  </cols>
  <sheetData>
    <row r="3" spans="1:8" ht="18">
      <c r="A3" s="757" t="s">
        <v>712</v>
      </c>
      <c r="B3" s="757"/>
      <c r="C3" s="757"/>
      <c r="D3" s="757"/>
      <c r="E3" s="757"/>
      <c r="F3" s="757"/>
      <c r="G3" s="757"/>
      <c r="H3" s="757"/>
    </row>
    <row r="4" spans="1:8" ht="18">
      <c r="A4" s="757" t="s">
        <v>1050</v>
      </c>
      <c r="B4" s="757"/>
      <c r="C4" s="757"/>
      <c r="D4" s="757"/>
      <c r="E4" s="757"/>
      <c r="F4" s="757"/>
      <c r="G4" s="757"/>
      <c r="H4" s="757"/>
    </row>
    <row r="5" ht="13.5" thickBot="1"/>
    <row r="6" spans="1:11" ht="12.75">
      <c r="A6" s="758" t="s">
        <v>464</v>
      </c>
      <c r="B6" s="149">
        <v>0</v>
      </c>
      <c r="C6" s="149">
        <v>1</v>
      </c>
      <c r="D6" s="149">
        <v>2</v>
      </c>
      <c r="E6" s="149">
        <v>3</v>
      </c>
      <c r="F6" s="149">
        <v>4</v>
      </c>
      <c r="G6" s="149">
        <v>5</v>
      </c>
      <c r="H6" s="150">
        <v>6</v>
      </c>
      <c r="I6" s="201"/>
      <c r="J6" s="201"/>
      <c r="K6" s="201"/>
    </row>
    <row r="7" spans="1:11" ht="13.5" thickBot="1">
      <c r="A7" s="759"/>
      <c r="B7" s="68">
        <v>2007</v>
      </c>
      <c r="C7" s="68">
        <v>2008</v>
      </c>
      <c r="D7" s="68">
        <v>2009</v>
      </c>
      <c r="E7" s="68">
        <v>2010</v>
      </c>
      <c r="F7" s="68">
        <v>2011</v>
      </c>
      <c r="G7" s="68">
        <v>2012</v>
      </c>
      <c r="H7" s="69">
        <v>2013</v>
      </c>
      <c r="I7" s="201"/>
      <c r="J7" s="201"/>
      <c r="K7" s="201"/>
    </row>
    <row r="8" spans="1:13" ht="12.75">
      <c r="A8" s="343" t="s">
        <v>228</v>
      </c>
      <c r="B8" s="344">
        <f aca="true" t="shared" si="0" ref="B8:H8">SUM(B9:B20)</f>
        <v>649775.24</v>
      </c>
      <c r="C8" s="232" t="e">
        <f t="shared" si="0"/>
        <v>#REF!</v>
      </c>
      <c r="D8" s="232" t="e">
        <f t="shared" si="0"/>
        <v>#REF!</v>
      </c>
      <c r="E8" s="232" t="e">
        <f t="shared" si="0"/>
        <v>#REF!</v>
      </c>
      <c r="F8" s="232" t="e">
        <f t="shared" si="0"/>
        <v>#REF!</v>
      </c>
      <c r="G8" s="232" t="e">
        <f t="shared" si="0"/>
        <v>#REF!</v>
      </c>
      <c r="H8" s="232" t="e">
        <f t="shared" si="0"/>
        <v>#REF!</v>
      </c>
      <c r="I8" s="345"/>
      <c r="J8" s="345"/>
      <c r="K8" s="345"/>
      <c r="M8" s="346" t="s">
        <v>5</v>
      </c>
    </row>
    <row r="9" spans="1:11" ht="12.75">
      <c r="A9" s="32" t="s">
        <v>233</v>
      </c>
      <c r="B9" s="347" t="s">
        <v>5</v>
      </c>
      <c r="C9" s="268"/>
      <c r="D9" s="268"/>
      <c r="E9" s="268"/>
      <c r="F9" s="268"/>
      <c r="G9" s="268"/>
      <c r="H9" s="268"/>
      <c r="I9" s="282"/>
      <c r="J9" s="282"/>
      <c r="K9" s="282"/>
    </row>
    <row r="10" spans="1:11" ht="12.75">
      <c r="A10" s="348" t="s">
        <v>229</v>
      </c>
      <c r="B10" s="349" t="s">
        <v>5</v>
      </c>
      <c r="C10" s="268"/>
      <c r="D10" s="268"/>
      <c r="E10" s="268"/>
      <c r="F10" s="268"/>
      <c r="G10" s="268"/>
      <c r="H10" s="268"/>
      <c r="I10" s="282"/>
      <c r="J10" s="282"/>
      <c r="K10" s="282"/>
    </row>
    <row r="11" spans="1:15" ht="12.75">
      <c r="A11" s="350" t="s">
        <v>230</v>
      </c>
      <c r="B11" s="117">
        <v>27373.51</v>
      </c>
      <c r="C11" s="268" t="e">
        <f>B11*L11</f>
        <v>#REF!</v>
      </c>
      <c r="D11" s="268" t="e">
        <f>C11*M11</f>
        <v>#REF!</v>
      </c>
      <c r="E11" s="268" t="e">
        <f aca="true" t="shared" si="1" ref="E11:H12">D11*$M$11</f>
        <v>#REF!</v>
      </c>
      <c r="F11" s="268" t="e">
        <f t="shared" si="1"/>
        <v>#REF!</v>
      </c>
      <c r="G11" s="268" t="e">
        <f t="shared" si="1"/>
        <v>#REF!</v>
      </c>
      <c r="H11" s="268" t="e">
        <f t="shared" si="1"/>
        <v>#REF!</v>
      </c>
      <c r="I11" s="282"/>
      <c r="J11" s="282"/>
      <c r="K11" s="282"/>
      <c r="L11" s="266" t="e">
        <f>O11</f>
        <v>#REF!</v>
      </c>
      <c r="M11" s="266">
        <v>1.05</v>
      </c>
      <c r="O11" s="12" t="e">
        <f>'[1]Estimacion de Produccion 2008'!$C$34</f>
        <v>#REF!</v>
      </c>
    </row>
    <row r="12" spans="1:13" ht="12.75">
      <c r="A12" s="350" t="s">
        <v>231</v>
      </c>
      <c r="B12" s="117">
        <v>563906.5</v>
      </c>
      <c r="C12" s="268" t="e">
        <f>B12*L12</f>
        <v>#REF!</v>
      </c>
      <c r="D12" s="268" t="e">
        <f>C12*M12</f>
        <v>#REF!</v>
      </c>
      <c r="E12" s="268" t="e">
        <f t="shared" si="1"/>
        <v>#REF!</v>
      </c>
      <c r="F12" s="268" t="e">
        <f t="shared" si="1"/>
        <v>#REF!</v>
      </c>
      <c r="G12" s="268" t="e">
        <f t="shared" si="1"/>
        <v>#REF!</v>
      </c>
      <c r="H12" s="268" t="e">
        <f t="shared" si="1"/>
        <v>#REF!</v>
      </c>
      <c r="I12" s="282"/>
      <c r="J12" s="282"/>
      <c r="K12" s="282"/>
      <c r="L12" s="266" t="e">
        <f>L11</f>
        <v>#REF!</v>
      </c>
      <c r="M12" s="266">
        <v>1.05</v>
      </c>
    </row>
    <row r="13" spans="1:13" ht="12.75">
      <c r="A13" s="350" t="s">
        <v>232</v>
      </c>
      <c r="B13" s="117">
        <v>-934.35</v>
      </c>
      <c r="C13" s="268" t="s">
        <v>5</v>
      </c>
      <c r="D13" s="268"/>
      <c r="E13" s="268" t="s">
        <v>5</v>
      </c>
      <c r="F13" s="268" t="s">
        <v>5</v>
      </c>
      <c r="G13" s="268" t="s">
        <v>5</v>
      </c>
      <c r="H13" s="268" t="s">
        <v>5</v>
      </c>
      <c r="I13" s="282"/>
      <c r="J13" s="282"/>
      <c r="K13" s="282"/>
      <c r="L13" s="266">
        <v>0</v>
      </c>
      <c r="M13" s="266">
        <v>1.05</v>
      </c>
    </row>
    <row r="14" spans="1:13" ht="12.75">
      <c r="A14" s="32" t="s">
        <v>234</v>
      </c>
      <c r="B14" s="347"/>
      <c r="C14" s="268" t="s">
        <v>5</v>
      </c>
      <c r="D14" s="268"/>
      <c r="E14" s="268" t="s">
        <v>5</v>
      </c>
      <c r="F14" s="268" t="s">
        <v>5</v>
      </c>
      <c r="G14" s="268" t="s">
        <v>5</v>
      </c>
      <c r="H14" s="268" t="s">
        <v>5</v>
      </c>
      <c r="I14" s="282"/>
      <c r="J14" s="282"/>
      <c r="K14" s="282"/>
      <c r="M14" s="266">
        <v>1.05</v>
      </c>
    </row>
    <row r="15" spans="1:13" ht="12.75">
      <c r="A15" s="350" t="s">
        <v>235</v>
      </c>
      <c r="B15" s="349"/>
      <c r="C15" s="268"/>
      <c r="D15" s="268"/>
      <c r="E15" s="268" t="s">
        <v>5</v>
      </c>
      <c r="F15" s="268" t="s">
        <v>5</v>
      </c>
      <c r="G15" s="268" t="s">
        <v>5</v>
      </c>
      <c r="H15" s="268"/>
      <c r="I15" s="282"/>
      <c r="J15" s="282"/>
      <c r="K15" s="282"/>
      <c r="M15" s="266">
        <v>1.05</v>
      </c>
    </row>
    <row r="16" spans="1:13" ht="12.75">
      <c r="A16" s="351" t="s">
        <v>236</v>
      </c>
      <c r="B16" s="352">
        <v>2845.44</v>
      </c>
      <c r="C16" s="268">
        <v>0</v>
      </c>
      <c r="D16" s="268">
        <f>C16*M16</f>
        <v>0</v>
      </c>
      <c r="E16" s="268">
        <f aca="true" t="shared" si="2" ref="E16:H19">D16*$M$11</f>
        <v>0</v>
      </c>
      <c r="F16" s="268">
        <f t="shared" si="2"/>
        <v>0</v>
      </c>
      <c r="G16" s="268">
        <f t="shared" si="2"/>
        <v>0</v>
      </c>
      <c r="H16" s="268">
        <f t="shared" si="2"/>
        <v>0</v>
      </c>
      <c r="I16" s="282"/>
      <c r="J16" s="282"/>
      <c r="K16" s="282"/>
      <c r="L16" s="266">
        <v>0</v>
      </c>
      <c r="M16" s="266">
        <v>1.05</v>
      </c>
    </row>
    <row r="17" spans="1:13" ht="12.75">
      <c r="A17" s="351" t="s">
        <v>237</v>
      </c>
      <c r="B17" s="352">
        <v>0</v>
      </c>
      <c r="C17" s="268">
        <v>0</v>
      </c>
      <c r="D17" s="268">
        <f>C17*M17</f>
        <v>0</v>
      </c>
      <c r="E17" s="268">
        <f t="shared" si="2"/>
        <v>0</v>
      </c>
      <c r="F17" s="268">
        <f t="shared" si="2"/>
        <v>0</v>
      </c>
      <c r="G17" s="268">
        <f t="shared" si="2"/>
        <v>0</v>
      </c>
      <c r="H17" s="268">
        <f t="shared" si="2"/>
        <v>0</v>
      </c>
      <c r="I17" s="282"/>
      <c r="J17" s="282"/>
      <c r="K17" s="282"/>
      <c r="L17" s="266">
        <v>0</v>
      </c>
      <c r="M17" s="266">
        <v>1.05</v>
      </c>
    </row>
    <row r="18" spans="1:13" ht="12.75">
      <c r="A18" s="351" t="s">
        <v>238</v>
      </c>
      <c r="B18" s="352">
        <v>52679.07</v>
      </c>
      <c r="C18" s="268">
        <v>0</v>
      </c>
      <c r="D18" s="268">
        <f>C18*M18</f>
        <v>0</v>
      </c>
      <c r="E18" s="268">
        <f t="shared" si="2"/>
        <v>0</v>
      </c>
      <c r="F18" s="268">
        <f t="shared" si="2"/>
        <v>0</v>
      </c>
      <c r="G18" s="268">
        <f t="shared" si="2"/>
        <v>0</v>
      </c>
      <c r="H18" s="268">
        <f t="shared" si="2"/>
        <v>0</v>
      </c>
      <c r="I18" s="282"/>
      <c r="J18" s="282"/>
      <c r="K18" s="282"/>
      <c r="L18" s="266">
        <v>0</v>
      </c>
      <c r="M18" s="266">
        <v>1.05</v>
      </c>
    </row>
    <row r="19" spans="1:13" ht="12.75">
      <c r="A19" s="351" t="s">
        <v>235</v>
      </c>
      <c r="B19" s="352">
        <v>2848.65</v>
      </c>
      <c r="C19" s="268">
        <f>B19*L19</f>
        <v>1424.325</v>
      </c>
      <c r="D19" s="268">
        <f>C19*M19</f>
        <v>1495.5412500000002</v>
      </c>
      <c r="E19" s="268">
        <f t="shared" si="2"/>
        <v>1570.3183125000003</v>
      </c>
      <c r="F19" s="268">
        <f t="shared" si="2"/>
        <v>1648.8342281250004</v>
      </c>
      <c r="G19" s="268">
        <f t="shared" si="2"/>
        <v>1731.2759395312505</v>
      </c>
      <c r="H19" s="268">
        <f t="shared" si="2"/>
        <v>1817.839736507813</v>
      </c>
      <c r="I19" s="282"/>
      <c r="J19" s="282"/>
      <c r="K19" s="282"/>
      <c r="L19" s="266">
        <v>0.5</v>
      </c>
      <c r="M19" s="266">
        <v>1.05</v>
      </c>
    </row>
    <row r="20" spans="1:13" ht="12.75">
      <c r="A20" s="353" t="s">
        <v>239</v>
      </c>
      <c r="B20" s="352">
        <v>1056.42</v>
      </c>
      <c r="C20" s="268">
        <v>0</v>
      </c>
      <c r="D20" s="268"/>
      <c r="E20" s="268" t="s">
        <v>5</v>
      </c>
      <c r="F20" s="268" t="s">
        <v>5</v>
      </c>
      <c r="G20" s="268" t="s">
        <v>5</v>
      </c>
      <c r="H20" s="268" t="s">
        <v>5</v>
      </c>
      <c r="I20" s="282"/>
      <c r="J20" s="282"/>
      <c r="K20" s="282"/>
      <c r="L20" s="266">
        <v>0</v>
      </c>
      <c r="M20" s="266">
        <v>1.05</v>
      </c>
    </row>
    <row r="21" spans="1:13" ht="12.75">
      <c r="A21" s="354" t="s">
        <v>240</v>
      </c>
      <c r="B21" s="344">
        <f aca="true" t="shared" si="3" ref="B21:H21">SUM(B23:B104)</f>
        <v>646528.1900000002</v>
      </c>
      <c r="C21" s="232" t="e">
        <f t="shared" si="3"/>
        <v>#REF!</v>
      </c>
      <c r="D21" s="232" t="e">
        <f t="shared" si="3"/>
        <v>#REF!</v>
      </c>
      <c r="E21" s="232" t="e">
        <f t="shared" si="3"/>
        <v>#REF!</v>
      </c>
      <c r="F21" s="232" t="e">
        <f t="shared" si="3"/>
        <v>#REF!</v>
      </c>
      <c r="G21" s="232" t="e">
        <f t="shared" si="3"/>
        <v>#REF!</v>
      </c>
      <c r="H21" s="232" t="e">
        <f t="shared" si="3"/>
        <v>#REF!</v>
      </c>
      <c r="I21" s="344"/>
      <c r="J21" s="345"/>
      <c r="K21" s="345"/>
      <c r="L21" s="355" t="s">
        <v>5</v>
      </c>
      <c r="M21" s="266">
        <v>1.05</v>
      </c>
    </row>
    <row r="22" spans="1:13" ht="12.75">
      <c r="A22" s="33" t="s">
        <v>241</v>
      </c>
      <c r="B22" s="347"/>
      <c r="C22" s="268"/>
      <c r="D22" s="268"/>
      <c r="E22" s="268" t="s">
        <v>5</v>
      </c>
      <c r="F22" s="268" t="s">
        <v>5</v>
      </c>
      <c r="G22" s="268" t="s">
        <v>5</v>
      </c>
      <c r="H22" s="268" t="s">
        <v>5</v>
      </c>
      <c r="I22" s="282"/>
      <c r="J22" s="282"/>
      <c r="K22" s="282"/>
      <c r="M22" s="266">
        <v>1.05</v>
      </c>
    </row>
    <row r="23" spans="1:13" ht="12.75">
      <c r="A23" s="356" t="s">
        <v>242</v>
      </c>
      <c r="B23" s="349"/>
      <c r="C23" s="268"/>
      <c r="D23" s="268"/>
      <c r="E23" s="268" t="s">
        <v>5</v>
      </c>
      <c r="F23" s="268" t="s">
        <v>5</v>
      </c>
      <c r="G23" s="268" t="s">
        <v>5</v>
      </c>
      <c r="H23" s="268" t="s">
        <v>5</v>
      </c>
      <c r="I23" s="282"/>
      <c r="J23" s="282"/>
      <c r="K23" s="282"/>
      <c r="M23" s="266">
        <v>1.05</v>
      </c>
    </row>
    <row r="24" spans="1:13" ht="12.75">
      <c r="A24" s="357" t="s">
        <v>324</v>
      </c>
      <c r="B24" s="349"/>
      <c r="C24" s="268"/>
      <c r="D24" s="268"/>
      <c r="E24" s="268" t="s">
        <v>5</v>
      </c>
      <c r="F24" s="268" t="s">
        <v>5</v>
      </c>
      <c r="G24" s="268" t="s">
        <v>5</v>
      </c>
      <c r="H24" s="268" t="s">
        <v>5</v>
      </c>
      <c r="I24" s="282"/>
      <c r="J24" s="282"/>
      <c r="K24" s="282"/>
      <c r="M24" s="266">
        <v>1.05</v>
      </c>
    </row>
    <row r="25" spans="1:13" ht="12.75">
      <c r="A25" s="353" t="s">
        <v>325</v>
      </c>
      <c r="B25" s="349">
        <v>468682.75</v>
      </c>
      <c r="C25" s="268" t="e">
        <f>B25*L25</f>
        <v>#REF!</v>
      </c>
      <c r="D25" s="268" t="e">
        <f>C25*M25</f>
        <v>#REF!</v>
      </c>
      <c r="E25" s="268" t="e">
        <f aca="true" t="shared" si="4" ref="E25:H26">D25*$M$11</f>
        <v>#REF!</v>
      </c>
      <c r="F25" s="268" t="e">
        <f t="shared" si="4"/>
        <v>#REF!</v>
      </c>
      <c r="G25" s="268" t="e">
        <f t="shared" si="4"/>
        <v>#REF!</v>
      </c>
      <c r="H25" s="268" t="e">
        <f t="shared" si="4"/>
        <v>#REF!</v>
      </c>
      <c r="I25" s="282"/>
      <c r="J25" s="282"/>
      <c r="K25" s="282"/>
      <c r="L25" s="266" t="e">
        <f>O11</f>
        <v>#REF!</v>
      </c>
      <c r="M25" s="266">
        <v>1.05</v>
      </c>
    </row>
    <row r="26" spans="1:13" ht="12.75">
      <c r="A26" s="357" t="s">
        <v>243</v>
      </c>
      <c r="B26" s="77">
        <v>21858.55</v>
      </c>
      <c r="C26" s="268" t="e">
        <f>B26*L26</f>
        <v>#REF!</v>
      </c>
      <c r="D26" s="268" t="e">
        <f>C26*M26</f>
        <v>#REF!</v>
      </c>
      <c r="E26" s="268" t="e">
        <f t="shared" si="4"/>
        <v>#REF!</v>
      </c>
      <c r="F26" s="268" t="e">
        <f t="shared" si="4"/>
        <v>#REF!</v>
      </c>
      <c r="G26" s="268" t="e">
        <f t="shared" si="4"/>
        <v>#REF!</v>
      </c>
      <c r="H26" s="268" t="e">
        <f t="shared" si="4"/>
        <v>#REF!</v>
      </c>
      <c r="I26" s="282"/>
      <c r="J26" s="282"/>
      <c r="K26" s="282"/>
      <c r="L26" s="266" t="e">
        <f>L25</f>
        <v>#REF!</v>
      </c>
      <c r="M26" s="266">
        <v>1.05</v>
      </c>
    </row>
    <row r="27" spans="1:13" ht="12.75">
      <c r="A27" s="33" t="s">
        <v>322</v>
      </c>
      <c r="B27" s="347"/>
      <c r="C27" s="268"/>
      <c r="D27" s="268"/>
      <c r="E27" s="268" t="s">
        <v>5</v>
      </c>
      <c r="F27" s="268" t="s">
        <v>5</v>
      </c>
      <c r="G27" s="268" t="s">
        <v>5</v>
      </c>
      <c r="H27" s="268" t="s">
        <v>5</v>
      </c>
      <c r="I27" s="282"/>
      <c r="J27" s="282"/>
      <c r="K27" s="282"/>
      <c r="M27" s="266">
        <v>1.05</v>
      </c>
    </row>
    <row r="28" spans="1:13" ht="12.75">
      <c r="A28" s="356" t="s">
        <v>291</v>
      </c>
      <c r="B28" s="349">
        <v>189.83</v>
      </c>
      <c r="C28" s="268" t="e">
        <f aca="true" t="shared" si="5" ref="C28:D32">B28*L28</f>
        <v>#REF!</v>
      </c>
      <c r="D28" s="268" t="e">
        <f t="shared" si="5"/>
        <v>#REF!</v>
      </c>
      <c r="E28" s="268" t="e">
        <f aca="true" t="shared" si="6" ref="E28:H32">D28*$M$11</f>
        <v>#REF!</v>
      </c>
      <c r="F28" s="268" t="e">
        <f t="shared" si="6"/>
        <v>#REF!</v>
      </c>
      <c r="G28" s="268" t="e">
        <f t="shared" si="6"/>
        <v>#REF!</v>
      </c>
      <c r="H28" s="268" t="e">
        <f t="shared" si="6"/>
        <v>#REF!</v>
      </c>
      <c r="I28" s="282"/>
      <c r="J28" s="282"/>
      <c r="K28" s="282"/>
      <c r="L28" s="266" t="e">
        <f>L26</f>
        <v>#REF!</v>
      </c>
      <c r="M28" s="266">
        <v>1.05</v>
      </c>
    </row>
    <row r="29" spans="1:13" ht="12.75">
      <c r="A29" s="356" t="s">
        <v>292</v>
      </c>
      <c r="B29" s="349">
        <v>644.33</v>
      </c>
      <c r="C29" s="268" t="e">
        <f t="shared" si="5"/>
        <v>#REF!</v>
      </c>
      <c r="D29" s="268" t="e">
        <f t="shared" si="5"/>
        <v>#REF!</v>
      </c>
      <c r="E29" s="233" t="e">
        <f t="shared" si="6"/>
        <v>#REF!</v>
      </c>
      <c r="F29" s="268" t="e">
        <f t="shared" si="6"/>
        <v>#REF!</v>
      </c>
      <c r="G29" s="268" t="e">
        <f t="shared" si="6"/>
        <v>#REF!</v>
      </c>
      <c r="H29" s="268" t="e">
        <f t="shared" si="6"/>
        <v>#REF!</v>
      </c>
      <c r="I29" s="282"/>
      <c r="J29" s="282"/>
      <c r="K29" s="282"/>
      <c r="L29" s="266" t="e">
        <f>L28</f>
        <v>#REF!</v>
      </c>
      <c r="M29" s="266">
        <v>1.05</v>
      </c>
    </row>
    <row r="30" spans="1:13" ht="12.75">
      <c r="A30" s="356" t="s">
        <v>293</v>
      </c>
      <c r="B30" s="349">
        <v>945.63</v>
      </c>
      <c r="C30" s="268" t="e">
        <f t="shared" si="5"/>
        <v>#REF!</v>
      </c>
      <c r="D30" s="268" t="e">
        <f t="shared" si="5"/>
        <v>#REF!</v>
      </c>
      <c r="E30" s="268" t="e">
        <f t="shared" si="6"/>
        <v>#REF!</v>
      </c>
      <c r="F30" s="268" t="e">
        <f t="shared" si="6"/>
        <v>#REF!</v>
      </c>
      <c r="G30" s="268" t="e">
        <f t="shared" si="6"/>
        <v>#REF!</v>
      </c>
      <c r="H30" s="268" t="e">
        <f t="shared" si="6"/>
        <v>#REF!</v>
      </c>
      <c r="I30" s="282"/>
      <c r="J30" s="282"/>
      <c r="K30" s="282"/>
      <c r="L30" s="266" t="e">
        <f>L28</f>
        <v>#REF!</v>
      </c>
      <c r="M30" s="266">
        <v>1.05</v>
      </c>
    </row>
    <row r="31" spans="1:13" ht="12.75">
      <c r="A31" s="356" t="s">
        <v>294</v>
      </c>
      <c r="B31" s="349">
        <v>594.31</v>
      </c>
      <c r="C31" s="268" t="e">
        <f t="shared" si="5"/>
        <v>#REF!</v>
      </c>
      <c r="D31" s="268" t="e">
        <f t="shared" si="5"/>
        <v>#REF!</v>
      </c>
      <c r="E31" s="268" t="e">
        <f t="shared" si="6"/>
        <v>#REF!</v>
      </c>
      <c r="F31" s="268" t="e">
        <f t="shared" si="6"/>
        <v>#REF!</v>
      </c>
      <c r="G31" s="268" t="e">
        <f t="shared" si="6"/>
        <v>#REF!</v>
      </c>
      <c r="H31" s="268" t="e">
        <f t="shared" si="6"/>
        <v>#REF!</v>
      </c>
      <c r="I31" s="282"/>
      <c r="J31" s="282"/>
      <c r="K31" s="282"/>
      <c r="L31" s="266" t="e">
        <f>L29</f>
        <v>#REF!</v>
      </c>
      <c r="M31" s="266">
        <v>1.05</v>
      </c>
    </row>
    <row r="32" spans="1:13" ht="12.75">
      <c r="A32" s="356" t="s">
        <v>295</v>
      </c>
      <c r="B32" s="349">
        <v>480</v>
      </c>
      <c r="C32" s="268" t="e">
        <f t="shared" si="5"/>
        <v>#REF!</v>
      </c>
      <c r="D32" s="268" t="e">
        <f t="shared" si="5"/>
        <v>#REF!</v>
      </c>
      <c r="E32" s="268" t="e">
        <f t="shared" si="6"/>
        <v>#REF!</v>
      </c>
      <c r="F32" s="268" t="e">
        <f t="shared" si="6"/>
        <v>#REF!</v>
      </c>
      <c r="G32" s="268" t="e">
        <f t="shared" si="6"/>
        <v>#REF!</v>
      </c>
      <c r="H32" s="268" t="e">
        <f t="shared" si="6"/>
        <v>#REF!</v>
      </c>
      <c r="I32" s="282"/>
      <c r="J32" s="282"/>
      <c r="K32" s="282"/>
      <c r="L32" s="266" t="e">
        <f>L30</f>
        <v>#REF!</v>
      </c>
      <c r="M32" s="266">
        <v>1.05</v>
      </c>
    </row>
    <row r="33" spans="1:13" ht="12.75">
      <c r="A33" s="356" t="s">
        <v>296</v>
      </c>
      <c r="B33" s="349" t="s">
        <v>5</v>
      </c>
      <c r="C33" s="268"/>
      <c r="D33" s="268"/>
      <c r="E33" s="268" t="s">
        <v>5</v>
      </c>
      <c r="F33" s="268" t="s">
        <v>5</v>
      </c>
      <c r="G33" s="268" t="s">
        <v>5</v>
      </c>
      <c r="H33" s="268" t="s">
        <v>5</v>
      </c>
      <c r="I33" s="282"/>
      <c r="J33" s="282"/>
      <c r="K33" s="282"/>
      <c r="M33" s="266">
        <v>1.05</v>
      </c>
    </row>
    <row r="34" spans="1:13" ht="12.75">
      <c r="A34" s="357" t="s">
        <v>297</v>
      </c>
      <c r="B34" s="77">
        <v>3513.51</v>
      </c>
      <c r="C34" s="268" t="e">
        <f aca="true" t="shared" si="7" ref="C34:C47">B34*L34</f>
        <v>#REF!</v>
      </c>
      <c r="D34" s="268" t="e">
        <f aca="true" t="shared" si="8" ref="D34:D47">C34*M34</f>
        <v>#REF!</v>
      </c>
      <c r="E34" s="268" t="e">
        <f aca="true" t="shared" si="9" ref="E34:H47">D34*$M$11</f>
        <v>#REF!</v>
      </c>
      <c r="F34" s="268" t="e">
        <f t="shared" si="9"/>
        <v>#REF!</v>
      </c>
      <c r="G34" s="268" t="e">
        <f t="shared" si="9"/>
        <v>#REF!</v>
      </c>
      <c r="H34" s="268" t="e">
        <f t="shared" si="9"/>
        <v>#REF!</v>
      </c>
      <c r="I34" s="282"/>
      <c r="J34" s="282"/>
      <c r="K34" s="282"/>
      <c r="L34" s="266" t="e">
        <f>$O$11</f>
        <v>#REF!</v>
      </c>
      <c r="M34" s="266">
        <v>1.05</v>
      </c>
    </row>
    <row r="35" spans="1:13" ht="12.75">
      <c r="A35" s="357" t="s">
        <v>298</v>
      </c>
      <c r="B35" s="77">
        <v>2360</v>
      </c>
      <c r="C35" s="268" t="e">
        <f t="shared" si="7"/>
        <v>#REF!</v>
      </c>
      <c r="D35" s="268" t="e">
        <f t="shared" si="8"/>
        <v>#REF!</v>
      </c>
      <c r="E35" s="268" t="e">
        <f t="shared" si="9"/>
        <v>#REF!</v>
      </c>
      <c r="F35" s="268" t="e">
        <f t="shared" si="9"/>
        <v>#REF!</v>
      </c>
      <c r="G35" s="268" t="e">
        <f t="shared" si="9"/>
        <v>#REF!</v>
      </c>
      <c r="H35" s="268" t="e">
        <f t="shared" si="9"/>
        <v>#REF!</v>
      </c>
      <c r="I35" s="282"/>
      <c r="J35" s="282"/>
      <c r="K35" s="282"/>
      <c r="L35" s="266" t="e">
        <f>$O$11</f>
        <v>#REF!</v>
      </c>
      <c r="M35" s="266">
        <v>1.05</v>
      </c>
    </row>
    <row r="36" spans="1:13" ht="12.75">
      <c r="A36" s="357" t="s">
        <v>299</v>
      </c>
      <c r="B36" s="77">
        <v>606.48</v>
      </c>
      <c r="C36" s="268" t="e">
        <f t="shared" si="7"/>
        <v>#REF!</v>
      </c>
      <c r="D36" s="268" t="e">
        <f t="shared" si="8"/>
        <v>#REF!</v>
      </c>
      <c r="E36" s="268" t="e">
        <f t="shared" si="9"/>
        <v>#REF!</v>
      </c>
      <c r="F36" s="268" t="e">
        <f t="shared" si="9"/>
        <v>#REF!</v>
      </c>
      <c r="G36" s="268" t="e">
        <f t="shared" si="9"/>
        <v>#REF!</v>
      </c>
      <c r="H36" s="268" t="e">
        <f t="shared" si="9"/>
        <v>#REF!</v>
      </c>
      <c r="I36" s="282"/>
      <c r="J36" s="282"/>
      <c r="K36" s="282"/>
      <c r="L36" s="266" t="e">
        <f>$O$11</f>
        <v>#REF!</v>
      </c>
      <c r="M36" s="266">
        <v>1.05</v>
      </c>
    </row>
    <row r="37" spans="1:13" ht="12.75">
      <c r="A37" s="357" t="s">
        <v>300</v>
      </c>
      <c r="B37" s="77">
        <v>16395.15</v>
      </c>
      <c r="C37" s="268" t="e">
        <f t="shared" si="7"/>
        <v>#REF!</v>
      </c>
      <c r="D37" s="268" t="e">
        <f t="shared" si="8"/>
        <v>#REF!</v>
      </c>
      <c r="E37" s="268" t="e">
        <f t="shared" si="9"/>
        <v>#REF!</v>
      </c>
      <c r="F37" s="268" t="e">
        <f t="shared" si="9"/>
        <v>#REF!</v>
      </c>
      <c r="G37" s="268" t="e">
        <f t="shared" si="9"/>
        <v>#REF!</v>
      </c>
      <c r="H37" s="268" t="e">
        <f t="shared" si="9"/>
        <v>#REF!</v>
      </c>
      <c r="I37" s="282"/>
      <c r="J37" s="282"/>
      <c r="K37" s="282"/>
      <c r="L37" s="266" t="e">
        <f>$O$11</f>
        <v>#REF!</v>
      </c>
      <c r="M37" s="266">
        <v>1.05</v>
      </c>
    </row>
    <row r="38" spans="1:13" ht="12.75">
      <c r="A38" s="357" t="s">
        <v>301</v>
      </c>
      <c r="B38" s="77">
        <v>826.94</v>
      </c>
      <c r="C38" s="268" t="e">
        <f t="shared" si="7"/>
        <v>#REF!</v>
      </c>
      <c r="D38" s="268" t="e">
        <f t="shared" si="8"/>
        <v>#REF!</v>
      </c>
      <c r="E38" s="268" t="e">
        <f t="shared" si="9"/>
        <v>#REF!</v>
      </c>
      <c r="F38" s="268" t="e">
        <f t="shared" si="9"/>
        <v>#REF!</v>
      </c>
      <c r="G38" s="268" t="e">
        <f t="shared" si="9"/>
        <v>#REF!</v>
      </c>
      <c r="H38" s="268" t="e">
        <f t="shared" si="9"/>
        <v>#REF!</v>
      </c>
      <c r="I38" s="282"/>
      <c r="J38" s="282"/>
      <c r="K38" s="282"/>
      <c r="L38" s="266" t="e">
        <f>$O$11</f>
        <v>#REF!</v>
      </c>
      <c r="M38" s="266">
        <v>1.05</v>
      </c>
    </row>
    <row r="39" spans="1:13" ht="12.75">
      <c r="A39" s="356" t="s">
        <v>323</v>
      </c>
      <c r="B39" s="349">
        <v>4057.07</v>
      </c>
      <c r="C39" s="268">
        <f t="shared" si="7"/>
        <v>4057.07</v>
      </c>
      <c r="D39" s="268">
        <f t="shared" si="8"/>
        <v>4259.923500000001</v>
      </c>
      <c r="E39" s="268">
        <f t="shared" si="9"/>
        <v>4472.919675000001</v>
      </c>
      <c r="F39" s="268">
        <f t="shared" si="9"/>
        <v>4696.565658750002</v>
      </c>
      <c r="G39" s="268">
        <f t="shared" si="9"/>
        <v>4931.393941687502</v>
      </c>
      <c r="H39" s="268">
        <f t="shared" si="9"/>
        <v>5177.963638771877</v>
      </c>
      <c r="I39" s="282"/>
      <c r="J39" s="282"/>
      <c r="K39" s="282"/>
      <c r="L39" s="266">
        <v>1</v>
      </c>
      <c r="M39" s="266">
        <v>1.05</v>
      </c>
    </row>
    <row r="40" spans="1:13" ht="12.75">
      <c r="A40" s="356" t="s">
        <v>302</v>
      </c>
      <c r="B40" s="349">
        <v>101.7</v>
      </c>
      <c r="C40" s="268" t="e">
        <f t="shared" si="7"/>
        <v>#REF!</v>
      </c>
      <c r="D40" s="268" t="e">
        <f t="shared" si="8"/>
        <v>#REF!</v>
      </c>
      <c r="E40" s="268" t="e">
        <f t="shared" si="9"/>
        <v>#REF!</v>
      </c>
      <c r="F40" s="268" t="e">
        <f t="shared" si="9"/>
        <v>#REF!</v>
      </c>
      <c r="G40" s="268" t="e">
        <f t="shared" si="9"/>
        <v>#REF!</v>
      </c>
      <c r="H40" s="268" t="e">
        <f t="shared" si="9"/>
        <v>#REF!</v>
      </c>
      <c r="I40" s="282"/>
      <c r="J40" s="282"/>
      <c r="K40" s="282"/>
      <c r="L40" s="266" t="e">
        <f>L38</f>
        <v>#REF!</v>
      </c>
      <c r="M40" s="266">
        <v>1.05</v>
      </c>
    </row>
    <row r="41" spans="1:13" ht="12.75">
      <c r="A41" s="356" t="s">
        <v>303</v>
      </c>
      <c r="B41" s="349">
        <v>282.35</v>
      </c>
      <c r="C41" s="268">
        <f t="shared" si="7"/>
        <v>282.35</v>
      </c>
      <c r="D41" s="268">
        <f t="shared" si="8"/>
        <v>296.46750000000003</v>
      </c>
      <c r="E41" s="268">
        <f t="shared" si="9"/>
        <v>311.290875</v>
      </c>
      <c r="F41" s="268">
        <f t="shared" si="9"/>
        <v>326.85541875000007</v>
      </c>
      <c r="G41" s="268">
        <f t="shared" si="9"/>
        <v>343.1981896875001</v>
      </c>
      <c r="H41" s="268">
        <f t="shared" si="9"/>
        <v>360.3580991718751</v>
      </c>
      <c r="I41" s="282"/>
      <c r="J41" s="282"/>
      <c r="K41" s="282"/>
      <c r="L41" s="266">
        <f>L39</f>
        <v>1</v>
      </c>
      <c r="M41" s="266">
        <v>1.05</v>
      </c>
    </row>
    <row r="42" spans="1:13" ht="12.75">
      <c r="A42" s="356" t="s">
        <v>304</v>
      </c>
      <c r="B42" s="349">
        <v>3791.19</v>
      </c>
      <c r="C42" s="268" t="e">
        <f t="shared" si="7"/>
        <v>#REF!</v>
      </c>
      <c r="D42" s="268" t="e">
        <f t="shared" si="8"/>
        <v>#REF!</v>
      </c>
      <c r="E42" s="268" t="e">
        <f t="shared" si="9"/>
        <v>#REF!</v>
      </c>
      <c r="F42" s="268" t="e">
        <f t="shared" si="9"/>
        <v>#REF!</v>
      </c>
      <c r="G42" s="268" t="e">
        <f t="shared" si="9"/>
        <v>#REF!</v>
      </c>
      <c r="H42" s="268" t="e">
        <f t="shared" si="9"/>
        <v>#REF!</v>
      </c>
      <c r="I42" s="282"/>
      <c r="J42" s="282"/>
      <c r="K42" s="282"/>
      <c r="L42" s="266" t="e">
        <f>L40</f>
        <v>#REF!</v>
      </c>
      <c r="M42" s="266">
        <v>1.05</v>
      </c>
    </row>
    <row r="43" spans="1:13" ht="12.75">
      <c r="A43" s="356" t="s">
        <v>305</v>
      </c>
      <c r="B43" s="349">
        <v>2180.5</v>
      </c>
      <c r="C43" s="268" t="e">
        <f t="shared" si="7"/>
        <v>#REF!</v>
      </c>
      <c r="D43" s="268" t="e">
        <f t="shared" si="8"/>
        <v>#REF!</v>
      </c>
      <c r="E43" s="268" t="e">
        <f t="shared" si="9"/>
        <v>#REF!</v>
      </c>
      <c r="F43" s="268" t="e">
        <f t="shared" si="9"/>
        <v>#REF!</v>
      </c>
      <c r="G43" s="268" t="e">
        <f t="shared" si="9"/>
        <v>#REF!</v>
      </c>
      <c r="H43" s="268" t="e">
        <f t="shared" si="9"/>
        <v>#REF!</v>
      </c>
      <c r="I43" s="282"/>
      <c r="J43" s="282"/>
      <c r="K43" s="282"/>
      <c r="L43" s="266" t="e">
        <f>L42</f>
        <v>#REF!</v>
      </c>
      <c r="M43" s="266">
        <v>1.05</v>
      </c>
    </row>
    <row r="44" spans="1:13" ht="12.75">
      <c r="A44" s="356" t="s">
        <v>330</v>
      </c>
      <c r="B44" s="78">
        <v>173.97</v>
      </c>
      <c r="C44" s="268" t="e">
        <f t="shared" si="7"/>
        <v>#REF!</v>
      </c>
      <c r="D44" s="268" t="e">
        <f t="shared" si="8"/>
        <v>#REF!</v>
      </c>
      <c r="E44" s="268" t="e">
        <f t="shared" si="9"/>
        <v>#REF!</v>
      </c>
      <c r="F44" s="268" t="e">
        <f t="shared" si="9"/>
        <v>#REF!</v>
      </c>
      <c r="G44" s="268" t="e">
        <f t="shared" si="9"/>
        <v>#REF!</v>
      </c>
      <c r="H44" s="268" t="e">
        <f t="shared" si="9"/>
        <v>#REF!</v>
      </c>
      <c r="I44" s="282"/>
      <c r="J44" s="282"/>
      <c r="K44" s="282"/>
      <c r="L44" s="266" t="e">
        <f>L42</f>
        <v>#REF!</v>
      </c>
      <c r="M44" s="266">
        <v>1.05</v>
      </c>
    </row>
    <row r="45" spans="1:13" ht="12.75">
      <c r="A45" s="356" t="s">
        <v>306</v>
      </c>
      <c r="B45" s="349">
        <v>199.71</v>
      </c>
      <c r="C45" s="268">
        <f t="shared" si="7"/>
        <v>199.71</v>
      </c>
      <c r="D45" s="268">
        <f t="shared" si="8"/>
        <v>209.6955</v>
      </c>
      <c r="E45" s="268">
        <f t="shared" si="9"/>
        <v>220.18027500000002</v>
      </c>
      <c r="F45" s="268">
        <f t="shared" si="9"/>
        <v>231.18928875000003</v>
      </c>
      <c r="G45" s="268">
        <f t="shared" si="9"/>
        <v>242.74875318750006</v>
      </c>
      <c r="H45" s="268">
        <f t="shared" si="9"/>
        <v>254.88619084687508</v>
      </c>
      <c r="I45" s="282"/>
      <c r="J45" s="282"/>
      <c r="K45" s="282"/>
      <c r="L45" s="266">
        <v>1</v>
      </c>
      <c r="M45" s="266">
        <v>1.05</v>
      </c>
    </row>
    <row r="46" spans="1:13" ht="12.75">
      <c r="A46" s="356" t="s">
        <v>307</v>
      </c>
      <c r="B46" s="349">
        <v>39</v>
      </c>
      <c r="C46" s="268" t="e">
        <f t="shared" si="7"/>
        <v>#REF!</v>
      </c>
      <c r="D46" s="268" t="e">
        <f t="shared" si="8"/>
        <v>#REF!</v>
      </c>
      <c r="E46" s="268" t="e">
        <f t="shared" si="9"/>
        <v>#REF!</v>
      </c>
      <c r="F46" s="268" t="e">
        <f t="shared" si="9"/>
        <v>#REF!</v>
      </c>
      <c r="G46" s="268" t="e">
        <f t="shared" si="9"/>
        <v>#REF!</v>
      </c>
      <c r="H46" s="268" t="e">
        <f t="shared" si="9"/>
        <v>#REF!</v>
      </c>
      <c r="I46" s="282"/>
      <c r="J46" s="282"/>
      <c r="K46" s="282"/>
      <c r="L46" s="266" t="e">
        <f>L44</f>
        <v>#REF!</v>
      </c>
      <c r="M46" s="266">
        <v>1.05</v>
      </c>
    </row>
    <row r="47" spans="1:13" ht="12.75">
      <c r="A47" s="356" t="s">
        <v>308</v>
      </c>
      <c r="B47" s="349">
        <v>41246.8</v>
      </c>
      <c r="C47" s="268">
        <f t="shared" si="7"/>
        <v>41246.8</v>
      </c>
      <c r="D47" s="268">
        <f t="shared" si="8"/>
        <v>43309.14000000001</v>
      </c>
      <c r="E47" s="268">
        <f t="shared" si="9"/>
        <v>45474.59700000001</v>
      </c>
      <c r="F47" s="268">
        <f t="shared" si="9"/>
        <v>47748.32685000001</v>
      </c>
      <c r="G47" s="268">
        <f t="shared" si="9"/>
        <v>50135.74319250001</v>
      </c>
      <c r="H47" s="268">
        <f t="shared" si="9"/>
        <v>52642.53035212502</v>
      </c>
      <c r="I47" s="282"/>
      <c r="J47" s="282"/>
      <c r="K47" s="282"/>
      <c r="L47" s="266">
        <f>L45</f>
        <v>1</v>
      </c>
      <c r="M47" s="266">
        <v>1.05</v>
      </c>
    </row>
    <row r="48" spans="1:11" ht="12.75">
      <c r="A48" s="33" t="s">
        <v>244</v>
      </c>
      <c r="B48" s="347"/>
      <c r="C48" s="268"/>
      <c r="D48" s="268"/>
      <c r="E48" s="268" t="s">
        <v>5</v>
      </c>
      <c r="F48" s="268" t="s">
        <v>5</v>
      </c>
      <c r="G48" s="268" t="s">
        <v>5</v>
      </c>
      <c r="H48" s="268" t="s">
        <v>5</v>
      </c>
      <c r="I48" s="282"/>
      <c r="J48" s="282"/>
      <c r="K48" s="282"/>
    </row>
    <row r="49" spans="1:11" ht="12.75">
      <c r="A49" s="356" t="s">
        <v>6</v>
      </c>
      <c r="B49" s="349"/>
      <c r="C49" s="268"/>
      <c r="D49" s="268"/>
      <c r="E49" s="268" t="s">
        <v>5</v>
      </c>
      <c r="F49" s="268" t="s">
        <v>5</v>
      </c>
      <c r="G49" s="268" t="s">
        <v>5</v>
      </c>
      <c r="H49" s="268" t="s">
        <v>5</v>
      </c>
      <c r="I49" s="282"/>
      <c r="J49" s="282"/>
      <c r="K49" s="282"/>
    </row>
    <row r="50" spans="1:13" ht="12.75">
      <c r="A50" s="357" t="s">
        <v>245</v>
      </c>
      <c r="B50" s="77">
        <v>26250</v>
      </c>
      <c r="C50" s="268">
        <f aca="true" t="shared" si="10" ref="C50:C59">B50*L50</f>
        <v>28875.000000000004</v>
      </c>
      <c r="D50" s="268">
        <f aca="true" t="shared" si="11" ref="D50:D59">C50*M50</f>
        <v>30318.750000000004</v>
      </c>
      <c r="E50" s="268">
        <f aca="true" t="shared" si="12" ref="E50:H63">D50*$M$11</f>
        <v>31834.687500000004</v>
      </c>
      <c r="F50" s="268">
        <f t="shared" si="12"/>
        <v>33426.42187500001</v>
      </c>
      <c r="G50" s="268">
        <f t="shared" si="12"/>
        <v>35097.74296875001</v>
      </c>
      <c r="H50" s="268">
        <f t="shared" si="12"/>
        <v>36852.63011718752</v>
      </c>
      <c r="I50" s="282"/>
      <c r="J50" s="282"/>
      <c r="K50" s="282"/>
      <c r="L50" s="266">
        <v>1.1</v>
      </c>
      <c r="M50" s="266">
        <v>1.05</v>
      </c>
    </row>
    <row r="51" spans="1:13" ht="12.75">
      <c r="A51" s="357" t="s">
        <v>246</v>
      </c>
      <c r="B51" s="77">
        <v>239</v>
      </c>
      <c r="C51" s="268">
        <f t="shared" si="10"/>
        <v>262.90000000000003</v>
      </c>
      <c r="D51" s="268">
        <f t="shared" si="11"/>
        <v>276.0450000000001</v>
      </c>
      <c r="E51" s="268">
        <f t="shared" si="12"/>
        <v>289.8472500000001</v>
      </c>
      <c r="F51" s="268">
        <f t="shared" si="12"/>
        <v>304.3396125000001</v>
      </c>
      <c r="G51" s="268">
        <f t="shared" si="12"/>
        <v>319.5565931250001</v>
      </c>
      <c r="H51" s="268">
        <f t="shared" si="12"/>
        <v>335.53442278125016</v>
      </c>
      <c r="I51" s="282"/>
      <c r="J51" s="282"/>
      <c r="K51" s="282"/>
      <c r="L51" s="266">
        <v>1.1</v>
      </c>
      <c r="M51" s="266">
        <v>1.05</v>
      </c>
    </row>
    <row r="52" spans="1:13" ht="12.75">
      <c r="A52" s="357" t="s">
        <v>247</v>
      </c>
      <c r="B52" s="77">
        <v>2104.16</v>
      </c>
      <c r="C52" s="268">
        <f t="shared" si="10"/>
        <v>2314.576</v>
      </c>
      <c r="D52" s="268">
        <f t="shared" si="11"/>
        <v>2430.3048000000003</v>
      </c>
      <c r="E52" s="268">
        <f t="shared" si="12"/>
        <v>2551.8200400000005</v>
      </c>
      <c r="F52" s="268">
        <f t="shared" si="12"/>
        <v>2679.4110420000006</v>
      </c>
      <c r="G52" s="268">
        <f t="shared" si="12"/>
        <v>2813.3815941000007</v>
      </c>
      <c r="H52" s="268">
        <f t="shared" si="12"/>
        <v>2954.0506738050008</v>
      </c>
      <c r="I52" s="282"/>
      <c r="J52" s="282"/>
      <c r="K52" s="282"/>
      <c r="L52" s="266">
        <v>1.1</v>
      </c>
      <c r="M52" s="266">
        <v>1.05</v>
      </c>
    </row>
    <row r="53" spans="1:13" ht="12.75">
      <c r="A53" s="357" t="s">
        <v>335</v>
      </c>
      <c r="B53" s="77">
        <v>151.1</v>
      </c>
      <c r="C53" s="268">
        <f t="shared" si="10"/>
        <v>166.21</v>
      </c>
      <c r="D53" s="268">
        <f t="shared" si="11"/>
        <v>174.52050000000003</v>
      </c>
      <c r="E53" s="268">
        <f t="shared" si="12"/>
        <v>183.24652500000005</v>
      </c>
      <c r="F53" s="268">
        <f t="shared" si="12"/>
        <v>192.40885125000005</v>
      </c>
      <c r="G53" s="268">
        <f t="shared" si="12"/>
        <v>202.02929381250007</v>
      </c>
      <c r="H53" s="268">
        <f t="shared" si="12"/>
        <v>212.1307585031251</v>
      </c>
      <c r="I53" s="282"/>
      <c r="J53" s="282"/>
      <c r="K53" s="282"/>
      <c r="L53" s="266">
        <v>1.1</v>
      </c>
      <c r="M53" s="266">
        <v>1.05</v>
      </c>
    </row>
    <row r="54" spans="1:13" ht="12.75">
      <c r="A54" s="357" t="s">
        <v>249</v>
      </c>
      <c r="B54" s="77">
        <v>3098.18</v>
      </c>
      <c r="C54" s="268">
        <f t="shared" si="10"/>
        <v>3407.998</v>
      </c>
      <c r="D54" s="268">
        <f t="shared" si="11"/>
        <v>3578.3979000000004</v>
      </c>
      <c r="E54" s="268">
        <f t="shared" si="12"/>
        <v>3757.3177950000004</v>
      </c>
      <c r="F54" s="268">
        <f t="shared" si="12"/>
        <v>3945.183684750001</v>
      </c>
      <c r="G54" s="268">
        <f t="shared" si="12"/>
        <v>4142.442868987501</v>
      </c>
      <c r="H54" s="268">
        <f t="shared" si="12"/>
        <v>4349.565012436877</v>
      </c>
      <c r="I54" s="282"/>
      <c r="J54" s="282"/>
      <c r="K54" s="282"/>
      <c r="L54" s="266">
        <v>1.1</v>
      </c>
      <c r="M54" s="266">
        <v>1.05</v>
      </c>
    </row>
    <row r="55" spans="1:13" ht="12.75">
      <c r="A55" s="357" t="s">
        <v>250</v>
      </c>
      <c r="B55" s="77">
        <v>1300.04</v>
      </c>
      <c r="C55" s="268">
        <f t="shared" si="10"/>
        <v>1430.044</v>
      </c>
      <c r="D55" s="268">
        <f t="shared" si="11"/>
        <v>1501.5462000000002</v>
      </c>
      <c r="E55" s="268">
        <f t="shared" si="12"/>
        <v>1576.6235100000004</v>
      </c>
      <c r="F55" s="268">
        <f t="shared" si="12"/>
        <v>1655.4546855000006</v>
      </c>
      <c r="G55" s="268">
        <f t="shared" si="12"/>
        <v>1738.2274197750007</v>
      </c>
      <c r="H55" s="268">
        <f t="shared" si="12"/>
        <v>1825.1387907637509</v>
      </c>
      <c r="I55" s="282"/>
      <c r="J55" s="282"/>
      <c r="K55" s="282"/>
      <c r="L55" s="266">
        <v>1.1</v>
      </c>
      <c r="M55" s="266">
        <v>1.05</v>
      </c>
    </row>
    <row r="56" spans="1:13" ht="12.75">
      <c r="A56" s="357" t="s">
        <v>251</v>
      </c>
      <c r="B56" s="77">
        <v>131.25</v>
      </c>
      <c r="C56" s="268">
        <f t="shared" si="10"/>
        <v>144.375</v>
      </c>
      <c r="D56" s="268">
        <f t="shared" si="11"/>
        <v>151.59375</v>
      </c>
      <c r="E56" s="268">
        <f t="shared" si="12"/>
        <v>159.1734375</v>
      </c>
      <c r="F56" s="268">
        <f t="shared" si="12"/>
        <v>167.132109375</v>
      </c>
      <c r="G56" s="268">
        <f t="shared" si="12"/>
        <v>175.48871484375002</v>
      </c>
      <c r="H56" s="268">
        <f t="shared" si="12"/>
        <v>184.26315058593752</v>
      </c>
      <c r="I56" s="282"/>
      <c r="J56" s="282"/>
      <c r="K56" s="282"/>
      <c r="L56" s="266">
        <v>1.1</v>
      </c>
      <c r="M56" s="266">
        <v>1.05</v>
      </c>
    </row>
    <row r="57" spans="1:13" ht="12.75">
      <c r="A57" s="357" t="s">
        <v>252</v>
      </c>
      <c r="B57" s="77">
        <v>131.25</v>
      </c>
      <c r="C57" s="268">
        <f t="shared" si="10"/>
        <v>144.375</v>
      </c>
      <c r="D57" s="268">
        <f t="shared" si="11"/>
        <v>151.59375</v>
      </c>
      <c r="E57" s="268">
        <f t="shared" si="12"/>
        <v>159.1734375</v>
      </c>
      <c r="F57" s="268">
        <f t="shared" si="12"/>
        <v>167.132109375</v>
      </c>
      <c r="G57" s="268">
        <f t="shared" si="12"/>
        <v>175.48871484375002</v>
      </c>
      <c r="H57" s="268">
        <f t="shared" si="12"/>
        <v>184.26315058593752</v>
      </c>
      <c r="I57" s="282"/>
      <c r="J57" s="282"/>
      <c r="K57" s="282"/>
      <c r="L57" s="266">
        <v>1.1</v>
      </c>
      <c r="M57" s="266">
        <v>1.05</v>
      </c>
    </row>
    <row r="58" spans="1:13" ht="12.75">
      <c r="A58" s="357" t="s">
        <v>253</v>
      </c>
      <c r="B58" s="77">
        <v>1600</v>
      </c>
      <c r="C58" s="268">
        <f t="shared" si="10"/>
        <v>1760.0000000000002</v>
      </c>
      <c r="D58" s="268">
        <f t="shared" si="11"/>
        <v>1848.0000000000002</v>
      </c>
      <c r="E58" s="268">
        <f t="shared" si="12"/>
        <v>1940.4000000000003</v>
      </c>
      <c r="F58" s="268">
        <f t="shared" si="12"/>
        <v>2037.4200000000005</v>
      </c>
      <c r="G58" s="268">
        <f t="shared" si="12"/>
        <v>2139.2910000000006</v>
      </c>
      <c r="H58" s="268">
        <f t="shared" si="12"/>
        <v>2246.2555500000008</v>
      </c>
      <c r="I58" s="282"/>
      <c r="J58" s="282"/>
      <c r="K58" s="282"/>
      <c r="L58" s="266">
        <v>1.1</v>
      </c>
      <c r="M58" s="266">
        <v>1.05</v>
      </c>
    </row>
    <row r="59" spans="1:13" ht="12.75">
      <c r="A59" s="357" t="s">
        <v>254</v>
      </c>
      <c r="B59" s="77">
        <v>665</v>
      </c>
      <c r="C59" s="268">
        <f t="shared" si="10"/>
        <v>731.5000000000001</v>
      </c>
      <c r="D59" s="268">
        <f t="shared" si="11"/>
        <v>768.0750000000002</v>
      </c>
      <c r="E59" s="268">
        <f t="shared" si="12"/>
        <v>806.4787500000002</v>
      </c>
      <c r="F59" s="268">
        <f t="shared" si="12"/>
        <v>846.8026875000003</v>
      </c>
      <c r="G59" s="268">
        <f t="shared" si="12"/>
        <v>889.1428218750003</v>
      </c>
      <c r="H59" s="268">
        <f t="shared" si="12"/>
        <v>933.5999629687503</v>
      </c>
      <c r="I59" s="282"/>
      <c r="J59" s="282"/>
      <c r="K59" s="282"/>
      <c r="L59" s="266">
        <v>1.1</v>
      </c>
      <c r="M59" s="266">
        <v>1.05</v>
      </c>
    </row>
    <row r="60" spans="1:11" ht="12.75">
      <c r="A60" s="356" t="s">
        <v>255</v>
      </c>
      <c r="B60" s="349"/>
      <c r="C60" s="268"/>
      <c r="D60" s="268"/>
      <c r="E60" s="268">
        <f t="shared" si="12"/>
        <v>0</v>
      </c>
      <c r="F60" s="268">
        <f t="shared" si="12"/>
        <v>0</v>
      </c>
      <c r="G60" s="268">
        <f t="shared" si="12"/>
        <v>0</v>
      </c>
      <c r="H60" s="268">
        <f t="shared" si="12"/>
        <v>0</v>
      </c>
      <c r="I60" s="282"/>
      <c r="J60" s="282"/>
      <c r="K60" s="282"/>
    </row>
    <row r="61" spans="1:13" ht="12.75">
      <c r="A61" s="357" t="s">
        <v>256</v>
      </c>
      <c r="B61" s="77">
        <v>3255.56</v>
      </c>
      <c r="C61" s="268">
        <f aca="true" t="shared" si="13" ref="C61:D63">B61*L61</f>
        <v>3255.56</v>
      </c>
      <c r="D61" s="268">
        <f t="shared" si="13"/>
        <v>3581.1160000000004</v>
      </c>
      <c r="E61" s="268">
        <f t="shared" si="12"/>
        <v>3760.1718000000005</v>
      </c>
      <c r="F61" s="268">
        <f t="shared" si="12"/>
        <v>3948.180390000001</v>
      </c>
      <c r="G61" s="268">
        <f t="shared" si="12"/>
        <v>4145.589409500001</v>
      </c>
      <c r="H61" s="268">
        <f t="shared" si="12"/>
        <v>4352.868879975002</v>
      </c>
      <c r="I61" s="282"/>
      <c r="J61" s="282"/>
      <c r="K61" s="282"/>
      <c r="L61" s="266">
        <v>1</v>
      </c>
      <c r="M61" s="266">
        <v>1.1</v>
      </c>
    </row>
    <row r="62" spans="1:13" ht="12.75">
      <c r="A62" s="357" t="s">
        <v>257</v>
      </c>
      <c r="B62" s="77">
        <v>140</v>
      </c>
      <c r="C62" s="268">
        <f t="shared" si="13"/>
        <v>140</v>
      </c>
      <c r="D62" s="268">
        <f t="shared" si="13"/>
        <v>154</v>
      </c>
      <c r="E62" s="268">
        <f t="shared" si="12"/>
        <v>161.70000000000002</v>
      </c>
      <c r="F62" s="268">
        <f t="shared" si="12"/>
        <v>169.78500000000003</v>
      </c>
      <c r="G62" s="268">
        <f t="shared" si="12"/>
        <v>178.27425000000002</v>
      </c>
      <c r="H62" s="268">
        <f t="shared" si="12"/>
        <v>187.18796250000003</v>
      </c>
      <c r="I62" s="282"/>
      <c r="J62" s="282"/>
      <c r="K62" s="282"/>
      <c r="L62" s="266">
        <v>1</v>
      </c>
      <c r="M62" s="266">
        <v>1.1</v>
      </c>
    </row>
    <row r="63" spans="1:13" ht="12.75">
      <c r="A63" s="357" t="s">
        <v>258</v>
      </c>
      <c r="B63" s="77">
        <v>358.89</v>
      </c>
      <c r="C63" s="268">
        <f t="shared" si="13"/>
        <v>358.89</v>
      </c>
      <c r="D63" s="268">
        <f t="shared" si="13"/>
        <v>394.779</v>
      </c>
      <c r="E63" s="268">
        <f t="shared" si="12"/>
        <v>414.51795000000004</v>
      </c>
      <c r="F63" s="268">
        <f t="shared" si="12"/>
        <v>435.2438475000001</v>
      </c>
      <c r="G63" s="268">
        <f t="shared" si="12"/>
        <v>457.0060398750001</v>
      </c>
      <c r="H63" s="268">
        <f t="shared" si="12"/>
        <v>479.8563418687501</v>
      </c>
      <c r="I63" s="282"/>
      <c r="J63" s="282"/>
      <c r="K63" s="282"/>
      <c r="L63" s="266">
        <v>1</v>
      </c>
      <c r="M63" s="266">
        <v>1.1</v>
      </c>
    </row>
    <row r="64" spans="1:13" ht="12.75">
      <c r="A64" s="356" t="s">
        <v>259</v>
      </c>
      <c r="B64" s="349"/>
      <c r="C64" s="268">
        <f>B64*L64</f>
        <v>0</v>
      </c>
      <c r="D64" s="268"/>
      <c r="E64" s="268" t="s">
        <v>5</v>
      </c>
      <c r="F64" s="268" t="s">
        <v>5</v>
      </c>
      <c r="G64" s="268" t="s">
        <v>5</v>
      </c>
      <c r="H64" s="268" t="s">
        <v>5</v>
      </c>
      <c r="I64" s="282"/>
      <c r="J64" s="282"/>
      <c r="K64" s="282"/>
      <c r="M64" s="266" t="s">
        <v>5</v>
      </c>
    </row>
    <row r="65" spans="1:13" ht="12.75">
      <c r="A65" s="357" t="s">
        <v>260</v>
      </c>
      <c r="B65" s="77">
        <v>148.59</v>
      </c>
      <c r="C65" s="268">
        <f>B65*L65</f>
        <v>148.59</v>
      </c>
      <c r="D65" s="268">
        <f>C65*M65</f>
        <v>163.449</v>
      </c>
      <c r="E65" s="268">
        <f aca="true" t="shared" si="14" ref="E65:H69">D65*$M$11</f>
        <v>171.62145</v>
      </c>
      <c r="F65" s="268">
        <f t="shared" si="14"/>
        <v>180.20252250000001</v>
      </c>
      <c r="G65" s="268">
        <f t="shared" si="14"/>
        <v>189.212648625</v>
      </c>
      <c r="H65" s="268">
        <f t="shared" si="14"/>
        <v>198.67328105625003</v>
      </c>
      <c r="I65" s="282"/>
      <c r="J65" s="282"/>
      <c r="K65" s="282"/>
      <c r="L65" s="266">
        <v>1</v>
      </c>
      <c r="M65" s="266">
        <v>1.1</v>
      </c>
    </row>
    <row r="66" spans="1:13" ht="12.75">
      <c r="A66" s="357" t="s">
        <v>261</v>
      </c>
      <c r="B66" s="77">
        <v>156.31</v>
      </c>
      <c r="C66" s="268">
        <f>B66*L66</f>
        <v>312.62</v>
      </c>
      <c r="D66" s="268">
        <f>C66*M66</f>
        <v>343.882</v>
      </c>
      <c r="E66" s="268">
        <f t="shared" si="14"/>
        <v>361.0761</v>
      </c>
      <c r="F66" s="268">
        <f t="shared" si="14"/>
        <v>379.129905</v>
      </c>
      <c r="G66" s="268">
        <f t="shared" si="14"/>
        <v>398.08640025</v>
      </c>
      <c r="H66" s="268">
        <f t="shared" si="14"/>
        <v>417.9907202625</v>
      </c>
      <c r="I66" s="282"/>
      <c r="J66" s="282"/>
      <c r="K66" s="282"/>
      <c r="L66" s="266">
        <v>2</v>
      </c>
      <c r="M66" s="266">
        <v>1.1</v>
      </c>
    </row>
    <row r="67" spans="1:11" ht="12.75">
      <c r="A67" s="33" t="s">
        <v>309</v>
      </c>
      <c r="B67" s="347"/>
      <c r="C67" s="268"/>
      <c r="D67" s="268"/>
      <c r="E67" s="268">
        <f t="shared" si="14"/>
        <v>0</v>
      </c>
      <c r="F67" s="268">
        <f t="shared" si="14"/>
        <v>0</v>
      </c>
      <c r="G67" s="268">
        <f t="shared" si="14"/>
        <v>0</v>
      </c>
      <c r="H67" s="268">
        <f t="shared" si="14"/>
        <v>0</v>
      </c>
      <c r="I67" s="282"/>
      <c r="J67" s="282"/>
      <c r="K67" s="282"/>
    </row>
    <row r="68" spans="1:13" ht="12.75">
      <c r="A68" s="356" t="s">
        <v>310</v>
      </c>
      <c r="B68" s="349">
        <v>36.28</v>
      </c>
      <c r="C68" s="268" t="e">
        <f>B68*L68</f>
        <v>#REF!</v>
      </c>
      <c r="D68" s="268" t="e">
        <f>C68*M68</f>
        <v>#REF!</v>
      </c>
      <c r="E68" s="268" t="e">
        <f t="shared" si="14"/>
        <v>#REF!</v>
      </c>
      <c r="F68" s="268" t="e">
        <f t="shared" si="14"/>
        <v>#REF!</v>
      </c>
      <c r="G68" s="268" t="e">
        <f t="shared" si="14"/>
        <v>#REF!</v>
      </c>
      <c r="H68" s="268" t="e">
        <f t="shared" si="14"/>
        <v>#REF!</v>
      </c>
      <c r="I68" s="282"/>
      <c r="J68" s="282"/>
      <c r="K68" s="282"/>
      <c r="L68" s="266" t="e">
        <f>$O$11</f>
        <v>#REF!</v>
      </c>
      <c r="M68" s="266">
        <v>1.1</v>
      </c>
    </row>
    <row r="69" spans="1:13" ht="12.75">
      <c r="A69" s="356" t="s">
        <v>311</v>
      </c>
      <c r="B69" s="349">
        <v>1246.9</v>
      </c>
      <c r="C69" s="268" t="e">
        <f>B69*L69</f>
        <v>#REF!</v>
      </c>
      <c r="D69" s="268" t="e">
        <f>C69*M69</f>
        <v>#REF!</v>
      </c>
      <c r="E69" s="268" t="e">
        <f t="shared" si="14"/>
        <v>#REF!</v>
      </c>
      <c r="F69" s="268" t="e">
        <f t="shared" si="14"/>
        <v>#REF!</v>
      </c>
      <c r="G69" s="268" t="e">
        <f t="shared" si="14"/>
        <v>#REF!</v>
      </c>
      <c r="H69" s="268" t="e">
        <f t="shared" si="14"/>
        <v>#REF!</v>
      </c>
      <c r="I69" s="282"/>
      <c r="J69" s="282"/>
      <c r="K69" s="282"/>
      <c r="L69" s="266" t="e">
        <f>$O$11</f>
        <v>#REF!</v>
      </c>
      <c r="M69" s="266">
        <v>1.1</v>
      </c>
    </row>
    <row r="70" spans="1:11" ht="12.75">
      <c r="A70" s="356" t="s">
        <v>312</v>
      </c>
      <c r="B70" s="349"/>
      <c r="C70" s="268"/>
      <c r="D70" s="268"/>
      <c r="E70" s="268" t="s">
        <v>5</v>
      </c>
      <c r="F70" s="268" t="s">
        <v>5</v>
      </c>
      <c r="G70" s="268" t="s">
        <v>5</v>
      </c>
      <c r="H70" s="268" t="s">
        <v>5</v>
      </c>
      <c r="I70" s="282"/>
      <c r="J70" s="282"/>
      <c r="K70" s="282"/>
    </row>
    <row r="71" spans="1:13" ht="12.75">
      <c r="A71" s="357" t="s">
        <v>313</v>
      </c>
      <c r="B71" s="77">
        <v>3767.73</v>
      </c>
      <c r="C71" s="268" t="e">
        <f aca="true" t="shared" si="15" ref="C71:D73">B71*L71</f>
        <v>#REF!</v>
      </c>
      <c r="D71" s="268" t="e">
        <f t="shared" si="15"/>
        <v>#REF!</v>
      </c>
      <c r="E71" s="268" t="e">
        <f aca="true" t="shared" si="16" ref="E71:H73">D71*$M$11</f>
        <v>#REF!</v>
      </c>
      <c r="F71" s="268" t="e">
        <f t="shared" si="16"/>
        <v>#REF!</v>
      </c>
      <c r="G71" s="268" t="e">
        <f t="shared" si="16"/>
        <v>#REF!</v>
      </c>
      <c r="H71" s="268" t="e">
        <f t="shared" si="16"/>
        <v>#REF!</v>
      </c>
      <c r="I71" s="282"/>
      <c r="J71" s="282"/>
      <c r="K71" s="282"/>
      <c r="L71" s="266" t="e">
        <f>L69</f>
        <v>#REF!</v>
      </c>
      <c r="M71" s="266">
        <f>M69</f>
        <v>1.1</v>
      </c>
    </row>
    <row r="72" spans="1:13" ht="12.75">
      <c r="A72" s="357" t="s">
        <v>314</v>
      </c>
      <c r="B72" s="77">
        <v>24.7</v>
      </c>
      <c r="C72" s="268" t="e">
        <f t="shared" si="15"/>
        <v>#REF!</v>
      </c>
      <c r="D72" s="268" t="e">
        <f t="shared" si="15"/>
        <v>#REF!</v>
      </c>
      <c r="E72" s="268" t="e">
        <f t="shared" si="16"/>
        <v>#REF!</v>
      </c>
      <c r="F72" s="268" t="e">
        <f t="shared" si="16"/>
        <v>#REF!</v>
      </c>
      <c r="G72" s="268" t="e">
        <f t="shared" si="16"/>
        <v>#REF!</v>
      </c>
      <c r="H72" s="268" t="e">
        <f t="shared" si="16"/>
        <v>#REF!</v>
      </c>
      <c r="I72" s="282"/>
      <c r="J72" s="282"/>
      <c r="K72" s="282"/>
      <c r="L72" s="266" t="e">
        <f>L71</f>
        <v>#REF!</v>
      </c>
      <c r="M72" s="266">
        <v>1.1</v>
      </c>
    </row>
    <row r="73" spans="1:13" ht="12.75">
      <c r="A73" s="357" t="s">
        <v>315</v>
      </c>
      <c r="B73" s="77">
        <v>120</v>
      </c>
      <c r="C73" s="268" t="e">
        <f t="shared" si="15"/>
        <v>#REF!</v>
      </c>
      <c r="D73" s="268" t="e">
        <f t="shared" si="15"/>
        <v>#REF!</v>
      </c>
      <c r="E73" s="268" t="e">
        <f t="shared" si="16"/>
        <v>#REF!</v>
      </c>
      <c r="F73" s="268" t="e">
        <f t="shared" si="16"/>
        <v>#REF!</v>
      </c>
      <c r="G73" s="268" t="e">
        <f t="shared" si="16"/>
        <v>#REF!</v>
      </c>
      <c r="H73" s="268" t="e">
        <f t="shared" si="16"/>
        <v>#REF!</v>
      </c>
      <c r="I73" s="282"/>
      <c r="J73" s="282"/>
      <c r="K73" s="282"/>
      <c r="L73" s="266" t="e">
        <f>L71</f>
        <v>#REF!</v>
      </c>
      <c r="M73" s="266">
        <f>M71</f>
        <v>1.1</v>
      </c>
    </row>
    <row r="74" spans="1:12" ht="12.75">
      <c r="A74" s="357" t="s">
        <v>316</v>
      </c>
      <c r="B74" s="77">
        <v>0</v>
      </c>
      <c r="C74" s="268" t="e">
        <f>B74*L74</f>
        <v>#REF!</v>
      </c>
      <c r="D74" s="268"/>
      <c r="E74" s="268" t="s">
        <v>5</v>
      </c>
      <c r="F74" s="268" t="s">
        <v>5</v>
      </c>
      <c r="G74" s="268" t="s">
        <v>5</v>
      </c>
      <c r="H74" s="268" t="s">
        <v>5</v>
      </c>
      <c r="I74" s="282"/>
      <c r="J74" s="282"/>
      <c r="K74" s="282"/>
      <c r="L74" s="266" t="e">
        <f>L72</f>
        <v>#REF!</v>
      </c>
    </row>
    <row r="75" spans="1:11" ht="12.75">
      <c r="A75" s="33" t="s">
        <v>289</v>
      </c>
      <c r="B75" s="347"/>
      <c r="C75" s="268"/>
      <c r="D75" s="268"/>
      <c r="E75" s="268" t="s">
        <v>5</v>
      </c>
      <c r="F75" s="268" t="s">
        <v>5</v>
      </c>
      <c r="G75" s="268" t="s">
        <v>5</v>
      </c>
      <c r="H75" s="268" t="s">
        <v>5</v>
      </c>
      <c r="I75" s="282"/>
      <c r="J75" s="282"/>
      <c r="K75" s="282"/>
    </row>
    <row r="76" spans="1:11" ht="12.75">
      <c r="A76" s="356" t="s">
        <v>290</v>
      </c>
      <c r="B76" s="349"/>
      <c r="C76" s="268"/>
      <c r="D76" s="268"/>
      <c r="E76" s="268" t="s">
        <v>5</v>
      </c>
      <c r="F76" s="268" t="s">
        <v>5</v>
      </c>
      <c r="G76" s="268" t="s">
        <v>5</v>
      </c>
      <c r="H76" s="268" t="s">
        <v>5</v>
      </c>
      <c r="I76" s="282"/>
      <c r="J76" s="282"/>
      <c r="K76" s="282"/>
    </row>
    <row r="77" spans="1:13" ht="12.75">
      <c r="A77" s="357" t="s">
        <v>290</v>
      </c>
      <c r="B77" s="77">
        <v>2764.55</v>
      </c>
      <c r="C77" s="268">
        <f>B77*L77</f>
        <v>2764.55</v>
      </c>
      <c r="D77" s="268">
        <f>C77*M77</f>
        <v>2764.55</v>
      </c>
      <c r="E77" s="268">
        <f>D77*$M$11</f>
        <v>2902.7775</v>
      </c>
      <c r="F77" s="268">
        <f>E77*$M$11</f>
        <v>3047.9163750000002</v>
      </c>
      <c r="G77" s="268">
        <f>F77*$M$11</f>
        <v>3200.3121937500005</v>
      </c>
      <c r="H77" s="268">
        <f>G77*$M$11</f>
        <v>3360.3278034375007</v>
      </c>
      <c r="I77" s="282"/>
      <c r="J77" s="282"/>
      <c r="K77" s="282"/>
      <c r="L77" s="266">
        <v>1</v>
      </c>
      <c r="M77" s="266">
        <v>1</v>
      </c>
    </row>
    <row r="78" spans="1:11" ht="12.75">
      <c r="A78" s="33" t="s">
        <v>262</v>
      </c>
      <c r="B78" s="347"/>
      <c r="C78" s="268"/>
      <c r="D78" s="268"/>
      <c r="E78" s="268" t="s">
        <v>5</v>
      </c>
      <c r="F78" s="268" t="s">
        <v>5</v>
      </c>
      <c r="G78" s="268" t="s">
        <v>5</v>
      </c>
      <c r="H78" s="268" t="s">
        <v>5</v>
      </c>
      <c r="I78" s="282"/>
      <c r="J78" s="282"/>
      <c r="K78" s="282"/>
    </row>
    <row r="79" spans="1:11" ht="12.75">
      <c r="A79" s="356" t="s">
        <v>263</v>
      </c>
      <c r="B79" s="349"/>
      <c r="C79" s="268"/>
      <c r="D79" s="268"/>
      <c r="E79" s="268" t="s">
        <v>5</v>
      </c>
      <c r="F79" s="268" t="s">
        <v>5</v>
      </c>
      <c r="G79" s="268" t="s">
        <v>5</v>
      </c>
      <c r="H79" s="268" t="s">
        <v>5</v>
      </c>
      <c r="I79" s="282"/>
      <c r="J79" s="282"/>
      <c r="K79" s="282"/>
    </row>
    <row r="80" spans="1:13" ht="12.75">
      <c r="A80" s="357" t="s">
        <v>264</v>
      </c>
      <c r="B80" s="77">
        <v>520.06</v>
      </c>
      <c r="C80" s="268">
        <f>B80*L80</f>
        <v>520.06</v>
      </c>
      <c r="D80" s="268">
        <f>C80*M80</f>
        <v>572.066</v>
      </c>
      <c r="E80" s="268">
        <f>D80*$M$11</f>
        <v>600.6693</v>
      </c>
      <c r="F80" s="268">
        <f>E80*$M$11</f>
        <v>630.702765</v>
      </c>
      <c r="G80" s="268">
        <f>F80*$M$11</f>
        <v>662.23790325</v>
      </c>
      <c r="H80" s="268">
        <f>G80*$M$11</f>
        <v>695.3497984125</v>
      </c>
      <c r="I80" s="282"/>
      <c r="J80" s="282"/>
      <c r="K80" s="282"/>
      <c r="L80" s="266">
        <v>1</v>
      </c>
      <c r="M80" s="266">
        <v>1.1</v>
      </c>
    </row>
    <row r="81" spans="1:11" ht="12.75">
      <c r="A81" s="356" t="s">
        <v>265</v>
      </c>
      <c r="B81" s="349"/>
      <c r="C81" s="268"/>
      <c r="D81" s="268"/>
      <c r="E81" s="268" t="s">
        <v>5</v>
      </c>
      <c r="F81" s="268" t="s">
        <v>5</v>
      </c>
      <c r="G81" s="268" t="s">
        <v>5</v>
      </c>
      <c r="H81" s="268" t="s">
        <v>5</v>
      </c>
      <c r="I81" s="282"/>
      <c r="J81" s="282"/>
      <c r="K81" s="282"/>
    </row>
    <row r="82" spans="1:13" ht="12.75">
      <c r="A82" s="357" t="s">
        <v>271</v>
      </c>
      <c r="B82" s="77">
        <v>403.34</v>
      </c>
      <c r="C82" s="268" t="e">
        <f aca="true" t="shared" si="17" ref="C82:D85">B82*L82</f>
        <v>#REF!</v>
      </c>
      <c r="D82" s="268" t="e">
        <f t="shared" si="17"/>
        <v>#REF!</v>
      </c>
      <c r="E82" s="268" t="e">
        <f aca="true" t="shared" si="18" ref="E82:H85">D82*$M$11</f>
        <v>#REF!</v>
      </c>
      <c r="F82" s="268" t="e">
        <f t="shared" si="18"/>
        <v>#REF!</v>
      </c>
      <c r="G82" s="268" t="e">
        <f t="shared" si="18"/>
        <v>#REF!</v>
      </c>
      <c r="H82" s="268" t="e">
        <f t="shared" si="18"/>
        <v>#REF!</v>
      </c>
      <c r="I82" s="282"/>
      <c r="J82" s="282"/>
      <c r="K82" s="282"/>
      <c r="L82" s="266" t="e">
        <f>O11</f>
        <v>#REF!</v>
      </c>
      <c r="M82" s="266">
        <v>1.1</v>
      </c>
    </row>
    <row r="83" spans="1:13" ht="12.75">
      <c r="A83" s="357" t="s">
        <v>272</v>
      </c>
      <c r="B83" s="77">
        <v>51.5</v>
      </c>
      <c r="C83" s="268" t="e">
        <f t="shared" si="17"/>
        <v>#REF!</v>
      </c>
      <c r="D83" s="268" t="e">
        <f t="shared" si="17"/>
        <v>#REF!</v>
      </c>
      <c r="E83" s="268" t="e">
        <f t="shared" si="18"/>
        <v>#REF!</v>
      </c>
      <c r="F83" s="268" t="e">
        <f t="shared" si="18"/>
        <v>#REF!</v>
      </c>
      <c r="G83" s="268" t="e">
        <f t="shared" si="18"/>
        <v>#REF!</v>
      </c>
      <c r="H83" s="268" t="e">
        <f t="shared" si="18"/>
        <v>#REF!</v>
      </c>
      <c r="I83" s="282"/>
      <c r="J83" s="282"/>
      <c r="K83" s="282"/>
      <c r="L83" s="266" t="e">
        <f>L82</f>
        <v>#REF!</v>
      </c>
      <c r="M83" s="266">
        <v>1.1</v>
      </c>
    </row>
    <row r="84" spans="1:13" ht="12.75">
      <c r="A84" s="357" t="s">
        <v>273</v>
      </c>
      <c r="B84" s="77">
        <v>4312.23</v>
      </c>
      <c r="C84" s="268" t="e">
        <f t="shared" si="17"/>
        <v>#REF!</v>
      </c>
      <c r="D84" s="268" t="e">
        <f t="shared" si="17"/>
        <v>#REF!</v>
      </c>
      <c r="E84" s="268" t="e">
        <f t="shared" si="18"/>
        <v>#REF!</v>
      </c>
      <c r="F84" s="268" t="e">
        <f t="shared" si="18"/>
        <v>#REF!</v>
      </c>
      <c r="G84" s="268" t="e">
        <f t="shared" si="18"/>
        <v>#REF!</v>
      </c>
      <c r="H84" s="268" t="e">
        <f t="shared" si="18"/>
        <v>#REF!</v>
      </c>
      <c r="I84" s="282"/>
      <c r="J84" s="282"/>
      <c r="K84" s="282"/>
      <c r="L84" s="266" t="e">
        <f>L83</f>
        <v>#REF!</v>
      </c>
      <c r="M84" s="266">
        <v>1.1</v>
      </c>
    </row>
    <row r="85" spans="1:13" ht="12.75">
      <c r="A85" s="357" t="s">
        <v>274</v>
      </c>
      <c r="B85" s="77">
        <v>6.4</v>
      </c>
      <c r="C85" s="268" t="e">
        <f t="shared" si="17"/>
        <v>#REF!</v>
      </c>
      <c r="D85" s="268" t="e">
        <f t="shared" si="17"/>
        <v>#REF!</v>
      </c>
      <c r="E85" s="268" t="e">
        <f t="shared" si="18"/>
        <v>#REF!</v>
      </c>
      <c r="F85" s="268" t="e">
        <f t="shared" si="18"/>
        <v>#REF!</v>
      </c>
      <c r="G85" s="268" t="e">
        <f t="shared" si="18"/>
        <v>#REF!</v>
      </c>
      <c r="H85" s="268" t="e">
        <f t="shared" si="18"/>
        <v>#REF!</v>
      </c>
      <c r="I85" s="282"/>
      <c r="J85" s="282"/>
      <c r="K85" s="282"/>
      <c r="L85" s="266" t="e">
        <f>L84</f>
        <v>#REF!</v>
      </c>
      <c r="M85" s="266">
        <v>1.1</v>
      </c>
    </row>
    <row r="86" spans="1:13" ht="12.75">
      <c r="A86" s="356" t="s">
        <v>275</v>
      </c>
      <c r="B86" s="349"/>
      <c r="C86" s="268"/>
      <c r="D86" s="268" t="s">
        <v>5</v>
      </c>
      <c r="E86" s="268" t="s">
        <v>5</v>
      </c>
      <c r="F86" s="268" t="s">
        <v>5</v>
      </c>
      <c r="G86" s="268" t="s">
        <v>5</v>
      </c>
      <c r="H86" s="268" t="s">
        <v>5</v>
      </c>
      <c r="I86" s="282"/>
      <c r="J86" s="282"/>
      <c r="K86" s="282"/>
      <c r="M86" s="266" t="s">
        <v>5</v>
      </c>
    </row>
    <row r="87" spans="1:13" ht="12.75">
      <c r="A87" s="357" t="s">
        <v>276</v>
      </c>
      <c r="B87" s="77">
        <v>47.7</v>
      </c>
      <c r="C87" s="268">
        <f aca="true" t="shared" si="19" ref="C87:D89">B87*L87</f>
        <v>47.7</v>
      </c>
      <c r="D87" s="268">
        <f t="shared" si="19"/>
        <v>47.7</v>
      </c>
      <c r="E87" s="268">
        <f aca="true" t="shared" si="20" ref="E87:H89">D87*$M$11</f>
        <v>50.08500000000001</v>
      </c>
      <c r="F87" s="268">
        <f t="shared" si="20"/>
        <v>52.589250000000014</v>
      </c>
      <c r="G87" s="268">
        <f t="shared" si="20"/>
        <v>55.21871250000002</v>
      </c>
      <c r="H87" s="268">
        <f t="shared" si="20"/>
        <v>57.97964812500002</v>
      </c>
      <c r="I87" s="282"/>
      <c r="J87" s="282"/>
      <c r="K87" s="282"/>
      <c r="L87" s="266">
        <v>1</v>
      </c>
      <c r="M87" s="266">
        <v>1</v>
      </c>
    </row>
    <row r="88" spans="1:13" ht="12.75">
      <c r="A88" s="357" t="s">
        <v>277</v>
      </c>
      <c r="B88" s="77">
        <v>2.68</v>
      </c>
      <c r="C88" s="268" t="e">
        <f t="shared" si="19"/>
        <v>#REF!</v>
      </c>
      <c r="D88" s="268" t="e">
        <f t="shared" si="19"/>
        <v>#REF!</v>
      </c>
      <c r="E88" s="268" t="e">
        <f t="shared" si="20"/>
        <v>#REF!</v>
      </c>
      <c r="F88" s="268" t="e">
        <f t="shared" si="20"/>
        <v>#REF!</v>
      </c>
      <c r="G88" s="268" t="e">
        <f t="shared" si="20"/>
        <v>#REF!</v>
      </c>
      <c r="H88" s="268" t="e">
        <f t="shared" si="20"/>
        <v>#REF!</v>
      </c>
      <c r="I88" s="282"/>
      <c r="J88" s="282"/>
      <c r="K88" s="282"/>
      <c r="L88" s="266" t="e">
        <f>L85</f>
        <v>#REF!</v>
      </c>
      <c r="M88" s="266">
        <v>1.1</v>
      </c>
    </row>
    <row r="89" spans="1:13" ht="12.75">
      <c r="A89" s="357" t="s">
        <v>278</v>
      </c>
      <c r="B89" s="77">
        <v>870.05</v>
      </c>
      <c r="C89" s="268" t="e">
        <f t="shared" si="19"/>
        <v>#REF!</v>
      </c>
      <c r="D89" s="268" t="e">
        <f t="shared" si="19"/>
        <v>#REF!</v>
      </c>
      <c r="E89" s="268" t="e">
        <f t="shared" si="20"/>
        <v>#REF!</v>
      </c>
      <c r="F89" s="268" t="e">
        <f t="shared" si="20"/>
        <v>#REF!</v>
      </c>
      <c r="G89" s="268" t="e">
        <f t="shared" si="20"/>
        <v>#REF!</v>
      </c>
      <c r="H89" s="268" t="e">
        <f t="shared" si="20"/>
        <v>#REF!</v>
      </c>
      <c r="I89" s="282"/>
      <c r="J89" s="282"/>
      <c r="K89" s="282"/>
      <c r="L89" s="266" t="e">
        <f>L88</f>
        <v>#REF!</v>
      </c>
      <c r="M89" s="266">
        <v>1.1</v>
      </c>
    </row>
    <row r="90" spans="1:13" ht="12.75">
      <c r="A90" s="357" t="s">
        <v>279</v>
      </c>
      <c r="B90" s="77">
        <v>0</v>
      </c>
      <c r="C90" s="268" t="s">
        <v>5</v>
      </c>
      <c r="D90" s="268" t="s">
        <v>5</v>
      </c>
      <c r="E90" s="268" t="s">
        <v>5</v>
      </c>
      <c r="F90" s="268" t="s">
        <v>5</v>
      </c>
      <c r="G90" s="268" t="s">
        <v>5</v>
      </c>
      <c r="H90" s="268" t="s">
        <v>5</v>
      </c>
      <c r="I90" s="282"/>
      <c r="J90" s="282"/>
      <c r="K90" s="282"/>
      <c r="L90" s="266">
        <v>1</v>
      </c>
      <c r="M90" s="266" t="s">
        <v>5</v>
      </c>
    </row>
    <row r="91" spans="1:13" ht="12.75">
      <c r="A91" s="357" t="s">
        <v>280</v>
      </c>
      <c r="B91" s="77">
        <v>25</v>
      </c>
      <c r="C91" s="268">
        <f aca="true" t="shared" si="21" ref="C91:D95">B91*L91</f>
        <v>75</v>
      </c>
      <c r="D91" s="268">
        <f t="shared" si="21"/>
        <v>225</v>
      </c>
      <c r="E91" s="268">
        <f aca="true" t="shared" si="22" ref="E91:H95">D91*$M$11</f>
        <v>236.25</v>
      </c>
      <c r="F91" s="268">
        <f t="shared" si="22"/>
        <v>248.0625</v>
      </c>
      <c r="G91" s="268">
        <f t="shared" si="22"/>
        <v>260.465625</v>
      </c>
      <c r="H91" s="268">
        <f t="shared" si="22"/>
        <v>273.48890625</v>
      </c>
      <c r="I91" s="282"/>
      <c r="J91" s="282"/>
      <c r="K91" s="282"/>
      <c r="L91" s="266">
        <v>3</v>
      </c>
      <c r="M91" s="266">
        <v>3</v>
      </c>
    </row>
    <row r="92" spans="1:13" ht="12.75">
      <c r="A92" s="357" t="s">
        <v>281</v>
      </c>
      <c r="B92" s="77">
        <v>50</v>
      </c>
      <c r="C92" s="268">
        <f t="shared" si="21"/>
        <v>50</v>
      </c>
      <c r="D92" s="268">
        <f t="shared" si="21"/>
        <v>55.00000000000001</v>
      </c>
      <c r="E92" s="268">
        <f t="shared" si="22"/>
        <v>57.75000000000001</v>
      </c>
      <c r="F92" s="268">
        <f t="shared" si="22"/>
        <v>60.63750000000001</v>
      </c>
      <c r="G92" s="268">
        <f t="shared" si="22"/>
        <v>63.66937500000002</v>
      </c>
      <c r="H92" s="268">
        <f t="shared" si="22"/>
        <v>66.85284375000002</v>
      </c>
      <c r="I92" s="282"/>
      <c r="J92" s="282"/>
      <c r="K92" s="282"/>
      <c r="L92" s="266">
        <v>1</v>
      </c>
      <c r="M92" s="266">
        <v>1.1</v>
      </c>
    </row>
    <row r="93" spans="1:13" ht="12.75">
      <c r="A93" s="357" t="s">
        <v>282</v>
      </c>
      <c r="B93" s="77">
        <v>30</v>
      </c>
      <c r="C93" s="268">
        <f t="shared" si="21"/>
        <v>30</v>
      </c>
      <c r="D93" s="268">
        <f t="shared" si="21"/>
        <v>33</v>
      </c>
      <c r="E93" s="268">
        <f t="shared" si="22"/>
        <v>34.65</v>
      </c>
      <c r="F93" s="268">
        <f t="shared" si="22"/>
        <v>36.3825</v>
      </c>
      <c r="G93" s="268">
        <f t="shared" si="22"/>
        <v>38.201625</v>
      </c>
      <c r="H93" s="268">
        <f t="shared" si="22"/>
        <v>40.111706250000005</v>
      </c>
      <c r="I93" s="282"/>
      <c r="J93" s="282"/>
      <c r="K93" s="282"/>
      <c r="L93" s="266">
        <v>1</v>
      </c>
      <c r="M93" s="266">
        <v>1.1</v>
      </c>
    </row>
    <row r="94" spans="1:13" ht="12.75">
      <c r="A94" s="357" t="s">
        <v>283</v>
      </c>
      <c r="B94" s="77">
        <v>728.7</v>
      </c>
      <c r="C94" s="268">
        <f t="shared" si="21"/>
        <v>1552.131</v>
      </c>
      <c r="D94" s="268">
        <f t="shared" si="21"/>
        <v>1707.3441000000003</v>
      </c>
      <c r="E94" s="268">
        <f t="shared" si="22"/>
        <v>1792.7113050000003</v>
      </c>
      <c r="F94" s="268">
        <f t="shared" si="22"/>
        <v>1882.3468702500004</v>
      </c>
      <c r="G94" s="268">
        <f t="shared" si="22"/>
        <v>1976.4642137625005</v>
      </c>
      <c r="H94" s="268">
        <f t="shared" si="22"/>
        <v>2075.2874244506256</v>
      </c>
      <c r="I94" s="282"/>
      <c r="J94" s="282"/>
      <c r="K94" s="282"/>
      <c r="L94" s="266">
        <v>2.13</v>
      </c>
      <c r="M94" s="266">
        <v>1.1</v>
      </c>
    </row>
    <row r="95" spans="1:13" ht="12.75">
      <c r="A95" s="357" t="s">
        <v>284</v>
      </c>
      <c r="B95" s="77">
        <v>247.91</v>
      </c>
      <c r="C95" s="268">
        <f t="shared" si="21"/>
        <v>495.82</v>
      </c>
      <c r="D95" s="268">
        <f t="shared" si="21"/>
        <v>1487.46</v>
      </c>
      <c r="E95" s="268">
        <f t="shared" si="22"/>
        <v>1561.833</v>
      </c>
      <c r="F95" s="268">
        <f t="shared" si="22"/>
        <v>1639.9246500000002</v>
      </c>
      <c r="G95" s="268">
        <f t="shared" si="22"/>
        <v>1721.9208825000003</v>
      </c>
      <c r="H95" s="268">
        <f t="shared" si="22"/>
        <v>1808.0169266250005</v>
      </c>
      <c r="I95" s="282"/>
      <c r="J95" s="282"/>
      <c r="K95" s="282"/>
      <c r="L95" s="266">
        <v>2</v>
      </c>
      <c r="M95" s="266">
        <v>3</v>
      </c>
    </row>
    <row r="96" spans="1:13" ht="12.75">
      <c r="A96" s="357" t="s">
        <v>285</v>
      </c>
      <c r="B96" s="77">
        <v>10793.6</v>
      </c>
      <c r="C96" s="268">
        <v>0</v>
      </c>
      <c r="D96" s="268" t="s">
        <v>5</v>
      </c>
      <c r="E96" s="268" t="s">
        <v>5</v>
      </c>
      <c r="F96" s="268" t="s">
        <v>5</v>
      </c>
      <c r="G96" s="268" t="s">
        <v>5</v>
      </c>
      <c r="H96" s="268" t="s">
        <v>5</v>
      </c>
      <c r="I96" s="282"/>
      <c r="J96" s="282"/>
      <c r="K96" s="282"/>
      <c r="L96" s="266">
        <v>0</v>
      </c>
      <c r="M96" s="266" t="s">
        <v>5</v>
      </c>
    </row>
    <row r="97" spans="1:13" ht="12.75">
      <c r="A97" s="357" t="s">
        <v>286</v>
      </c>
      <c r="B97" s="77">
        <v>30</v>
      </c>
      <c r="C97" s="268" t="e">
        <f aca="true" t="shared" si="23" ref="C97:D99">B97*L97</f>
        <v>#REF!</v>
      </c>
      <c r="D97" s="268" t="e">
        <f t="shared" si="23"/>
        <v>#REF!</v>
      </c>
      <c r="E97" s="268" t="e">
        <f aca="true" t="shared" si="24" ref="E97:H99">D97*$M$11</f>
        <v>#REF!</v>
      </c>
      <c r="F97" s="268" t="e">
        <f t="shared" si="24"/>
        <v>#REF!</v>
      </c>
      <c r="G97" s="268" t="e">
        <f t="shared" si="24"/>
        <v>#REF!</v>
      </c>
      <c r="H97" s="268" t="e">
        <f t="shared" si="24"/>
        <v>#REF!</v>
      </c>
      <c r="I97" s="282"/>
      <c r="J97" s="282"/>
      <c r="K97" s="282"/>
      <c r="L97" s="266" t="e">
        <f>O11</f>
        <v>#REF!</v>
      </c>
      <c r="M97" s="266">
        <v>2</v>
      </c>
    </row>
    <row r="98" spans="1:13" ht="12.75">
      <c r="A98" s="357" t="s">
        <v>287</v>
      </c>
      <c r="B98" s="77">
        <v>470.24</v>
      </c>
      <c r="C98" s="268">
        <f t="shared" si="23"/>
        <v>940.48</v>
      </c>
      <c r="D98" s="268">
        <f t="shared" si="23"/>
        <v>1880.96</v>
      </c>
      <c r="E98" s="268">
        <f t="shared" si="24"/>
        <v>1975.008</v>
      </c>
      <c r="F98" s="268">
        <f t="shared" si="24"/>
        <v>2073.7584</v>
      </c>
      <c r="G98" s="268">
        <f t="shared" si="24"/>
        <v>2177.4463200000005</v>
      </c>
      <c r="H98" s="268">
        <f t="shared" si="24"/>
        <v>2286.3186360000004</v>
      </c>
      <c r="I98" s="282"/>
      <c r="J98" s="282"/>
      <c r="K98" s="282"/>
      <c r="L98" s="266">
        <v>2</v>
      </c>
      <c r="M98" s="266">
        <v>2</v>
      </c>
    </row>
    <row r="99" spans="1:13" ht="12.75">
      <c r="A99" s="357" t="s">
        <v>288</v>
      </c>
      <c r="B99" s="77">
        <v>84</v>
      </c>
      <c r="C99" s="268">
        <f t="shared" si="23"/>
        <v>0</v>
      </c>
      <c r="D99" s="268">
        <f t="shared" si="23"/>
        <v>0</v>
      </c>
      <c r="E99" s="268">
        <f t="shared" si="24"/>
        <v>0</v>
      </c>
      <c r="F99" s="268">
        <f t="shared" si="24"/>
        <v>0</v>
      </c>
      <c r="G99" s="268">
        <f t="shared" si="24"/>
        <v>0</v>
      </c>
      <c r="H99" s="268">
        <f t="shared" si="24"/>
        <v>0</v>
      </c>
      <c r="I99" s="282"/>
      <c r="J99" s="282"/>
      <c r="K99" s="282"/>
      <c r="L99" s="266">
        <v>0</v>
      </c>
      <c r="M99" s="266">
        <v>2</v>
      </c>
    </row>
    <row r="100" spans="1:13" ht="12.75">
      <c r="A100" s="33" t="s">
        <v>275</v>
      </c>
      <c r="B100" s="347"/>
      <c r="C100" s="268"/>
      <c r="D100" s="268"/>
      <c r="E100" s="268" t="s">
        <v>5</v>
      </c>
      <c r="F100" s="268" t="s">
        <v>5</v>
      </c>
      <c r="G100" s="268" t="s">
        <v>5</v>
      </c>
      <c r="H100" s="268" t="s">
        <v>5</v>
      </c>
      <c r="I100" s="282"/>
      <c r="J100" s="282"/>
      <c r="K100" s="282"/>
      <c r="M100" s="266" t="s">
        <v>5</v>
      </c>
    </row>
    <row r="101" spans="1:13" ht="12.75">
      <c r="A101" s="356" t="s">
        <v>317</v>
      </c>
      <c r="B101" s="77">
        <v>1364.13</v>
      </c>
      <c r="C101" s="268" t="e">
        <f aca="true" t="shared" si="25" ref="C101:D104">B101*L101</f>
        <v>#REF!</v>
      </c>
      <c r="D101" s="268" t="e">
        <f t="shared" si="25"/>
        <v>#REF!</v>
      </c>
      <c r="E101" s="268" t="e">
        <f aca="true" t="shared" si="26" ref="E101:H104">D101*$M$11</f>
        <v>#REF!</v>
      </c>
      <c r="F101" s="268" t="e">
        <f t="shared" si="26"/>
        <v>#REF!</v>
      </c>
      <c r="G101" s="268" t="e">
        <f t="shared" si="26"/>
        <v>#REF!</v>
      </c>
      <c r="H101" s="268" t="e">
        <f t="shared" si="26"/>
        <v>#REF!</v>
      </c>
      <c r="I101" s="282"/>
      <c r="J101" s="282"/>
      <c r="K101" s="282"/>
      <c r="L101" s="266" t="e">
        <f>O11</f>
        <v>#REF!</v>
      </c>
      <c r="M101" s="266">
        <v>1.1</v>
      </c>
    </row>
    <row r="102" spans="1:13" ht="12.75">
      <c r="A102" s="356" t="s">
        <v>318</v>
      </c>
      <c r="B102" s="77">
        <v>217.85</v>
      </c>
      <c r="C102" s="268">
        <f t="shared" si="25"/>
        <v>217.85</v>
      </c>
      <c r="D102" s="268">
        <f t="shared" si="25"/>
        <v>239.63500000000002</v>
      </c>
      <c r="E102" s="268">
        <f t="shared" si="26"/>
        <v>251.61675000000002</v>
      </c>
      <c r="F102" s="268">
        <f t="shared" si="26"/>
        <v>264.19758750000005</v>
      </c>
      <c r="G102" s="268">
        <f t="shared" si="26"/>
        <v>277.40746687500007</v>
      </c>
      <c r="H102" s="268">
        <f t="shared" si="26"/>
        <v>291.2778402187501</v>
      </c>
      <c r="I102" s="282"/>
      <c r="J102" s="282"/>
      <c r="K102" s="282"/>
      <c r="L102" s="266">
        <v>1</v>
      </c>
      <c r="M102" s="266">
        <v>1.1</v>
      </c>
    </row>
    <row r="103" spans="1:13" ht="12.75">
      <c r="A103" s="356" t="s">
        <v>319</v>
      </c>
      <c r="B103" s="77">
        <v>1412.58</v>
      </c>
      <c r="C103" s="268">
        <f t="shared" si="25"/>
        <v>1412.58</v>
      </c>
      <c r="D103" s="268">
        <f t="shared" si="25"/>
        <v>1553.838</v>
      </c>
      <c r="E103" s="268">
        <f t="shared" si="26"/>
        <v>1631.5299</v>
      </c>
      <c r="F103" s="268">
        <f t="shared" si="26"/>
        <v>1713.106395</v>
      </c>
      <c r="G103" s="268">
        <f t="shared" si="26"/>
        <v>1798.76171475</v>
      </c>
      <c r="H103" s="268">
        <f t="shared" si="26"/>
        <v>1888.6998004875002</v>
      </c>
      <c r="I103" s="282"/>
      <c r="J103" s="282"/>
      <c r="K103" s="282"/>
      <c r="L103" s="266">
        <v>1</v>
      </c>
      <c r="M103" s="266">
        <v>1.1</v>
      </c>
    </row>
    <row r="104" spans="1:13" ht="13.5" thickBot="1">
      <c r="A104" s="356" t="s">
        <v>320</v>
      </c>
      <c r="B104" s="77">
        <v>8000.96</v>
      </c>
      <c r="C104" s="358">
        <f t="shared" si="25"/>
        <v>0</v>
      </c>
      <c r="D104" s="358">
        <f t="shared" si="25"/>
        <v>0</v>
      </c>
      <c r="E104" s="358">
        <f t="shared" si="26"/>
        <v>0</v>
      </c>
      <c r="F104" s="358">
        <f t="shared" si="26"/>
        <v>0</v>
      </c>
      <c r="G104" s="358">
        <f t="shared" si="26"/>
        <v>0</v>
      </c>
      <c r="H104" s="358">
        <f t="shared" si="26"/>
        <v>0</v>
      </c>
      <c r="I104" s="282"/>
      <c r="J104" s="282"/>
      <c r="K104" s="282"/>
      <c r="L104" s="266">
        <v>0</v>
      </c>
      <c r="M104" s="266">
        <v>0</v>
      </c>
    </row>
    <row r="105" spans="1:11" ht="39" thickBot="1">
      <c r="A105" s="359" t="s">
        <v>331</v>
      </c>
      <c r="B105" s="360">
        <f aca="true" t="shared" si="27" ref="B105:H105">B8-B21</f>
        <v>3247.0499999998137</v>
      </c>
      <c r="C105" s="360" t="e">
        <f t="shared" si="27"/>
        <v>#REF!</v>
      </c>
      <c r="D105" s="360" t="e">
        <f t="shared" si="27"/>
        <v>#REF!</v>
      </c>
      <c r="E105" s="360" t="e">
        <f t="shared" si="27"/>
        <v>#REF!</v>
      </c>
      <c r="F105" s="360" t="e">
        <f t="shared" si="27"/>
        <v>#REF!</v>
      </c>
      <c r="G105" s="360" t="e">
        <f t="shared" si="27"/>
        <v>#REF!</v>
      </c>
      <c r="H105" s="360" t="e">
        <f t="shared" si="27"/>
        <v>#REF!</v>
      </c>
      <c r="I105" s="66"/>
      <c r="J105" s="66"/>
      <c r="K105" s="66"/>
    </row>
    <row r="106" spans="1:11" ht="12.75">
      <c r="A106" s="361" t="s">
        <v>332</v>
      </c>
      <c r="B106" s="361">
        <f aca="true" t="shared" si="28" ref="B106:H106">IF(B105&gt;0,B105*0.15,0)</f>
        <v>487.05749999997204</v>
      </c>
      <c r="C106" s="362" t="e">
        <f t="shared" si="28"/>
        <v>#REF!</v>
      </c>
      <c r="D106" s="362" t="e">
        <f t="shared" si="28"/>
        <v>#REF!</v>
      </c>
      <c r="E106" s="362" t="e">
        <f t="shared" si="28"/>
        <v>#REF!</v>
      </c>
      <c r="F106" s="362" t="e">
        <f t="shared" si="28"/>
        <v>#REF!</v>
      </c>
      <c r="G106" s="362" t="e">
        <f t="shared" si="28"/>
        <v>#REF!</v>
      </c>
      <c r="H106" s="362" t="e">
        <f t="shared" si="28"/>
        <v>#REF!</v>
      </c>
      <c r="I106" s="77"/>
      <c r="J106" s="77"/>
      <c r="K106" s="77"/>
    </row>
    <row r="107" spans="1:11" ht="12.75">
      <c r="A107" s="233" t="s">
        <v>327</v>
      </c>
      <c r="B107" s="233">
        <f aca="true" t="shared" si="29" ref="B107:H107">B105-B106</f>
        <v>2759.9924999998416</v>
      </c>
      <c r="C107" s="363" t="e">
        <f t="shared" si="29"/>
        <v>#REF!</v>
      </c>
      <c r="D107" s="363" t="e">
        <f t="shared" si="29"/>
        <v>#REF!</v>
      </c>
      <c r="E107" s="363" t="e">
        <f t="shared" si="29"/>
        <v>#REF!</v>
      </c>
      <c r="F107" s="363" t="e">
        <f t="shared" si="29"/>
        <v>#REF!</v>
      </c>
      <c r="G107" s="363" t="e">
        <f t="shared" si="29"/>
        <v>#REF!</v>
      </c>
      <c r="H107" s="363" t="e">
        <f t="shared" si="29"/>
        <v>#REF!</v>
      </c>
      <c r="I107" s="77"/>
      <c r="J107" s="77"/>
      <c r="K107" s="77"/>
    </row>
    <row r="108" spans="1:11" ht="12.75">
      <c r="A108" s="233" t="s">
        <v>333</v>
      </c>
      <c r="B108" s="233">
        <f aca="true" t="shared" si="30" ref="B108:H108">IF(B107&gt;0,B107*0.25,0)</f>
        <v>689.9981249999604</v>
      </c>
      <c r="C108" s="363" t="e">
        <f t="shared" si="30"/>
        <v>#REF!</v>
      </c>
      <c r="D108" s="363" t="e">
        <f t="shared" si="30"/>
        <v>#REF!</v>
      </c>
      <c r="E108" s="363" t="e">
        <f t="shared" si="30"/>
        <v>#REF!</v>
      </c>
      <c r="F108" s="363" t="e">
        <f t="shared" si="30"/>
        <v>#REF!</v>
      </c>
      <c r="G108" s="363" t="e">
        <f t="shared" si="30"/>
        <v>#REF!</v>
      </c>
      <c r="H108" s="363" t="e">
        <f t="shared" si="30"/>
        <v>#REF!</v>
      </c>
      <c r="I108" s="77"/>
      <c r="J108" s="77"/>
      <c r="K108" s="77"/>
    </row>
    <row r="109" spans="1:11" ht="13.5" thickBot="1">
      <c r="A109" s="364" t="s">
        <v>329</v>
      </c>
      <c r="B109" s="364">
        <f aca="true" t="shared" si="31" ref="B109:H109">B107-B108</f>
        <v>2069.994374999881</v>
      </c>
      <c r="C109" s="365" t="e">
        <f t="shared" si="31"/>
        <v>#REF!</v>
      </c>
      <c r="D109" s="365" t="e">
        <f t="shared" si="31"/>
        <v>#REF!</v>
      </c>
      <c r="E109" s="365" t="e">
        <f t="shared" si="31"/>
        <v>#REF!</v>
      </c>
      <c r="F109" s="365" t="e">
        <f t="shared" si="31"/>
        <v>#REF!</v>
      </c>
      <c r="G109" s="365" t="e">
        <f t="shared" si="31"/>
        <v>#REF!</v>
      </c>
      <c r="H109" s="365" t="e">
        <f t="shared" si="31"/>
        <v>#REF!</v>
      </c>
      <c r="I109" s="66"/>
      <c r="J109" s="66"/>
      <c r="K109" s="66"/>
    </row>
    <row r="110" spans="1:11" ht="12.75">
      <c r="A110" s="361" t="s">
        <v>334</v>
      </c>
      <c r="B110" s="361">
        <f aca="true" t="shared" si="32" ref="B110:H110">B77</f>
        <v>2764.55</v>
      </c>
      <c r="C110" s="361">
        <f t="shared" si="32"/>
        <v>2764.55</v>
      </c>
      <c r="D110" s="361">
        <f t="shared" si="32"/>
        <v>2764.55</v>
      </c>
      <c r="E110" s="361">
        <f t="shared" si="32"/>
        <v>2902.7775</v>
      </c>
      <c r="F110" s="361">
        <f t="shared" si="32"/>
        <v>3047.9163750000002</v>
      </c>
      <c r="G110" s="361">
        <f t="shared" si="32"/>
        <v>3200.3121937500005</v>
      </c>
      <c r="H110" s="361">
        <f t="shared" si="32"/>
        <v>3360.3278034375007</v>
      </c>
      <c r="I110" s="77"/>
      <c r="J110" s="77"/>
      <c r="K110" s="77"/>
    </row>
    <row r="111" spans="1:11" ht="12.75">
      <c r="A111" s="233" t="s">
        <v>336</v>
      </c>
      <c r="B111" s="233">
        <f aca="true" t="shared" si="33" ref="B111:H111">B109+B110</f>
        <v>4834.544374999881</v>
      </c>
      <c r="C111" s="233" t="e">
        <f t="shared" si="33"/>
        <v>#REF!</v>
      </c>
      <c r="D111" s="233" t="e">
        <f t="shared" si="33"/>
        <v>#REF!</v>
      </c>
      <c r="E111" s="233" t="e">
        <f t="shared" si="33"/>
        <v>#REF!</v>
      </c>
      <c r="F111" s="233" t="e">
        <f t="shared" si="33"/>
        <v>#REF!</v>
      </c>
      <c r="G111" s="233" t="e">
        <f t="shared" si="33"/>
        <v>#REF!</v>
      </c>
      <c r="H111" s="233" t="e">
        <f t="shared" si="33"/>
        <v>#REF!</v>
      </c>
      <c r="I111" s="77"/>
      <c r="J111" s="77"/>
      <c r="K111" s="77"/>
    </row>
    <row r="112" spans="1:11" ht="13.5" thickBot="1">
      <c r="A112" s="233" t="s">
        <v>337</v>
      </c>
      <c r="B112" s="233"/>
      <c r="C112" s="233"/>
      <c r="D112" s="233"/>
      <c r="E112" s="233"/>
      <c r="F112" s="233"/>
      <c r="G112" s="266" t="e">
        <f>IF(L126&gt;0,L126,0)</f>
        <v>#REF!</v>
      </c>
      <c r="H112" s="233">
        <v>0</v>
      </c>
      <c r="I112" s="77"/>
      <c r="J112" s="77"/>
      <c r="K112" s="77"/>
    </row>
    <row r="113" spans="1:11" ht="13.5" thickBot="1">
      <c r="A113" s="41" t="s">
        <v>338</v>
      </c>
      <c r="B113" s="41">
        <f aca="true" t="shared" si="34" ref="B113:H113">B111+B112</f>
        <v>4834.544374999881</v>
      </c>
      <c r="C113" s="41" t="e">
        <f t="shared" si="34"/>
        <v>#REF!</v>
      </c>
      <c r="D113" s="41" t="e">
        <f t="shared" si="34"/>
        <v>#REF!</v>
      </c>
      <c r="E113" s="41" t="e">
        <f t="shared" si="34"/>
        <v>#REF!</v>
      </c>
      <c r="F113" s="41" t="e">
        <f t="shared" si="34"/>
        <v>#REF!</v>
      </c>
      <c r="G113" s="41" t="e">
        <f t="shared" si="34"/>
        <v>#REF!</v>
      </c>
      <c r="H113" s="41" t="e">
        <f t="shared" si="34"/>
        <v>#REF!</v>
      </c>
      <c r="I113" s="66"/>
      <c r="J113" s="66"/>
      <c r="K113" s="66"/>
    </row>
    <row r="114" ht="13.5" thickBot="1"/>
    <row r="115" spans="1:2" ht="12.75">
      <c r="A115" s="366" t="s">
        <v>24</v>
      </c>
      <c r="B115" s="367">
        <f>'Ke &amp; WACC'!B26</f>
        <v>0.12448641133240652</v>
      </c>
    </row>
    <row r="116" spans="1:2" ht="12.75">
      <c r="A116" s="368" t="s">
        <v>34</v>
      </c>
      <c r="B116" s="369">
        <f>'Ke &amp; WACC'!B31</f>
        <v>0.11114312961798863</v>
      </c>
    </row>
    <row r="117" spans="1:2" ht="12.75">
      <c r="A117" s="368" t="s">
        <v>33</v>
      </c>
      <c r="B117" s="370">
        <v>0.04</v>
      </c>
    </row>
    <row r="118" spans="1:2" ht="13.5" thickBot="1">
      <c r="A118" s="38" t="s">
        <v>1058</v>
      </c>
      <c r="B118" s="40" t="e">
        <f>NPV(B116,C113:H113)</f>
        <v>#REF!</v>
      </c>
    </row>
    <row r="119" ht="12.75">
      <c r="A119" s="266" t="s">
        <v>713</v>
      </c>
    </row>
    <row r="126" ht="12.75">
      <c r="L126" s="233" t="e">
        <f>H111/(B116-B117)</f>
        <v>#REF!</v>
      </c>
    </row>
  </sheetData>
  <sheetProtection password="CC4D" sheet="1" objects="1" scenarios="1" selectLockedCells="1" selectUnlockedCells="1"/>
  <mergeCells count="3">
    <mergeCell ref="A6:A7"/>
    <mergeCell ref="A4:H4"/>
    <mergeCell ref="A3:H3"/>
  </mergeCells>
  <printOptions horizontalCentered="1" verticalCentered="1"/>
  <pageMargins left="0.7874015748031497" right="0.7874015748031497" top="0.28" bottom="0.38" header="0" footer="0"/>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67"/>
  <sheetViews>
    <sheetView zoomScale="95" zoomScaleNormal="95" workbookViewId="0" topLeftCell="B34">
      <selection activeCell="H25" sqref="H25"/>
    </sheetView>
  </sheetViews>
  <sheetFormatPr defaultColWidth="11.421875" defaultRowHeight="12.75"/>
  <cols>
    <col min="1" max="1" width="11.57421875" style="265" hidden="1" customWidth="1"/>
    <col min="2" max="2" width="4.00390625" style="265" bestFit="1" customWidth="1"/>
    <col min="3" max="3" width="25.28125" style="265" bestFit="1" customWidth="1"/>
    <col min="4" max="4" width="13.28125" style="265" bestFit="1" customWidth="1"/>
    <col min="5" max="5" width="12.00390625" style="265" bestFit="1" customWidth="1"/>
    <col min="6" max="6" width="17.00390625" style="265" customWidth="1"/>
    <col min="7" max="8" width="13.28125" style="265" bestFit="1" customWidth="1"/>
    <col min="9" max="9" width="13.421875" style="265" bestFit="1" customWidth="1"/>
    <col min="10" max="10" width="13.28125" style="265" bestFit="1" customWidth="1"/>
    <col min="11" max="11" width="0" style="265" hidden="1" customWidth="1"/>
    <col min="12" max="12" width="12.7109375" style="265" hidden="1" customWidth="1"/>
    <col min="13" max="16384" width="11.421875" style="265" customWidth="1"/>
  </cols>
  <sheetData>
    <row r="1" spans="2:11" ht="12.75">
      <c r="B1" s="734" t="s">
        <v>1063</v>
      </c>
      <c r="C1" s="734"/>
      <c r="D1" s="734"/>
      <c r="E1" s="734"/>
      <c r="F1" s="734"/>
      <c r="G1" s="734"/>
      <c r="H1" s="734"/>
      <c r="I1" s="734"/>
      <c r="J1" s="734"/>
      <c r="K1" s="265">
        <v>1</v>
      </c>
    </row>
    <row r="2" spans="2:10" ht="12.75">
      <c r="B2" s="760" t="s">
        <v>1077</v>
      </c>
      <c r="C2" s="760"/>
      <c r="D2" s="760"/>
      <c r="E2" s="760"/>
      <c r="F2" s="760"/>
      <c r="G2" s="760"/>
      <c r="H2" s="760"/>
      <c r="I2" s="760"/>
      <c r="J2" s="760"/>
    </row>
    <row r="3" ht="13.5" thickBot="1"/>
    <row r="4" spans="2:10" ht="12.75">
      <c r="B4" s="762" t="s">
        <v>339</v>
      </c>
      <c r="C4" s="728"/>
      <c r="D4" s="427" t="s">
        <v>340</v>
      </c>
      <c r="E4" s="427" t="s">
        <v>341</v>
      </c>
      <c r="F4" s="427" t="s">
        <v>342</v>
      </c>
      <c r="G4" s="427" t="s">
        <v>343</v>
      </c>
      <c r="H4" s="427" t="s">
        <v>344</v>
      </c>
      <c r="I4" s="427" t="s">
        <v>345</v>
      </c>
      <c r="J4" s="719" t="s">
        <v>346</v>
      </c>
    </row>
    <row r="5" spans="2:10" ht="13.5" thickBot="1">
      <c r="B5" s="729"/>
      <c r="C5" s="730"/>
      <c r="D5" s="321" t="s">
        <v>347</v>
      </c>
      <c r="E5" s="321" t="s">
        <v>347</v>
      </c>
      <c r="F5" s="321" t="s">
        <v>347</v>
      </c>
      <c r="G5" s="321" t="s">
        <v>347</v>
      </c>
      <c r="H5" s="321" t="s">
        <v>347</v>
      </c>
      <c r="I5" s="321" t="s">
        <v>347</v>
      </c>
      <c r="J5" s="720"/>
    </row>
    <row r="6" spans="2:12" ht="13.5" customHeight="1">
      <c r="B6" s="322">
        <v>1</v>
      </c>
      <c r="C6" s="120" t="s">
        <v>348</v>
      </c>
      <c r="D6" s="323">
        <v>277.0613027786891</v>
      </c>
      <c r="E6" s="323">
        <v>354.01660651641737</v>
      </c>
      <c r="F6" s="323">
        <v>144.9360220074199</v>
      </c>
      <c r="G6" s="323">
        <v>23.551977386871258</v>
      </c>
      <c r="H6" s="323">
        <v>0.4340913106024279</v>
      </c>
      <c r="I6" s="323">
        <v>0</v>
      </c>
      <c r="J6" s="324">
        <f>SUM(D6:I6)</f>
        <v>800</v>
      </c>
      <c r="K6" s="516">
        <f>L6-J6</f>
        <v>0</v>
      </c>
      <c r="L6" s="265">
        <v>800</v>
      </c>
    </row>
    <row r="7" spans="2:12" ht="12.75">
      <c r="B7" s="325">
        <v>2</v>
      </c>
      <c r="C7" s="93" t="s">
        <v>349</v>
      </c>
      <c r="D7" s="267">
        <v>103.39554968262583</v>
      </c>
      <c r="E7" s="267">
        <v>335.45859977819197</v>
      </c>
      <c r="F7" s="267">
        <v>647.3017296302414</v>
      </c>
      <c r="G7" s="267">
        <v>113.84412090894074</v>
      </c>
      <c r="H7" s="267">
        <v>0</v>
      </c>
      <c r="I7" s="267">
        <v>0</v>
      </c>
      <c r="J7" s="324">
        <f aca="true" t="shared" si="0" ref="J7:J23">SUM(D7:I7)</f>
        <v>1200</v>
      </c>
      <c r="K7" s="516">
        <f aca="true" t="shared" si="1" ref="K7:K23">L7-J7</f>
        <v>0</v>
      </c>
      <c r="L7" s="265">
        <v>1200</v>
      </c>
    </row>
    <row r="8" spans="2:12" ht="12.75">
      <c r="B8" s="325">
        <v>3</v>
      </c>
      <c r="C8" s="93" t="s">
        <v>350</v>
      </c>
      <c r="D8" s="267">
        <v>139.86037656018618</v>
      </c>
      <c r="E8" s="267">
        <v>305.58070657922576</v>
      </c>
      <c r="F8" s="267">
        <v>354.5589168605881</v>
      </c>
      <c r="G8" s="267">
        <v>0</v>
      </c>
      <c r="H8" s="267">
        <v>0</v>
      </c>
      <c r="I8" s="267">
        <v>0</v>
      </c>
      <c r="J8" s="324">
        <f t="shared" si="0"/>
        <v>800</v>
      </c>
      <c r="K8" s="516">
        <f t="shared" si="1"/>
        <v>0</v>
      </c>
      <c r="L8" s="265">
        <v>800</v>
      </c>
    </row>
    <row r="9" spans="2:12" ht="12.75">
      <c r="B9" s="325">
        <v>4</v>
      </c>
      <c r="C9" s="93" t="s">
        <v>351</v>
      </c>
      <c r="D9" s="267">
        <v>443.17984889713154</v>
      </c>
      <c r="E9" s="267">
        <v>494.78588693127404</v>
      </c>
      <c r="F9" s="267">
        <v>714.4125381937586</v>
      </c>
      <c r="G9" s="267">
        <v>142.32704498122624</v>
      </c>
      <c r="H9" s="267">
        <v>5.294680996610068</v>
      </c>
      <c r="I9" s="267">
        <v>0</v>
      </c>
      <c r="J9" s="324">
        <f t="shared" si="0"/>
        <v>1800.0000000000005</v>
      </c>
      <c r="K9" s="516">
        <f t="shared" si="1"/>
        <v>0</v>
      </c>
      <c r="L9" s="265">
        <v>1800</v>
      </c>
    </row>
    <row r="10" spans="2:12" ht="12.75">
      <c r="B10" s="325">
        <v>5</v>
      </c>
      <c r="C10" s="93" t="s">
        <v>352</v>
      </c>
      <c r="D10" s="267">
        <v>429.90458294817984</v>
      </c>
      <c r="E10" s="267">
        <v>1035.0098245720376</v>
      </c>
      <c r="F10" s="267">
        <v>1836.5307390401722</v>
      </c>
      <c r="G10" s="267">
        <v>198.55485343961047</v>
      </c>
      <c r="H10" s="267">
        <v>0</v>
      </c>
      <c r="I10" s="267">
        <v>0</v>
      </c>
      <c r="J10" s="324">
        <f t="shared" si="0"/>
        <v>3500</v>
      </c>
      <c r="K10" s="516">
        <f t="shared" si="1"/>
        <v>0</v>
      </c>
      <c r="L10" s="265">
        <v>3500</v>
      </c>
    </row>
    <row r="11" spans="2:12" ht="25.5" customHeight="1">
      <c r="B11" s="325">
        <v>6</v>
      </c>
      <c r="C11" s="93" t="s">
        <v>353</v>
      </c>
      <c r="D11" s="267">
        <v>48.05001008267796</v>
      </c>
      <c r="E11" s="267">
        <v>39.21355111917726</v>
      </c>
      <c r="F11" s="267">
        <v>1809.8084291187743</v>
      </c>
      <c r="G11" s="267">
        <v>1506.3198225448682</v>
      </c>
      <c r="H11" s="267">
        <v>96.60818713450296</v>
      </c>
      <c r="I11" s="267">
        <v>0</v>
      </c>
      <c r="J11" s="324">
        <f t="shared" si="0"/>
        <v>3500.000000000001</v>
      </c>
      <c r="K11" s="516">
        <f t="shared" si="1"/>
        <v>0</v>
      </c>
      <c r="L11" s="265">
        <v>3500</v>
      </c>
    </row>
    <row r="12" spans="2:12" ht="12.75">
      <c r="B12" s="325">
        <v>7</v>
      </c>
      <c r="C12" s="93" t="s">
        <v>354</v>
      </c>
      <c r="D12" s="267">
        <v>78.82978514923278</v>
      </c>
      <c r="E12" s="267">
        <v>509.52751121940395</v>
      </c>
      <c r="F12" s="267">
        <v>1283.8133561531981</v>
      </c>
      <c r="G12" s="267">
        <v>2440.2938275314696</v>
      </c>
      <c r="H12" s="267">
        <v>687.5355199466957</v>
      </c>
      <c r="I12" s="267">
        <v>0</v>
      </c>
      <c r="J12" s="324">
        <f t="shared" si="0"/>
        <v>5000</v>
      </c>
      <c r="K12" s="516">
        <f t="shared" si="1"/>
        <v>0</v>
      </c>
      <c r="L12" s="265">
        <v>5000</v>
      </c>
    </row>
    <row r="13" spans="2:12" ht="12.75">
      <c r="B13" s="325">
        <v>8</v>
      </c>
      <c r="C13" s="93" t="s">
        <v>355</v>
      </c>
      <c r="D13" s="267">
        <v>0</v>
      </c>
      <c r="E13" s="267">
        <v>0</v>
      </c>
      <c r="F13" s="267">
        <v>116.67473769168686</v>
      </c>
      <c r="G13" s="267">
        <v>461.727199354318</v>
      </c>
      <c r="H13" s="267">
        <v>221.59806295399514</v>
      </c>
      <c r="I13" s="267">
        <v>0</v>
      </c>
      <c r="J13" s="324">
        <f t="shared" si="0"/>
        <v>800</v>
      </c>
      <c r="K13" s="516">
        <f t="shared" si="1"/>
        <v>0</v>
      </c>
      <c r="L13" s="265">
        <v>800</v>
      </c>
    </row>
    <row r="14" spans="2:12" ht="12.75">
      <c r="B14" s="325">
        <v>9</v>
      </c>
      <c r="C14" s="93" t="s">
        <v>356</v>
      </c>
      <c r="D14" s="267">
        <v>0</v>
      </c>
      <c r="E14" s="267">
        <v>0</v>
      </c>
      <c r="F14" s="267">
        <v>0</v>
      </c>
      <c r="G14" s="267">
        <v>412.0947780721119</v>
      </c>
      <c r="H14" s="267">
        <v>987.9052219278881</v>
      </c>
      <c r="I14" s="267">
        <v>0</v>
      </c>
      <c r="J14" s="324">
        <f t="shared" si="0"/>
        <v>1400</v>
      </c>
      <c r="K14" s="516">
        <f t="shared" si="1"/>
        <v>0</v>
      </c>
      <c r="L14" s="265">
        <v>1400</v>
      </c>
    </row>
    <row r="15" spans="2:12" ht="12.75">
      <c r="B15" s="325">
        <v>10</v>
      </c>
      <c r="C15" s="93" t="s">
        <v>357</v>
      </c>
      <c r="D15" s="267">
        <v>0</v>
      </c>
      <c r="E15" s="267">
        <v>0</v>
      </c>
      <c r="F15" s="267">
        <v>0.7662345954919864</v>
      </c>
      <c r="G15" s="267">
        <v>491.69273992720764</v>
      </c>
      <c r="H15" s="267">
        <v>707.5410254773003</v>
      </c>
      <c r="I15" s="267">
        <v>0</v>
      </c>
      <c r="J15" s="324">
        <f t="shared" si="0"/>
        <v>1200</v>
      </c>
      <c r="K15" s="516">
        <f t="shared" si="1"/>
        <v>0</v>
      </c>
      <c r="L15" s="265">
        <v>1200</v>
      </c>
    </row>
    <row r="16" spans="2:12" ht="12.75">
      <c r="B16" s="325">
        <v>11</v>
      </c>
      <c r="C16" s="93" t="s">
        <v>358</v>
      </c>
      <c r="D16" s="267">
        <v>0</v>
      </c>
      <c r="E16" s="267">
        <v>0</v>
      </c>
      <c r="F16" s="267">
        <v>636.2865621025859</v>
      </c>
      <c r="G16" s="267">
        <v>863.7134378974141</v>
      </c>
      <c r="H16" s="267">
        <v>0</v>
      </c>
      <c r="I16" s="267">
        <v>0</v>
      </c>
      <c r="J16" s="324">
        <f t="shared" si="0"/>
        <v>1500</v>
      </c>
      <c r="K16" s="516">
        <f t="shared" si="1"/>
        <v>0</v>
      </c>
      <c r="L16" s="265">
        <v>1500</v>
      </c>
    </row>
    <row r="17" spans="2:12" ht="12.75">
      <c r="B17" s="325">
        <v>12</v>
      </c>
      <c r="C17" s="93" t="s">
        <v>359</v>
      </c>
      <c r="D17" s="267">
        <v>0</v>
      </c>
      <c r="E17" s="267">
        <v>86.00231327904369</v>
      </c>
      <c r="F17" s="267">
        <v>748.0698211025066</v>
      </c>
      <c r="G17" s="267">
        <v>2615.179572689216</v>
      </c>
      <c r="H17" s="267">
        <v>550.7482929292336</v>
      </c>
      <c r="I17" s="267">
        <v>0</v>
      </c>
      <c r="J17" s="324">
        <f t="shared" si="0"/>
        <v>4000</v>
      </c>
      <c r="K17" s="516">
        <f t="shared" si="1"/>
        <v>0</v>
      </c>
      <c r="L17" s="265">
        <v>4000</v>
      </c>
    </row>
    <row r="18" spans="2:12" ht="12.75">
      <c r="B18" s="325">
        <v>13</v>
      </c>
      <c r="C18" s="93" t="s">
        <v>360</v>
      </c>
      <c r="D18" s="267">
        <v>0</v>
      </c>
      <c r="E18" s="267">
        <v>308.8947522201464</v>
      </c>
      <c r="F18" s="267">
        <v>1775.0325385371382</v>
      </c>
      <c r="G18" s="267">
        <v>416.0727092427153</v>
      </c>
      <c r="H18" s="267">
        <v>0</v>
      </c>
      <c r="I18" s="267">
        <v>0</v>
      </c>
      <c r="J18" s="324">
        <f t="shared" si="0"/>
        <v>2500</v>
      </c>
      <c r="K18" s="516">
        <f t="shared" si="1"/>
        <v>0</v>
      </c>
      <c r="L18" s="265">
        <v>2500</v>
      </c>
    </row>
    <row r="19" spans="2:12" ht="12.75">
      <c r="B19" s="325">
        <v>14</v>
      </c>
      <c r="C19" s="93" t="s">
        <v>361</v>
      </c>
      <c r="D19" s="267">
        <v>0</v>
      </c>
      <c r="E19" s="267">
        <v>331.5251918096075</v>
      </c>
      <c r="F19" s="267">
        <v>3645.9952108683965</v>
      </c>
      <c r="G19" s="267">
        <v>4008.4054146508324</v>
      </c>
      <c r="H19" s="267">
        <v>14.074182671162587</v>
      </c>
      <c r="I19" s="267">
        <v>0</v>
      </c>
      <c r="J19" s="324">
        <f t="shared" si="0"/>
        <v>7999.999999999999</v>
      </c>
      <c r="K19" s="516">
        <f t="shared" si="1"/>
        <v>0</v>
      </c>
      <c r="L19" s="265">
        <v>8000</v>
      </c>
    </row>
    <row r="20" spans="2:12" ht="12.75">
      <c r="B20" s="325">
        <v>15</v>
      </c>
      <c r="C20" s="93" t="s">
        <v>362</v>
      </c>
      <c r="D20" s="267">
        <v>0</v>
      </c>
      <c r="E20" s="267">
        <v>0</v>
      </c>
      <c r="F20" s="267">
        <v>397.90690923925405</v>
      </c>
      <c r="G20" s="267">
        <v>3348.0430229000444</v>
      </c>
      <c r="H20" s="267">
        <v>1254.0500678607013</v>
      </c>
      <c r="I20" s="267">
        <v>0</v>
      </c>
      <c r="J20" s="324">
        <f t="shared" si="0"/>
        <v>5000</v>
      </c>
      <c r="K20" s="516">
        <f t="shared" si="1"/>
        <v>0</v>
      </c>
      <c r="L20" s="265">
        <v>5000</v>
      </c>
    </row>
    <row r="21" spans="2:12" ht="12.75">
      <c r="B21" s="325">
        <v>16</v>
      </c>
      <c r="C21" s="93" t="s">
        <v>363</v>
      </c>
      <c r="D21" s="267">
        <v>0</v>
      </c>
      <c r="E21" s="267">
        <v>0</v>
      </c>
      <c r="F21" s="267">
        <v>50.17260723224304</v>
      </c>
      <c r="G21" s="267">
        <v>1102.6495210149308</v>
      </c>
      <c r="H21" s="267">
        <v>2214.9650470354704</v>
      </c>
      <c r="I21" s="267">
        <v>132.2128247173557</v>
      </c>
      <c r="J21" s="324">
        <f t="shared" si="0"/>
        <v>3499.9999999999995</v>
      </c>
      <c r="K21" s="516">
        <f t="shared" si="1"/>
        <v>0</v>
      </c>
      <c r="L21" s="265">
        <v>3500</v>
      </c>
    </row>
    <row r="22" spans="2:12" ht="12.75">
      <c r="B22" s="325">
        <v>17</v>
      </c>
      <c r="C22" s="93" t="s">
        <v>364</v>
      </c>
      <c r="D22" s="267">
        <v>0</v>
      </c>
      <c r="E22" s="267">
        <v>0</v>
      </c>
      <c r="F22" s="267">
        <v>0</v>
      </c>
      <c r="G22" s="267">
        <v>1794.8487079930376</v>
      </c>
      <c r="H22" s="267">
        <v>2652.855134556166</v>
      </c>
      <c r="I22" s="267">
        <v>52.29615745079662</v>
      </c>
      <c r="J22" s="324">
        <f t="shared" si="0"/>
        <v>4500</v>
      </c>
      <c r="K22" s="516">
        <f t="shared" si="1"/>
        <v>0</v>
      </c>
      <c r="L22" s="265">
        <v>4500</v>
      </c>
    </row>
    <row r="23" spans="2:12" ht="13.5" thickBot="1">
      <c r="B23" s="326">
        <v>18</v>
      </c>
      <c r="C23" s="112" t="s">
        <v>365</v>
      </c>
      <c r="D23" s="327">
        <v>0</v>
      </c>
      <c r="E23" s="327">
        <v>0</v>
      </c>
      <c r="F23" s="327">
        <v>225</v>
      </c>
      <c r="G23" s="327">
        <v>450</v>
      </c>
      <c r="H23" s="327">
        <v>810</v>
      </c>
      <c r="I23" s="327">
        <v>15</v>
      </c>
      <c r="J23" s="324">
        <f t="shared" si="0"/>
        <v>1500</v>
      </c>
      <c r="K23" s="516">
        <f t="shared" si="1"/>
        <v>0</v>
      </c>
      <c r="L23" s="265">
        <v>1500</v>
      </c>
    </row>
    <row r="24" spans="2:10" ht="13.5" thickBot="1">
      <c r="B24" s="743" t="s">
        <v>346</v>
      </c>
      <c r="C24" s="761"/>
      <c r="D24" s="328">
        <f aca="true" t="shared" si="2" ref="D24:I24">SUM(D6:D23)</f>
        <v>1520.2814560987233</v>
      </c>
      <c r="E24" s="328">
        <f t="shared" si="2"/>
        <v>3800.0149440245254</v>
      </c>
      <c r="F24" s="328">
        <f t="shared" si="2"/>
        <v>14387.266352373455</v>
      </c>
      <c r="G24" s="328">
        <f t="shared" si="2"/>
        <v>20389.318750534814</v>
      </c>
      <c r="H24" s="328">
        <f t="shared" si="2"/>
        <v>10203.609514800328</v>
      </c>
      <c r="I24" s="328">
        <f t="shared" si="2"/>
        <v>199.5089821681523</v>
      </c>
      <c r="J24" s="340">
        <f>SUM(J6:J23)*K1</f>
        <v>50500</v>
      </c>
    </row>
    <row r="25" spans="2:10" ht="13.5" thickBot="1">
      <c r="B25" s="721" t="s">
        <v>366</v>
      </c>
      <c r="C25" s="722"/>
      <c r="D25" s="329">
        <f aca="true" t="shared" si="3" ref="D25:I25">D24/$J$24</f>
        <v>0.03010458328908363</v>
      </c>
      <c r="E25" s="329">
        <f t="shared" si="3"/>
        <v>0.07524782067375298</v>
      </c>
      <c r="F25" s="329">
        <f t="shared" si="3"/>
        <v>0.28489636341333574</v>
      </c>
      <c r="G25" s="329">
        <f t="shared" si="3"/>
        <v>0.40374888614920423</v>
      </c>
      <c r="H25" s="329">
        <f t="shared" si="3"/>
        <v>0.20205167356040252</v>
      </c>
      <c r="I25" s="329">
        <f t="shared" si="3"/>
        <v>0.003950672914220838</v>
      </c>
      <c r="J25" s="329">
        <f>J24/$J$24</f>
        <v>1</v>
      </c>
    </row>
    <row r="26" spans="2:10" ht="12.75">
      <c r="B26" s="330" t="s">
        <v>996</v>
      </c>
      <c r="C26" s="330"/>
      <c r="D26" s="330"/>
      <c r="E26" s="330"/>
      <c r="F26" s="330"/>
      <c r="G26" s="330"/>
      <c r="H26" s="330"/>
      <c r="I26" s="330"/>
      <c r="J26" s="330"/>
    </row>
    <row r="27" spans="2:10" ht="12.75">
      <c r="B27" s="330"/>
      <c r="C27" s="330"/>
      <c r="D27" s="330"/>
      <c r="E27" s="330"/>
      <c r="F27" s="330"/>
      <c r="G27" s="330"/>
      <c r="H27" s="330"/>
      <c r="I27" s="330"/>
      <c r="J27" s="330"/>
    </row>
    <row r="28" spans="2:10" ht="12.75">
      <c r="B28" s="330"/>
      <c r="C28" s="330"/>
      <c r="D28" s="330"/>
      <c r="E28" s="330"/>
      <c r="F28" s="330"/>
      <c r="G28" s="330"/>
      <c r="H28" s="330"/>
      <c r="I28" s="330"/>
      <c r="J28" s="330"/>
    </row>
    <row r="29" spans="2:10" ht="12.75">
      <c r="B29" s="330"/>
      <c r="C29" s="330"/>
      <c r="D29" s="330"/>
      <c r="E29" s="100"/>
      <c r="F29" s="330"/>
      <c r="G29" s="330"/>
      <c r="H29" s="330"/>
      <c r="I29" s="330"/>
      <c r="J29" s="330"/>
    </row>
    <row r="30" spans="2:10" ht="12.75">
      <c r="B30" s="330"/>
      <c r="C30" s="760" t="s">
        <v>710</v>
      </c>
      <c r="D30" s="760"/>
      <c r="E30" s="760"/>
      <c r="F30" s="330"/>
      <c r="G30" s="330"/>
      <c r="H30" s="330"/>
      <c r="I30" s="330"/>
      <c r="J30" s="330"/>
    </row>
    <row r="31" spans="2:10" ht="13.5" thickBot="1">
      <c r="B31" s="330"/>
      <c r="C31" s="760" t="s">
        <v>721</v>
      </c>
      <c r="D31" s="760"/>
      <c r="E31" s="760"/>
      <c r="F31" s="330"/>
      <c r="G31" s="330"/>
      <c r="H31" s="330"/>
      <c r="I31" s="330"/>
      <c r="J31" s="330"/>
    </row>
    <row r="32" spans="2:10" ht="12.75">
      <c r="B32" s="330"/>
      <c r="C32" s="137" t="s">
        <v>26</v>
      </c>
      <c r="D32" s="115">
        <v>2009</v>
      </c>
      <c r="E32" s="465"/>
      <c r="F32" s="330"/>
      <c r="G32" s="330"/>
      <c r="H32" s="330"/>
      <c r="I32" s="330"/>
      <c r="J32" s="330"/>
    </row>
    <row r="33" spans="2:10" ht="13.5" thickBot="1">
      <c r="B33" s="330"/>
      <c r="C33" s="179" t="s">
        <v>368</v>
      </c>
      <c r="D33" s="332" t="s">
        <v>369</v>
      </c>
      <c r="E33" s="333"/>
      <c r="F33" s="330"/>
      <c r="G33" s="330"/>
      <c r="H33" s="330"/>
      <c r="I33" s="330"/>
      <c r="J33" s="330"/>
    </row>
    <row r="34" spans="2:10" ht="12.75">
      <c r="B34" s="330"/>
      <c r="C34" s="334" t="s">
        <v>370</v>
      </c>
      <c r="D34" s="335">
        <v>50500</v>
      </c>
      <c r="E34" s="336">
        <f>E35+E36</f>
        <v>1</v>
      </c>
      <c r="F34" s="330"/>
      <c r="G34" s="330"/>
      <c r="H34" s="330"/>
      <c r="I34" s="330"/>
      <c r="J34" s="330"/>
    </row>
    <row r="35" spans="2:10" ht="12.75">
      <c r="B35" s="330"/>
      <c r="C35" s="334" t="s">
        <v>371</v>
      </c>
      <c r="D35" s="335">
        <v>44945</v>
      </c>
      <c r="E35" s="336">
        <f>D35/D34</f>
        <v>0.89</v>
      </c>
      <c r="F35" s="330"/>
      <c r="G35" s="330"/>
      <c r="H35" s="330"/>
      <c r="I35" s="330"/>
      <c r="J35" s="330"/>
    </row>
    <row r="36" spans="2:10" ht="13.5" thickBot="1">
      <c r="B36" s="330"/>
      <c r="C36" s="337" t="s">
        <v>372</v>
      </c>
      <c r="D36" s="338">
        <v>5555</v>
      </c>
      <c r="E36" s="339">
        <f>D36/D34</f>
        <v>0.11</v>
      </c>
      <c r="F36" s="330"/>
      <c r="G36" s="330"/>
      <c r="H36" s="330"/>
      <c r="I36" s="330"/>
      <c r="J36" s="330"/>
    </row>
    <row r="37" spans="2:10" ht="12.75">
      <c r="B37" s="410"/>
      <c r="C37" s="410" t="s">
        <v>996</v>
      </c>
      <c r="D37" s="335"/>
      <c r="E37" s="449"/>
      <c r="F37" s="330"/>
      <c r="G37" s="330"/>
      <c r="H37" s="330"/>
      <c r="I37" s="330"/>
      <c r="J37" s="330"/>
    </row>
    <row r="38" spans="2:10" ht="12.75">
      <c r="B38" s="410"/>
      <c r="C38" s="410"/>
      <c r="D38" s="335"/>
      <c r="E38" s="449"/>
      <c r="F38" s="330"/>
      <c r="G38" s="330"/>
      <c r="H38" s="330"/>
      <c r="I38" s="330"/>
      <c r="J38" s="330"/>
    </row>
    <row r="39" spans="2:10" ht="12.75">
      <c r="B39" s="410"/>
      <c r="C39" s="410"/>
      <c r="D39" s="335"/>
      <c r="E39" s="449"/>
      <c r="F39" s="330"/>
      <c r="G39" s="330"/>
      <c r="H39" s="330"/>
      <c r="I39" s="330"/>
      <c r="J39" s="330"/>
    </row>
    <row r="40" ht="12.75">
      <c r="B40" s="270"/>
    </row>
    <row r="41" spans="2:10" ht="12.75">
      <c r="B41" s="734" t="s">
        <v>1064</v>
      </c>
      <c r="C41" s="734"/>
      <c r="D41" s="734"/>
      <c r="E41" s="734"/>
      <c r="F41" s="734"/>
      <c r="G41" s="734"/>
      <c r="H41" s="734"/>
      <c r="I41" s="734"/>
      <c r="J41" s="734"/>
    </row>
    <row r="42" spans="1:10" ht="12.75">
      <c r="A42" s="265">
        <v>1.7</v>
      </c>
      <c r="B42" s="760" t="s">
        <v>1078</v>
      </c>
      <c r="C42" s="760"/>
      <c r="D42" s="760"/>
      <c r="E42" s="760"/>
      <c r="F42" s="760"/>
      <c r="G42" s="760"/>
      <c r="H42" s="760"/>
      <c r="I42" s="760"/>
      <c r="J42" s="760"/>
    </row>
    <row r="43" ht="13.5" thickBot="1"/>
    <row r="44" spans="2:10" ht="12.75">
      <c r="B44" s="762" t="s">
        <v>339</v>
      </c>
      <c r="C44" s="728"/>
      <c r="D44" s="427" t="s">
        <v>340</v>
      </c>
      <c r="E44" s="427" t="s">
        <v>341</v>
      </c>
      <c r="F44" s="427" t="s">
        <v>342</v>
      </c>
      <c r="G44" s="427" t="s">
        <v>343</v>
      </c>
      <c r="H44" s="427" t="s">
        <v>344</v>
      </c>
      <c r="I44" s="427" t="s">
        <v>345</v>
      </c>
      <c r="J44" s="719" t="s">
        <v>346</v>
      </c>
    </row>
    <row r="45" spans="2:10" ht="13.5" thickBot="1">
      <c r="B45" s="729"/>
      <c r="C45" s="730"/>
      <c r="D45" s="321" t="s">
        <v>347</v>
      </c>
      <c r="E45" s="321" t="s">
        <v>347</v>
      </c>
      <c r="F45" s="321" t="s">
        <v>347</v>
      </c>
      <c r="G45" s="321" t="s">
        <v>347</v>
      </c>
      <c r="H45" s="321" t="s">
        <v>347</v>
      </c>
      <c r="I45" s="321" t="s">
        <v>347</v>
      </c>
      <c r="J45" s="720"/>
    </row>
    <row r="46" spans="2:10" ht="12.75">
      <c r="B46" s="322">
        <v>1</v>
      </c>
      <c r="C46" s="120" t="s">
        <v>348</v>
      </c>
      <c r="D46" s="323">
        <f aca="true" t="shared" si="4" ref="D46:I55">D6/$A$42</f>
        <v>162.97723692864065</v>
      </c>
      <c r="E46" s="323">
        <f t="shared" si="4"/>
        <v>208.2450626567161</v>
      </c>
      <c r="F46" s="323">
        <f t="shared" si="4"/>
        <v>85.2564835337764</v>
      </c>
      <c r="G46" s="323">
        <f t="shared" si="4"/>
        <v>13.854104345218387</v>
      </c>
      <c r="H46" s="323">
        <f t="shared" si="4"/>
        <v>0.25534782976613407</v>
      </c>
      <c r="I46" s="323">
        <f t="shared" si="4"/>
        <v>0</v>
      </c>
      <c r="J46" s="324">
        <f>SUM(D46:I46)</f>
        <v>470.5882352941177</v>
      </c>
    </row>
    <row r="47" spans="2:10" ht="12.75">
      <c r="B47" s="325">
        <v>2</v>
      </c>
      <c r="C47" s="93" t="s">
        <v>349</v>
      </c>
      <c r="D47" s="323">
        <f t="shared" si="4"/>
        <v>60.82091157801519</v>
      </c>
      <c r="E47" s="323">
        <f t="shared" si="4"/>
        <v>197.3285881048188</v>
      </c>
      <c r="F47" s="323">
        <f t="shared" si="4"/>
        <v>380.76572331190675</v>
      </c>
      <c r="G47" s="323">
        <f t="shared" si="4"/>
        <v>66.96712994643573</v>
      </c>
      <c r="H47" s="323">
        <f t="shared" si="4"/>
        <v>0</v>
      </c>
      <c r="I47" s="323">
        <f t="shared" si="4"/>
        <v>0</v>
      </c>
      <c r="J47" s="324">
        <f aca="true" t="shared" si="5" ref="J47:J63">SUM(D47:I47)</f>
        <v>705.8823529411766</v>
      </c>
    </row>
    <row r="48" spans="2:10" ht="12.75">
      <c r="B48" s="325">
        <v>3</v>
      </c>
      <c r="C48" s="93" t="s">
        <v>350</v>
      </c>
      <c r="D48" s="323">
        <f t="shared" si="4"/>
        <v>82.27080974128599</v>
      </c>
      <c r="E48" s="323">
        <f t="shared" si="4"/>
        <v>179.7533568113093</v>
      </c>
      <c r="F48" s="323">
        <f t="shared" si="4"/>
        <v>208.56406874152242</v>
      </c>
      <c r="G48" s="323">
        <f t="shared" si="4"/>
        <v>0</v>
      </c>
      <c r="H48" s="323">
        <f t="shared" si="4"/>
        <v>0</v>
      </c>
      <c r="I48" s="323">
        <f t="shared" si="4"/>
        <v>0</v>
      </c>
      <c r="J48" s="324">
        <f t="shared" si="5"/>
        <v>470.5882352941177</v>
      </c>
    </row>
    <row r="49" spans="2:10" ht="12.75">
      <c r="B49" s="325">
        <v>4</v>
      </c>
      <c r="C49" s="93" t="s">
        <v>351</v>
      </c>
      <c r="D49" s="323">
        <f t="shared" si="4"/>
        <v>260.69402876301854</v>
      </c>
      <c r="E49" s="323">
        <f t="shared" si="4"/>
        <v>291.05052172427884</v>
      </c>
      <c r="F49" s="323">
        <f t="shared" si="4"/>
        <v>420.2426695257403</v>
      </c>
      <c r="G49" s="323">
        <f t="shared" si="4"/>
        <v>83.7217911654272</v>
      </c>
      <c r="H49" s="323">
        <f t="shared" si="4"/>
        <v>3.11451823330004</v>
      </c>
      <c r="I49" s="323">
        <f t="shared" si="4"/>
        <v>0</v>
      </c>
      <c r="J49" s="324">
        <f t="shared" si="5"/>
        <v>1058.8235294117649</v>
      </c>
    </row>
    <row r="50" spans="2:10" ht="12.75">
      <c r="B50" s="325">
        <v>5</v>
      </c>
      <c r="C50" s="93" t="s">
        <v>352</v>
      </c>
      <c r="D50" s="323">
        <f t="shared" si="4"/>
        <v>252.88504879304696</v>
      </c>
      <c r="E50" s="323">
        <f t="shared" si="4"/>
        <v>608.8293085717868</v>
      </c>
      <c r="F50" s="323">
        <f t="shared" si="4"/>
        <v>1080.3121994353955</v>
      </c>
      <c r="G50" s="323">
        <f t="shared" si="4"/>
        <v>116.79697261153558</v>
      </c>
      <c r="H50" s="323">
        <f t="shared" si="4"/>
        <v>0</v>
      </c>
      <c r="I50" s="323">
        <f t="shared" si="4"/>
        <v>0</v>
      </c>
      <c r="J50" s="324">
        <f t="shared" si="5"/>
        <v>2058.823529411765</v>
      </c>
    </row>
    <row r="51" spans="2:10" ht="12.75">
      <c r="B51" s="325">
        <v>6</v>
      </c>
      <c r="C51" s="93" t="s">
        <v>353</v>
      </c>
      <c r="D51" s="323">
        <f t="shared" si="4"/>
        <v>28.264711813339975</v>
      </c>
      <c r="E51" s="323">
        <f t="shared" si="4"/>
        <v>23.066794775986626</v>
      </c>
      <c r="F51" s="323">
        <f t="shared" si="4"/>
        <v>1064.593193599279</v>
      </c>
      <c r="G51" s="323">
        <f t="shared" si="4"/>
        <v>886.0704838499225</v>
      </c>
      <c r="H51" s="323">
        <f t="shared" si="4"/>
        <v>56.828345373237035</v>
      </c>
      <c r="I51" s="323">
        <f t="shared" si="4"/>
        <v>0</v>
      </c>
      <c r="J51" s="324">
        <f t="shared" si="5"/>
        <v>2058.8235294117653</v>
      </c>
    </row>
    <row r="52" spans="2:10" ht="12.75">
      <c r="B52" s="325">
        <v>7</v>
      </c>
      <c r="C52" s="93" t="s">
        <v>354</v>
      </c>
      <c r="D52" s="323">
        <f t="shared" si="4"/>
        <v>46.37046185248987</v>
      </c>
      <c r="E52" s="323">
        <f t="shared" si="4"/>
        <v>299.7220654231788</v>
      </c>
      <c r="F52" s="323">
        <f t="shared" si="4"/>
        <v>755.18432714894</v>
      </c>
      <c r="G52" s="323">
        <f t="shared" si="4"/>
        <v>1435.4669573714527</v>
      </c>
      <c r="H52" s="323">
        <f t="shared" si="4"/>
        <v>404.4326587921739</v>
      </c>
      <c r="I52" s="323">
        <f t="shared" si="4"/>
        <v>0</v>
      </c>
      <c r="J52" s="324">
        <f t="shared" si="5"/>
        <v>2941.176470588235</v>
      </c>
    </row>
    <row r="53" spans="2:10" ht="12.75">
      <c r="B53" s="325">
        <v>8</v>
      </c>
      <c r="C53" s="93" t="s">
        <v>355</v>
      </c>
      <c r="D53" s="323">
        <f t="shared" si="4"/>
        <v>0</v>
      </c>
      <c r="E53" s="323">
        <f t="shared" si="4"/>
        <v>0</v>
      </c>
      <c r="F53" s="323">
        <f t="shared" si="4"/>
        <v>68.63219864216875</v>
      </c>
      <c r="G53" s="323">
        <f t="shared" si="4"/>
        <v>271.6042349143047</v>
      </c>
      <c r="H53" s="323">
        <f t="shared" si="4"/>
        <v>130.3518017376442</v>
      </c>
      <c r="I53" s="323">
        <f t="shared" si="4"/>
        <v>0</v>
      </c>
      <c r="J53" s="324">
        <f t="shared" si="5"/>
        <v>470.5882352941177</v>
      </c>
    </row>
    <row r="54" spans="2:10" ht="12.75">
      <c r="B54" s="325">
        <v>9</v>
      </c>
      <c r="C54" s="93" t="s">
        <v>356</v>
      </c>
      <c r="D54" s="323">
        <f t="shared" si="4"/>
        <v>0</v>
      </c>
      <c r="E54" s="323">
        <f t="shared" si="4"/>
        <v>0</v>
      </c>
      <c r="F54" s="323">
        <f t="shared" si="4"/>
        <v>0</v>
      </c>
      <c r="G54" s="323">
        <f t="shared" si="4"/>
        <v>242.40869298359524</v>
      </c>
      <c r="H54" s="323">
        <f t="shared" si="4"/>
        <v>581.1207187811107</v>
      </c>
      <c r="I54" s="323">
        <f t="shared" si="4"/>
        <v>0</v>
      </c>
      <c r="J54" s="324">
        <f t="shared" si="5"/>
        <v>823.5294117647059</v>
      </c>
    </row>
    <row r="55" spans="2:10" ht="12.75">
      <c r="B55" s="325">
        <v>10</v>
      </c>
      <c r="C55" s="93" t="s">
        <v>357</v>
      </c>
      <c r="D55" s="323">
        <f t="shared" si="4"/>
        <v>0</v>
      </c>
      <c r="E55" s="323">
        <f t="shared" si="4"/>
        <v>0</v>
      </c>
      <c r="F55" s="323">
        <f t="shared" si="4"/>
        <v>0.4507262326423449</v>
      </c>
      <c r="G55" s="323">
        <f t="shared" si="4"/>
        <v>289.23102348659273</v>
      </c>
      <c r="H55" s="323">
        <f t="shared" si="4"/>
        <v>416.2006032219414</v>
      </c>
      <c r="I55" s="323">
        <f t="shared" si="4"/>
        <v>0</v>
      </c>
      <c r="J55" s="324">
        <f t="shared" si="5"/>
        <v>705.8823529411765</v>
      </c>
    </row>
    <row r="56" spans="2:10" ht="12.75">
      <c r="B56" s="325">
        <v>11</v>
      </c>
      <c r="C56" s="93" t="s">
        <v>358</v>
      </c>
      <c r="D56" s="323">
        <f aca="true" t="shared" si="6" ref="D56:I61">D16/$A$42</f>
        <v>0</v>
      </c>
      <c r="E56" s="323">
        <f t="shared" si="6"/>
        <v>0</v>
      </c>
      <c r="F56" s="323">
        <f t="shared" si="6"/>
        <v>374.2862130015211</v>
      </c>
      <c r="G56" s="323">
        <f t="shared" si="6"/>
        <v>508.0667281749495</v>
      </c>
      <c r="H56" s="323">
        <f t="shared" si="6"/>
        <v>0</v>
      </c>
      <c r="I56" s="323">
        <f t="shared" si="6"/>
        <v>0</v>
      </c>
      <c r="J56" s="324">
        <f t="shared" si="5"/>
        <v>882.3529411764706</v>
      </c>
    </row>
    <row r="57" spans="2:10" ht="12.75">
      <c r="B57" s="325">
        <v>12</v>
      </c>
      <c r="C57" s="93" t="s">
        <v>359</v>
      </c>
      <c r="D57" s="323">
        <f t="shared" si="6"/>
        <v>0</v>
      </c>
      <c r="E57" s="323">
        <f t="shared" si="6"/>
        <v>50.58959604649629</v>
      </c>
      <c r="F57" s="323">
        <f t="shared" si="6"/>
        <v>440.0410712367686</v>
      </c>
      <c r="G57" s="323">
        <f t="shared" si="6"/>
        <v>1538.3409251113035</v>
      </c>
      <c r="H57" s="323">
        <f t="shared" si="6"/>
        <v>323.96958407601977</v>
      </c>
      <c r="I57" s="323">
        <f t="shared" si="6"/>
        <v>0</v>
      </c>
      <c r="J57" s="324">
        <f t="shared" si="5"/>
        <v>2352.941176470588</v>
      </c>
    </row>
    <row r="58" spans="2:10" ht="12.75">
      <c r="B58" s="325">
        <v>13</v>
      </c>
      <c r="C58" s="93" t="s">
        <v>360</v>
      </c>
      <c r="D58" s="323">
        <f t="shared" si="6"/>
        <v>0</v>
      </c>
      <c r="E58" s="323">
        <f t="shared" si="6"/>
        <v>181.70279542361556</v>
      </c>
      <c r="F58" s="323">
        <f t="shared" si="6"/>
        <v>1044.1367873747872</v>
      </c>
      <c r="G58" s="323">
        <f t="shared" si="6"/>
        <v>244.74865249571488</v>
      </c>
      <c r="H58" s="323">
        <f t="shared" si="6"/>
        <v>0</v>
      </c>
      <c r="I58" s="323">
        <f t="shared" si="6"/>
        <v>0</v>
      </c>
      <c r="J58" s="324">
        <f t="shared" si="5"/>
        <v>1470.5882352941176</v>
      </c>
    </row>
    <row r="59" spans="2:10" ht="12.75">
      <c r="B59" s="325">
        <v>14</v>
      </c>
      <c r="C59" s="93" t="s">
        <v>361</v>
      </c>
      <c r="D59" s="323">
        <f t="shared" si="6"/>
        <v>0</v>
      </c>
      <c r="E59" s="323">
        <f t="shared" si="6"/>
        <v>195.01481871153385</v>
      </c>
      <c r="F59" s="323">
        <f t="shared" si="6"/>
        <v>2144.703065216704</v>
      </c>
      <c r="G59" s="323">
        <f t="shared" si="6"/>
        <v>2357.8855380299015</v>
      </c>
      <c r="H59" s="323">
        <f t="shared" si="6"/>
        <v>8.278930983036815</v>
      </c>
      <c r="I59" s="323">
        <f t="shared" si="6"/>
        <v>0</v>
      </c>
      <c r="J59" s="324">
        <f t="shared" si="5"/>
        <v>4705.882352941177</v>
      </c>
    </row>
    <row r="60" spans="2:10" ht="12.75">
      <c r="B60" s="325">
        <v>15</v>
      </c>
      <c r="C60" s="93" t="s">
        <v>362</v>
      </c>
      <c r="D60" s="323">
        <f t="shared" si="6"/>
        <v>0</v>
      </c>
      <c r="E60" s="323">
        <f t="shared" si="6"/>
        <v>0</v>
      </c>
      <c r="F60" s="323">
        <f t="shared" si="6"/>
        <v>234.0628877877965</v>
      </c>
      <c r="G60" s="323">
        <f t="shared" si="6"/>
        <v>1969.437072294144</v>
      </c>
      <c r="H60" s="323">
        <f t="shared" si="6"/>
        <v>737.6765105062949</v>
      </c>
      <c r="I60" s="323">
        <f t="shared" si="6"/>
        <v>0</v>
      </c>
      <c r="J60" s="324">
        <f t="shared" si="5"/>
        <v>2941.1764705882356</v>
      </c>
    </row>
    <row r="61" spans="2:10" ht="12.75">
      <c r="B61" s="325">
        <v>16</v>
      </c>
      <c r="C61" s="93" t="s">
        <v>363</v>
      </c>
      <c r="D61" s="323">
        <f t="shared" si="6"/>
        <v>0</v>
      </c>
      <c r="E61" s="323">
        <f t="shared" si="6"/>
        <v>0</v>
      </c>
      <c r="F61" s="323">
        <f t="shared" si="6"/>
        <v>29.51329837190767</v>
      </c>
      <c r="G61" s="323">
        <f t="shared" si="6"/>
        <v>648.6173653029005</v>
      </c>
      <c r="H61" s="323">
        <f t="shared" si="6"/>
        <v>1302.920615903218</v>
      </c>
      <c r="I61" s="323">
        <f t="shared" si="6"/>
        <v>77.77224983373864</v>
      </c>
      <c r="J61" s="324">
        <f t="shared" si="5"/>
        <v>2058.823529411765</v>
      </c>
    </row>
    <row r="62" spans="2:10" ht="12.75">
      <c r="B62" s="325">
        <v>17</v>
      </c>
      <c r="C62" s="93" t="s">
        <v>364</v>
      </c>
      <c r="D62" s="323">
        <f aca="true" t="shared" si="7" ref="D62:I62">D22/$A$42</f>
        <v>0</v>
      </c>
      <c r="E62" s="323">
        <f t="shared" si="7"/>
        <v>0</v>
      </c>
      <c r="F62" s="323">
        <f t="shared" si="7"/>
        <v>0</v>
      </c>
      <c r="G62" s="323">
        <f t="shared" si="7"/>
        <v>1055.7933576429632</v>
      </c>
      <c r="H62" s="323">
        <f t="shared" si="7"/>
        <v>1560.5030203271565</v>
      </c>
      <c r="I62" s="323">
        <f t="shared" si="7"/>
        <v>30.762445559292132</v>
      </c>
      <c r="J62" s="324">
        <f t="shared" si="5"/>
        <v>2647.0588235294117</v>
      </c>
    </row>
    <row r="63" spans="2:10" ht="13.5" thickBot="1">
      <c r="B63" s="326">
        <v>18</v>
      </c>
      <c r="C63" s="112" t="s">
        <v>365</v>
      </c>
      <c r="D63" s="323">
        <f aca="true" t="shared" si="8" ref="D63:I63">D23/$A$42</f>
        <v>0</v>
      </c>
      <c r="E63" s="323">
        <f t="shared" si="8"/>
        <v>0</v>
      </c>
      <c r="F63" s="323">
        <f t="shared" si="8"/>
        <v>132.35294117647058</v>
      </c>
      <c r="G63" s="323">
        <f t="shared" si="8"/>
        <v>264.70588235294116</v>
      </c>
      <c r="H63" s="323">
        <f t="shared" si="8"/>
        <v>476.47058823529414</v>
      </c>
      <c r="I63" s="323">
        <f t="shared" si="8"/>
        <v>8.823529411764707</v>
      </c>
      <c r="J63" s="324">
        <f t="shared" si="5"/>
        <v>882.3529411764706</v>
      </c>
    </row>
    <row r="64" spans="2:10" ht="13.5" thickBot="1">
      <c r="B64" s="743" t="s">
        <v>346</v>
      </c>
      <c r="C64" s="761"/>
      <c r="D64" s="328">
        <f aca="true" t="shared" si="9" ref="D64:J64">SUM(D46:D63)</f>
        <v>894.2832094698372</v>
      </c>
      <c r="E64" s="328">
        <f t="shared" si="9"/>
        <v>2235.302908249721</v>
      </c>
      <c r="F64" s="328">
        <f t="shared" si="9"/>
        <v>8463.097854337326</v>
      </c>
      <c r="G64" s="328">
        <f t="shared" si="9"/>
        <v>11993.7169120793</v>
      </c>
      <c r="H64" s="328">
        <f t="shared" si="9"/>
        <v>6002.123244000193</v>
      </c>
      <c r="I64" s="328">
        <f t="shared" si="9"/>
        <v>117.35822480479548</v>
      </c>
      <c r="J64" s="340">
        <f t="shared" si="9"/>
        <v>29705.88235294118</v>
      </c>
    </row>
    <row r="65" spans="2:12" ht="13.5" thickBot="1">
      <c r="B65" s="721" t="s">
        <v>366</v>
      </c>
      <c r="C65" s="722"/>
      <c r="D65" s="341">
        <f aca="true" t="shared" si="10" ref="D65:I65">D64/$J$64</f>
        <v>0.030104583289083626</v>
      </c>
      <c r="E65" s="341">
        <f t="shared" si="10"/>
        <v>0.07524782067375298</v>
      </c>
      <c r="F65" s="341">
        <f t="shared" si="10"/>
        <v>0.2848963634133357</v>
      </c>
      <c r="G65" s="341">
        <f t="shared" si="10"/>
        <v>0.4037488861492041</v>
      </c>
      <c r="H65" s="341">
        <f t="shared" si="10"/>
        <v>0.20205167356040252</v>
      </c>
      <c r="I65" s="341">
        <f t="shared" si="10"/>
        <v>0.003950672914220838</v>
      </c>
      <c r="J65" s="341">
        <f>J64/$J$64</f>
        <v>1</v>
      </c>
      <c r="L65" s="342" t="s">
        <v>5</v>
      </c>
    </row>
    <row r="66" spans="2:10" ht="12.75">
      <c r="B66" s="330" t="s">
        <v>996</v>
      </c>
      <c r="C66" s="330"/>
      <c r="D66" s="330"/>
      <c r="E66" s="330"/>
      <c r="F66" s="330"/>
      <c r="G66" s="330"/>
      <c r="H66" s="330"/>
      <c r="I66" s="330"/>
      <c r="J66" s="330"/>
    </row>
    <row r="67" ht="12.75">
      <c r="K67" s="265" t="s">
        <v>5</v>
      </c>
    </row>
  </sheetData>
  <sheetProtection/>
  <mergeCells count="14">
    <mergeCell ref="B65:C65"/>
    <mergeCell ref="C31:E31"/>
    <mergeCell ref="B25:C25"/>
    <mergeCell ref="B42:J42"/>
    <mergeCell ref="B44:C45"/>
    <mergeCell ref="J44:J45"/>
    <mergeCell ref="B41:J41"/>
    <mergeCell ref="B1:J1"/>
    <mergeCell ref="B2:J2"/>
    <mergeCell ref="C30:E30"/>
    <mergeCell ref="B64:C64"/>
    <mergeCell ref="B4:C5"/>
    <mergeCell ref="J4:J5"/>
    <mergeCell ref="B24:C24"/>
  </mergeCells>
  <printOptions horizontalCentered="1" verticalCentered="1"/>
  <pageMargins left="0.7874015748031497" right="0.7874015748031497" top="0.984251968503937" bottom="0.984251968503937"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victoriano</dc:title>
  <dc:subject/>
  <dc:creator>ALVARO MORENO R.</dc:creator>
  <cp:keywords/>
  <dc:description/>
  <cp:lastModifiedBy>Andrea</cp:lastModifiedBy>
  <cp:lastPrinted>2009-09-03T02:05:05Z</cp:lastPrinted>
  <dcterms:created xsi:type="dcterms:W3CDTF">1996-12-11T11:49:25Z</dcterms:created>
  <dcterms:modified xsi:type="dcterms:W3CDTF">2009-09-03T04:47:28Z</dcterms:modified>
  <cp:category/>
  <cp:version/>
  <cp:contentType/>
  <cp:contentStatus/>
</cp:coreProperties>
</file>