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135" windowWidth="15480" windowHeight="11640" firstSheet="11" activeTab="15"/>
  </bookViews>
  <sheets>
    <sheet name="FLUJO DE CAJA 1" sheetId="21" r:id="rId1"/>
    <sheet name="Estado de Situacion Inicial" sheetId="1" r:id="rId2"/>
    <sheet name="balance general" sheetId="16" r:id="rId3"/>
    <sheet name="RATIOS" sheetId="17" r:id="rId4"/>
    <sheet name="ALT DE INVERSION" sheetId="20" r:id="rId5"/>
    <sheet name="Estado Pèrdidas Y Ganacias" sheetId="6" r:id="rId6"/>
    <sheet name="Equipo de Oficina, computacion " sheetId="2" r:id="rId7"/>
    <sheet name="CAPITAL DE TRABJO" sheetId="8" r:id="rId8"/>
    <sheet name="Gastos De Constitucion" sheetId="3" r:id="rId9"/>
    <sheet name="Datos" sheetId="5" r:id="rId10"/>
    <sheet name="PRECIOS " sheetId="12" r:id="rId11"/>
    <sheet name="FLUJO DE CAJA" sheetId="9" r:id="rId12"/>
    <sheet name="Gastos de Administracion" sheetId="4" r:id="rId13"/>
    <sheet name="Gastos de Sueldos" sheetId="18" r:id="rId14"/>
    <sheet name="PTO DE EQUILIBRIO" sheetId="15" r:id="rId15"/>
    <sheet name="payback" sheetId="23" r:id="rId16"/>
    <sheet name="Hoja3" sheetId="24" r:id="rId17"/>
  </sheets>
  <calcPr calcId="125725"/>
</workbook>
</file>

<file path=xl/calcChain.xml><?xml version="1.0" encoding="utf-8"?>
<calcChain xmlns="http://schemas.openxmlformats.org/spreadsheetml/2006/main">
  <c r="D7" i="15"/>
  <c r="E7"/>
  <c r="F7"/>
  <c r="G7"/>
  <c r="C7"/>
  <c r="I5" i="21"/>
  <c r="I4"/>
  <c r="E4"/>
  <c r="F4" s="1"/>
  <c r="E5"/>
  <c r="F5" s="1"/>
  <c r="G5" s="1"/>
  <c r="H5" s="1"/>
  <c r="D10" i="6"/>
  <c r="E10" s="1"/>
  <c r="D6" i="21"/>
  <c r="D10"/>
  <c r="C32"/>
  <c r="E4" i="9"/>
  <c r="F4" s="1"/>
  <c r="E10"/>
  <c r="D10"/>
  <c r="D5"/>
  <c r="E5"/>
  <c r="E4" i="12"/>
  <c r="F4"/>
  <c r="E5"/>
  <c r="F5"/>
  <c r="E6"/>
  <c r="F6"/>
  <c r="O17" i="20"/>
  <c r="F18"/>
  <c r="O18"/>
  <c r="C23" i="9"/>
  <c r="P17" i="20"/>
  <c r="D5" i="3"/>
  <c r="D12" i="21"/>
  <c r="B6" i="3"/>
  <c r="C31" i="1"/>
  <c r="G13" i="2"/>
  <c r="H13"/>
  <c r="E42"/>
  <c r="F42"/>
  <c r="D74"/>
  <c r="E74"/>
  <c r="F74"/>
  <c r="G74"/>
  <c r="H74"/>
  <c r="I74"/>
  <c r="J74"/>
  <c r="K74"/>
  <c r="L74"/>
  <c r="M74"/>
  <c r="G14"/>
  <c r="H14"/>
  <c r="E43"/>
  <c r="F43"/>
  <c r="D75"/>
  <c r="E75"/>
  <c r="F75"/>
  <c r="G75"/>
  <c r="H75"/>
  <c r="I75"/>
  <c r="J75"/>
  <c r="K75"/>
  <c r="L75"/>
  <c r="M75"/>
  <c r="G15"/>
  <c r="H15"/>
  <c r="E44"/>
  <c r="F44"/>
  <c r="D76"/>
  <c r="E76"/>
  <c r="F76"/>
  <c r="G76"/>
  <c r="H76"/>
  <c r="I76"/>
  <c r="J76"/>
  <c r="K76"/>
  <c r="L76"/>
  <c r="M76"/>
  <c r="G16"/>
  <c r="H16"/>
  <c r="E45"/>
  <c r="F45"/>
  <c r="D77"/>
  <c r="E77"/>
  <c r="F77"/>
  <c r="G77"/>
  <c r="H77"/>
  <c r="I77"/>
  <c r="J77"/>
  <c r="K77"/>
  <c r="L77"/>
  <c r="M77"/>
  <c r="G17"/>
  <c r="H17"/>
  <c r="E46"/>
  <c r="F46"/>
  <c r="D78"/>
  <c r="E78"/>
  <c r="F78"/>
  <c r="G78"/>
  <c r="H78"/>
  <c r="I78"/>
  <c r="J78"/>
  <c r="K78"/>
  <c r="L78"/>
  <c r="M78"/>
  <c r="G18"/>
  <c r="H18"/>
  <c r="E47"/>
  <c r="F47"/>
  <c r="D79"/>
  <c r="E79"/>
  <c r="F79"/>
  <c r="G79"/>
  <c r="H79"/>
  <c r="I79"/>
  <c r="J79"/>
  <c r="K79"/>
  <c r="L79"/>
  <c r="M79"/>
  <c r="G19"/>
  <c r="H19"/>
  <c r="E48"/>
  <c r="F48"/>
  <c r="D80"/>
  <c r="E80"/>
  <c r="F80"/>
  <c r="G80"/>
  <c r="H80"/>
  <c r="I80"/>
  <c r="J80"/>
  <c r="K80"/>
  <c r="L80"/>
  <c r="M80"/>
  <c r="G20"/>
  <c r="H20"/>
  <c r="E49"/>
  <c r="F49"/>
  <c r="D81"/>
  <c r="E81"/>
  <c r="F81"/>
  <c r="G81"/>
  <c r="H81"/>
  <c r="I81"/>
  <c r="J81"/>
  <c r="K81"/>
  <c r="L81"/>
  <c r="M81"/>
  <c r="G21"/>
  <c r="H21"/>
  <c r="E50"/>
  <c r="F50"/>
  <c r="D82"/>
  <c r="E82"/>
  <c r="F82"/>
  <c r="G82"/>
  <c r="H82"/>
  <c r="I82"/>
  <c r="J82"/>
  <c r="K82"/>
  <c r="L82"/>
  <c r="M82"/>
  <c r="G22"/>
  <c r="H22"/>
  <c r="E51"/>
  <c r="F51"/>
  <c r="D83"/>
  <c r="E83"/>
  <c r="F83"/>
  <c r="G83"/>
  <c r="H83"/>
  <c r="I83"/>
  <c r="J83"/>
  <c r="K83"/>
  <c r="L83"/>
  <c r="M83"/>
  <c r="G23"/>
  <c r="H23"/>
  <c r="E52"/>
  <c r="F52"/>
  <c r="D84"/>
  <c r="E84"/>
  <c r="F84"/>
  <c r="G84"/>
  <c r="H84"/>
  <c r="I84"/>
  <c r="J84"/>
  <c r="K84"/>
  <c r="L84"/>
  <c r="M84"/>
  <c r="G24"/>
  <c r="H24"/>
  <c r="E53"/>
  <c r="F53"/>
  <c r="D85"/>
  <c r="E85"/>
  <c r="F85"/>
  <c r="G85"/>
  <c r="H85"/>
  <c r="I85"/>
  <c r="J85"/>
  <c r="K85"/>
  <c r="L85"/>
  <c r="M85"/>
  <c r="G12"/>
  <c r="H12"/>
  <c r="E41"/>
  <c r="F41"/>
  <c r="D73"/>
  <c r="H10"/>
  <c r="E39"/>
  <c r="F39"/>
  <c r="D70"/>
  <c r="D39"/>
  <c r="B56"/>
  <c r="B88"/>
  <c r="B55"/>
  <c r="B87"/>
  <c r="B54"/>
  <c r="B86"/>
  <c r="B53"/>
  <c r="B85"/>
  <c r="B52"/>
  <c r="B84"/>
  <c r="B51"/>
  <c r="B83"/>
  <c r="B50"/>
  <c r="B82"/>
  <c r="B49"/>
  <c r="B81"/>
  <c r="B48"/>
  <c r="B80"/>
  <c r="B47"/>
  <c r="B79"/>
  <c r="B46"/>
  <c r="B78"/>
  <c r="B45"/>
  <c r="B77"/>
  <c r="B44"/>
  <c r="B76"/>
  <c r="B39"/>
  <c r="B70"/>
  <c r="G8"/>
  <c r="H8"/>
  <c r="E37"/>
  <c r="D37"/>
  <c r="G4"/>
  <c r="H4"/>
  <c r="D33"/>
  <c r="G5"/>
  <c r="H5"/>
  <c r="F34"/>
  <c r="D63"/>
  <c r="E63"/>
  <c r="F63"/>
  <c r="G63"/>
  <c r="H63"/>
  <c r="I63"/>
  <c r="J63"/>
  <c r="K63"/>
  <c r="L63"/>
  <c r="D34"/>
  <c r="G6"/>
  <c r="H6"/>
  <c r="D35"/>
  <c r="M63"/>
  <c r="B63"/>
  <c r="G25"/>
  <c r="H25"/>
  <c r="E54"/>
  <c r="F54"/>
  <c r="D86"/>
  <c r="E86"/>
  <c r="F86"/>
  <c r="G86"/>
  <c r="H86"/>
  <c r="I86"/>
  <c r="J86"/>
  <c r="K86"/>
  <c r="L86"/>
  <c r="M86"/>
  <c r="G26"/>
  <c r="H26"/>
  <c r="E55"/>
  <c r="F55"/>
  <c r="D87"/>
  <c r="E87"/>
  <c r="F87"/>
  <c r="G87"/>
  <c r="H87"/>
  <c r="I87"/>
  <c r="J87"/>
  <c r="K87"/>
  <c r="L87"/>
  <c r="M87"/>
  <c r="G27"/>
  <c r="H27"/>
  <c r="E56"/>
  <c r="F56"/>
  <c r="D88"/>
  <c r="E88"/>
  <c r="F88"/>
  <c r="G88"/>
  <c r="H88"/>
  <c r="I88"/>
  <c r="J88"/>
  <c r="K88"/>
  <c r="L88"/>
  <c r="M88"/>
  <c r="E34"/>
  <c r="G39"/>
  <c r="B43"/>
  <c r="B75"/>
  <c r="B42"/>
  <c r="B74"/>
  <c r="B41"/>
  <c r="B73"/>
  <c r="B37"/>
  <c r="B33"/>
  <c r="I27"/>
  <c r="D4" i="6"/>
  <c r="D5"/>
  <c r="D6"/>
  <c r="C4"/>
  <c r="C5"/>
  <c r="C6"/>
  <c r="C32" i="9"/>
  <c r="I10" i="2"/>
  <c r="C12" i="4"/>
  <c r="D12"/>
  <c r="C9"/>
  <c r="C16"/>
  <c r="C9" i="6"/>
  <c r="I6" i="2"/>
  <c r="D11" i="4"/>
  <c r="E11"/>
  <c r="F11"/>
  <c r="D9"/>
  <c r="E9"/>
  <c r="F9"/>
  <c r="D8"/>
  <c r="E8"/>
  <c r="F8"/>
  <c r="D13"/>
  <c r="D10" i="15"/>
  <c r="D14" i="4"/>
  <c r="D15"/>
  <c r="D12" i="15"/>
  <c r="E13" i="4"/>
  <c r="F13"/>
  <c r="E14"/>
  <c r="F14"/>
  <c r="G14"/>
  <c r="G11" i="15"/>
  <c r="E15" i="4"/>
  <c r="F15"/>
  <c r="K29" i="2"/>
  <c r="K30"/>
  <c r="G3" i="4"/>
  <c r="F3"/>
  <c r="E3"/>
  <c r="D3"/>
  <c r="E12" i="15"/>
  <c r="C12"/>
  <c r="D11"/>
  <c r="E11"/>
  <c r="F11"/>
  <c r="C11"/>
  <c r="E10"/>
  <c r="C10"/>
  <c r="C9"/>
  <c r="D8"/>
  <c r="E8"/>
  <c r="C8"/>
  <c r="C3"/>
  <c r="C2"/>
  <c r="E6" i="18"/>
  <c r="H6"/>
  <c r="L6"/>
  <c r="M6"/>
  <c r="I6"/>
  <c r="J6"/>
  <c r="E7"/>
  <c r="H7"/>
  <c r="L7"/>
  <c r="M7"/>
  <c r="N7"/>
  <c r="E8"/>
  <c r="H8"/>
  <c r="L8"/>
  <c r="M8"/>
  <c r="N8"/>
  <c r="E9"/>
  <c r="H9"/>
  <c r="L9"/>
  <c r="M9"/>
  <c r="N9"/>
  <c r="E10"/>
  <c r="H10"/>
  <c r="L10"/>
  <c r="M10"/>
  <c r="N10"/>
  <c r="E11"/>
  <c r="H11"/>
  <c r="L11"/>
  <c r="M11"/>
  <c r="N11"/>
  <c r="E12"/>
  <c r="H12"/>
  <c r="L12"/>
  <c r="M12"/>
  <c r="N12"/>
  <c r="C13"/>
  <c r="C19"/>
  <c r="E13"/>
  <c r="G13"/>
  <c r="E19"/>
  <c r="K13"/>
  <c r="G19"/>
  <c r="D28" i="16"/>
  <c r="E28"/>
  <c r="F28"/>
  <c r="G28"/>
  <c r="H28"/>
  <c r="C28"/>
  <c r="E8" i="1"/>
  <c r="C13" i="5"/>
  <c r="C12"/>
  <c r="C11"/>
  <c r="C10"/>
  <c r="C9"/>
  <c r="C8"/>
  <c r="C14"/>
  <c r="H5"/>
  <c r="D3" i="15"/>
  <c r="D19" i="18"/>
  <c r="F19"/>
  <c r="C4" i="15"/>
  <c r="C19" s="1"/>
  <c r="D2"/>
  <c r="D4" s="1"/>
  <c r="D19" s="1"/>
  <c r="C11" i="16"/>
  <c r="D11"/>
  <c r="G70" i="2"/>
  <c r="H70"/>
  <c r="D9" i="16"/>
  <c r="H9"/>
  <c r="C9"/>
  <c r="E9"/>
  <c r="G67" i="2"/>
  <c r="H67"/>
  <c r="I67"/>
  <c r="G68"/>
  <c r="G14" i="16"/>
  <c r="F12" i="6"/>
  <c r="D12"/>
  <c r="E20" i="16"/>
  <c r="G12" i="6"/>
  <c r="C12"/>
  <c r="C20" i="16"/>
  <c r="C22"/>
  <c r="D20"/>
  <c r="E12" i="6"/>
  <c r="F20" i="16"/>
  <c r="G20"/>
  <c r="E11" i="1"/>
  <c r="E12" s="1"/>
  <c r="E13" s="1"/>
  <c r="C32" i="16"/>
  <c r="C33"/>
  <c r="D32"/>
  <c r="D33"/>
  <c r="E32"/>
  <c r="E33"/>
  <c r="F32"/>
  <c r="F33"/>
  <c r="G32"/>
  <c r="G33"/>
  <c r="H32"/>
  <c r="H33"/>
  <c r="N6" i="18"/>
  <c r="N13"/>
  <c r="M13"/>
  <c r="F12" i="15"/>
  <c r="G15" i="4"/>
  <c r="G12" i="15"/>
  <c r="B4" i="8"/>
  <c r="B5"/>
  <c r="D9" i="21"/>
  <c r="D9" i="9"/>
  <c r="F10" i="15"/>
  <c r="G13" i="4"/>
  <c r="G10" i="15"/>
  <c r="G8" i="4"/>
  <c r="F2" i="15"/>
  <c r="G9" i="4"/>
  <c r="G2" i="15"/>
  <c r="F8"/>
  <c r="G11" i="4"/>
  <c r="G8" i="15"/>
  <c r="E12" i="4"/>
  <c r="D16"/>
  <c r="D9" i="6"/>
  <c r="D9" i="15"/>
  <c r="C27" i="1"/>
  <c r="C12"/>
  <c r="H11" i="16"/>
  <c r="C14" i="1"/>
  <c r="C29" s="1"/>
  <c r="C33" s="1"/>
  <c r="G11" i="16"/>
  <c r="C30" i="1"/>
  <c r="C15"/>
  <c r="F35" i="2"/>
  <c r="D64"/>
  <c r="E64"/>
  <c r="F64"/>
  <c r="G64"/>
  <c r="H64"/>
  <c r="I64"/>
  <c r="J64"/>
  <c r="K64"/>
  <c r="L64"/>
  <c r="M64"/>
  <c r="E35"/>
  <c r="F33"/>
  <c r="E33"/>
  <c r="G35"/>
  <c r="G37"/>
  <c r="F37"/>
  <c r="D67"/>
  <c r="E70"/>
  <c r="D71"/>
  <c r="D15" i="16"/>
  <c r="E6" i="9"/>
  <c r="F5"/>
  <c r="I12" i="18"/>
  <c r="J12"/>
  <c r="I11"/>
  <c r="J11"/>
  <c r="I10"/>
  <c r="J10"/>
  <c r="I9"/>
  <c r="J9"/>
  <c r="I8"/>
  <c r="J8"/>
  <c r="I7"/>
  <c r="J7"/>
  <c r="J13"/>
  <c r="D89" i="2"/>
  <c r="D16" i="16"/>
  <c r="E73" i="2"/>
  <c r="D16" i="21"/>
  <c r="E16" s="1"/>
  <c r="F16" s="1"/>
  <c r="G16" s="1"/>
  <c r="H16" s="1"/>
  <c r="E12"/>
  <c r="F12"/>
  <c r="G12" s="1"/>
  <c r="H12" s="1"/>
  <c r="C15" i="5"/>
  <c r="I5"/>
  <c r="H68" i="2"/>
  <c r="H14" i="16"/>
  <c r="F9"/>
  <c r="G9"/>
  <c r="F11"/>
  <c r="E11"/>
  <c r="E2" i="15"/>
  <c r="I13" i="18"/>
  <c r="F12"/>
  <c r="F11"/>
  <c r="F10"/>
  <c r="F9"/>
  <c r="F8"/>
  <c r="F7"/>
  <c r="F6"/>
  <c r="I8" i="2"/>
  <c r="H28"/>
  <c r="G56"/>
  <c r="H20" i="16"/>
  <c r="D6" i="9"/>
  <c r="C19" i="1"/>
  <c r="C21" s="1"/>
  <c r="D12" i="9"/>
  <c r="E6" i="21"/>
  <c r="D17" i="18"/>
  <c r="E17"/>
  <c r="D12" i="16"/>
  <c r="F12"/>
  <c r="H12"/>
  <c r="E12"/>
  <c r="G12"/>
  <c r="C12"/>
  <c r="H10"/>
  <c r="C13" i="1"/>
  <c r="C28"/>
  <c r="G10" i="16"/>
  <c r="D10"/>
  <c r="C10"/>
  <c r="C17"/>
  <c r="E10"/>
  <c r="F10"/>
  <c r="G5" i="9"/>
  <c r="E5" i="6"/>
  <c r="E67" i="2"/>
  <c r="D68"/>
  <c r="D14" i="16"/>
  <c r="E9" i="15"/>
  <c r="F12" i="4"/>
  <c r="C17" i="21"/>
  <c r="C32" i="1"/>
  <c r="C7"/>
  <c r="C9" s="1"/>
  <c r="C17" i="9"/>
  <c r="C4" i="16"/>
  <c r="D21"/>
  <c r="D22"/>
  <c r="E12" i="9"/>
  <c r="F12"/>
  <c r="G12" s="1"/>
  <c r="H12" s="1"/>
  <c r="D16"/>
  <c r="E16"/>
  <c r="F16" s="1"/>
  <c r="G16" s="1"/>
  <c r="H16" s="1"/>
  <c r="E21" i="16"/>
  <c r="E22" s="1"/>
  <c r="C18" i="15"/>
  <c r="C20" s="1"/>
  <c r="C21" s="1"/>
  <c r="E89" i="2"/>
  <c r="E16" i="16"/>
  <c r="F73" i="2"/>
  <c r="D18" i="15"/>
  <c r="E71" i="2"/>
  <c r="E15" i="16"/>
  <c r="F70" i="2"/>
  <c r="F71"/>
  <c r="F15" i="16"/>
  <c r="D62" i="2"/>
  <c r="F57"/>
  <c r="B19" i="8"/>
  <c r="B20" s="1"/>
  <c r="E9" i="21"/>
  <c r="E9" i="9"/>
  <c r="G57" i="2"/>
  <c r="F13" i="18"/>
  <c r="C17"/>
  <c r="E16" i="4"/>
  <c r="E9" i="6"/>
  <c r="C16" i="1"/>
  <c r="C16" i="5"/>
  <c r="J5"/>
  <c r="F17" i="18"/>
  <c r="F21" s="1"/>
  <c r="F20"/>
  <c r="F22"/>
  <c r="F9" i="9"/>
  <c r="F9" i="21"/>
  <c r="C18" i="18"/>
  <c r="C22"/>
  <c r="C21"/>
  <c r="C20"/>
  <c r="C23"/>
  <c r="F11" i="9"/>
  <c r="F15" s="1"/>
  <c r="G11" i="6"/>
  <c r="H11" i="21"/>
  <c r="H15" s="1"/>
  <c r="D11"/>
  <c r="G11"/>
  <c r="G15" s="1"/>
  <c r="F11"/>
  <c r="F15" s="1"/>
  <c r="E11"/>
  <c r="E15" s="1"/>
  <c r="E11" i="9"/>
  <c r="E15" s="1"/>
  <c r="D11"/>
  <c r="G11"/>
  <c r="G15" s="1"/>
  <c r="H11"/>
  <c r="H15"/>
  <c r="F11" i="6"/>
  <c r="D11"/>
  <c r="D13"/>
  <c r="D15" s="1"/>
  <c r="E11"/>
  <c r="C11"/>
  <c r="C13" s="1"/>
  <c r="C15" s="1"/>
  <c r="C17" s="1"/>
  <c r="C19" s="1"/>
  <c r="C21" s="1"/>
  <c r="D44" i="16" s="1"/>
  <c r="C6"/>
  <c r="C23" s="1"/>
  <c r="F67" i="2"/>
  <c r="F68"/>
  <c r="F14" i="16"/>
  <c r="E68" i="2"/>
  <c r="E14" i="16"/>
  <c r="H5" i="9"/>
  <c r="G5" i="6" s="1"/>
  <c r="F5"/>
  <c r="D18" i="18"/>
  <c r="D23" s="1"/>
  <c r="D21"/>
  <c r="D20"/>
  <c r="D22"/>
  <c r="E62" i="2"/>
  <c r="D65"/>
  <c r="D13" i="16"/>
  <c r="G73" i="2"/>
  <c r="F89"/>
  <c r="F16" i="16"/>
  <c r="G12" i="4"/>
  <c r="F9" i="15"/>
  <c r="F16" i="4"/>
  <c r="F9" i="6"/>
  <c r="E18" i="18"/>
  <c r="E21"/>
  <c r="E22"/>
  <c r="E20"/>
  <c r="E23" s="1"/>
  <c r="F21" i="16"/>
  <c r="C17" i="5"/>
  <c r="K5"/>
  <c r="E13" i="9"/>
  <c r="E14" s="1"/>
  <c r="D17" i="16"/>
  <c r="G18" i="9"/>
  <c r="G18" i="21"/>
  <c r="G9"/>
  <c r="G9" i="9"/>
  <c r="G9" i="15"/>
  <c r="G16" i="4"/>
  <c r="G9" i="6"/>
  <c r="G89" i="2"/>
  <c r="G16" i="16"/>
  <c r="H73" i="2"/>
  <c r="F62"/>
  <c r="E65"/>
  <c r="E13" i="16"/>
  <c r="E17"/>
  <c r="D15" i="9"/>
  <c r="D13"/>
  <c r="D14" s="1"/>
  <c r="C3" i="17" s="1"/>
  <c r="C18" i="5"/>
  <c r="L5"/>
  <c r="G17" i="18"/>
  <c r="F22" i="16"/>
  <c r="G21"/>
  <c r="G22" s="1"/>
  <c r="D15" i="21"/>
  <c r="D13"/>
  <c r="D14" s="1"/>
  <c r="H21" i="16"/>
  <c r="H22" s="1"/>
  <c r="I73" i="2"/>
  <c r="H89"/>
  <c r="H16" i="16"/>
  <c r="H9" i="21"/>
  <c r="H9" i="9"/>
  <c r="G18" i="18"/>
  <c r="G21"/>
  <c r="G20"/>
  <c r="G22"/>
  <c r="G23" s="1"/>
  <c r="G62" i="2"/>
  <c r="F65"/>
  <c r="F13" i="16"/>
  <c r="F17"/>
  <c r="H62" i="2"/>
  <c r="G65"/>
  <c r="G13" i="16"/>
  <c r="G17"/>
  <c r="I89" i="2"/>
  <c r="J73"/>
  <c r="K73"/>
  <c r="J89"/>
  <c r="I62"/>
  <c r="H65"/>
  <c r="H13" i="16"/>
  <c r="H17"/>
  <c r="J62" i="2"/>
  <c r="I65"/>
  <c r="K89"/>
  <c r="L73"/>
  <c r="M73"/>
  <c r="M89"/>
  <c r="L89"/>
  <c r="K62"/>
  <c r="J65"/>
  <c r="L62"/>
  <c r="K65"/>
  <c r="M62"/>
  <c r="M65"/>
  <c r="L65"/>
  <c r="G4" i="9" l="1"/>
  <c r="E4" i="6"/>
  <c r="F6" i="9"/>
  <c r="E18" i="15" s="1"/>
  <c r="C19" i="21"/>
  <c r="C22" s="1"/>
  <c r="C19" i="9"/>
  <c r="C22" s="1"/>
  <c r="F18" i="18"/>
  <c r="E6" i="6"/>
  <c r="E13" s="1"/>
  <c r="E15" s="1"/>
  <c r="D20" i="15"/>
  <c r="D21" s="1"/>
  <c r="G13"/>
  <c r="G22" s="1"/>
  <c r="E13"/>
  <c r="E22" s="1"/>
  <c r="F23" i="18"/>
  <c r="C13" i="15"/>
  <c r="C22" s="1"/>
  <c r="F13"/>
  <c r="F22" s="1"/>
  <c r="D13"/>
  <c r="D22" s="1"/>
  <c r="B8" i="23"/>
  <c r="D16" i="6"/>
  <c r="D17" s="1"/>
  <c r="E16"/>
  <c r="E17" s="1"/>
  <c r="F10"/>
  <c r="E3" i="15"/>
  <c r="E4" s="1"/>
  <c r="E19" s="1"/>
  <c r="F10" i="21"/>
  <c r="F13" s="1"/>
  <c r="F10" i="9"/>
  <c r="F13" s="1"/>
  <c r="F14" s="1"/>
  <c r="G4" i="21"/>
  <c r="F6"/>
  <c r="F14" s="1"/>
  <c r="F20" s="1"/>
  <c r="F22" s="1"/>
  <c r="E20" i="15"/>
  <c r="E21" s="1"/>
  <c r="C23" i="1"/>
  <c r="E17" s="1"/>
  <c r="E23" i="15"/>
  <c r="D3" i="17"/>
  <c r="E20" i="9"/>
  <c r="E22" s="1"/>
  <c r="D8" i="23" s="1"/>
  <c r="D10" s="1"/>
  <c r="D37" i="16"/>
  <c r="D4"/>
  <c r="D17" i="9"/>
  <c r="D17" i="21"/>
  <c r="H17" s="1"/>
  <c r="C23" i="15"/>
  <c r="D23"/>
  <c r="E10" i="21"/>
  <c r="E13" s="1"/>
  <c r="E14" s="1"/>
  <c r="E20" s="1"/>
  <c r="E22" s="1"/>
  <c r="C2" i="17"/>
  <c r="H4" i="9" l="1"/>
  <c r="G6"/>
  <c r="F18" i="15" s="1"/>
  <c r="F4" i="6"/>
  <c r="F6" s="1"/>
  <c r="D20" i="21"/>
  <c r="D22" s="1"/>
  <c r="D18" i="6"/>
  <c r="D19" s="1"/>
  <c r="D20" i="9"/>
  <c r="D22" s="1"/>
  <c r="H17"/>
  <c r="G36" i="16"/>
  <c r="E36"/>
  <c r="H36"/>
  <c r="F36"/>
  <c r="E21" i="1"/>
  <c r="E23" s="1"/>
  <c r="C36" i="16"/>
  <c r="C38" s="1"/>
  <c r="C39" s="1"/>
  <c r="C41" s="1"/>
  <c r="D36"/>
  <c r="D38" s="1"/>
  <c r="D39" s="1"/>
  <c r="E2" i="17"/>
  <c r="F20" i="9"/>
  <c r="F22" s="1"/>
  <c r="E8" i="23" s="1"/>
  <c r="E10" s="1"/>
  <c r="E3" i="17"/>
  <c r="E19" i="6"/>
  <c r="E18"/>
  <c r="D6" i="16"/>
  <c r="D23" s="1"/>
  <c r="D41" s="1"/>
  <c r="H4" i="21"/>
  <c r="H6" s="1"/>
  <c r="G6"/>
  <c r="G10" i="9"/>
  <c r="G13" s="1"/>
  <c r="G14" s="1"/>
  <c r="F3" i="15"/>
  <c r="F4" s="1"/>
  <c r="F19" s="1"/>
  <c r="F20" s="1"/>
  <c r="F21" s="1"/>
  <c r="F23" s="1"/>
  <c r="G10" i="21"/>
  <c r="G13" s="1"/>
  <c r="G10" i="6"/>
  <c r="F13"/>
  <c r="F15" s="1"/>
  <c r="D2" i="17"/>
  <c r="H6" i="9" l="1"/>
  <c r="G18" i="15" s="1"/>
  <c r="G4" i="6"/>
  <c r="G6" s="1"/>
  <c r="D20"/>
  <c r="D21" s="1"/>
  <c r="E44" i="16" s="1"/>
  <c r="F16" i="6"/>
  <c r="F17" s="1"/>
  <c r="G20" i="9"/>
  <c r="G22" s="1"/>
  <c r="F8" i="23" s="1"/>
  <c r="F10" s="1"/>
  <c r="F3" i="17"/>
  <c r="F2"/>
  <c r="E20" i="6"/>
  <c r="E21"/>
  <c r="F44" i="16" s="1"/>
  <c r="C8" i="23"/>
  <c r="C10" s="1"/>
  <c r="C11" s="1"/>
  <c r="D11" s="1"/>
  <c r="E11" s="1"/>
  <c r="F11" s="1"/>
  <c r="H10" i="21"/>
  <c r="H13" s="1"/>
  <c r="G3" i="15"/>
  <c r="G4" s="1"/>
  <c r="G19" s="1"/>
  <c r="G20" s="1"/>
  <c r="G21" s="1"/>
  <c r="G23" s="1"/>
  <c r="H10" i="9"/>
  <c r="H13" s="1"/>
  <c r="H14" s="1"/>
  <c r="G13" i="6"/>
  <c r="G15" s="1"/>
  <c r="H14" i="21"/>
  <c r="H20" s="1"/>
  <c r="H21" s="1"/>
  <c r="H22" s="1"/>
  <c r="G14"/>
  <c r="G20" s="1"/>
  <c r="G22" s="1"/>
  <c r="E37" i="16" l="1"/>
  <c r="E4"/>
  <c r="F18" i="6"/>
  <c r="F19" s="1"/>
  <c r="G3" i="17"/>
  <c r="H20" i="9"/>
  <c r="G2" i="17"/>
  <c r="C26" i="21"/>
  <c r="C24"/>
  <c r="G17" i="6"/>
  <c r="G16"/>
  <c r="E15" i="23"/>
  <c r="F20" i="6" l="1"/>
  <c r="F21" s="1"/>
  <c r="G44" i="16" s="1"/>
  <c r="G18" i="6"/>
  <c r="G19" s="1"/>
  <c r="F37" i="16"/>
  <c r="E38"/>
  <c r="E39" s="1"/>
  <c r="H21" i="9"/>
  <c r="H22" s="1"/>
  <c r="F4" i="16"/>
  <c r="E6"/>
  <c r="E23" s="1"/>
  <c r="E41" s="1"/>
  <c r="G8" i="23" l="1"/>
  <c r="G10" s="1"/>
  <c r="C24" i="9"/>
  <c r="C26"/>
  <c r="G20" i="6"/>
  <c r="G21" s="1"/>
  <c r="H44" i="16" s="1"/>
  <c r="G37"/>
  <c r="F38"/>
  <c r="F39" s="1"/>
  <c r="F6"/>
  <c r="F23" s="1"/>
  <c r="G4"/>
  <c r="E14" i="23" l="1"/>
  <c r="G15" s="1"/>
  <c r="G11"/>
  <c r="G6" i="16"/>
  <c r="G23" s="1"/>
  <c r="H4"/>
  <c r="H6" s="1"/>
  <c r="H23" s="1"/>
  <c r="H37"/>
  <c r="H38" s="1"/>
  <c r="H39" s="1"/>
  <c r="G38"/>
  <c r="G39" s="1"/>
  <c r="F41"/>
  <c r="G41" l="1"/>
  <c r="H41"/>
</calcChain>
</file>

<file path=xl/sharedStrings.xml><?xml version="1.0" encoding="utf-8"?>
<sst xmlns="http://schemas.openxmlformats.org/spreadsheetml/2006/main" count="420" uniqueCount="271">
  <si>
    <t>Activo</t>
  </si>
  <si>
    <t>Activo Circulante</t>
  </si>
  <si>
    <t>Caja y Bancos</t>
  </si>
  <si>
    <t xml:space="preserve">Cuentas Por Cobrar </t>
  </si>
  <si>
    <t xml:space="preserve">Total Activo Circulante </t>
  </si>
  <si>
    <t>Activo Fijo</t>
  </si>
  <si>
    <t>Equipos de Oficina</t>
  </si>
  <si>
    <t>Activo Diferido</t>
  </si>
  <si>
    <t>Total</t>
  </si>
  <si>
    <t>Total Activo</t>
  </si>
  <si>
    <t>Total Activo Fijo</t>
  </si>
  <si>
    <t>Total Activo Diferido</t>
  </si>
  <si>
    <t>Pasivo</t>
  </si>
  <si>
    <t>Pasivo Circulante</t>
  </si>
  <si>
    <t>Cuentas Por Pagar</t>
  </si>
  <si>
    <t>Total Pasivo Circulante</t>
  </si>
  <si>
    <t>Pasivo a Largo Plazo</t>
  </si>
  <si>
    <t>Documentos Por Pagar</t>
  </si>
  <si>
    <t>Total Pasivo a Largo Plazo</t>
  </si>
  <si>
    <t>Capital</t>
  </si>
  <si>
    <t>Capital Social-Participaciones</t>
  </si>
  <si>
    <t xml:space="preserve">Utilidad Acumulada </t>
  </si>
  <si>
    <t>Utilidad Neta</t>
  </si>
  <si>
    <t>Total Capital</t>
  </si>
  <si>
    <t>Total Pasivo y Capital</t>
  </si>
  <si>
    <t xml:space="preserve">Total Pasivo </t>
  </si>
  <si>
    <t>MUEBLES DE OFICINA</t>
  </si>
  <si>
    <t>VALOR
 TOTAL</t>
  </si>
  <si>
    <t>ESCRITORIOS  1,70 X 0,60, CON PORTATECLADO</t>
  </si>
  <si>
    <t xml:space="preserve">SILLAS MODELO GRAFITTI </t>
  </si>
  <si>
    <t>TACHOS DE BASURA METAL NEGRO</t>
  </si>
  <si>
    <t>EQUIPOS DE COMPUTACIÓN</t>
  </si>
  <si>
    <t>COMPUTADORAS INTEL 1,8GHZ, MEMORY RAM 2GB, DISCO 160GB,MONITOR 17" LICENCIA WINDOWS VISTA</t>
  </si>
  <si>
    <t>EQUIPO TELECOMUNICACIONES</t>
  </si>
  <si>
    <t>TELEFONOS SENCILLOS PANASONIC</t>
  </si>
  <si>
    <t>TOTAL</t>
  </si>
  <si>
    <t>IVA</t>
  </si>
  <si>
    <t>GASTOS DE CONSTITUCIÓN</t>
  </si>
  <si>
    <t>Valor USD</t>
  </si>
  <si>
    <t xml:space="preserve">PERSONAL </t>
  </si>
  <si>
    <t>CANTIDAD</t>
  </si>
  <si>
    <t>MENSUAL</t>
  </si>
  <si>
    <t>TOTAL 
MENSUAL</t>
  </si>
  <si>
    <t>ANUAL</t>
  </si>
  <si>
    <t>TOTALES</t>
  </si>
  <si>
    <t>Gastos de Administraciòn</t>
  </si>
  <si>
    <t>Sueldos y Salarios</t>
  </si>
  <si>
    <t>Suministros de Oficina</t>
  </si>
  <si>
    <t xml:space="preserve">Luz </t>
  </si>
  <si>
    <t>Agua</t>
  </si>
  <si>
    <t>Ventas</t>
  </si>
  <si>
    <t>% Inflacion Anual</t>
  </si>
  <si>
    <t>Años</t>
  </si>
  <si>
    <t>Proyecciones de Crecimiento</t>
  </si>
  <si>
    <t>Ingresos</t>
  </si>
  <si>
    <t>Total Ventas</t>
  </si>
  <si>
    <t>Gastos</t>
  </si>
  <si>
    <t>Depreciaciòn</t>
  </si>
  <si>
    <t>Pago de Intereses</t>
  </si>
  <si>
    <t>Total Gastos</t>
  </si>
  <si>
    <t>(-) 15% Participaciòn Laboral</t>
  </si>
  <si>
    <t>(=)Utilidad Antes de Impuestos</t>
  </si>
  <si>
    <t>Gastos De Publicidad</t>
  </si>
  <si>
    <t>Utilidad Antes de Participaciòn Laboral</t>
  </si>
  <si>
    <t>Utilidad Antes de Reserva Legal</t>
  </si>
  <si>
    <t xml:space="preserve">(-) 10% Reserva Legal </t>
  </si>
  <si>
    <t>Equipo de Telecomunicaciones</t>
  </si>
  <si>
    <t>Capital de Trabajo</t>
  </si>
  <si>
    <t>Recursos Propios</t>
  </si>
  <si>
    <t>$</t>
  </si>
  <si>
    <t>Periodo de desfase</t>
  </si>
  <si>
    <t>dias</t>
  </si>
  <si>
    <t>Método del período de desfase(*)</t>
  </si>
  <si>
    <r>
      <t>Donde ICT</t>
    </r>
    <r>
      <rPr>
        <vertAlign val="subscript"/>
        <sz val="12"/>
        <color indexed="8"/>
        <rFont val="Tahoma"/>
        <family val="2"/>
      </rPr>
      <t>0</t>
    </r>
    <r>
      <rPr>
        <sz val="12"/>
        <color indexed="8"/>
        <rFont val="Tahoma"/>
        <family val="2"/>
      </rPr>
      <t xml:space="preserve"> es el monto de la inversión en capital de trabajo inicial, Ca</t>
    </r>
    <r>
      <rPr>
        <vertAlign val="subscript"/>
        <sz val="12"/>
        <color indexed="8"/>
        <rFont val="Tahoma"/>
        <family val="2"/>
      </rPr>
      <t>1</t>
    </r>
    <r>
      <rPr>
        <sz val="12"/>
        <color indexed="8"/>
        <rFont val="Tahoma"/>
        <family val="2"/>
      </rPr>
      <t xml:space="preserve"> es el costo anual proyectado para el primer año de operación y n el número de días de desfase entre la ocurrencia de los egresos y la generación de los ingresos.</t>
    </r>
  </si>
  <si>
    <t>(*)Calcula la inversión en capital de trabajo como la cantidad de recursos necesarios para financiar los costos de operación desde que se inician los desembolsos y hasta que se recuperan. Para ello, toma el costo promedio diario y lo multiplica por el número de días estimados de desfase:</t>
  </si>
  <si>
    <t>Costo Anual Proyectado</t>
  </si>
  <si>
    <t>ICT</t>
  </si>
  <si>
    <t>Transporte y Movilización</t>
  </si>
  <si>
    <t>Inversión Inicial</t>
  </si>
  <si>
    <t>Valor de Salvamento</t>
  </si>
  <si>
    <t>Valor de Empresa 5 años</t>
  </si>
  <si>
    <t>VAN</t>
  </si>
  <si>
    <t>Costo Total</t>
  </si>
  <si>
    <t>Costo
Unitario</t>
  </si>
  <si>
    <t>Unidades</t>
  </si>
  <si>
    <t>Inversión Muebles de Oficina, Equipos de Computación y Telecomunicaciones</t>
  </si>
  <si>
    <t>Equipos de Computación</t>
  </si>
  <si>
    <t>Gastos de Constitución</t>
  </si>
  <si>
    <t xml:space="preserve">Teléfono </t>
  </si>
  <si>
    <t>Calculo de tasa de impuesto a la renta</t>
  </si>
  <si>
    <t>Política de reinversión</t>
  </si>
  <si>
    <t>Pago de dividendos a accionistas</t>
  </si>
  <si>
    <t>Reinversión</t>
  </si>
  <si>
    <t>Tasa de impuesto a la renta</t>
  </si>
  <si>
    <t>Tasa Impositiva</t>
  </si>
  <si>
    <t>(-) 20% Impuesto Renta</t>
  </si>
  <si>
    <t>Política de Financiamiento</t>
  </si>
  <si>
    <t>AÑO 1</t>
  </si>
  <si>
    <t>AÑO 2</t>
  </si>
  <si>
    <t>AAA</t>
  </si>
  <si>
    <t>Tiempo que toma entre firmar el acuerdo e iniciar proceso de análisis</t>
  </si>
  <si>
    <t>Ingresos Totales</t>
  </si>
  <si>
    <t>Contribución Marginal Total</t>
  </si>
  <si>
    <t>Costos Fijos</t>
  </si>
  <si>
    <t>Costos Variables* Totales</t>
  </si>
  <si>
    <t>*Sueldos y Salarios</t>
  </si>
  <si>
    <t>*Suministros de Oficina</t>
  </si>
  <si>
    <t>AÑO 4 y AÑO 5</t>
  </si>
  <si>
    <t>AÑO 2 y AÑO 3</t>
  </si>
  <si>
    <t>*Costos Variables</t>
  </si>
  <si>
    <t>Año</t>
  </si>
  <si>
    <t>DETALLE</t>
  </si>
  <si>
    <t>AÑO</t>
  </si>
  <si>
    <t>Standard &amp; Poors-Ecuador</t>
  </si>
  <si>
    <t>Depreciación 
Anual</t>
  </si>
  <si>
    <t>Total Depreciación Anual</t>
  </si>
  <si>
    <t xml:space="preserve">Balance de Situación Inicial </t>
  </si>
  <si>
    <t>(Expresado en Dólares)</t>
  </si>
  <si>
    <t>*Variables</t>
  </si>
  <si>
    <t>Detalle</t>
  </si>
  <si>
    <t>Valor 
Total</t>
  </si>
  <si>
    <t>Amortización</t>
  </si>
  <si>
    <t>COMPUTADORAS INTEL 1,8GHZ, MEMORY RAM 2GB, DISCO 160GB, MONITOR 17" LICENCIA WINDOWS VISTA</t>
  </si>
  <si>
    <t>Flujo Neto 
de Efectivo</t>
  </si>
  <si>
    <t>Inversión en Equipos
 de Computación</t>
  </si>
  <si>
    <t>Gastos de Administración</t>
  </si>
  <si>
    <t>Depreciación</t>
  </si>
  <si>
    <t>(+) Depreciación</t>
  </si>
  <si>
    <t>(+) Amortización</t>
  </si>
  <si>
    <t>FECHA DE VALORACION</t>
  </si>
  <si>
    <t xml:space="preserve"> </t>
  </si>
  <si>
    <t>CALIF.</t>
  </si>
  <si>
    <t>EMISOR</t>
  </si>
  <si>
    <t>TITULO</t>
  </si>
  <si>
    <t>Valor Nominal</t>
  </si>
  <si>
    <t>FECHA EMISIÓN</t>
  </si>
  <si>
    <t>FECHA VENCIMIENTO</t>
  </si>
  <si>
    <t>PLAZO POR VENCER</t>
  </si>
  <si>
    <t>años</t>
  </si>
  <si>
    <t>TASA INTERES CUPÓN VIGENTE</t>
  </si>
  <si>
    <t>FORMA DE REAJUSTE DE INTERES</t>
  </si>
  <si>
    <t>TASA DE REFERENCIA</t>
  </si>
  <si>
    <t>MARGEN</t>
  </si>
  <si>
    <t>TASA DE DESCUENTO</t>
  </si>
  <si>
    <t>RENDIMIENTO EQUIVALENTE</t>
  </si>
  <si>
    <t>BCO. BOLIVARIANO</t>
  </si>
  <si>
    <t>OCAS</t>
  </si>
  <si>
    <t>LIBOR BLOMBERG 180 + 2.5%</t>
  </si>
  <si>
    <t>BCO. DE GUAYAQUIL</t>
  </si>
  <si>
    <t>LIBOR BLOOMBERG 180 + 3%</t>
  </si>
  <si>
    <t>TPR BCE + 3%</t>
  </si>
  <si>
    <t>TPR BCE + 2.5%</t>
  </si>
  <si>
    <t>TPR BCE + 2.0%</t>
  </si>
  <si>
    <t>TPR BCE + 3.0%</t>
  </si>
  <si>
    <t>AA</t>
  </si>
  <si>
    <t>CORPORACION MULTI BG</t>
  </si>
  <si>
    <t>OBL</t>
  </si>
  <si>
    <t>tasa descuento</t>
  </si>
  <si>
    <t>(-) Amortización Acumulada</t>
  </si>
  <si>
    <t>% Depreciación</t>
  </si>
  <si>
    <t>Inicial</t>
  </si>
  <si>
    <t>Razón de Rentabilidad</t>
  </si>
  <si>
    <t>Utilidad Neta / Capital</t>
  </si>
  <si>
    <t>por cada $ invertido por los accionistas se genera una utilidad $5.93 por cada uno de ellos.</t>
  </si>
  <si>
    <t>Rentabilidad sobre el 
capital invertido (ROE)</t>
  </si>
  <si>
    <t>% ptos base por riesgo pais</t>
  </si>
  <si>
    <t>Sueldo</t>
  </si>
  <si>
    <t>Décimo tercero</t>
  </si>
  <si>
    <t>Décimo cuarto</t>
  </si>
  <si>
    <t>Vacaciones</t>
  </si>
  <si>
    <t>Aporte Patronal</t>
  </si>
  <si>
    <t>Año 1</t>
  </si>
  <si>
    <t>Año 2</t>
  </si>
  <si>
    <t>Año 3</t>
  </si>
  <si>
    <t>Año 4</t>
  </si>
  <si>
    <t>Año 5</t>
  </si>
  <si>
    <t>Suman</t>
  </si>
  <si>
    <t>Fondo de reserva</t>
  </si>
  <si>
    <t>Pto Equilibrio $$</t>
  </si>
  <si>
    <t>Inflacion</t>
  </si>
  <si>
    <t>Crecimiento Empresa</t>
  </si>
  <si>
    <t xml:space="preserve">GASTOS DE ADMINISTRACIÓN ANUALES </t>
  </si>
  <si>
    <t>Costos Variables</t>
  </si>
  <si>
    <t>*Gastos De Publicidad</t>
  </si>
  <si>
    <t>Calculo del Punto de Equilibrio</t>
  </si>
  <si>
    <t xml:space="preserve">Gastos de Publicidad </t>
  </si>
  <si>
    <t>AÑO3</t>
  </si>
  <si>
    <t>GASTOS POR SUELDO DE PERSONAL( SIN CONSIDERAR INFLACION)</t>
  </si>
  <si>
    <t>Margen de Utilidad sobre ventas</t>
  </si>
  <si>
    <t>Utilidad Neta/Ventas</t>
  </si>
  <si>
    <t>por cada $ en ventas  se genera una utilidad $ por cada uno de ellos.</t>
  </si>
  <si>
    <t>Total Patrimonio</t>
  </si>
  <si>
    <t>Utilidad Acumulada/Perdida</t>
  </si>
  <si>
    <t xml:space="preserve"> (-) Depreciación Acumulada Muebles de Oficina</t>
  </si>
  <si>
    <t>(-) Depreciaciòn Acumulada  de Equipos de Telecomunicaciones</t>
  </si>
  <si>
    <t xml:space="preserve">AÑO 4 </t>
  </si>
  <si>
    <t xml:space="preserve">AÑO 5 </t>
  </si>
  <si>
    <t>AÑO 6</t>
  </si>
  <si>
    <t>AÑO 7</t>
  </si>
  <si>
    <t>AÑO 8</t>
  </si>
  <si>
    <t>AÑO 9</t>
  </si>
  <si>
    <t>AÑO 10</t>
  </si>
  <si>
    <t>Depreciaciòn Acumulada</t>
  </si>
  <si>
    <t>(-) Depreciaciòn Acumulada  de Equipos de Computaciòn</t>
  </si>
  <si>
    <t>Utilidad Operativa</t>
  </si>
  <si>
    <t>Promedio ponderado de porcentaje de contribuciòn Marginal</t>
  </si>
  <si>
    <t>Materiales y limpieza</t>
  </si>
  <si>
    <t>TV Cable/Internet</t>
  </si>
  <si>
    <t>Dirección Técnica</t>
  </si>
  <si>
    <t>Planos y maqueta</t>
  </si>
  <si>
    <t>Impuestos, tasas y permiso</t>
  </si>
  <si>
    <t>Materiales de construcción</t>
  </si>
  <si>
    <t>Otros Ingresos</t>
  </si>
  <si>
    <t>Alimentos</t>
  </si>
  <si>
    <t>Habitación</t>
  </si>
  <si>
    <t>Alimentación</t>
  </si>
  <si>
    <t>Lavandería</t>
  </si>
  <si>
    <t>Precio Servicio</t>
  </si>
  <si>
    <t>Número de personas</t>
  </si>
  <si>
    <t>Costo mensual</t>
  </si>
  <si>
    <t>Total Mensual</t>
  </si>
  <si>
    <t>Total Anual</t>
  </si>
  <si>
    <t>Otros ingresos</t>
  </si>
  <si>
    <t>Materiales de limpieza</t>
  </si>
  <si>
    <t>Cable/Internet</t>
  </si>
  <si>
    <t>OTROS ACTIVOS</t>
  </si>
  <si>
    <t>CAMAS DE PLAZA Y MEDIA</t>
  </si>
  <si>
    <t>CAMAS DE DOS PLAZA</t>
  </si>
  <si>
    <t>SOFAS</t>
  </si>
  <si>
    <t>ASPIRADORA</t>
  </si>
  <si>
    <t>TELEVISORES</t>
  </si>
  <si>
    <t>AIRES ACONDICIONADOS</t>
  </si>
  <si>
    <t>ROPEROS</t>
  </si>
  <si>
    <t>JUEGOS DE COMEDOR</t>
  </si>
  <si>
    <t>DISPENSADOR DE AGUA</t>
  </si>
  <si>
    <t>REFRIGERADORA</t>
  </si>
  <si>
    <t>OLLA ARROCERA</t>
  </si>
  <si>
    <t>COCINA</t>
  </si>
  <si>
    <t>LAVADORA</t>
  </si>
  <si>
    <t>SECADORA</t>
  </si>
  <si>
    <t>TOSTADORA</t>
  </si>
  <si>
    <t>MICROONDAS</t>
  </si>
  <si>
    <t>1- 5 año</t>
  </si>
  <si>
    <t>Otros Activos</t>
  </si>
  <si>
    <t>Gastos de constitución</t>
  </si>
  <si>
    <t>Otros activos</t>
  </si>
  <si>
    <t>Administrador</t>
  </si>
  <si>
    <t>Ayudantes lavandería</t>
  </si>
  <si>
    <t>Supervisor cocina</t>
  </si>
  <si>
    <t>Ayudantes cocina</t>
  </si>
  <si>
    <t>Ayudantes limpieza</t>
  </si>
  <si>
    <t>Bodeguero</t>
  </si>
  <si>
    <t>Recepcionista</t>
  </si>
  <si>
    <t>(-) Depreciaciòn Acumulada  de Activos Fijos</t>
  </si>
  <si>
    <t>TIR</t>
  </si>
  <si>
    <t>Otros activos fijos (*)</t>
  </si>
  <si>
    <t>(*) Ver anexo</t>
  </si>
  <si>
    <t>Nivel de Ventas</t>
  </si>
  <si>
    <t xml:space="preserve">PESIMISTA </t>
  </si>
  <si>
    <t>NORMAL</t>
  </si>
  <si>
    <t>OPTIMISTA</t>
  </si>
  <si>
    <t>Tasa de descuento</t>
  </si>
  <si>
    <t>PAYBACK</t>
  </si>
  <si>
    <t xml:space="preserve">Inversión </t>
  </si>
  <si>
    <t>Flujo de Caja</t>
  </si>
  <si>
    <t>VP</t>
  </si>
  <si>
    <t>x</t>
  </si>
  <si>
    <t>Perído de recuperación</t>
  </si>
  <si>
    <t>tasa descto</t>
  </si>
  <si>
    <t>meses</t>
  </si>
  <si>
    <t>4 años 5 mes</t>
  </si>
</sst>
</file>

<file path=xl/styles.xml><?xml version="1.0" encoding="utf-8"?>
<styleSheet xmlns="http://schemas.openxmlformats.org/spreadsheetml/2006/main">
  <numFmts count="10">
    <numFmt numFmtId="165" formatCode="&quot;$&quot;\ #,##0;[Red]&quot;$&quot;\ \-#,##0"/>
    <numFmt numFmtId="167" formatCode="&quot;$&quot;\ #,##0.00;[Red]&quot;$&quot;\ \-#,##0.00"/>
    <numFmt numFmtId="171" formatCode="_ * #,##0.00_ ;_ * \-#,##0.00_ ;_ * &quot;-&quot;??_ ;_ @_ "/>
    <numFmt numFmtId="179" formatCode="_-* #,##0.00\ _€_-;\-* #,##0.00\ _€_-;_-* &quot;-&quot;??\ _€_-;_-@_-"/>
    <numFmt numFmtId="180" formatCode="&quot;$&quot;\ #,##0.00"/>
    <numFmt numFmtId="191" formatCode="0.0%"/>
    <numFmt numFmtId="197" formatCode="_ * #,##0_ ;_ * \-#,##0_ ;_ * &quot;-&quot;??_ ;_ @_ "/>
    <numFmt numFmtId="198" formatCode="0.0000%"/>
    <numFmt numFmtId="199" formatCode="0.000%"/>
    <numFmt numFmtId="210" formatCode="&quot;$&quot;\ #,##0.0000"/>
  </numFmts>
  <fonts count="49"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vertAlign val="subscript"/>
      <sz val="12"/>
      <color indexed="8"/>
      <name val="Tahoma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7"/>
      <color indexed="8"/>
      <name val="Times New Roman"/>
      <family val="1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8"/>
      <name val="Tahoma"/>
      <family val="2"/>
    </font>
    <font>
      <b/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</cellStyleXfs>
  <cellXfs count="49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" fontId="6" fillId="2" borderId="1" xfId="2" applyNumberFormat="1" applyFont="1" applyFill="1" applyBorder="1" applyAlignment="1">
      <alignment horizontal="center" wrapText="1"/>
    </xf>
    <xf numFmtId="1" fontId="6" fillId="2" borderId="2" xfId="2" applyNumberFormat="1" applyFont="1" applyFill="1" applyBorder="1" applyAlignment="1">
      <alignment horizontal="center" wrapText="1"/>
    </xf>
    <xf numFmtId="1" fontId="10" fillId="2" borderId="3" xfId="3" applyNumberFormat="1" applyFont="1" applyFill="1" applyBorder="1" applyAlignment="1">
      <alignment horizontal="center" wrapText="1"/>
    </xf>
    <xf numFmtId="1" fontId="6" fillId="2" borderId="4" xfId="2" applyNumberFormat="1" applyFont="1" applyFill="1" applyBorder="1" applyAlignment="1">
      <alignment horizontal="center" wrapText="1"/>
    </xf>
    <xf numFmtId="4" fontId="6" fillId="2" borderId="1" xfId="2" applyNumberFormat="1" applyFont="1" applyFill="1" applyBorder="1" applyAlignment="1">
      <alignment horizontal="center" wrapText="1"/>
    </xf>
    <xf numFmtId="4" fontId="6" fillId="2" borderId="2" xfId="2" applyNumberFormat="1" applyFont="1" applyFill="1" applyBorder="1" applyAlignment="1">
      <alignment horizontal="center" wrapText="1"/>
    </xf>
    <xf numFmtId="4" fontId="6" fillId="2" borderId="3" xfId="2" applyNumberFormat="1" applyFont="1" applyFill="1" applyBorder="1" applyAlignment="1">
      <alignment horizontal="center" wrapText="1"/>
    </xf>
    <xf numFmtId="4" fontId="6" fillId="2" borderId="4" xfId="2" applyNumberFormat="1" applyFont="1" applyFill="1" applyBorder="1" applyAlignment="1">
      <alignment horizontal="center" wrapText="1"/>
    </xf>
    <xf numFmtId="4" fontId="0" fillId="0" borderId="0" xfId="0" applyNumberFormat="1"/>
    <xf numFmtId="0" fontId="5" fillId="3" borderId="1" xfId="4" applyFont="1" applyFill="1" applyBorder="1" applyAlignment="1">
      <alignment horizontal="center"/>
    </xf>
    <xf numFmtId="0" fontId="10" fillId="3" borderId="5" xfId="3" applyFont="1" applyFill="1" applyBorder="1" applyAlignment="1">
      <alignment horizontal="center"/>
    </xf>
    <xf numFmtId="0" fontId="10" fillId="3" borderId="5" xfId="3" applyFont="1" applyFill="1" applyBorder="1" applyAlignment="1">
      <alignment horizontal="center" wrapText="1"/>
    </xf>
    <xf numFmtId="0" fontId="10" fillId="3" borderId="6" xfId="3" applyFont="1" applyFill="1" applyBorder="1" applyAlignment="1">
      <alignment horizontal="center" wrapText="1"/>
    </xf>
    <xf numFmtId="4" fontId="6" fillId="2" borderId="7" xfId="3" applyNumberFormat="1" applyFont="1" applyFill="1" applyBorder="1" applyAlignment="1">
      <alignment horizontal="center"/>
    </xf>
    <xf numFmtId="4" fontId="6" fillId="2" borderId="8" xfId="3" applyNumberFormat="1" applyFont="1" applyFill="1" applyBorder="1" applyAlignment="1">
      <alignment horizontal="center"/>
    </xf>
    <xf numFmtId="4" fontId="6" fillId="2" borderId="9" xfId="3" applyNumberFormat="1" applyFont="1" applyFill="1" applyBorder="1" applyAlignment="1">
      <alignment horizontal="center"/>
    </xf>
    <xf numFmtId="0" fontId="10" fillId="3" borderId="10" xfId="3" applyFont="1" applyFill="1" applyBorder="1" applyAlignment="1">
      <alignment horizontal="center"/>
    </xf>
    <xf numFmtId="180" fontId="5" fillId="3" borderId="11" xfId="3" applyNumberFormat="1" applyFont="1" applyFill="1" applyBorder="1" applyAlignment="1">
      <alignment horizontal="center"/>
    </xf>
    <xf numFmtId="4" fontId="0" fillId="0" borderId="12" xfId="0" applyNumberFormat="1" applyBorder="1"/>
    <xf numFmtId="0" fontId="0" fillId="0" borderId="0" xfId="0" applyFill="1" applyBorder="1"/>
    <xf numFmtId="0" fontId="13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/>
    <xf numFmtId="179" fontId="30" fillId="0" borderId="0" xfId="1" applyFont="1"/>
    <xf numFmtId="2" fontId="19" fillId="0" borderId="0" xfId="0" applyNumberFormat="1" applyFont="1" applyAlignment="1">
      <alignment horizontal="right" vertical="center" wrapText="1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10" fontId="30" fillId="0" borderId="0" xfId="6" applyNumberFormat="1" applyFont="1"/>
    <xf numFmtId="0" fontId="0" fillId="0" borderId="0" xfId="0" applyFill="1" applyAlignment="1">
      <alignment horizontal="center"/>
    </xf>
    <xf numFmtId="0" fontId="0" fillId="0" borderId="0" xfId="0" applyFill="1"/>
    <xf numFmtId="0" fontId="22" fillId="0" borderId="1" xfId="0" applyFont="1" applyBorder="1"/>
    <xf numFmtId="2" fontId="0" fillId="0" borderId="0" xfId="0" applyNumberFormat="1" applyFill="1" applyBorder="1"/>
    <xf numFmtId="0" fontId="2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4" borderId="0" xfId="0" applyFill="1"/>
    <xf numFmtId="10" fontId="30" fillId="4" borderId="0" xfId="6" applyNumberFormat="1" applyFont="1" applyFill="1"/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" fontId="21" fillId="0" borderId="0" xfId="0" applyNumberFormat="1" applyFont="1" applyFill="1" applyBorder="1" applyAlignment="1">
      <alignment horizontal="center"/>
    </xf>
    <xf numFmtId="10" fontId="4" fillId="0" borderId="13" xfId="4" applyNumberFormat="1" applyFont="1" applyBorder="1" applyAlignment="1">
      <alignment horizontal="center"/>
    </xf>
    <xf numFmtId="2" fontId="0" fillId="0" borderId="0" xfId="0" applyNumberFormat="1"/>
    <xf numFmtId="10" fontId="30" fillId="0" borderId="1" xfId="6" applyNumberFormat="1" applyFont="1" applyBorder="1"/>
    <xf numFmtId="0" fontId="22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/>
    <xf numFmtId="4" fontId="8" fillId="0" borderId="14" xfId="5" applyNumberFormat="1" applyFont="1" applyBorder="1" applyAlignment="1">
      <alignment horizontal="center" wrapText="1"/>
    </xf>
    <xf numFmtId="4" fontId="8" fillId="0" borderId="15" xfId="5" applyNumberFormat="1" applyFont="1" applyBorder="1" applyAlignment="1">
      <alignment horizontal="center" wrapText="1"/>
    </xf>
    <xf numFmtId="0" fontId="22" fillId="0" borderId="16" xfId="0" applyFont="1" applyBorder="1"/>
    <xf numFmtId="0" fontId="3" fillId="0" borderId="0" xfId="0" applyFont="1" applyBorder="1" applyAlignment="1"/>
    <xf numFmtId="0" fontId="22" fillId="0" borderId="0" xfId="0" applyFont="1"/>
    <xf numFmtId="2" fontId="22" fillId="0" borderId="0" xfId="0" applyNumberFormat="1" applyFont="1" applyAlignment="1">
      <alignment horizontal="right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 applyAlignment="1">
      <alignment wrapText="1"/>
    </xf>
    <xf numFmtId="4" fontId="22" fillId="0" borderId="20" xfId="0" applyNumberFormat="1" applyFont="1" applyBorder="1"/>
    <xf numFmtId="0" fontId="22" fillId="0" borderId="21" xfId="0" applyFont="1" applyBorder="1" applyAlignment="1">
      <alignment wrapText="1"/>
    </xf>
    <xf numFmtId="4" fontId="22" fillId="0" borderId="22" xfId="0" applyNumberFormat="1" applyFont="1" applyBorder="1"/>
    <xf numFmtId="0" fontId="21" fillId="0" borderId="23" xfId="0" applyFont="1" applyBorder="1"/>
    <xf numFmtId="4" fontId="22" fillId="0" borderId="8" xfId="0" applyNumberFormat="1" applyFont="1" applyBorder="1"/>
    <xf numFmtId="0" fontId="21" fillId="0" borderId="23" xfId="0" applyFont="1" applyBorder="1" applyAlignment="1">
      <alignment wrapText="1"/>
    </xf>
    <xf numFmtId="4" fontId="22" fillId="0" borderId="18" xfId="0" applyNumberFormat="1" applyFont="1" applyBorder="1"/>
    <xf numFmtId="0" fontId="22" fillId="0" borderId="17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1" fillId="0" borderId="17" xfId="0" applyFont="1" applyBorder="1" applyAlignment="1">
      <alignment wrapText="1"/>
    </xf>
    <xf numFmtId="0" fontId="22" fillId="0" borderId="26" xfId="0" applyFont="1" applyBorder="1"/>
    <xf numFmtId="4" fontId="22" fillId="0" borderId="27" xfId="0" applyNumberFormat="1" applyFont="1" applyBorder="1"/>
    <xf numFmtId="0" fontId="22" fillId="0" borderId="25" xfId="0" applyFont="1" applyBorder="1"/>
    <xf numFmtId="0" fontId="22" fillId="0" borderId="28" xfId="0" applyFont="1" applyBorder="1"/>
    <xf numFmtId="0" fontId="22" fillId="0" borderId="21" xfId="0" applyFont="1" applyBorder="1"/>
    <xf numFmtId="0" fontId="29" fillId="3" borderId="29" xfId="3" applyFont="1" applyFill="1" applyBorder="1" applyAlignment="1"/>
    <xf numFmtId="180" fontId="29" fillId="3" borderId="11" xfId="3" applyNumberFormat="1" applyFont="1" applyFill="1" applyBorder="1" applyAlignment="1"/>
    <xf numFmtId="0" fontId="4" fillId="0" borderId="30" xfId="4" applyFont="1" applyBorder="1"/>
    <xf numFmtId="0" fontId="4" fillId="0" borderId="31" xfId="4" applyFont="1" applyBorder="1"/>
    <xf numFmtId="0" fontId="4" fillId="0" borderId="13" xfId="4" applyFont="1" applyBorder="1"/>
    <xf numFmtId="4" fontId="8" fillId="0" borderId="32" xfId="5" applyNumberFormat="1" applyFont="1" applyBorder="1" applyAlignment="1">
      <alignment horizontal="center" wrapText="1"/>
    </xf>
    <xf numFmtId="4" fontId="8" fillId="0" borderId="33" xfId="5" applyNumberFormat="1" applyFont="1" applyBorder="1" applyAlignment="1">
      <alignment horizontal="center" wrapText="1"/>
    </xf>
    <xf numFmtId="0" fontId="7" fillId="3" borderId="12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180" fontId="7" fillId="3" borderId="35" xfId="0" applyNumberFormat="1" applyFont="1" applyFill="1" applyBorder="1" applyAlignment="1">
      <alignment horizontal="center"/>
    </xf>
    <xf numFmtId="180" fontId="7" fillId="3" borderId="11" xfId="0" applyNumberFormat="1" applyFont="1" applyFill="1" applyBorder="1" applyAlignment="1">
      <alignment horizontal="center"/>
    </xf>
    <xf numFmtId="179" fontId="12" fillId="0" borderId="1" xfId="1" applyFont="1" applyBorder="1" applyAlignment="1"/>
    <xf numFmtId="0" fontId="7" fillId="3" borderId="3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21" fillId="3" borderId="36" xfId="0" applyFont="1" applyFill="1" applyBorder="1" applyAlignment="1">
      <alignment horizontal="center"/>
    </xf>
    <xf numFmtId="0" fontId="9" fillId="0" borderId="37" xfId="5" applyFont="1" applyFill="1" applyBorder="1" applyAlignment="1">
      <alignment horizontal="center" wrapText="1"/>
    </xf>
    <xf numFmtId="0" fontId="9" fillId="0" borderId="38" xfId="5" applyFont="1" applyFill="1" applyBorder="1" applyAlignment="1">
      <alignment horizontal="center" wrapText="1"/>
    </xf>
    <xf numFmtId="0" fontId="9" fillId="0" borderId="4" xfId="5" applyFont="1" applyFill="1" applyBorder="1" applyAlignment="1">
      <alignment horizontal="center" wrapText="1"/>
    </xf>
    <xf numFmtId="0" fontId="9" fillId="0" borderId="9" xfId="5" applyFont="1" applyFill="1" applyBorder="1" applyAlignment="1">
      <alignment horizontal="center" wrapText="1"/>
    </xf>
    <xf numFmtId="4" fontId="8" fillId="0" borderId="39" xfId="5" applyNumberFormat="1" applyFont="1" applyFill="1" applyBorder="1" applyAlignment="1">
      <alignment horizontal="center" wrapText="1"/>
    </xf>
    <xf numFmtId="4" fontId="8" fillId="0" borderId="28" xfId="5" applyNumberFormat="1" applyFont="1" applyFill="1" applyBorder="1" applyAlignment="1">
      <alignment horizontal="center" wrapText="1"/>
    </xf>
    <xf numFmtId="0" fontId="32" fillId="0" borderId="38" xfId="0" applyFont="1" applyBorder="1" applyAlignment="1">
      <alignment wrapText="1"/>
    </xf>
    <xf numFmtId="4" fontId="32" fillId="0" borderId="9" xfId="0" applyNumberFormat="1" applyFont="1" applyBorder="1"/>
    <xf numFmtId="0" fontId="32" fillId="0" borderId="16" xfId="0" applyFont="1" applyBorder="1" applyAlignment="1">
      <alignment wrapText="1"/>
    </xf>
    <xf numFmtId="4" fontId="32" fillId="0" borderId="7" xfId="0" applyNumberFormat="1" applyFont="1" applyBorder="1"/>
    <xf numFmtId="4" fontId="22" fillId="0" borderId="40" xfId="0" applyNumberFormat="1" applyFont="1" applyBorder="1"/>
    <xf numFmtId="4" fontId="22" fillId="0" borderId="41" xfId="0" applyNumberFormat="1" applyFont="1" applyBorder="1"/>
    <xf numFmtId="4" fontId="21" fillId="0" borderId="3" xfId="0" applyNumberFormat="1" applyFont="1" applyBorder="1"/>
    <xf numFmtId="4" fontId="22" fillId="0" borderId="0" xfId="0" applyNumberFormat="1" applyFont="1" applyBorder="1"/>
    <xf numFmtId="4" fontId="22" fillId="0" borderId="42" xfId="0" applyNumberFormat="1" applyFont="1" applyBorder="1"/>
    <xf numFmtId="4" fontId="22" fillId="0" borderId="43" xfId="0" applyNumberFormat="1" applyFont="1" applyBorder="1"/>
    <xf numFmtId="4" fontId="22" fillId="0" borderId="44" xfId="0" applyNumberFormat="1" applyFont="1" applyBorder="1"/>
    <xf numFmtId="4" fontId="22" fillId="0" borderId="3" xfId="0" applyNumberFormat="1" applyFont="1" applyBorder="1"/>
    <xf numFmtId="180" fontId="29" fillId="3" borderId="45" xfId="3" applyNumberFormat="1" applyFont="1" applyFill="1" applyBorder="1" applyAlignment="1"/>
    <xf numFmtId="0" fontId="26" fillId="0" borderId="0" xfId="0" applyFont="1" applyFill="1"/>
    <xf numFmtId="0" fontId="33" fillId="0" borderId="46" xfId="5" applyFont="1" applyFill="1" applyBorder="1" applyAlignment="1">
      <alignment horizontal="center" wrapText="1"/>
    </xf>
    <xf numFmtId="0" fontId="33" fillId="0" borderId="4" xfId="5" applyFont="1" applyFill="1" applyBorder="1" applyAlignment="1">
      <alignment horizontal="center" wrapText="1"/>
    </xf>
    <xf numFmtId="0" fontId="33" fillId="0" borderId="9" xfId="5" applyFont="1" applyFill="1" applyBorder="1" applyAlignment="1">
      <alignment horizontal="center" wrapText="1"/>
    </xf>
    <xf numFmtId="0" fontId="33" fillId="0" borderId="38" xfId="5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10" fontId="0" fillId="0" borderId="1" xfId="0" applyNumberFormat="1" applyBorder="1"/>
    <xf numFmtId="0" fontId="7" fillId="0" borderId="25" xfId="0" applyFont="1" applyBorder="1"/>
    <xf numFmtId="0" fontId="12" fillId="0" borderId="25" xfId="0" applyFont="1" applyBorder="1"/>
    <xf numFmtId="4" fontId="12" fillId="0" borderId="39" xfId="0" applyNumberFormat="1" applyFont="1" applyBorder="1" applyAlignment="1">
      <alignment horizontal="right"/>
    </xf>
    <xf numFmtId="4" fontId="12" fillId="0" borderId="28" xfId="0" applyNumberFormat="1" applyFont="1" applyBorder="1" applyAlignment="1">
      <alignment horizontal="right"/>
    </xf>
    <xf numFmtId="0" fontId="12" fillId="0" borderId="47" xfId="0" applyFont="1" applyBorder="1"/>
    <xf numFmtId="4" fontId="12" fillId="0" borderId="39" xfId="0" applyNumberFormat="1" applyFont="1" applyFill="1" applyBorder="1" applyAlignment="1">
      <alignment horizontal="right"/>
    </xf>
    <xf numFmtId="4" fontId="12" fillId="0" borderId="28" xfId="0" applyNumberFormat="1" applyFont="1" applyFill="1" applyBorder="1" applyAlignment="1">
      <alignment horizontal="right"/>
    </xf>
    <xf numFmtId="0" fontId="12" fillId="0" borderId="25" xfId="0" applyFont="1" applyFill="1" applyBorder="1"/>
    <xf numFmtId="0" fontId="7" fillId="0" borderId="25" xfId="0" applyFont="1" applyFill="1" applyBorder="1"/>
    <xf numFmtId="0" fontId="12" fillId="0" borderId="25" xfId="0" applyFont="1" applyFill="1" applyBorder="1" applyAlignment="1">
      <alignment wrapText="1"/>
    </xf>
    <xf numFmtId="0" fontId="21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15" fontId="36" fillId="0" borderId="1" xfId="0" applyNumberFormat="1" applyFont="1" applyFill="1" applyBorder="1" applyAlignment="1">
      <alignment horizontal="center"/>
    </xf>
    <xf numFmtId="0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/>
    </xf>
    <xf numFmtId="15" fontId="35" fillId="0" borderId="0" xfId="0" applyNumberFormat="1" applyFont="1" applyAlignment="1">
      <alignment horizontal="center"/>
    </xf>
    <xf numFmtId="1" fontId="35" fillId="0" borderId="0" xfId="6" applyNumberFormat="1" applyFont="1" applyAlignment="1">
      <alignment horizontal="center"/>
    </xf>
    <xf numFmtId="10" fontId="35" fillId="0" borderId="0" xfId="6" applyNumberFormat="1" applyFont="1" applyAlignment="1">
      <alignment horizontal="center"/>
    </xf>
    <xf numFmtId="0" fontId="36" fillId="0" borderId="0" xfId="0" applyNumberFormat="1" applyFont="1" applyAlignment="1">
      <alignment horizontal="center"/>
    </xf>
    <xf numFmtId="1" fontId="36" fillId="7" borderId="48" xfId="0" applyNumberFormat="1" applyFont="1" applyFill="1" applyBorder="1" applyAlignment="1">
      <alignment horizontal="center" vertical="center" wrapText="1"/>
    </xf>
    <xf numFmtId="0" fontId="36" fillId="7" borderId="48" xfId="0" applyNumberFormat="1" applyFont="1" applyFill="1" applyBorder="1" applyAlignment="1">
      <alignment horizontal="center" vertical="center" wrapText="1"/>
    </xf>
    <xf numFmtId="171" fontId="36" fillId="7" borderId="48" xfId="0" applyNumberFormat="1" applyFont="1" applyFill="1" applyBorder="1" applyAlignment="1">
      <alignment horizontal="center" vertical="center" wrapText="1"/>
    </xf>
    <xf numFmtId="15" fontId="36" fillId="7" borderId="48" xfId="0" applyNumberFormat="1" applyFont="1" applyFill="1" applyBorder="1" applyAlignment="1">
      <alignment horizontal="center" vertical="center" wrapText="1"/>
    </xf>
    <xf numFmtId="1" fontId="36" fillId="7" borderId="48" xfId="6" applyNumberFormat="1" applyFont="1" applyFill="1" applyBorder="1" applyAlignment="1">
      <alignment horizontal="center" vertical="center" wrapText="1"/>
    </xf>
    <xf numFmtId="10" fontId="36" fillId="7" borderId="48" xfId="6" applyNumberFormat="1" applyFont="1" applyFill="1" applyBorder="1" applyAlignment="1">
      <alignment horizontal="center" vertical="center" wrapText="1"/>
    </xf>
    <xf numFmtId="198" fontId="36" fillId="7" borderId="48" xfId="6" applyNumberFormat="1" applyFont="1" applyFill="1" applyBorder="1" applyAlignment="1">
      <alignment horizontal="center" vertical="center" wrapText="1"/>
    </xf>
    <xf numFmtId="198" fontId="36" fillId="7" borderId="49" xfId="6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198" fontId="29" fillId="0" borderId="1" xfId="0" applyNumberFormat="1" applyFont="1" applyBorder="1" applyAlignment="1">
      <alignment horizontal="center"/>
    </xf>
    <xf numFmtId="15" fontId="36" fillId="0" borderId="4" xfId="0" applyNumberFormat="1" applyFont="1" applyFill="1" applyBorder="1" applyAlignment="1">
      <alignment horizontal="center"/>
    </xf>
    <xf numFmtId="198" fontId="29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1" fillId="0" borderId="0" xfId="0" applyFont="1" applyBorder="1" applyAlignment="1">
      <alignment horizontal="left"/>
    </xf>
    <xf numFmtId="0" fontId="38" fillId="3" borderId="50" xfId="3" applyFont="1" applyFill="1" applyBorder="1" applyAlignment="1">
      <alignment horizontal="left"/>
    </xf>
    <xf numFmtId="0" fontId="38" fillId="3" borderId="51" xfId="3" applyFont="1" applyFill="1" applyBorder="1" applyAlignment="1">
      <alignment horizontal="center"/>
    </xf>
    <xf numFmtId="0" fontId="38" fillId="3" borderId="52" xfId="3" applyFont="1" applyFill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12" fillId="0" borderId="47" xfId="0" applyFont="1" applyBorder="1" applyAlignment="1">
      <alignment horizontal="left" wrapText="1"/>
    </xf>
    <xf numFmtId="4" fontId="7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0" fontId="12" fillId="0" borderId="17" xfId="0" applyFont="1" applyBorder="1" applyAlignment="1">
      <alignment horizontal="left" wrapText="1"/>
    </xf>
    <xf numFmtId="4" fontId="12" fillId="0" borderId="53" xfId="0" applyNumberFormat="1" applyFont="1" applyBorder="1" applyAlignment="1">
      <alignment horizontal="right"/>
    </xf>
    <xf numFmtId="4" fontId="12" fillId="0" borderId="54" xfId="0" applyNumberFormat="1" applyFont="1" applyBorder="1" applyAlignment="1">
      <alignment horizontal="right"/>
    </xf>
    <xf numFmtId="0" fontId="12" fillId="0" borderId="47" xfId="0" applyFont="1" applyFill="1" applyBorder="1" applyAlignment="1">
      <alignment horizontal="left" wrapText="1"/>
    </xf>
    <xf numFmtId="0" fontId="38" fillId="3" borderId="17" xfId="3" applyFont="1" applyFill="1" applyBorder="1" applyAlignment="1">
      <alignment horizontal="left"/>
    </xf>
    <xf numFmtId="180" fontId="38" fillId="3" borderId="53" xfId="3" applyNumberFormat="1" applyFont="1" applyFill="1" applyBorder="1" applyAlignment="1">
      <alignment horizontal="right"/>
    </xf>
    <xf numFmtId="0" fontId="38" fillId="0" borderId="17" xfId="3" applyFont="1" applyFill="1" applyBorder="1" applyAlignment="1">
      <alignment horizontal="left"/>
    </xf>
    <xf numFmtId="180" fontId="38" fillId="0" borderId="53" xfId="3" applyNumberFormat="1" applyFont="1" applyFill="1" applyBorder="1" applyAlignment="1">
      <alignment horizontal="right"/>
    </xf>
    <xf numFmtId="180" fontId="38" fillId="0" borderId="54" xfId="3" applyNumberFormat="1" applyFont="1" applyFill="1" applyBorder="1" applyAlignment="1">
      <alignment horizontal="right"/>
    </xf>
    <xf numFmtId="0" fontId="38" fillId="0" borderId="53" xfId="3" applyFont="1" applyFill="1" applyBorder="1" applyAlignment="1">
      <alignment horizontal="right"/>
    </xf>
    <xf numFmtId="0" fontId="38" fillId="0" borderId="54" xfId="3" applyFont="1" applyFill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53" xfId="0" applyFont="1" applyBorder="1" applyAlignment="1">
      <alignment horizontal="right"/>
    </xf>
    <xf numFmtId="0" fontId="7" fillId="0" borderId="54" xfId="0" applyFont="1" applyBorder="1" applyAlignment="1">
      <alignment horizontal="right"/>
    </xf>
    <xf numFmtId="0" fontId="12" fillId="0" borderId="4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53" xfId="0" applyFont="1" applyBorder="1" applyAlignment="1">
      <alignment horizontal="right"/>
    </xf>
    <xf numFmtId="0" fontId="12" fillId="0" borderId="54" xfId="0" applyFont="1" applyBorder="1" applyAlignment="1">
      <alignment horizontal="right"/>
    </xf>
    <xf numFmtId="0" fontId="12" fillId="0" borderId="55" xfId="0" applyFont="1" applyBorder="1" applyAlignment="1">
      <alignment horizontal="left"/>
    </xf>
    <xf numFmtId="4" fontId="12" fillId="0" borderId="32" xfId="0" applyNumberFormat="1" applyFont="1" applyBorder="1" applyAlignment="1">
      <alignment horizontal="right"/>
    </xf>
    <xf numFmtId="0" fontId="7" fillId="0" borderId="56" xfId="0" applyFont="1" applyBorder="1" applyAlignment="1">
      <alignment horizontal="left"/>
    </xf>
    <xf numFmtId="4" fontId="12" fillId="0" borderId="57" xfId="0" applyNumberFormat="1" applyFont="1" applyBorder="1" applyAlignment="1">
      <alignment horizontal="right"/>
    </xf>
    <xf numFmtId="0" fontId="38" fillId="3" borderId="58" xfId="3" applyFont="1" applyFill="1" applyBorder="1" applyAlignment="1">
      <alignment horizontal="left"/>
    </xf>
    <xf numFmtId="180" fontId="38" fillId="3" borderId="59" xfId="3" applyNumberFormat="1" applyFont="1" applyFill="1" applyBorder="1" applyAlignment="1">
      <alignment horizontal="right"/>
    </xf>
    <xf numFmtId="180" fontId="26" fillId="0" borderId="0" xfId="0" applyNumberFormat="1" applyFont="1"/>
    <xf numFmtId="0" fontId="12" fillId="0" borderId="0" xfId="0" applyFont="1" applyBorder="1" applyAlignment="1"/>
    <xf numFmtId="0" fontId="7" fillId="3" borderId="26" xfId="0" applyFont="1" applyFill="1" applyBorder="1" applyAlignment="1">
      <alignment horizontal="center"/>
    </xf>
    <xf numFmtId="1" fontId="7" fillId="3" borderId="60" xfId="0" applyNumberFormat="1" applyFont="1" applyFill="1" applyBorder="1" applyAlignment="1">
      <alignment horizontal="center" vertical="center" wrapText="1"/>
    </xf>
    <xf numFmtId="1" fontId="7" fillId="3" borderId="27" xfId="0" applyNumberFormat="1" applyFont="1" applyFill="1" applyBorder="1" applyAlignment="1">
      <alignment horizontal="center" vertical="center" wrapText="1"/>
    </xf>
    <xf numFmtId="2" fontId="12" fillId="0" borderId="39" xfId="0" applyNumberFormat="1" applyFont="1" applyBorder="1" applyAlignment="1">
      <alignment horizontal="right" vertical="center" wrapText="1"/>
    </xf>
    <xf numFmtId="2" fontId="12" fillId="0" borderId="28" xfId="0" applyNumberFormat="1" applyFont="1" applyBorder="1" applyAlignment="1">
      <alignment horizontal="right" vertical="center" wrapText="1"/>
    </xf>
    <xf numFmtId="2" fontId="12" fillId="0" borderId="25" xfId="0" applyNumberFormat="1" applyFont="1" applyBorder="1"/>
    <xf numFmtId="0" fontId="12" fillId="0" borderId="55" xfId="0" applyFont="1" applyFill="1" applyBorder="1"/>
    <xf numFmtId="0" fontId="7" fillId="0" borderId="58" xfId="0" applyFont="1" applyFill="1" applyBorder="1"/>
    <xf numFmtId="0" fontId="27" fillId="0" borderId="0" xfId="0" applyFont="1"/>
    <xf numFmtId="179" fontId="12" fillId="0" borderId="1" xfId="1" applyFont="1" applyBorder="1"/>
    <xf numFmtId="179" fontId="13" fillId="0" borderId="1" xfId="1" applyFont="1" applyBorder="1"/>
    <xf numFmtId="0" fontId="0" fillId="0" borderId="48" xfId="0" applyFill="1" applyBorder="1" applyAlignment="1">
      <alignment horizontal="center"/>
    </xf>
    <xf numFmtId="0" fontId="0" fillId="0" borderId="49" xfId="0" applyBorder="1"/>
    <xf numFmtId="2" fontId="12" fillId="0" borderId="43" xfId="0" applyNumberFormat="1" applyFont="1" applyBorder="1" applyAlignment="1">
      <alignment horizontal="center"/>
    </xf>
    <xf numFmtId="0" fontId="0" fillId="0" borderId="16" xfId="0" applyBorder="1"/>
    <xf numFmtId="0" fontId="22" fillId="6" borderId="16" xfId="0" applyFont="1" applyFill="1" applyBorder="1"/>
    <xf numFmtId="179" fontId="0" fillId="0" borderId="0" xfId="0" applyNumberFormat="1"/>
    <xf numFmtId="179" fontId="19" fillId="0" borderId="0" xfId="1" applyFont="1" applyAlignment="1">
      <alignment horizontal="right" vertical="center" wrapText="1"/>
    </xf>
    <xf numFmtId="0" fontId="22" fillId="6" borderId="0" xfId="0" applyFont="1" applyFill="1"/>
    <xf numFmtId="10" fontId="41" fillId="0" borderId="1" xfId="6" applyNumberFormat="1" applyFont="1" applyBorder="1"/>
    <xf numFmtId="10" fontId="41" fillId="0" borderId="7" xfId="6" applyNumberFormat="1" applyFont="1" applyBorder="1"/>
    <xf numFmtId="0" fontId="0" fillId="0" borderId="29" xfId="0" applyBorder="1"/>
    <xf numFmtId="0" fontId="0" fillId="0" borderId="35" xfId="0" applyBorder="1"/>
    <xf numFmtId="10" fontId="41" fillId="0" borderId="35" xfId="6" applyNumberFormat="1" applyFont="1" applyBorder="1"/>
    <xf numFmtId="10" fontId="41" fillId="0" borderId="11" xfId="6" applyNumberFormat="1" applyFont="1" applyBorder="1"/>
    <xf numFmtId="179" fontId="19" fillId="0" borderId="1" xfId="1" applyFont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right" vertical="center" wrapText="1"/>
    </xf>
    <xf numFmtId="179" fontId="19" fillId="0" borderId="7" xfId="1" applyFont="1" applyBorder="1" applyAlignment="1">
      <alignment horizontal="right" vertical="center" wrapText="1"/>
    </xf>
    <xf numFmtId="2" fontId="19" fillId="0" borderId="7" xfId="0" applyNumberFormat="1" applyFont="1" applyBorder="1" applyAlignment="1">
      <alignment horizontal="right" vertical="center" wrapText="1"/>
    </xf>
    <xf numFmtId="4" fontId="0" fillId="0" borderId="16" xfId="0" applyNumberFormat="1" applyBorder="1"/>
    <xf numFmtId="179" fontId="19" fillId="0" borderId="35" xfId="1" applyFont="1" applyBorder="1" applyAlignment="1">
      <alignment horizontal="right" vertical="center" wrapText="1"/>
    </xf>
    <xf numFmtId="179" fontId="19" fillId="0" borderId="11" xfId="1" applyFont="1" applyBorder="1" applyAlignment="1">
      <alignment horizontal="right" vertical="center" wrapText="1"/>
    </xf>
    <xf numFmtId="179" fontId="27" fillId="0" borderId="1" xfId="1" applyFont="1" applyBorder="1" applyAlignment="1">
      <alignment horizontal="right" vertical="center" wrapText="1"/>
    </xf>
    <xf numFmtId="10" fontId="27" fillId="0" borderId="1" xfId="6" applyNumberFormat="1" applyFont="1" applyBorder="1" applyAlignment="1">
      <alignment horizontal="right" vertical="center" wrapText="1"/>
    </xf>
    <xf numFmtId="0" fontId="20" fillId="0" borderId="16" xfId="0" applyFont="1" applyFill="1" applyBorder="1"/>
    <xf numFmtId="179" fontId="27" fillId="0" borderId="7" xfId="1" applyFont="1" applyBorder="1" applyAlignment="1">
      <alignment horizontal="right" vertical="center" wrapText="1"/>
    </xf>
    <xf numFmtId="10" fontId="27" fillId="0" borderId="7" xfId="6" applyNumberFormat="1" applyFont="1" applyBorder="1" applyAlignment="1">
      <alignment horizontal="right" vertical="center" wrapText="1"/>
    </xf>
    <xf numFmtId="0" fontId="21" fillId="3" borderId="61" xfId="0" applyFont="1" applyFill="1" applyBorder="1" applyAlignment="1">
      <alignment horizontal="center"/>
    </xf>
    <xf numFmtId="0" fontId="22" fillId="0" borderId="1" xfId="0" applyFont="1" applyFill="1" applyBorder="1"/>
    <xf numFmtId="4" fontId="22" fillId="0" borderId="0" xfId="0" applyNumberFormat="1" applyFont="1"/>
    <xf numFmtId="0" fontId="7" fillId="0" borderId="0" xfId="0" applyFont="1" applyFill="1" applyBorder="1" applyAlignment="1">
      <alignment horizontal="center"/>
    </xf>
    <xf numFmtId="179" fontId="0" fillId="0" borderId="0" xfId="0" applyNumberFormat="1" applyFill="1"/>
    <xf numFmtId="0" fontId="20" fillId="0" borderId="16" xfId="0" applyFont="1" applyFill="1" applyBorder="1" applyAlignment="1">
      <alignment wrapText="1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180" fontId="0" fillId="0" borderId="0" xfId="0" applyNumberFormat="1"/>
    <xf numFmtId="0" fontId="44" fillId="8" borderId="62" xfId="0" applyFont="1" applyFill="1" applyBorder="1" applyAlignment="1">
      <alignment horizontal="center" wrapText="1" readingOrder="1"/>
    </xf>
    <xf numFmtId="179" fontId="44" fillId="8" borderId="63" xfId="1" applyFont="1" applyFill="1" applyBorder="1" applyAlignment="1">
      <alignment horizontal="right" wrapText="1" readingOrder="1"/>
    </xf>
    <xf numFmtId="0" fontId="45" fillId="0" borderId="64" xfId="0" applyFont="1" applyBorder="1" applyAlignment="1">
      <alignment wrapText="1"/>
    </xf>
    <xf numFmtId="179" fontId="44" fillId="8" borderId="63" xfId="1" applyFont="1" applyFill="1" applyBorder="1" applyAlignment="1">
      <alignment horizontal="center" wrapText="1" readingOrder="1"/>
    </xf>
    <xf numFmtId="9" fontId="30" fillId="8" borderId="1" xfId="6" applyFont="1" applyFill="1" applyBorder="1" applyAlignment="1">
      <alignment horizontal="center"/>
    </xf>
    <xf numFmtId="0" fontId="27" fillId="0" borderId="1" xfId="0" applyFont="1" applyBorder="1"/>
    <xf numFmtId="2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210" fontId="26" fillId="0" borderId="0" xfId="0" applyNumberFormat="1" applyFont="1"/>
    <xf numFmtId="0" fontId="12" fillId="0" borderId="17" xfId="0" applyFont="1" applyFill="1" applyBorder="1" applyAlignment="1">
      <alignment horizontal="left" wrapText="1"/>
    </xf>
    <xf numFmtId="9" fontId="41" fillId="0" borderId="0" xfId="6" applyFont="1"/>
    <xf numFmtId="179" fontId="41" fillId="0" borderId="1" xfId="1" applyFont="1" applyBorder="1"/>
    <xf numFmtId="2" fontId="12" fillId="0" borderId="56" xfId="0" applyNumberFormat="1" applyFont="1" applyBorder="1"/>
    <xf numFmtId="179" fontId="12" fillId="0" borderId="65" xfId="1" applyFont="1" applyBorder="1" applyAlignment="1">
      <alignment horizontal="right" vertical="center" wrapText="1"/>
    </xf>
    <xf numFmtId="0" fontId="0" fillId="8" borderId="1" xfId="0" applyFill="1" applyBorder="1"/>
    <xf numFmtId="0" fontId="27" fillId="0" borderId="1" xfId="0" applyFont="1" applyFill="1" applyBorder="1"/>
    <xf numFmtId="2" fontId="0" fillId="0" borderId="1" xfId="0" applyNumberFormat="1" applyBorder="1" applyAlignment="1">
      <alignment horizontal="center"/>
    </xf>
    <xf numFmtId="179" fontId="12" fillId="0" borderId="39" xfId="1" applyFont="1" applyBorder="1" applyAlignment="1">
      <alignment horizontal="right" vertical="center" wrapText="1"/>
    </xf>
    <xf numFmtId="179" fontId="12" fillId="0" borderId="28" xfId="1" applyFont="1" applyBorder="1" applyAlignment="1">
      <alignment horizontal="right" vertical="center" wrapText="1"/>
    </xf>
    <xf numFmtId="179" fontId="12" fillId="0" borderId="66" xfId="1" applyFont="1" applyBorder="1" applyAlignment="1">
      <alignment horizontal="right" vertical="center" wrapText="1"/>
    </xf>
    <xf numFmtId="179" fontId="12" fillId="0" borderId="67" xfId="1" applyFont="1" applyBorder="1" applyAlignment="1">
      <alignment horizontal="right" vertical="center" wrapText="1"/>
    </xf>
    <xf numFmtId="179" fontId="12" fillId="0" borderId="68" xfId="1" applyFont="1" applyBorder="1" applyAlignment="1">
      <alignment horizontal="right" vertical="center" wrapText="1"/>
    </xf>
    <xf numFmtId="179" fontId="12" fillId="0" borderId="69" xfId="1" applyFont="1" applyBorder="1" applyAlignment="1">
      <alignment horizontal="right" vertical="center" wrapText="1"/>
    </xf>
    <xf numFmtId="179" fontId="12" fillId="0" borderId="70" xfId="1" applyFont="1" applyBorder="1" applyAlignment="1">
      <alignment horizontal="right" vertical="center" wrapText="1"/>
    </xf>
    <xf numFmtId="179" fontId="12" fillId="0" borderId="71" xfId="1" applyFont="1" applyBorder="1" applyAlignment="1">
      <alignment horizontal="right" vertical="center" wrapText="1"/>
    </xf>
    <xf numFmtId="179" fontId="41" fillId="0" borderId="0" xfId="1" applyFont="1"/>
    <xf numFmtId="0" fontId="43" fillId="0" borderId="36" xfId="0" applyFont="1" applyBorder="1" applyAlignment="1">
      <alignment wrapText="1"/>
    </xf>
    <xf numFmtId="0" fontId="21" fillId="8" borderId="16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21" fillId="8" borderId="29" xfId="0" applyFont="1" applyFill="1" applyBorder="1" applyAlignment="1">
      <alignment horizontal="center"/>
    </xf>
    <xf numFmtId="180" fontId="31" fillId="8" borderId="35" xfId="0" applyNumberFormat="1" applyFont="1" applyFill="1" applyBorder="1" applyAlignment="1">
      <alignment horizontal="center"/>
    </xf>
    <xf numFmtId="180" fontId="31" fillId="8" borderId="11" xfId="0" applyNumberFormat="1" applyFont="1" applyFill="1" applyBorder="1" applyAlignment="1">
      <alignment horizontal="center"/>
    </xf>
    <xf numFmtId="0" fontId="12" fillId="0" borderId="0" xfId="0" applyFont="1"/>
    <xf numFmtId="0" fontId="22" fillId="0" borderId="16" xfId="0" applyFont="1" applyFill="1" applyBorder="1"/>
    <xf numFmtId="180" fontId="12" fillId="0" borderId="1" xfId="0" applyNumberFormat="1" applyFont="1" applyFill="1" applyBorder="1" applyAlignment="1">
      <alignment horizontal="center"/>
    </xf>
    <xf numFmtId="179" fontId="12" fillId="0" borderId="1" xfId="1" applyFont="1" applyFill="1" applyBorder="1" applyAlignment="1"/>
    <xf numFmtId="0" fontId="12" fillId="6" borderId="25" xfId="0" applyFont="1" applyFill="1" applyBorder="1"/>
    <xf numFmtId="0" fontId="44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right" wrapText="1"/>
    </xf>
    <xf numFmtId="165" fontId="32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right" vertical="top" wrapText="1"/>
    </xf>
    <xf numFmtId="165" fontId="32" fillId="0" borderId="0" xfId="0" applyNumberFormat="1" applyFont="1" applyBorder="1" applyAlignment="1">
      <alignment horizontal="right" vertical="top" wrapText="1"/>
    </xf>
    <xf numFmtId="0" fontId="44" fillId="0" borderId="0" xfId="0" applyFont="1" applyBorder="1" applyAlignment="1">
      <alignment wrapText="1"/>
    </xf>
    <xf numFmtId="165" fontId="44" fillId="0" borderId="0" xfId="0" applyNumberFormat="1" applyFont="1" applyBorder="1" applyAlignment="1">
      <alignment horizontal="right" wrapText="1"/>
    </xf>
    <xf numFmtId="167" fontId="4" fillId="0" borderId="30" xfId="4" applyNumberFormat="1" applyFont="1" applyBorder="1" applyAlignment="1">
      <alignment horizontal="center"/>
    </xf>
    <xf numFmtId="167" fontId="4" fillId="0" borderId="31" xfId="4" applyNumberFormat="1" applyFont="1" applyBorder="1" applyAlignment="1">
      <alignment horizontal="center"/>
    </xf>
    <xf numFmtId="167" fontId="4" fillId="0" borderId="13" xfId="4" applyNumberFormat="1" applyFont="1" applyBorder="1" applyAlignment="1">
      <alignment horizontal="center"/>
    </xf>
    <xf numFmtId="167" fontId="5" fillId="3" borderId="72" xfId="4" applyNumberFormat="1" applyFont="1" applyFill="1" applyBorder="1" applyAlignment="1">
      <alignment horizontal="center"/>
    </xf>
    <xf numFmtId="179" fontId="12" fillId="6" borderId="39" xfId="1" applyFont="1" applyFill="1" applyBorder="1" applyAlignment="1">
      <alignment horizontal="right" vertical="center" wrapText="1"/>
    </xf>
    <xf numFmtId="0" fontId="12" fillId="0" borderId="56" xfId="0" applyFont="1" applyFill="1" applyBorder="1"/>
    <xf numFmtId="179" fontId="12" fillId="0" borderId="65" xfId="1" applyFont="1" applyFill="1" applyBorder="1" applyAlignment="1">
      <alignment horizontal="right" vertical="center" wrapText="1"/>
    </xf>
    <xf numFmtId="179" fontId="12" fillId="0" borderId="73" xfId="1" applyFont="1" applyFill="1" applyBorder="1" applyAlignment="1">
      <alignment horizontal="right" vertical="center" wrapText="1"/>
    </xf>
    <xf numFmtId="0" fontId="22" fillId="0" borderId="0" xfId="0" applyFont="1" applyFill="1"/>
    <xf numFmtId="0" fontId="12" fillId="0" borderId="1" xfId="0" applyFont="1" applyFill="1" applyBorder="1"/>
    <xf numFmtId="0" fontId="22" fillId="0" borderId="72" xfId="0" applyFont="1" applyFill="1" applyBorder="1"/>
    <xf numFmtId="167" fontId="12" fillId="0" borderId="1" xfId="0" applyNumberFormat="1" applyFont="1" applyFill="1" applyBorder="1" applyAlignment="1">
      <alignment horizontal="right"/>
    </xf>
    <xf numFmtId="0" fontId="22" fillId="0" borderId="74" xfId="0" applyFont="1" applyFill="1" applyBorder="1"/>
    <xf numFmtId="4" fontId="12" fillId="0" borderId="66" xfId="0" applyNumberFormat="1" applyFont="1" applyFill="1" applyBorder="1" applyAlignment="1">
      <alignment horizontal="right"/>
    </xf>
    <xf numFmtId="4" fontId="12" fillId="0" borderId="67" xfId="0" applyNumberFormat="1" applyFont="1" applyFill="1" applyBorder="1" applyAlignment="1">
      <alignment horizontal="right"/>
    </xf>
    <xf numFmtId="0" fontId="12" fillId="0" borderId="43" xfId="0" applyFont="1" applyFill="1" applyBorder="1"/>
    <xf numFmtId="4" fontId="12" fillId="0" borderId="39" xfId="0" applyNumberFormat="1" applyFont="1" applyFill="1" applyBorder="1" applyAlignment="1">
      <alignment horizontal="center"/>
    </xf>
    <xf numFmtId="4" fontId="12" fillId="0" borderId="43" xfId="0" applyNumberFormat="1" applyFont="1" applyFill="1" applyBorder="1" applyAlignment="1">
      <alignment horizontal="right"/>
    </xf>
    <xf numFmtId="4" fontId="12" fillId="0" borderId="75" xfId="0" applyNumberFormat="1" applyFont="1" applyFill="1" applyBorder="1" applyAlignment="1">
      <alignment horizontal="right"/>
    </xf>
    <xf numFmtId="4" fontId="12" fillId="0" borderId="43" xfId="0" applyNumberFormat="1" applyFont="1" applyFill="1" applyBorder="1" applyAlignment="1">
      <alignment horizontal="center"/>
    </xf>
    <xf numFmtId="0" fontId="7" fillId="0" borderId="76" xfId="0" applyFont="1" applyFill="1" applyBorder="1" applyAlignment="1">
      <alignment wrapText="1"/>
    </xf>
    <xf numFmtId="4" fontId="7" fillId="0" borderId="77" xfId="0" applyNumberFormat="1" applyFont="1" applyFill="1" applyBorder="1" applyAlignment="1">
      <alignment horizontal="center"/>
    </xf>
    <xf numFmtId="4" fontId="7" fillId="0" borderId="77" xfId="0" applyNumberFormat="1" applyFont="1" applyFill="1" applyBorder="1" applyAlignment="1">
      <alignment horizontal="right"/>
    </xf>
    <xf numFmtId="4" fontId="7" fillId="0" borderId="78" xfId="0" applyNumberFormat="1" applyFont="1" applyFill="1" applyBorder="1" applyAlignment="1">
      <alignment horizontal="right"/>
    </xf>
    <xf numFmtId="0" fontId="22" fillId="0" borderId="79" xfId="0" applyFont="1" applyFill="1" applyBorder="1"/>
    <xf numFmtId="10" fontId="22" fillId="0" borderId="60" xfId="6" applyNumberFormat="1" applyFont="1" applyFill="1" applyBorder="1" applyAlignment="1">
      <alignment horizontal="center"/>
    </xf>
    <xf numFmtId="4" fontId="7" fillId="0" borderId="80" xfId="0" applyNumberFormat="1" applyFont="1" applyFill="1" applyBorder="1" applyAlignment="1">
      <alignment horizontal="right"/>
    </xf>
    <xf numFmtId="4" fontId="7" fillId="0" borderId="81" xfId="0" applyNumberFormat="1" applyFont="1" applyFill="1" applyBorder="1" applyAlignment="1">
      <alignment horizontal="right"/>
    </xf>
    <xf numFmtId="0" fontId="22" fillId="0" borderId="58" xfId="0" applyFont="1" applyFill="1" applyBorder="1"/>
    <xf numFmtId="180" fontId="7" fillId="0" borderId="59" xfId="0" applyNumberFormat="1" applyFont="1" applyFill="1" applyBorder="1" applyAlignment="1">
      <alignment horizontal="center"/>
    </xf>
    <xf numFmtId="4" fontId="22" fillId="0" borderId="70" xfId="0" applyNumberFormat="1" applyFont="1" applyFill="1" applyBorder="1" applyAlignment="1">
      <alignment horizontal="right"/>
    </xf>
    <xf numFmtId="4" fontId="22" fillId="0" borderId="71" xfId="0" applyNumberFormat="1" applyFont="1" applyFill="1" applyBorder="1" applyAlignment="1">
      <alignment horizontal="right"/>
    </xf>
    <xf numFmtId="0" fontId="21" fillId="0" borderId="16" xfId="0" applyFont="1" applyFill="1" applyBorder="1"/>
    <xf numFmtId="0" fontId="21" fillId="0" borderId="7" xfId="0" applyFont="1" applyFill="1" applyBorder="1"/>
    <xf numFmtId="9" fontId="22" fillId="0" borderId="1" xfId="0" applyNumberFormat="1" applyFont="1" applyFill="1" applyBorder="1"/>
    <xf numFmtId="9" fontId="22" fillId="0" borderId="7" xfId="0" applyNumberFormat="1" applyFont="1" applyFill="1" applyBorder="1"/>
    <xf numFmtId="0" fontId="21" fillId="0" borderId="29" xfId="0" applyFont="1" applyFill="1" applyBorder="1"/>
    <xf numFmtId="10" fontId="22" fillId="0" borderId="35" xfId="0" applyNumberFormat="1" applyFont="1" applyFill="1" applyBorder="1"/>
    <xf numFmtId="0" fontId="22" fillId="0" borderId="11" xfId="0" applyFont="1" applyFill="1" applyBorder="1"/>
    <xf numFmtId="167" fontId="12" fillId="0" borderId="39" xfId="1" applyNumberFormat="1" applyFont="1" applyFill="1" applyBorder="1" applyAlignment="1">
      <alignment horizontal="right"/>
    </xf>
    <xf numFmtId="167" fontId="12" fillId="0" borderId="28" xfId="1" applyNumberFormat="1" applyFont="1" applyFill="1" applyBorder="1" applyAlignment="1">
      <alignment horizontal="right"/>
    </xf>
    <xf numFmtId="167" fontId="12" fillId="0" borderId="39" xfId="0" applyNumberFormat="1" applyFont="1" applyFill="1" applyBorder="1" applyAlignment="1">
      <alignment horizontal="right"/>
    </xf>
    <xf numFmtId="167" fontId="12" fillId="0" borderId="28" xfId="0" applyNumberFormat="1" applyFont="1" applyFill="1" applyBorder="1" applyAlignment="1">
      <alignment horizontal="right"/>
    </xf>
    <xf numFmtId="167" fontId="12" fillId="0" borderId="43" xfId="0" applyNumberFormat="1" applyFont="1" applyFill="1" applyBorder="1" applyAlignment="1">
      <alignment horizontal="right"/>
    </xf>
    <xf numFmtId="167" fontId="12" fillId="0" borderId="66" xfId="0" applyNumberFormat="1" applyFont="1" applyFill="1" applyBorder="1" applyAlignment="1">
      <alignment horizontal="right"/>
    </xf>
    <xf numFmtId="167" fontId="12" fillId="0" borderId="75" xfId="0" applyNumberFormat="1" applyFont="1" applyFill="1" applyBorder="1" applyAlignment="1">
      <alignment horizontal="right"/>
    </xf>
    <xf numFmtId="180" fontId="38" fillId="3" borderId="54" xfId="3" applyNumberFormat="1" applyFont="1" applyFill="1" applyBorder="1" applyAlignment="1">
      <alignment horizontal="right"/>
    </xf>
    <xf numFmtId="4" fontId="12" fillId="0" borderId="82" xfId="0" applyNumberFormat="1" applyFont="1" applyBorder="1" applyAlignment="1">
      <alignment horizontal="right"/>
    </xf>
    <xf numFmtId="180" fontId="38" fillId="3" borderId="83" xfId="3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 wrapText="1"/>
    </xf>
    <xf numFmtId="167" fontId="22" fillId="0" borderId="1" xfId="0" applyNumberFormat="1" applyFont="1" applyFill="1" applyBorder="1" applyAlignment="1">
      <alignment horizontal="center"/>
    </xf>
    <xf numFmtId="0" fontId="12" fillId="0" borderId="65" xfId="0" applyFont="1" applyFill="1" applyBorder="1"/>
    <xf numFmtId="4" fontId="12" fillId="0" borderId="65" xfId="0" applyNumberFormat="1" applyFont="1" applyFill="1" applyBorder="1" applyAlignment="1">
      <alignment horizontal="right"/>
    </xf>
    <xf numFmtId="4" fontId="12" fillId="0" borderId="73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wrapText="1"/>
    </xf>
    <xf numFmtId="167" fontId="25" fillId="0" borderId="0" xfId="0" applyNumberFormat="1" applyFont="1" applyFill="1" applyBorder="1" applyAlignment="1">
      <alignment horizontal="right" wrapText="1"/>
    </xf>
    <xf numFmtId="4" fontId="0" fillId="0" borderId="0" xfId="0" applyNumberFormat="1" applyBorder="1"/>
    <xf numFmtId="4" fontId="6" fillId="2" borderId="1" xfId="3" applyNumberFormat="1" applyFont="1" applyFill="1" applyBorder="1" applyAlignment="1">
      <alignment horizontal="center"/>
    </xf>
    <xf numFmtId="179" fontId="41" fillId="0" borderId="84" xfId="1" applyFont="1" applyBorder="1"/>
    <xf numFmtId="179" fontId="41" fillId="0" borderId="74" xfId="1" applyFont="1" applyBorder="1"/>
    <xf numFmtId="2" fontId="12" fillId="0" borderId="4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2" fontId="40" fillId="2" borderId="0" xfId="2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9" fontId="12" fillId="0" borderId="1" xfId="6" applyFont="1" applyBorder="1" applyAlignment="1">
      <alignment horizontal="center"/>
    </xf>
    <xf numFmtId="2" fontId="40" fillId="2" borderId="1" xfId="2" applyNumberFormat="1" applyFont="1" applyFill="1" applyBorder="1" applyAlignment="1">
      <alignment horizontal="center" wrapText="1"/>
    </xf>
    <xf numFmtId="0" fontId="12" fillId="0" borderId="1" xfId="6" applyNumberFormat="1" applyFont="1" applyBorder="1" applyAlignment="1">
      <alignment horizontal="center"/>
    </xf>
    <xf numFmtId="9" fontId="12" fillId="0" borderId="1" xfId="6" applyFont="1" applyFill="1" applyBorder="1" applyAlignment="1">
      <alignment horizontal="center"/>
    </xf>
    <xf numFmtId="179" fontId="41" fillId="0" borderId="85" xfId="1" applyFont="1" applyBorder="1"/>
    <xf numFmtId="2" fontId="12" fillId="0" borderId="86" xfId="0" applyNumberFormat="1" applyFont="1" applyBorder="1" applyAlignment="1">
      <alignment horizontal="center"/>
    </xf>
    <xf numFmtId="180" fontId="39" fillId="0" borderId="0" xfId="0" applyNumberFormat="1" applyFont="1" applyBorder="1" applyAlignment="1">
      <alignment horizontal="center"/>
    </xf>
    <xf numFmtId="2" fontId="0" fillId="0" borderId="1" xfId="0" applyNumberFormat="1" applyBorder="1"/>
    <xf numFmtId="179" fontId="41" fillId="0" borderId="0" xfId="1" applyFont="1" applyBorder="1"/>
    <xf numFmtId="0" fontId="32" fillId="0" borderId="0" xfId="0" applyFont="1" applyFill="1" applyBorder="1" applyAlignment="1">
      <alignment wrapText="1"/>
    </xf>
    <xf numFmtId="167" fontId="32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 wrapText="1"/>
    </xf>
    <xf numFmtId="167" fontId="44" fillId="0" borderId="0" xfId="0" applyNumberFormat="1" applyFont="1" applyFill="1" applyBorder="1" applyAlignment="1">
      <alignment horizontal="right" wrapText="1"/>
    </xf>
    <xf numFmtId="0" fontId="23" fillId="0" borderId="37" xfId="0" applyFont="1" applyBorder="1"/>
    <xf numFmtId="0" fontId="23" fillId="0" borderId="18" xfId="0" applyFont="1" applyBorder="1" applyAlignment="1">
      <alignment horizontal="center"/>
    </xf>
    <xf numFmtId="0" fontId="22" fillId="0" borderId="87" xfId="0" applyFont="1" applyFill="1" applyBorder="1" applyAlignment="1">
      <alignment wrapText="1"/>
    </xf>
    <xf numFmtId="4" fontId="22" fillId="0" borderId="88" xfId="0" applyNumberFormat="1" applyFont="1" applyBorder="1"/>
    <xf numFmtId="0" fontId="23" fillId="0" borderId="89" xfId="0" applyFont="1" applyBorder="1" applyAlignment="1">
      <alignment wrapText="1"/>
    </xf>
    <xf numFmtId="0" fontId="23" fillId="0" borderId="71" xfId="0" applyFont="1" applyBorder="1" applyAlignment="1">
      <alignment horizontal="center" wrapText="1"/>
    </xf>
    <xf numFmtId="167" fontId="23" fillId="0" borderId="71" xfId="0" applyNumberFormat="1" applyFont="1" applyBorder="1" applyAlignment="1">
      <alignment horizontal="center" wrapText="1"/>
    </xf>
    <xf numFmtId="197" fontId="35" fillId="0" borderId="0" xfId="0" applyNumberFormat="1" applyFont="1" applyAlignment="1">
      <alignment horizontal="center"/>
    </xf>
    <xf numFmtId="171" fontId="35" fillId="0" borderId="0" xfId="0" applyNumberFormat="1" applyFont="1" applyAlignment="1">
      <alignment horizontal="center"/>
    </xf>
    <xf numFmtId="171" fontId="35" fillId="0" borderId="0" xfId="6" applyNumberFormat="1" applyFont="1" applyAlignment="1">
      <alignment horizontal="center"/>
    </xf>
    <xf numFmtId="198" fontId="35" fillId="0" borderId="0" xfId="6" applyNumberFormat="1" applyFont="1" applyAlignment="1">
      <alignment horizontal="center"/>
    </xf>
    <xf numFmtId="197" fontId="35" fillId="0" borderId="0" xfId="0" applyNumberFormat="1" applyFont="1" applyFill="1" applyAlignment="1">
      <alignment horizontal="center"/>
    </xf>
    <xf numFmtId="171" fontId="35" fillId="0" borderId="1" xfId="0" applyNumberFormat="1" applyFont="1" applyFill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15" fontId="35" fillId="0" borderId="1" xfId="0" applyNumberFormat="1" applyFont="1" applyFill="1" applyBorder="1" applyAlignment="1">
      <alignment horizontal="right"/>
    </xf>
    <xf numFmtId="197" fontId="35" fillId="0" borderId="1" xfId="1" applyNumberFormat="1" applyFont="1" applyFill="1" applyBorder="1" applyAlignment="1">
      <alignment horizontal="right"/>
    </xf>
    <xf numFmtId="197" fontId="35" fillId="0" borderId="1" xfId="1" applyNumberFormat="1" applyFont="1" applyFill="1" applyBorder="1" applyAlignment="1">
      <alignment horizontal="center"/>
    </xf>
    <xf numFmtId="199" fontId="35" fillId="0" borderId="1" xfId="6" applyNumberFormat="1" applyFont="1" applyFill="1" applyBorder="1" applyAlignment="1">
      <alignment horizontal="right"/>
    </xf>
    <xf numFmtId="171" fontId="35" fillId="0" borderId="1" xfId="0" applyNumberFormat="1" applyFont="1" applyFill="1" applyBorder="1" applyAlignment="1">
      <alignment horizontal="center"/>
    </xf>
    <xf numFmtId="198" fontId="35" fillId="0" borderId="1" xfId="6" applyNumberFormat="1" applyFont="1" applyFill="1" applyBorder="1" applyAlignment="1">
      <alignment horizontal="right"/>
    </xf>
    <xf numFmtId="198" fontId="35" fillId="0" borderId="1" xfId="6" applyNumberFormat="1" applyFont="1" applyFill="1" applyBorder="1" applyAlignment="1">
      <alignment horizontal="center"/>
    </xf>
    <xf numFmtId="10" fontId="3" fillId="0" borderId="0" xfId="6" applyNumberFormat="1" applyFont="1"/>
    <xf numFmtId="167" fontId="0" fillId="0" borderId="1" xfId="0" applyNumberForma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/>
    <xf numFmtId="191" fontId="23" fillId="0" borderId="0" xfId="6" applyNumberFormat="1" applyFont="1" applyFill="1" applyBorder="1" applyAlignment="1">
      <alignment horizontal="center"/>
    </xf>
    <xf numFmtId="9" fontId="23" fillId="0" borderId="0" xfId="6" applyFont="1" applyFill="1" applyBorder="1" applyAlignment="1">
      <alignment horizontal="center"/>
    </xf>
    <xf numFmtId="0" fontId="25" fillId="0" borderId="0" xfId="0" applyFont="1" applyFill="1" applyBorder="1"/>
    <xf numFmtId="2" fontId="12" fillId="0" borderId="7" xfId="0" applyNumberFormat="1" applyFont="1" applyBorder="1" applyAlignment="1">
      <alignment horizontal="center"/>
    </xf>
    <xf numFmtId="2" fontId="40" fillId="2" borderId="7" xfId="2" applyNumberFormat="1" applyFont="1" applyFill="1" applyBorder="1" applyAlignment="1">
      <alignment horizontal="center" wrapText="1"/>
    </xf>
    <xf numFmtId="9" fontId="12" fillId="0" borderId="2" xfId="6" applyFont="1" applyFill="1" applyBorder="1" applyAlignment="1">
      <alignment horizontal="center"/>
    </xf>
    <xf numFmtId="2" fontId="40" fillId="2" borderId="2" xfId="2" applyNumberFormat="1" applyFont="1" applyFill="1" applyBorder="1" applyAlignment="1">
      <alignment horizontal="center" wrapText="1"/>
    </xf>
    <xf numFmtId="2" fontId="12" fillId="0" borderId="90" xfId="0" applyNumberFormat="1" applyFont="1" applyBorder="1" applyAlignment="1">
      <alignment horizontal="center"/>
    </xf>
    <xf numFmtId="180" fontId="39" fillId="0" borderId="12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2" fontId="42" fillId="0" borderId="0" xfId="0" applyNumberFormat="1" applyFont="1"/>
    <xf numFmtId="0" fontId="21" fillId="10" borderId="36" xfId="0" applyFont="1" applyFill="1" applyBorder="1" applyAlignment="1">
      <alignment horizontal="center"/>
    </xf>
    <xf numFmtId="0" fontId="21" fillId="10" borderId="5" xfId="0" applyFont="1" applyFill="1" applyBorder="1" applyAlignment="1">
      <alignment horizontal="center"/>
    </xf>
    <xf numFmtId="0" fontId="21" fillId="10" borderId="6" xfId="0" applyFont="1" applyFill="1" applyBorder="1" applyAlignment="1">
      <alignment horizontal="center"/>
    </xf>
    <xf numFmtId="0" fontId="7" fillId="0" borderId="16" xfId="0" applyFont="1" applyFill="1" applyBorder="1"/>
    <xf numFmtId="0" fontId="12" fillId="0" borderId="7" xfId="0" applyFont="1" applyFill="1" applyBorder="1"/>
    <xf numFmtId="0" fontId="12" fillId="0" borderId="16" xfId="0" applyFont="1" applyFill="1" applyBorder="1"/>
    <xf numFmtId="167" fontId="12" fillId="0" borderId="7" xfId="0" applyNumberFormat="1" applyFont="1" applyFill="1" applyBorder="1" applyAlignment="1">
      <alignment horizontal="right"/>
    </xf>
    <xf numFmtId="0" fontId="22" fillId="0" borderId="91" xfId="0" applyFont="1" applyFill="1" applyBorder="1"/>
    <xf numFmtId="10" fontId="22" fillId="0" borderId="49" xfId="0" applyNumberFormat="1" applyFont="1" applyFill="1" applyBorder="1"/>
    <xf numFmtId="0" fontId="8" fillId="0" borderId="0" xfId="0" applyFont="1" applyAlignment="1">
      <alignment wrapText="1"/>
    </xf>
    <xf numFmtId="0" fontId="21" fillId="0" borderId="36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179" fontId="44" fillId="8" borderId="95" xfId="1" applyFont="1" applyFill="1" applyBorder="1" applyAlignment="1">
      <alignment horizontal="center" wrapText="1" readingOrder="1"/>
    </xf>
    <xf numFmtId="179" fontId="44" fillId="8" borderId="96" xfId="1" applyFont="1" applyFill="1" applyBorder="1" applyAlignment="1">
      <alignment horizontal="center" wrapText="1" readingOrder="1"/>
    </xf>
    <xf numFmtId="0" fontId="44" fillId="8" borderId="97" xfId="0" applyFont="1" applyFill="1" applyBorder="1" applyAlignment="1">
      <alignment horizontal="center" wrapText="1" readingOrder="1"/>
    </xf>
    <xf numFmtId="0" fontId="44" fillId="8" borderId="98" xfId="0" applyFont="1" applyFill="1" applyBorder="1" applyAlignment="1">
      <alignment horizontal="center" wrapText="1" readingOrder="1"/>
    </xf>
    <xf numFmtId="0" fontId="21" fillId="0" borderId="23" xfId="0" applyFont="1" applyBorder="1" applyAlignment="1">
      <alignment horizontal="left" wrapText="1"/>
    </xf>
    <xf numFmtId="0" fontId="21" fillId="0" borderId="3" xfId="0" applyFont="1" applyBorder="1" applyAlignment="1">
      <alignment horizontal="left" wrapText="1"/>
    </xf>
    <xf numFmtId="0" fontId="21" fillId="0" borderId="23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9" fillId="3" borderId="92" xfId="3" applyFont="1" applyFill="1" applyBorder="1" applyAlignment="1">
      <alignment horizontal="center"/>
    </xf>
    <xf numFmtId="0" fontId="29" fillId="3" borderId="93" xfId="3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3" borderId="94" xfId="3" applyFont="1" applyFill="1" applyBorder="1" applyAlignment="1">
      <alignment horizontal="center"/>
    </xf>
    <xf numFmtId="171" fontId="35" fillId="0" borderId="91" xfId="0" applyNumberFormat="1" applyFont="1" applyFill="1" applyBorder="1" applyAlignment="1">
      <alignment horizontal="center"/>
    </xf>
    <xf numFmtId="171" fontId="35" fillId="0" borderId="48" xfId="0" applyNumberFormat="1" applyFont="1" applyFill="1" applyBorder="1" applyAlignment="1">
      <alignment horizontal="center"/>
    </xf>
    <xf numFmtId="3" fontId="6" fillId="2" borderId="1" xfId="3" applyNumberFormat="1" applyFont="1" applyFill="1" applyBorder="1" applyAlignment="1">
      <alignment vertical="distributed" wrapText="1"/>
    </xf>
    <xf numFmtId="3" fontId="6" fillId="2" borderId="25" xfId="3" applyNumberFormat="1" applyFont="1" applyFill="1" applyBorder="1" applyAlignment="1">
      <alignment vertical="distributed" wrapText="1"/>
    </xf>
    <xf numFmtId="3" fontId="6" fillId="2" borderId="43" xfId="3" applyNumberFormat="1" applyFont="1" applyFill="1" applyBorder="1" applyAlignment="1">
      <alignment vertical="distributed" wrapText="1"/>
    </xf>
    <xf numFmtId="3" fontId="6" fillId="0" borderId="99" xfId="3" applyNumberFormat="1" applyFont="1" applyFill="1" applyBorder="1" applyAlignment="1">
      <alignment horizontal="left"/>
    </xf>
    <xf numFmtId="3" fontId="6" fillId="0" borderId="100" xfId="3" applyNumberFormat="1" applyFont="1" applyFill="1" applyBorder="1" applyAlignment="1">
      <alignment horizontal="left"/>
    </xf>
    <xf numFmtId="16" fontId="39" fillId="0" borderId="0" xfId="0" applyNumberFormat="1" applyFont="1" applyFill="1" applyBorder="1" applyAlignment="1">
      <alignment horizontal="center"/>
    </xf>
    <xf numFmtId="0" fontId="10" fillId="3" borderId="1" xfId="3" applyFont="1" applyFill="1" applyBorder="1" applyAlignment="1">
      <alignment horizontal="center"/>
    </xf>
    <xf numFmtId="3" fontId="6" fillId="2" borderId="1" xfId="3" applyNumberFormat="1" applyFont="1" applyFill="1" applyBorder="1" applyAlignment="1">
      <alignment horizontal="center" vertical="distributed" wrapText="1"/>
    </xf>
    <xf numFmtId="0" fontId="7" fillId="0" borderId="1" xfId="0" applyFont="1" applyBorder="1" applyAlignment="1">
      <alignment horizontal="center" wrapText="1"/>
    </xf>
    <xf numFmtId="3" fontId="6" fillId="2" borderId="47" xfId="3" applyNumberFormat="1" applyFont="1" applyFill="1" applyBorder="1" applyAlignment="1">
      <alignment vertical="distributed" wrapText="1"/>
    </xf>
    <xf numFmtId="3" fontId="6" fillId="2" borderId="66" xfId="3" applyNumberFormat="1" applyFont="1" applyFill="1" applyBorder="1" applyAlignment="1">
      <alignment vertical="distributed" wrapText="1"/>
    </xf>
    <xf numFmtId="0" fontId="3" fillId="0" borderId="1" xfId="0" applyFont="1" applyBorder="1" applyAlignment="1">
      <alignment horizontal="center"/>
    </xf>
    <xf numFmtId="0" fontId="14" fillId="0" borderId="101" xfId="0" applyFont="1" applyBorder="1" applyAlignment="1">
      <alignment horizontal="center"/>
    </xf>
    <xf numFmtId="0" fontId="14" fillId="0" borderId="102" xfId="0" applyFont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7" fillId="0" borderId="91" xfId="0" applyFont="1" applyBorder="1" applyAlignment="1">
      <alignment horizontal="center" wrapText="1"/>
    </xf>
    <xf numFmtId="0" fontId="7" fillId="0" borderId="107" xfId="0" applyFont="1" applyBorder="1" applyAlignment="1">
      <alignment horizontal="center" wrapText="1"/>
    </xf>
    <xf numFmtId="0" fontId="10" fillId="3" borderId="25" xfId="3" applyFont="1" applyFill="1" applyBorder="1" applyAlignment="1">
      <alignment horizontal="center"/>
    </xf>
    <xf numFmtId="0" fontId="10" fillId="3" borderId="43" xfId="3" applyFont="1" applyFill="1" applyBorder="1" applyAlignment="1">
      <alignment horizontal="center"/>
    </xf>
    <xf numFmtId="0" fontId="10" fillId="3" borderId="92" xfId="3" applyFont="1" applyFill="1" applyBorder="1" applyAlignment="1">
      <alignment horizontal="center"/>
    </xf>
    <xf numFmtId="0" fontId="10" fillId="3" borderId="84" xfId="3" applyFont="1" applyFill="1" applyBorder="1" applyAlignment="1">
      <alignment horizontal="center"/>
    </xf>
    <xf numFmtId="3" fontId="6" fillId="2" borderId="16" xfId="3" applyNumberFormat="1" applyFont="1" applyFill="1" applyBorder="1" applyAlignment="1">
      <alignment vertical="distributed" wrapText="1"/>
    </xf>
    <xf numFmtId="0" fontId="10" fillId="3" borderId="23" xfId="3" applyFont="1" applyFill="1" applyBorder="1" applyAlignment="1">
      <alignment horizontal="center"/>
    </xf>
    <xf numFmtId="0" fontId="10" fillId="3" borderId="3" xfId="3" applyFont="1" applyFill="1" applyBorder="1" applyAlignment="1">
      <alignment horizontal="center"/>
    </xf>
    <xf numFmtId="3" fontId="6" fillId="2" borderId="38" xfId="3" applyNumberFormat="1" applyFont="1" applyFill="1" applyBorder="1" applyAlignment="1">
      <alignment vertical="distributed" wrapText="1"/>
    </xf>
    <xf numFmtId="3" fontId="6" fillId="2" borderId="4" xfId="3" applyNumberFormat="1" applyFont="1" applyFill="1" applyBorder="1" applyAlignment="1">
      <alignment vertical="distributed" wrapText="1"/>
    </xf>
    <xf numFmtId="3" fontId="6" fillId="2" borderId="106" xfId="3" applyNumberFormat="1" applyFont="1" applyFill="1" applyBorder="1" applyAlignment="1">
      <alignment vertical="distributed" wrapText="1"/>
    </xf>
    <xf numFmtId="3" fontId="6" fillId="2" borderId="2" xfId="3" applyNumberFormat="1" applyFont="1" applyFill="1" applyBorder="1" applyAlignment="1">
      <alignment vertical="distributed" wrapText="1"/>
    </xf>
    <xf numFmtId="0" fontId="10" fillId="3" borderId="74" xfId="3" applyFont="1" applyFill="1" applyBorder="1" applyAlignment="1">
      <alignment horizontal="center"/>
    </xf>
    <xf numFmtId="3" fontId="6" fillId="2" borderId="1" xfId="3" applyNumberFormat="1" applyFont="1" applyFill="1" applyBorder="1" applyAlignment="1">
      <alignment horizontal="left" vertical="distributed" wrapText="1"/>
    </xf>
    <xf numFmtId="16" fontId="39" fillId="3" borderId="50" xfId="0" applyNumberFormat="1" applyFont="1" applyFill="1" applyBorder="1" applyAlignment="1">
      <alignment horizontal="center"/>
    </xf>
    <xf numFmtId="16" fontId="39" fillId="3" borderId="104" xfId="0" applyNumberFormat="1" applyFont="1" applyFill="1" applyBorder="1" applyAlignment="1">
      <alignment horizontal="center"/>
    </xf>
    <xf numFmtId="0" fontId="10" fillId="3" borderId="105" xfId="3" applyFont="1" applyFill="1" applyBorder="1" applyAlignment="1">
      <alignment horizontal="center"/>
    </xf>
    <xf numFmtId="0" fontId="10" fillId="3" borderId="10" xfId="3" applyFont="1" applyFill="1" applyBorder="1" applyAlignment="1">
      <alignment horizontal="center"/>
    </xf>
    <xf numFmtId="0" fontId="10" fillId="3" borderId="19" xfId="3" applyFont="1" applyFill="1" applyBorder="1" applyAlignment="1">
      <alignment horizontal="center"/>
    </xf>
    <xf numFmtId="0" fontId="10" fillId="3" borderId="40" xfId="3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left"/>
    </xf>
    <xf numFmtId="0" fontId="39" fillId="0" borderId="101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0" fontId="39" fillId="0" borderId="103" xfId="0" applyFont="1" applyBorder="1" applyAlignment="1">
      <alignment horizontal="center"/>
    </xf>
    <xf numFmtId="0" fontId="0" fillId="0" borderId="101" xfId="0" applyBorder="1" applyAlignment="1">
      <alignment horizontal="center" wrapText="1"/>
    </xf>
    <xf numFmtId="0" fontId="0" fillId="0" borderId="102" xfId="0" applyBorder="1" applyAlignment="1">
      <alignment horizontal="center" wrapText="1"/>
    </xf>
    <xf numFmtId="0" fontId="0" fillId="0" borderId="103" xfId="0" applyBorder="1" applyAlignment="1">
      <alignment horizontal="center" wrapText="1"/>
    </xf>
    <xf numFmtId="0" fontId="1" fillId="0" borderId="101" xfId="0" applyFont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0" fillId="6" borderId="1" xfId="0" applyFill="1" applyBorder="1" applyAlignment="1">
      <alignment horizontal="center"/>
    </xf>
    <xf numFmtId="0" fontId="28" fillId="6" borderId="1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7" fillId="3" borderId="101" xfId="0" applyFont="1" applyFill="1" applyBorder="1" applyAlignment="1">
      <alignment horizontal="center"/>
    </xf>
    <xf numFmtId="0" fontId="7" fillId="3" borderId="102" xfId="0" applyFont="1" applyFill="1" applyBorder="1" applyAlignment="1">
      <alignment horizontal="center"/>
    </xf>
    <xf numFmtId="0" fontId="7" fillId="3" borderId="103" xfId="0" applyFont="1" applyFill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4" fontId="22" fillId="0" borderId="1" xfId="0" applyNumberFormat="1" applyFont="1" applyFill="1" applyBorder="1"/>
    <xf numFmtId="9" fontId="22" fillId="0" borderId="1" xfId="6" applyFont="1" applyFill="1" applyBorder="1"/>
    <xf numFmtId="10" fontId="22" fillId="0" borderId="1" xfId="6" applyNumberFormat="1" applyFont="1" applyFill="1" applyBorder="1"/>
    <xf numFmtId="1" fontId="0" fillId="0" borderId="0" xfId="0" applyNumberFormat="1"/>
    <xf numFmtId="10" fontId="0" fillId="0" borderId="0" xfId="0" applyNumberFormat="1"/>
    <xf numFmtId="4" fontId="0" fillId="0" borderId="1" xfId="0" applyNumberFormat="1" applyBorder="1"/>
    <xf numFmtId="179" fontId="48" fillId="0" borderId="1" xfId="1" applyNumberFormat="1" applyFont="1" applyBorder="1"/>
    <xf numFmtId="0" fontId="47" fillId="0" borderId="1" xfId="0" applyFont="1" applyBorder="1" applyAlignment="1">
      <alignment horizontal="center"/>
    </xf>
  </cellXfs>
  <cellStyles count="7">
    <cellStyle name="Millares" xfId="1" builtinId="3"/>
    <cellStyle name="Millares 2" xfId="2"/>
    <cellStyle name="Normal" xfId="0" builtinId="0"/>
    <cellStyle name="Normal 2" xfId="3"/>
    <cellStyle name="Normal 3" xfId="4"/>
    <cellStyle name="Normal 4" xfId="5"/>
    <cellStyle name="Porcentual" xfId="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19587628865979381"/>
          <c:y val="8.9347378877318501E-2"/>
          <c:w val="0.59381443298969072"/>
          <c:h val="0.8247450357906323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Val val="1"/>
          </c:dLbls>
          <c:cat>
            <c:strRef>
              <c:f>'FLUJO DE CAJA 1'!$C$37:$E$37</c:f>
              <c:strCache>
                <c:ptCount val="3"/>
                <c:pt idx="0">
                  <c:v>PESIMISTA </c:v>
                </c:pt>
                <c:pt idx="1">
                  <c:v>NORMAL</c:v>
                </c:pt>
                <c:pt idx="2">
                  <c:v>OPTIMISTA</c:v>
                </c:pt>
              </c:strCache>
            </c:strRef>
          </c:cat>
          <c:val>
            <c:numRef>
              <c:f>'FLUJO DE CAJA 1'!$C$36:$E$36</c:f>
              <c:numCache>
                <c:formatCode>#,##0.00</c:formatCode>
                <c:ptCount val="3"/>
                <c:pt idx="0">
                  <c:v>-90090.48</c:v>
                </c:pt>
                <c:pt idx="1">
                  <c:v>90381.45</c:v>
                </c:pt>
                <c:pt idx="2">
                  <c:v>268395.26</c:v>
                </c:pt>
              </c:numCache>
            </c:numRef>
          </c:val>
        </c:ser>
        <c:marker val="1"/>
        <c:axId val="113414912"/>
        <c:axId val="113416448"/>
      </c:lineChart>
      <c:catAx>
        <c:axId val="113414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416448"/>
        <c:crosses val="autoZero"/>
        <c:auto val="1"/>
        <c:lblAlgn val="ctr"/>
        <c:lblOffset val="100"/>
        <c:tickLblSkip val="1"/>
        <c:tickMarkSkip val="1"/>
      </c:catAx>
      <c:valAx>
        <c:axId val="113416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41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7113402061856"/>
          <c:y val="0.46391896889177514"/>
          <c:w val="0.17113402061855665"/>
          <c:h val="7.5601735350091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19587628865979381"/>
          <c:y val="8.9347378877318501E-2"/>
          <c:w val="0.59381443298969072"/>
          <c:h val="0.82474503579063252"/>
        </c:manualLayout>
      </c:layout>
      <c:lineChart>
        <c:grouping val="standard"/>
        <c:ser>
          <c:idx val="0"/>
          <c:order val="0"/>
          <c:tx>
            <c:strRef>
              <c:f>'FLUJO DE CAJA 1'!$B$58</c:f>
              <c:strCache>
                <c:ptCount val="1"/>
                <c:pt idx="0">
                  <c:v>Tasa de descuento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Val val="1"/>
          </c:dLbls>
          <c:val>
            <c:numRef>
              <c:f>'FLUJO DE CAJA 1'!$C$58:$E$58</c:f>
              <c:numCache>
                <c:formatCode>0.00%</c:formatCode>
                <c:ptCount val="3"/>
                <c:pt idx="0" formatCode="0%">
                  <c:v>0.6</c:v>
                </c:pt>
                <c:pt idx="1">
                  <c:v>0.32819999999999999</c:v>
                </c:pt>
                <c:pt idx="2">
                  <c:v>7.8200000000000006E-2</c:v>
                </c:pt>
              </c:numCache>
            </c:numRef>
          </c:val>
        </c:ser>
        <c:ser>
          <c:idx val="1"/>
          <c:order val="1"/>
          <c:tx>
            <c:strRef>
              <c:f>'FLUJO DE CAJA 1'!$B$59</c:f>
              <c:strCache>
                <c:ptCount val="1"/>
                <c:pt idx="0">
                  <c:v>VAN</c:v>
                </c:pt>
              </c:strCache>
            </c:strRef>
          </c:tx>
          <c:dLbls>
            <c:showVal val="1"/>
          </c:dLbls>
          <c:val>
            <c:numRef>
              <c:f>'FLUJO DE CAJA 1'!$C$59:$E$59</c:f>
              <c:numCache>
                <c:formatCode>#,##0.00</c:formatCode>
                <c:ptCount val="3"/>
                <c:pt idx="0">
                  <c:v>-90090.484531892784</c:v>
                </c:pt>
                <c:pt idx="1">
                  <c:v>90372.635960775369</c:v>
                </c:pt>
                <c:pt idx="2">
                  <c:v>1513657.9946930725</c:v>
                </c:pt>
              </c:numCache>
            </c:numRef>
          </c:val>
        </c:ser>
        <c:marker val="1"/>
        <c:axId val="123329920"/>
        <c:axId val="123380864"/>
      </c:lineChart>
      <c:catAx>
        <c:axId val="123329920"/>
        <c:scaling>
          <c:orientation val="minMax"/>
        </c:scaling>
        <c:axPos val="b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3380864"/>
        <c:crosses val="autoZero"/>
        <c:auto val="1"/>
        <c:lblAlgn val="ctr"/>
        <c:lblOffset val="100"/>
        <c:tickLblSkip val="1"/>
        <c:tickMarkSkip val="1"/>
      </c:catAx>
      <c:valAx>
        <c:axId val="12338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3329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7113402061867"/>
          <c:y val="0.46391896889177536"/>
          <c:w val="0.18762886597938144"/>
          <c:h val="0.148244356053431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38</xdr:row>
      <xdr:rowOff>95250</xdr:rowOff>
    </xdr:from>
    <xdr:to>
      <xdr:col>5</xdr:col>
      <xdr:colOff>504825</xdr:colOff>
      <xdr:row>52</xdr:row>
      <xdr:rowOff>66675</xdr:rowOff>
    </xdr:to>
    <xdr:graphicFrame macro="">
      <xdr:nvGraphicFramePr>
        <xdr:cNvPr id="1843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61</xdr:row>
      <xdr:rowOff>47625</xdr:rowOff>
    </xdr:from>
    <xdr:to>
      <xdr:col>5</xdr:col>
      <xdr:colOff>466725</xdr:colOff>
      <xdr:row>75</xdr:row>
      <xdr:rowOff>19050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opLeftCell="A7" zoomScaleNormal="100" workbookViewId="0">
      <selection activeCell="C25" sqref="C25"/>
    </sheetView>
  </sheetViews>
  <sheetFormatPr baseColWidth="10" defaultColWidth="10.8984375" defaultRowHeight="15.75"/>
  <cols>
    <col min="1" max="1" width="7.3984375" style="295" customWidth="1"/>
    <col min="2" max="2" width="12.69921875" style="295" customWidth="1"/>
    <col min="3" max="3" width="8.796875" style="295" customWidth="1"/>
    <col min="4" max="4" width="11.5" style="295" bestFit="1" customWidth="1"/>
    <col min="5" max="5" width="9.09765625" style="295" bestFit="1" customWidth="1"/>
    <col min="6" max="6" width="7" style="295" bestFit="1" customWidth="1"/>
    <col min="7" max="7" width="7.09765625" style="295" bestFit="1" customWidth="1"/>
    <col min="8" max="8" width="8.3984375" style="295" customWidth="1"/>
    <col min="9" max="16384" width="10.8984375" style="295"/>
  </cols>
  <sheetData>
    <row r="1" spans="1:9" ht="16.5" thickBot="1"/>
    <row r="2" spans="1:9">
      <c r="B2" s="407" t="s">
        <v>112</v>
      </c>
      <c r="C2" s="408">
        <v>0</v>
      </c>
      <c r="D2" s="408">
        <v>1</v>
      </c>
      <c r="E2" s="408">
        <v>2</v>
      </c>
      <c r="F2" s="408">
        <v>3</v>
      </c>
      <c r="G2" s="408">
        <v>4</v>
      </c>
      <c r="H2" s="409">
        <v>5</v>
      </c>
    </row>
    <row r="3" spans="1:9">
      <c r="B3" s="410" t="s">
        <v>54</v>
      </c>
      <c r="C3" s="296"/>
      <c r="D3" s="296"/>
      <c r="E3" s="296"/>
      <c r="F3" s="296"/>
      <c r="G3" s="296"/>
      <c r="H3" s="411"/>
    </row>
    <row r="4" spans="1:9" s="232" customFormat="1">
      <c r="A4" s="297"/>
      <c r="B4" s="412" t="s">
        <v>50</v>
      </c>
      <c r="C4" s="296"/>
      <c r="D4" s="298">
        <v>90000</v>
      </c>
      <c r="E4" s="298">
        <f>+D4*Datos!I7</f>
        <v>97389</v>
      </c>
      <c r="F4" s="298">
        <f>+E4*Datos!J7</f>
        <v>106621.47719999999</v>
      </c>
      <c r="G4" s="298">
        <f>+F4*Datos!K7</f>
        <v>118328.51539655999</v>
      </c>
      <c r="H4" s="413">
        <f>+G4*Datos!L7</f>
        <v>132598.93435338512</v>
      </c>
      <c r="I4" s="299">
        <f>30*250*12</f>
        <v>90000</v>
      </c>
    </row>
    <row r="5" spans="1:9" s="52" customFormat="1">
      <c r="B5" s="412" t="s">
        <v>212</v>
      </c>
      <c r="C5" s="296"/>
      <c r="D5" s="298">
        <v>52920</v>
      </c>
      <c r="E5" s="298">
        <f>+D5*Datos!I7</f>
        <v>57264.732000000004</v>
      </c>
      <c r="F5" s="298">
        <f>+E5*Datos!J7</f>
        <v>62693.428593600001</v>
      </c>
      <c r="G5" s="298">
        <f>+F5*Datos!K7</f>
        <v>69577.167053177269</v>
      </c>
      <c r="H5" s="413">
        <f>+G5*Datos!L7</f>
        <v>77968.173399790452</v>
      </c>
      <c r="I5" s="52">
        <f>147*30*12</f>
        <v>52920</v>
      </c>
    </row>
    <row r="6" spans="1:9">
      <c r="B6" s="410" t="s">
        <v>55</v>
      </c>
      <c r="C6" s="296"/>
      <c r="D6" s="298">
        <f>SUM(D4:D5)</f>
        <v>142920</v>
      </c>
      <c r="E6" s="298">
        <f>SUM(E4:E5)</f>
        <v>154653.73200000002</v>
      </c>
      <c r="F6" s="298">
        <f>SUM(F4:F5)</f>
        <v>169314.90579359999</v>
      </c>
      <c r="G6" s="298">
        <f>SUM(G4:G5)</f>
        <v>187905.68244973727</v>
      </c>
      <c r="H6" s="413">
        <f>SUM(H4:H5)</f>
        <v>210567.10775317557</v>
      </c>
    </row>
    <row r="7" spans="1:9">
      <c r="B7" s="292"/>
      <c r="C7" s="340"/>
      <c r="D7" s="341"/>
      <c r="E7" s="341"/>
      <c r="F7" s="341"/>
      <c r="G7" s="341"/>
      <c r="H7" s="342"/>
    </row>
    <row r="8" spans="1:9">
      <c r="B8" s="133" t="s">
        <v>56</v>
      </c>
      <c r="C8" s="302"/>
      <c r="D8" s="300"/>
      <c r="E8" s="300"/>
      <c r="F8" s="300"/>
      <c r="G8" s="300"/>
      <c r="H8" s="301"/>
    </row>
    <row r="9" spans="1:9">
      <c r="B9" s="132" t="s">
        <v>125</v>
      </c>
      <c r="C9" s="303"/>
      <c r="D9" s="326">
        <f>+'Estado Pèrdidas Y Ganacias'!C9</f>
        <v>47940</v>
      </c>
      <c r="E9" s="326">
        <f>+'Estado Pèrdidas Y Ganacias'!D9</f>
        <v>51186.33</v>
      </c>
      <c r="F9" s="326">
        <f>+'Estado Pèrdidas Y Ganacias'!E9</f>
        <v>55242.526459360903</v>
      </c>
      <c r="G9" s="326">
        <f>+'Estado Pèrdidas Y Ganacias'!F9</f>
        <v>60385.755144217685</v>
      </c>
      <c r="H9" s="327">
        <f>+'Estado Pèrdidas Y Ganacias'!G9</f>
        <v>66655.163539279631</v>
      </c>
    </row>
    <row r="10" spans="1:9">
      <c r="B10" s="132" t="s">
        <v>62</v>
      </c>
      <c r="C10" s="303"/>
      <c r="D10" s="328">
        <f>+'Estado Pèrdidas Y Ganacias'!C10</f>
        <v>454.2</v>
      </c>
      <c r="E10" s="328">
        <f>+'Estado Pèrdidas Y Ganacias'!D10</f>
        <v>491.48982000000001</v>
      </c>
      <c r="F10" s="328">
        <f>+'Estado Pèrdidas Y Ganacias'!E10</f>
        <v>538.08305493600005</v>
      </c>
      <c r="G10" s="328">
        <f>+'Estado Pèrdidas Y Ganacias'!F10</f>
        <v>597.16457436797282</v>
      </c>
      <c r="H10" s="329">
        <f>+'Estado Pèrdidas Y Ganacias'!G10</f>
        <v>669.18262203675033</v>
      </c>
    </row>
    <row r="11" spans="1:9">
      <c r="B11" s="132" t="s">
        <v>126</v>
      </c>
      <c r="C11" s="303"/>
      <c r="D11" s="328">
        <f>+'Equipo de Oficina, computacion '!$F$57</f>
        <v>5198.0863333333336</v>
      </c>
      <c r="E11" s="328">
        <f>+'Equipo de Oficina, computacion '!$F$57</f>
        <v>5198.0863333333336</v>
      </c>
      <c r="F11" s="328">
        <f>+'Equipo de Oficina, computacion '!$F$57</f>
        <v>5198.0863333333336</v>
      </c>
      <c r="G11" s="328">
        <f>+'Equipo de Oficina, computacion '!$F$57</f>
        <v>5198.0863333333336</v>
      </c>
      <c r="H11" s="329">
        <f>+'Equipo de Oficina, computacion '!$F$57</f>
        <v>5198.0863333333336</v>
      </c>
    </row>
    <row r="12" spans="1:9">
      <c r="B12" s="132" t="s">
        <v>121</v>
      </c>
      <c r="C12" s="303"/>
      <c r="D12" s="328">
        <f>+'Gastos De Constitucion'!D5</f>
        <v>45956.800000000003</v>
      </c>
      <c r="E12" s="328">
        <f>+D12</f>
        <v>45956.800000000003</v>
      </c>
      <c r="F12" s="328">
        <f>+E12</f>
        <v>45956.800000000003</v>
      </c>
      <c r="G12" s="328">
        <f>+F12</f>
        <v>45956.800000000003</v>
      </c>
      <c r="H12" s="329">
        <f>+G12</f>
        <v>45956.800000000003</v>
      </c>
    </row>
    <row r="13" spans="1:9">
      <c r="B13" s="133" t="s">
        <v>59</v>
      </c>
      <c r="C13" s="303"/>
      <c r="D13" s="328">
        <f>+SUM(D9:D12)</f>
        <v>99549.08633333334</v>
      </c>
      <c r="E13" s="328">
        <f>+SUM(E9:E12)</f>
        <v>102832.70615333333</v>
      </c>
      <c r="F13" s="328">
        <f>+SUM(F9:F12)</f>
        <v>106935.49584763024</v>
      </c>
      <c r="G13" s="328">
        <f>+SUM(G9:G12)</f>
        <v>112137.806051919</v>
      </c>
      <c r="H13" s="329">
        <f>+SUM(H9:H12)</f>
        <v>118479.23249464972</v>
      </c>
    </row>
    <row r="14" spans="1:9">
      <c r="B14" s="133" t="s">
        <v>22</v>
      </c>
      <c r="C14" s="303"/>
      <c r="D14" s="328">
        <f>D6-D13</f>
        <v>43370.91366666666</v>
      </c>
      <c r="E14" s="328">
        <f>E6-E13</f>
        <v>51821.025846666686</v>
      </c>
      <c r="F14" s="328">
        <f>F6-F13</f>
        <v>62379.409945969746</v>
      </c>
      <c r="G14" s="328">
        <f>G6-G13</f>
        <v>75767.876397818269</v>
      </c>
      <c r="H14" s="329">
        <f>H6-H13</f>
        <v>92087.875258525848</v>
      </c>
    </row>
    <row r="15" spans="1:9">
      <c r="B15" s="132" t="s">
        <v>127</v>
      </c>
      <c r="C15" s="303"/>
      <c r="D15" s="328">
        <f>+D11</f>
        <v>5198.0863333333336</v>
      </c>
      <c r="E15" s="328">
        <f>+E11</f>
        <v>5198.0863333333336</v>
      </c>
      <c r="F15" s="328">
        <f>+F11</f>
        <v>5198.0863333333336</v>
      </c>
      <c r="G15" s="328">
        <f>+G11</f>
        <v>5198.0863333333336</v>
      </c>
      <c r="H15" s="329">
        <f>+H11</f>
        <v>5198.0863333333336</v>
      </c>
    </row>
    <row r="16" spans="1:9">
      <c r="B16" s="132" t="s">
        <v>128</v>
      </c>
      <c r="C16" s="303"/>
      <c r="D16" s="328">
        <f>+D12</f>
        <v>45956.800000000003</v>
      </c>
      <c r="E16" s="328">
        <f>+D16</f>
        <v>45956.800000000003</v>
      </c>
      <c r="F16" s="328">
        <f>+E16</f>
        <v>45956.800000000003</v>
      </c>
      <c r="G16" s="328">
        <f>+F16</f>
        <v>45956.800000000003</v>
      </c>
      <c r="H16" s="329">
        <f>+G16</f>
        <v>45956.800000000003</v>
      </c>
    </row>
    <row r="17" spans="2:8">
      <c r="B17" s="132" t="s">
        <v>67</v>
      </c>
      <c r="C17" s="303">
        <f>-'CAPITAL DE TRABJO'!B5</f>
        <v>-3977.6054794520546</v>
      </c>
      <c r="D17" s="330">
        <f>-'CAPITAL DE TRABJO'!B20</f>
        <v>-4247.492040000001</v>
      </c>
      <c r="E17" s="331"/>
      <c r="F17" s="331"/>
      <c r="G17" s="332"/>
      <c r="H17" s="329">
        <f>-SUM(C17:G17)</f>
        <v>8225.0975194520561</v>
      </c>
    </row>
    <row r="18" spans="2:8" ht="51.75">
      <c r="B18" s="134" t="s">
        <v>124</v>
      </c>
      <c r="C18" s="306"/>
      <c r="D18" s="300"/>
      <c r="E18" s="300"/>
      <c r="F18" s="305"/>
      <c r="G18" s="130">
        <f>-('Equipo de Oficina, computacion '!I10+'Equipo de Oficina, computacion '!I8)*(1+Datos!K5)</f>
        <v>-6870.770941257284</v>
      </c>
      <c r="H18" s="131"/>
    </row>
    <row r="19" spans="2:8">
      <c r="B19" s="132" t="s">
        <v>78</v>
      </c>
      <c r="C19" s="303">
        <f>-('Estado de Situacion Inicial'!C33-'Estado de Situacion Inicial'!C32)</f>
        <v>-267318.87</v>
      </c>
      <c r="D19" s="304"/>
      <c r="E19" s="300"/>
      <c r="F19" s="300"/>
      <c r="G19" s="300"/>
      <c r="H19" s="301"/>
    </row>
    <row r="20" spans="2:8">
      <c r="B20" s="132" t="s">
        <v>80</v>
      </c>
      <c r="C20" s="303"/>
      <c r="D20" s="130">
        <f>+SUM(D14:D19)</f>
        <v>90278.307959999991</v>
      </c>
      <c r="E20" s="130">
        <f>+SUM(E14:E19)</f>
        <v>102975.91218000001</v>
      </c>
      <c r="F20" s="130">
        <f>+SUM(F14:F19)</f>
        <v>113534.29627930309</v>
      </c>
      <c r="G20" s="130">
        <f>+SUM(G14:G19)</f>
        <v>120051.99178989432</v>
      </c>
      <c r="H20" s="131">
        <f>+SUM(H14:H19)</f>
        <v>151467.85911131123</v>
      </c>
    </row>
    <row r="21" spans="2:8">
      <c r="B21" s="132" t="s">
        <v>79</v>
      </c>
      <c r="C21" s="306"/>
      <c r="D21" s="300"/>
      <c r="E21" s="300"/>
      <c r="F21" s="300"/>
      <c r="G21" s="305"/>
      <c r="H21" s="131">
        <f>+H20/C23</f>
        <v>461510.84433671919</v>
      </c>
    </row>
    <row r="22" spans="2:8" ht="30" customHeight="1" thickBot="1">
      <c r="B22" s="307" t="s">
        <v>123</v>
      </c>
      <c r="C22" s="308">
        <f>+C19+C17</f>
        <v>-271296.47547945206</v>
      </c>
      <c r="D22" s="309">
        <f>+SUM(D20:D21)</f>
        <v>90278.307959999991</v>
      </c>
      <c r="E22" s="309">
        <f>+SUM(E20:E21)</f>
        <v>102975.91218000001</v>
      </c>
      <c r="F22" s="309">
        <f>+SUM(F20:F21)</f>
        <v>113534.29627930309</v>
      </c>
      <c r="G22" s="309">
        <f>+SUM(G20:G21)</f>
        <v>120051.99178989432</v>
      </c>
      <c r="H22" s="310">
        <f>+SUM(H20:H21)</f>
        <v>612978.7034480304</v>
      </c>
    </row>
    <row r="23" spans="2:8" ht="16.5" customHeight="1">
      <c r="B23" s="311" t="s">
        <v>157</v>
      </c>
      <c r="C23" s="312">
        <v>0.32819999999999999</v>
      </c>
      <c r="D23" s="313"/>
      <c r="E23" s="313"/>
      <c r="F23" s="313"/>
      <c r="G23" s="313"/>
      <c r="H23" s="314"/>
    </row>
    <row r="24" spans="2:8" ht="16.5" thickBot="1">
      <c r="B24" s="315" t="s">
        <v>81</v>
      </c>
      <c r="C24" s="316">
        <f>NPV(C23,D22:H22)+C22</f>
        <v>90372.635960775369</v>
      </c>
      <c r="D24" s="317"/>
      <c r="E24" s="317"/>
      <c r="F24" s="317"/>
      <c r="G24" s="317"/>
      <c r="H24" s="318"/>
    </row>
    <row r="25" spans="2:8" ht="16.5" thickBot="1"/>
    <row r="26" spans="2:8" ht="16.5" thickBot="1">
      <c r="B26" s="414" t="s">
        <v>254</v>
      </c>
      <c r="C26" s="415">
        <f>IRR(C22:H22)</f>
        <v>0.44995586640585244</v>
      </c>
    </row>
    <row r="27" spans="2:8" ht="16.5" thickBot="1"/>
    <row r="28" spans="2:8">
      <c r="B28" s="417" t="s">
        <v>89</v>
      </c>
      <c r="C28" s="418"/>
      <c r="D28" s="419"/>
    </row>
    <row r="29" spans="2:8">
      <c r="B29" s="319" t="s">
        <v>90</v>
      </c>
      <c r="C29" s="232"/>
      <c r="D29" s="320" t="s">
        <v>94</v>
      </c>
    </row>
    <row r="30" spans="2:8">
      <c r="B30" s="319" t="s">
        <v>91</v>
      </c>
      <c r="C30" s="321">
        <v>0.5</v>
      </c>
      <c r="D30" s="322">
        <v>0.25</v>
      </c>
    </row>
    <row r="31" spans="2:8">
      <c r="B31" s="319" t="s">
        <v>92</v>
      </c>
      <c r="C31" s="321">
        <v>0.5</v>
      </c>
      <c r="D31" s="322">
        <v>0.15</v>
      </c>
    </row>
    <row r="32" spans="2:8" ht="16.5" thickBot="1">
      <c r="B32" s="323" t="s">
        <v>93</v>
      </c>
      <c r="C32" s="324">
        <f>+(C30*D30)+(C31*D31)</f>
        <v>0.2</v>
      </c>
      <c r="D32" s="325"/>
    </row>
    <row r="35" spans="2:5">
      <c r="B35" s="232" t="s">
        <v>257</v>
      </c>
      <c r="C35" s="232">
        <v>95280</v>
      </c>
      <c r="D35" s="232">
        <v>142920</v>
      </c>
      <c r="E35" s="232">
        <v>190560</v>
      </c>
    </row>
    <row r="36" spans="2:5">
      <c r="B36" s="232" t="s">
        <v>81</v>
      </c>
      <c r="C36" s="488">
        <v>-90090.48</v>
      </c>
      <c r="D36" s="488">
        <v>90381.45</v>
      </c>
      <c r="E36" s="488">
        <v>268395.26</v>
      </c>
    </row>
    <row r="37" spans="2:5">
      <c r="B37" s="232"/>
      <c r="C37" s="232" t="s">
        <v>258</v>
      </c>
      <c r="D37" s="232" t="s">
        <v>259</v>
      </c>
      <c r="E37" s="232" t="s">
        <v>260</v>
      </c>
    </row>
    <row r="58" spans="2:5">
      <c r="B58" s="232" t="s">
        <v>261</v>
      </c>
      <c r="C58" s="489">
        <v>0.6</v>
      </c>
      <c r="D58" s="490">
        <v>0.32819999999999999</v>
      </c>
      <c r="E58" s="490">
        <v>7.8200000000000006E-2</v>
      </c>
    </row>
    <row r="59" spans="2:5">
      <c r="B59" s="232" t="s">
        <v>81</v>
      </c>
      <c r="C59" s="488">
        <v>-90090.484531892784</v>
      </c>
      <c r="D59" s="488">
        <v>90372.635960775369</v>
      </c>
      <c r="E59" s="488">
        <v>1513657.9946930725</v>
      </c>
    </row>
    <row r="60" spans="2:5">
      <c r="B60" s="232"/>
      <c r="C60" s="232" t="s">
        <v>258</v>
      </c>
      <c r="D60" s="232" t="s">
        <v>259</v>
      </c>
      <c r="E60" s="232" t="s">
        <v>260</v>
      </c>
    </row>
  </sheetData>
  <mergeCells count="1">
    <mergeCell ref="B28:D28"/>
  </mergeCells>
  <phoneticPr fontId="0" type="noConversion"/>
  <pageMargins left="0.7" right="0.7" top="0.75" bottom="0.75" header="0.3" footer="0.3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3"/>
  <sheetViews>
    <sheetView workbookViewId="0">
      <selection activeCell="E12" sqref="E12"/>
    </sheetView>
  </sheetViews>
  <sheetFormatPr baseColWidth="10" defaultRowHeight="18.75"/>
  <cols>
    <col min="1" max="1" width="3.796875" customWidth="1"/>
    <col min="2" max="2" width="8.796875" bestFit="1" customWidth="1"/>
    <col min="3" max="3" width="9.3984375" bestFit="1" customWidth="1"/>
    <col min="4" max="7" width="4.09765625" bestFit="1" customWidth="1"/>
    <col min="8" max="9" width="5.796875" bestFit="1" customWidth="1"/>
    <col min="10" max="12" width="6.69921875" customWidth="1"/>
    <col min="13" max="13" width="8.59765625" customWidth="1"/>
    <col min="14" max="14" width="5.296875" customWidth="1"/>
    <col min="15" max="15" width="10.296875" customWidth="1"/>
    <col min="16" max="16" width="6.59765625" style="2" customWidth="1"/>
    <col min="17" max="17" width="5.69921875" style="2" customWidth="1"/>
    <col min="18" max="18" width="8.19921875" style="2" bestFit="1" customWidth="1"/>
    <col min="19" max="19" width="9" style="2" customWidth="1"/>
    <col min="20" max="20" width="7.8984375" style="2" customWidth="1"/>
    <col min="21" max="21" width="10" customWidth="1"/>
    <col min="22" max="22" width="15.09765625" customWidth="1"/>
  </cols>
  <sheetData>
    <row r="1" spans="1:22" s="33" customFormat="1">
      <c r="B1" s="47"/>
      <c r="C1" s="46"/>
      <c r="D1" s="46"/>
      <c r="E1" s="46"/>
      <c r="F1" s="46"/>
      <c r="G1" s="46"/>
      <c r="H1" s="46"/>
      <c r="I1" s="43"/>
      <c r="J1" s="43"/>
      <c r="K1" s="48"/>
      <c r="L1" s="48"/>
      <c r="P1" s="32"/>
      <c r="Q1" s="32"/>
      <c r="R1" s="32"/>
      <c r="S1" s="32"/>
      <c r="T1" s="32"/>
    </row>
    <row r="2" spans="1:22">
      <c r="B2" s="480" t="s">
        <v>52</v>
      </c>
      <c r="C2" s="480"/>
      <c r="D2" s="480"/>
      <c r="E2" s="480"/>
      <c r="F2" s="480"/>
      <c r="G2" s="480"/>
      <c r="H2" s="123">
        <v>2009</v>
      </c>
      <c r="I2" s="123">
        <v>2010</v>
      </c>
      <c r="J2" s="123">
        <v>2011</v>
      </c>
      <c r="K2" s="123">
        <v>2012</v>
      </c>
      <c r="L2" s="123">
        <v>2013</v>
      </c>
    </row>
    <row r="3" spans="1:22" ht="20.25" customHeight="1">
      <c r="B3" s="480"/>
      <c r="C3" s="480"/>
      <c r="D3" s="480"/>
      <c r="E3" s="480"/>
      <c r="F3" s="480"/>
      <c r="G3" s="480"/>
      <c r="H3" s="123">
        <v>1</v>
      </c>
      <c r="I3" s="123">
        <v>2</v>
      </c>
      <c r="J3" s="123">
        <v>3</v>
      </c>
      <c r="K3" s="123">
        <v>4</v>
      </c>
      <c r="L3" s="123">
        <v>5</v>
      </c>
    </row>
    <row r="4" spans="1:22">
      <c r="B4" s="479" t="s">
        <v>53</v>
      </c>
      <c r="C4" s="479"/>
      <c r="D4" s="479"/>
      <c r="E4" s="479"/>
      <c r="F4" s="479"/>
      <c r="G4" s="479"/>
      <c r="H4" s="1"/>
      <c r="I4" s="1">
        <v>0</v>
      </c>
      <c r="J4" s="1">
        <v>0</v>
      </c>
      <c r="K4" s="1">
        <v>0</v>
      </c>
      <c r="L4" s="1">
        <v>0</v>
      </c>
    </row>
    <row r="5" spans="1:22">
      <c r="B5" s="479" t="s">
        <v>51</v>
      </c>
      <c r="C5" s="479"/>
      <c r="D5" s="479"/>
      <c r="E5" s="479"/>
      <c r="F5" s="479"/>
      <c r="G5" s="479"/>
      <c r="H5" s="124">
        <f>+C14</f>
        <v>6.1273333333333332E-2</v>
      </c>
      <c r="I5" s="51">
        <f>+C15</f>
        <v>8.2135555555555559E-2</v>
      </c>
      <c r="J5" s="51">
        <f>+C16</f>
        <v>9.4817925925925917E-2</v>
      </c>
      <c r="K5" s="51">
        <f>+C17</f>
        <v>0.10977476543209878</v>
      </c>
      <c r="L5" s="51">
        <f>+C18</f>
        <v>0.120579246090535</v>
      </c>
    </row>
    <row r="7" spans="1:22">
      <c r="I7">
        <v>1.0821000000000001</v>
      </c>
      <c r="J7">
        <v>1.0948</v>
      </c>
      <c r="K7">
        <v>1.1097999999999999</v>
      </c>
      <c r="L7">
        <v>1.1206</v>
      </c>
      <c r="O7" s="22"/>
      <c r="P7" s="37"/>
      <c r="Q7" s="37"/>
      <c r="R7" s="37"/>
      <c r="S7" s="37"/>
      <c r="T7" s="37"/>
    </row>
    <row r="8" spans="1:22">
      <c r="A8">
        <v>1</v>
      </c>
      <c r="B8">
        <v>2003</v>
      </c>
      <c r="C8" s="31">
        <f>6.07/100</f>
        <v>6.0700000000000004E-2</v>
      </c>
      <c r="D8" s="31"/>
      <c r="E8" s="31"/>
      <c r="F8" s="31"/>
      <c r="G8" s="31"/>
      <c r="H8" s="31"/>
      <c r="O8" s="22"/>
      <c r="P8" s="37"/>
      <c r="Q8" s="37"/>
      <c r="R8" s="37"/>
      <c r="S8" s="37"/>
      <c r="T8" s="37"/>
    </row>
    <row r="9" spans="1:22">
      <c r="A9">
        <v>2</v>
      </c>
      <c r="B9">
        <v>2004</v>
      </c>
      <c r="C9" s="31">
        <f>1.95/100</f>
        <v>1.95E-2</v>
      </c>
      <c r="D9" s="31"/>
      <c r="E9" s="31"/>
      <c r="F9" s="31"/>
      <c r="G9" s="31"/>
      <c r="H9" s="31"/>
      <c r="O9" s="44"/>
      <c r="P9" s="390"/>
      <c r="Q9" s="390"/>
      <c r="R9" s="391"/>
      <c r="S9" s="390"/>
      <c r="T9" s="390"/>
      <c r="V9" s="45"/>
    </row>
    <row r="10" spans="1:22">
      <c r="A10">
        <v>3</v>
      </c>
      <c r="B10">
        <v>2005</v>
      </c>
      <c r="C10" s="31">
        <f>3.14/100</f>
        <v>3.1400000000000004E-2</v>
      </c>
      <c r="D10" s="31"/>
      <c r="E10" s="31"/>
      <c r="F10" s="31"/>
      <c r="G10" s="31"/>
      <c r="H10" s="31"/>
      <c r="L10" s="44"/>
      <c r="O10" s="392"/>
      <c r="P10" s="44"/>
      <c r="Q10" s="44"/>
      <c r="R10" s="393"/>
      <c r="S10" s="44"/>
      <c r="T10" s="394"/>
      <c r="V10" s="31"/>
    </row>
    <row r="11" spans="1:22">
      <c r="A11">
        <v>4</v>
      </c>
      <c r="B11">
        <v>2006</v>
      </c>
      <c r="C11" s="31">
        <f>2.87/100</f>
        <v>2.87E-2</v>
      </c>
      <c r="D11" s="31"/>
      <c r="E11" s="31"/>
      <c r="F11" s="31"/>
      <c r="G11" s="31"/>
      <c r="H11" s="31"/>
      <c r="L11" s="44"/>
      <c r="O11" s="392"/>
      <c r="P11" s="44"/>
      <c r="Q11" s="44"/>
      <c r="R11" s="393"/>
      <c r="S11" s="44"/>
      <c r="T11" s="394"/>
      <c r="V11" s="31"/>
    </row>
    <row r="12" spans="1:22" ht="16.5" customHeight="1">
      <c r="A12">
        <v>5</v>
      </c>
      <c r="B12">
        <v>2007</v>
      </c>
      <c r="C12" s="31">
        <f>3.32/100</f>
        <v>3.32E-2</v>
      </c>
      <c r="D12" s="31"/>
      <c r="E12" s="31"/>
      <c r="F12" s="31"/>
      <c r="G12" s="31"/>
      <c r="H12" s="31"/>
      <c r="L12" s="44"/>
      <c r="O12" s="392"/>
      <c r="P12" s="44"/>
      <c r="Q12" s="44"/>
      <c r="R12" s="393"/>
      <c r="S12" s="44"/>
      <c r="T12" s="394"/>
      <c r="V12" s="31"/>
    </row>
    <row r="13" spans="1:22">
      <c r="A13">
        <v>6</v>
      </c>
      <c r="B13">
        <v>2008</v>
      </c>
      <c r="C13" s="31">
        <f>8.83/100</f>
        <v>8.8300000000000003E-2</v>
      </c>
      <c r="D13" s="31"/>
      <c r="E13" s="31"/>
      <c r="F13" s="31"/>
      <c r="G13" s="31"/>
      <c r="H13" s="31"/>
      <c r="L13" s="44"/>
      <c r="O13" s="392"/>
      <c r="P13" s="44"/>
      <c r="Q13" s="44"/>
      <c r="R13" s="393"/>
      <c r="S13" s="44"/>
      <c r="T13" s="394"/>
      <c r="V13" s="31"/>
    </row>
    <row r="14" spans="1:22">
      <c r="A14" s="41">
        <v>7</v>
      </c>
      <c r="B14" s="41">
        <v>2009</v>
      </c>
      <c r="C14" s="42">
        <f>FORECAST(A14:A18,C8:C13,A8:A13)</f>
        <v>6.1273333333333332E-2</v>
      </c>
      <c r="D14" s="31"/>
      <c r="E14" s="31"/>
      <c r="F14" s="31"/>
      <c r="G14" s="31"/>
      <c r="H14" s="31"/>
      <c r="L14" s="44"/>
      <c r="M14" s="22"/>
      <c r="N14" s="22"/>
      <c r="O14" s="392"/>
      <c r="P14" s="44"/>
      <c r="Q14" s="44"/>
      <c r="R14" s="393"/>
      <c r="S14" s="44"/>
      <c r="T14" s="394"/>
      <c r="U14" s="22"/>
      <c r="V14" s="31"/>
    </row>
    <row r="15" spans="1:22">
      <c r="A15">
        <v>8</v>
      </c>
      <c r="B15">
        <v>2010</v>
      </c>
      <c r="C15" s="31">
        <f>FORECAST(A15:A19,C9:C14,A9:A14)</f>
        <v>8.2135555555555559E-2</v>
      </c>
      <c r="D15" s="31"/>
      <c r="E15" s="31"/>
      <c r="F15" s="31"/>
      <c r="G15" s="31"/>
      <c r="H15" s="31"/>
      <c r="L15" s="44"/>
      <c r="M15" s="22"/>
      <c r="N15" s="22"/>
      <c r="O15" s="392"/>
      <c r="P15" s="44"/>
      <c r="Q15" s="44"/>
      <c r="R15" s="393"/>
      <c r="S15" s="44"/>
      <c r="T15" s="394"/>
      <c r="U15" s="22"/>
      <c r="V15" s="31"/>
    </row>
    <row r="16" spans="1:22">
      <c r="A16">
        <v>9</v>
      </c>
      <c r="B16">
        <v>2011</v>
      </c>
      <c r="C16" s="31">
        <f>FORECAST(A16:A19,C10:C15,A10:A15)</f>
        <v>9.4817925925925917E-2</v>
      </c>
      <c r="D16" s="31"/>
      <c r="E16" s="31"/>
      <c r="F16" s="31"/>
      <c r="G16" s="31"/>
      <c r="H16" s="31"/>
      <c r="M16" s="35"/>
      <c r="N16" s="35"/>
      <c r="O16" s="395"/>
      <c r="P16" s="44"/>
      <c r="Q16" s="44"/>
      <c r="R16" s="38"/>
      <c r="S16" s="44"/>
      <c r="T16" s="44"/>
      <c r="U16" s="22"/>
      <c r="V16" s="22"/>
    </row>
    <row r="17" spans="1:22">
      <c r="A17">
        <v>10</v>
      </c>
      <c r="B17">
        <v>2012</v>
      </c>
      <c r="C17" s="31">
        <f>FORECAST(A17:A19,C11:C16,A11:A16)</f>
        <v>0.10977476543209878</v>
      </c>
      <c r="D17" s="31"/>
      <c r="E17" s="31"/>
      <c r="F17" s="31"/>
      <c r="G17" s="31"/>
      <c r="H17" s="31"/>
      <c r="M17" s="22"/>
      <c r="N17" s="22"/>
      <c r="P17" s="39"/>
      <c r="Q17" s="39"/>
      <c r="R17" s="40"/>
      <c r="S17" s="36"/>
      <c r="T17" s="36"/>
      <c r="U17" s="22"/>
      <c r="V17" s="22"/>
    </row>
    <row r="18" spans="1:22">
      <c r="A18">
        <v>11</v>
      </c>
      <c r="B18">
        <v>2013</v>
      </c>
      <c r="C18" s="31">
        <f>FORECAST(A18:A19,C12:C17,A12:A17)</f>
        <v>0.120579246090535</v>
      </c>
      <c r="D18" s="31"/>
      <c r="E18" s="31"/>
      <c r="F18" s="31"/>
      <c r="G18" s="31"/>
      <c r="H18" s="31"/>
      <c r="M18" s="22"/>
      <c r="N18" s="22"/>
      <c r="O18" s="22"/>
      <c r="P18" s="37"/>
      <c r="Q18" s="37"/>
      <c r="R18" s="38"/>
      <c r="S18" s="37"/>
      <c r="T18" s="37"/>
      <c r="U18" s="22"/>
      <c r="V18" s="22"/>
    </row>
    <row r="19" spans="1:22">
      <c r="M19" s="22"/>
      <c r="N19" s="22"/>
      <c r="O19" s="22"/>
      <c r="P19" s="37"/>
      <c r="Q19" s="37"/>
      <c r="R19" s="37"/>
      <c r="S19" s="37"/>
      <c r="T19" s="37"/>
      <c r="U19" s="22"/>
      <c r="V19" s="22"/>
    </row>
    <row r="22" spans="1:22">
      <c r="H22" s="31"/>
    </row>
    <row r="23" spans="1:22">
      <c r="H23" s="31"/>
    </row>
  </sheetData>
  <mergeCells count="3">
    <mergeCell ref="B4:G4"/>
    <mergeCell ref="B5:G5"/>
    <mergeCell ref="B2:G3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F6"/>
  <sheetViews>
    <sheetView workbookViewId="0">
      <selection activeCell="B15" sqref="B15"/>
    </sheetView>
  </sheetViews>
  <sheetFormatPr baseColWidth="10" defaultRowHeight="18.75"/>
  <cols>
    <col min="2" max="2" width="14.09765625" customWidth="1"/>
    <col min="3" max="3" width="11" customWidth="1"/>
    <col min="4" max="4" width="10.09765625" customWidth="1"/>
  </cols>
  <sheetData>
    <row r="3" spans="2:6" ht="32.25">
      <c r="B3" s="337" t="s">
        <v>217</v>
      </c>
      <c r="C3" s="337" t="s">
        <v>219</v>
      </c>
      <c r="D3" s="338" t="s">
        <v>218</v>
      </c>
      <c r="E3" s="337" t="s">
        <v>220</v>
      </c>
      <c r="F3" s="337" t="s">
        <v>221</v>
      </c>
    </row>
    <row r="4" spans="2:6">
      <c r="B4" s="336" t="s">
        <v>214</v>
      </c>
      <c r="C4" s="339">
        <v>250</v>
      </c>
      <c r="D4" s="336">
        <v>30</v>
      </c>
      <c r="E4" s="339">
        <f>+C4*D4</f>
        <v>7500</v>
      </c>
      <c r="F4" s="339">
        <f>+E4*12</f>
        <v>90000</v>
      </c>
    </row>
    <row r="5" spans="2:6">
      <c r="B5" s="336" t="s">
        <v>215</v>
      </c>
      <c r="C5" s="339">
        <v>117</v>
      </c>
      <c r="D5" s="336">
        <v>30</v>
      </c>
      <c r="E5" s="339">
        <f>+C5*D5</f>
        <v>3510</v>
      </c>
      <c r="F5" s="339">
        <f>+E5*12</f>
        <v>42120</v>
      </c>
    </row>
    <row r="6" spans="2:6">
      <c r="B6" s="336" t="s">
        <v>216</v>
      </c>
      <c r="C6" s="339">
        <v>30</v>
      </c>
      <c r="D6" s="336">
        <v>30</v>
      </c>
      <c r="E6" s="339">
        <f>+C6*D6</f>
        <v>900</v>
      </c>
      <c r="F6" s="339">
        <f>+E6*12</f>
        <v>10800</v>
      </c>
    </row>
  </sheetData>
  <phoneticPr fontId="15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topLeftCell="A10" zoomScaleNormal="100" workbookViewId="0">
      <selection activeCell="E14" sqref="E14"/>
    </sheetView>
  </sheetViews>
  <sheetFormatPr baseColWidth="10" defaultColWidth="10.8984375" defaultRowHeight="15.75"/>
  <cols>
    <col min="1" max="1" width="7.3984375" style="295" customWidth="1"/>
    <col min="2" max="2" width="9.296875" style="295" customWidth="1"/>
    <col min="3" max="3" width="8.796875" style="295" customWidth="1"/>
    <col min="4" max="4" width="11.5" style="295" bestFit="1" customWidth="1"/>
    <col min="5" max="6" width="7" style="295" bestFit="1" customWidth="1"/>
    <col min="7" max="7" width="7.09765625" style="295" bestFit="1" customWidth="1"/>
    <col min="8" max="8" width="8.3984375" style="295" customWidth="1"/>
    <col min="9" max="16384" width="10.8984375" style="295"/>
  </cols>
  <sheetData>
    <row r="1" spans="1:9" ht="16.5" thickBot="1"/>
    <row r="2" spans="1:9">
      <c r="B2" s="407" t="s">
        <v>112</v>
      </c>
      <c r="C2" s="408">
        <v>0</v>
      </c>
      <c r="D2" s="408">
        <v>1</v>
      </c>
      <c r="E2" s="408">
        <v>2</v>
      </c>
      <c r="F2" s="408">
        <v>3</v>
      </c>
      <c r="G2" s="408">
        <v>4</v>
      </c>
      <c r="H2" s="409">
        <v>5</v>
      </c>
    </row>
    <row r="3" spans="1:9">
      <c r="B3" s="410" t="s">
        <v>54</v>
      </c>
      <c r="C3" s="296"/>
      <c r="D3" s="296"/>
      <c r="E3" s="296"/>
      <c r="F3" s="296"/>
      <c r="G3" s="296"/>
      <c r="H3" s="411"/>
    </row>
    <row r="4" spans="1:9" s="232" customFormat="1">
      <c r="A4" s="297"/>
      <c r="B4" s="412" t="s">
        <v>50</v>
      </c>
      <c r="C4" s="296"/>
      <c r="D4" s="298">
        <v>90000</v>
      </c>
      <c r="E4" s="298">
        <f>+D4*Datos!I7</f>
        <v>97389</v>
      </c>
      <c r="F4" s="298">
        <f>+E4*Datos!J7</f>
        <v>106621.47719999999</v>
      </c>
      <c r="G4" s="298">
        <f>+F4*Datos!K7</f>
        <v>118328.51539655999</v>
      </c>
      <c r="H4" s="413">
        <f>+G4*Datos!L7</f>
        <v>132598.93435338512</v>
      </c>
      <c r="I4" s="299"/>
    </row>
    <row r="5" spans="1:9" s="52" customFormat="1">
      <c r="B5" s="412" t="s">
        <v>212</v>
      </c>
      <c r="C5" s="296"/>
      <c r="D5" s="298">
        <f>42120+10800</f>
        <v>52920</v>
      </c>
      <c r="E5" s="298">
        <f>+D5*Datos!I7</f>
        <v>57264.732000000004</v>
      </c>
      <c r="F5" s="298">
        <f>+E5*Datos!J7</f>
        <v>62693.428593600001</v>
      </c>
      <c r="G5" s="298">
        <f>+F5*Datos!K7</f>
        <v>69577.167053177269</v>
      </c>
      <c r="H5" s="413">
        <f>+G5*Datos!L7</f>
        <v>77968.173399790452</v>
      </c>
    </row>
    <row r="6" spans="1:9">
      <c r="B6" s="410" t="s">
        <v>55</v>
      </c>
      <c r="C6" s="296"/>
      <c r="D6" s="298">
        <f>SUM(D4:D5)</f>
        <v>142920</v>
      </c>
      <c r="E6" s="298">
        <f>SUM(E4:E5)</f>
        <v>154653.73200000002</v>
      </c>
      <c r="F6" s="298">
        <f>SUM(F4:F5)</f>
        <v>169314.90579359999</v>
      </c>
      <c r="G6" s="298">
        <f>SUM(G4:G5)</f>
        <v>187905.68244973727</v>
      </c>
      <c r="H6" s="413">
        <f>SUM(H4:H5)</f>
        <v>210567.10775317557</v>
      </c>
    </row>
    <row r="7" spans="1:9">
      <c r="B7" s="292"/>
      <c r="C7" s="340"/>
      <c r="D7" s="341"/>
      <c r="E7" s="341"/>
      <c r="F7" s="341"/>
      <c r="G7" s="341"/>
      <c r="H7" s="342"/>
    </row>
    <row r="8" spans="1:9">
      <c r="B8" s="133" t="s">
        <v>56</v>
      </c>
      <c r="C8" s="302"/>
      <c r="D8" s="300"/>
      <c r="E8" s="300"/>
      <c r="F8" s="300"/>
      <c r="G8" s="300"/>
      <c r="H8" s="301"/>
    </row>
    <row r="9" spans="1:9">
      <c r="B9" s="132" t="s">
        <v>125</v>
      </c>
      <c r="C9" s="303"/>
      <c r="D9" s="326">
        <f>+'Estado Pèrdidas Y Ganacias'!C9</f>
        <v>47940</v>
      </c>
      <c r="E9" s="326">
        <f>+'Estado Pèrdidas Y Ganacias'!D9</f>
        <v>51186.33</v>
      </c>
      <c r="F9" s="326">
        <f>+'Estado Pèrdidas Y Ganacias'!E9</f>
        <v>55242.526459360903</v>
      </c>
      <c r="G9" s="326">
        <f>+'Estado Pèrdidas Y Ganacias'!F9</f>
        <v>60385.755144217685</v>
      </c>
      <c r="H9" s="327">
        <f>+'Estado Pèrdidas Y Ganacias'!G9</f>
        <v>66655.163539279631</v>
      </c>
    </row>
    <row r="10" spans="1:9">
      <c r="B10" s="132" t="s">
        <v>62</v>
      </c>
      <c r="C10" s="303"/>
      <c r="D10" s="328">
        <f>+'Estado Pèrdidas Y Ganacias'!C10</f>
        <v>454.2</v>
      </c>
      <c r="E10" s="328">
        <f>+'Estado Pèrdidas Y Ganacias'!D10</f>
        <v>491.48982000000001</v>
      </c>
      <c r="F10" s="328">
        <f>+'Estado Pèrdidas Y Ganacias'!E10</f>
        <v>538.08305493600005</v>
      </c>
      <c r="G10" s="328">
        <f>+'Estado Pèrdidas Y Ganacias'!F10</f>
        <v>597.16457436797282</v>
      </c>
      <c r="H10" s="329">
        <f>+'Estado Pèrdidas Y Ganacias'!G10</f>
        <v>669.18262203675033</v>
      </c>
    </row>
    <row r="11" spans="1:9">
      <c r="B11" s="132" t="s">
        <v>126</v>
      </c>
      <c r="C11" s="303"/>
      <c r="D11" s="328">
        <f>+'Equipo de Oficina, computacion '!$F$57</f>
        <v>5198.0863333333336</v>
      </c>
      <c r="E11" s="328">
        <f>+'Equipo de Oficina, computacion '!$F$57</f>
        <v>5198.0863333333336</v>
      </c>
      <c r="F11" s="328">
        <f>+'Equipo de Oficina, computacion '!$F$57</f>
        <v>5198.0863333333336</v>
      </c>
      <c r="G11" s="328">
        <f>+'Equipo de Oficina, computacion '!$F$57</f>
        <v>5198.0863333333336</v>
      </c>
      <c r="H11" s="329">
        <f>+'Equipo de Oficina, computacion '!$F$57</f>
        <v>5198.0863333333336</v>
      </c>
    </row>
    <row r="12" spans="1:9">
      <c r="B12" s="132" t="s">
        <v>121</v>
      </c>
      <c r="C12" s="303"/>
      <c r="D12" s="328">
        <f>+'Gastos De Constitucion'!D5</f>
        <v>45956.800000000003</v>
      </c>
      <c r="E12" s="328">
        <f>+D12</f>
        <v>45956.800000000003</v>
      </c>
      <c r="F12" s="328">
        <f>+E12</f>
        <v>45956.800000000003</v>
      </c>
      <c r="G12" s="328">
        <f>+F12</f>
        <v>45956.800000000003</v>
      </c>
      <c r="H12" s="329">
        <f>+G12</f>
        <v>45956.800000000003</v>
      </c>
    </row>
    <row r="13" spans="1:9">
      <c r="B13" s="133" t="s">
        <v>59</v>
      </c>
      <c r="C13" s="303"/>
      <c r="D13" s="328">
        <f>+SUM(D9:D12)</f>
        <v>99549.08633333334</v>
      </c>
      <c r="E13" s="328">
        <f>+SUM(E9:E12)</f>
        <v>102832.70615333333</v>
      </c>
      <c r="F13" s="328">
        <f>+SUM(F9:F12)</f>
        <v>106935.49584763024</v>
      </c>
      <c r="G13" s="328">
        <f>+SUM(G9:G12)</f>
        <v>112137.806051919</v>
      </c>
      <c r="H13" s="329">
        <f>+SUM(H9:H12)</f>
        <v>118479.23249464972</v>
      </c>
    </row>
    <row r="14" spans="1:9">
      <c r="B14" s="133" t="s">
        <v>22</v>
      </c>
      <c r="C14" s="303"/>
      <c r="D14" s="328">
        <f>D6-D13</f>
        <v>43370.91366666666</v>
      </c>
      <c r="E14" s="328">
        <f>E6-E13</f>
        <v>51821.025846666686</v>
      </c>
      <c r="F14" s="328">
        <f>F6-F13</f>
        <v>62379.409945969746</v>
      </c>
      <c r="G14" s="328">
        <f>G6-G13</f>
        <v>75767.876397818269</v>
      </c>
      <c r="H14" s="329">
        <f>H6-H13</f>
        <v>92087.875258525848</v>
      </c>
    </row>
    <row r="15" spans="1:9">
      <c r="B15" s="132" t="s">
        <v>127</v>
      </c>
      <c r="C15" s="303"/>
      <c r="D15" s="328">
        <f>+D11</f>
        <v>5198.0863333333336</v>
      </c>
      <c r="E15" s="328">
        <f>+E11</f>
        <v>5198.0863333333336</v>
      </c>
      <c r="F15" s="328">
        <f>+F11</f>
        <v>5198.0863333333336</v>
      </c>
      <c r="G15" s="328">
        <f>+G11</f>
        <v>5198.0863333333336</v>
      </c>
      <c r="H15" s="329">
        <f>+H11</f>
        <v>5198.0863333333336</v>
      </c>
    </row>
    <row r="16" spans="1:9">
      <c r="B16" s="132" t="s">
        <v>128</v>
      </c>
      <c r="C16" s="303"/>
      <c r="D16" s="328">
        <f>+D12</f>
        <v>45956.800000000003</v>
      </c>
      <c r="E16" s="328">
        <f>+D16</f>
        <v>45956.800000000003</v>
      </c>
      <c r="F16" s="328">
        <f>+E16</f>
        <v>45956.800000000003</v>
      </c>
      <c r="G16" s="328">
        <f>+F16</f>
        <v>45956.800000000003</v>
      </c>
      <c r="H16" s="329">
        <f>+G16</f>
        <v>45956.800000000003</v>
      </c>
    </row>
    <row r="17" spans="2:8">
      <c r="B17" s="132" t="s">
        <v>67</v>
      </c>
      <c r="C17" s="303">
        <f>-'CAPITAL DE TRABJO'!B5</f>
        <v>-3977.6054794520546</v>
      </c>
      <c r="D17" s="330">
        <f>-'CAPITAL DE TRABJO'!B20</f>
        <v>-4247.492040000001</v>
      </c>
      <c r="E17" s="331"/>
      <c r="F17" s="331"/>
      <c r="G17" s="332"/>
      <c r="H17" s="329">
        <f>-SUM(C17:G17)</f>
        <v>8225.0975194520561</v>
      </c>
    </row>
    <row r="18" spans="2:8" ht="51.75">
      <c r="B18" s="134" t="s">
        <v>124</v>
      </c>
      <c r="C18" s="306"/>
      <c r="D18" s="300"/>
      <c r="E18" s="300"/>
      <c r="F18" s="305"/>
      <c r="G18" s="130">
        <f>-('Equipo de Oficina, computacion '!I10+'Equipo de Oficina, computacion '!I8)*(1+Datos!K5)</f>
        <v>-6870.770941257284</v>
      </c>
      <c r="H18" s="131"/>
    </row>
    <row r="19" spans="2:8">
      <c r="B19" s="132" t="s">
        <v>78</v>
      </c>
      <c r="C19" s="303">
        <f>-('Estado de Situacion Inicial'!C33-'Estado de Situacion Inicial'!C32)</f>
        <v>-267318.87</v>
      </c>
      <c r="D19" s="304"/>
      <c r="E19" s="300"/>
      <c r="F19" s="300"/>
      <c r="G19" s="300"/>
      <c r="H19" s="301"/>
    </row>
    <row r="20" spans="2:8">
      <c r="B20" s="132" t="s">
        <v>80</v>
      </c>
      <c r="C20" s="303"/>
      <c r="D20" s="130">
        <f>+SUM(D14:D19)</f>
        <v>90278.307959999991</v>
      </c>
      <c r="E20" s="130">
        <f>+SUM(E14:E19)</f>
        <v>102975.91218000001</v>
      </c>
      <c r="F20" s="130">
        <f>+SUM(F14:F19)</f>
        <v>113534.29627930309</v>
      </c>
      <c r="G20" s="130">
        <f>+SUM(G14:G19)</f>
        <v>120051.99178989432</v>
      </c>
      <c r="H20" s="131">
        <f>+SUM(H14:H19)</f>
        <v>151467.85911131123</v>
      </c>
    </row>
    <row r="21" spans="2:8">
      <c r="B21" s="132" t="s">
        <v>79</v>
      </c>
      <c r="C21" s="306"/>
      <c r="D21" s="300"/>
      <c r="E21" s="300"/>
      <c r="F21" s="300"/>
      <c r="G21" s="305"/>
      <c r="H21" s="131">
        <f>+H20/C23</f>
        <v>461520.66104410385</v>
      </c>
    </row>
    <row r="22" spans="2:8" ht="30" customHeight="1" thickBot="1">
      <c r="B22" s="307" t="s">
        <v>123</v>
      </c>
      <c r="C22" s="308">
        <f>+C19+C17</f>
        <v>-271296.47547945206</v>
      </c>
      <c r="D22" s="309">
        <f>+SUM(D20:D21)</f>
        <v>90278.307959999991</v>
      </c>
      <c r="E22" s="309">
        <f>+SUM(E20:E21)</f>
        <v>102975.91218000001</v>
      </c>
      <c r="F22" s="309">
        <f>+SUM(F20:F21)</f>
        <v>113534.29627930309</v>
      </c>
      <c r="G22" s="309">
        <f>+SUM(G20:G21)</f>
        <v>120051.99178989432</v>
      </c>
      <c r="H22" s="310">
        <f>+SUM(H20:H21)</f>
        <v>612988.52015541506</v>
      </c>
    </row>
    <row r="23" spans="2:8" ht="16.5" customHeight="1">
      <c r="B23" s="311" t="s">
        <v>157</v>
      </c>
      <c r="C23" s="312">
        <f>+'ALT DE INVERSION'!O18</f>
        <v>0.32819301907014009</v>
      </c>
      <c r="D23" s="313"/>
      <c r="E23" s="313"/>
      <c r="F23" s="313"/>
      <c r="G23" s="313"/>
      <c r="H23" s="314"/>
    </row>
    <row r="24" spans="2:8" ht="16.5" thickBot="1">
      <c r="B24" s="315" t="s">
        <v>81</v>
      </c>
      <c r="C24" s="316">
        <f>NPV(C23,D22:H22)+C22</f>
        <v>90381.454069198808</v>
      </c>
      <c r="D24" s="317"/>
      <c r="E24" s="317"/>
      <c r="F24" s="317"/>
      <c r="G24" s="317"/>
      <c r="H24" s="318"/>
    </row>
    <row r="25" spans="2:8" ht="16.5" thickBot="1"/>
    <row r="26" spans="2:8" ht="16.5" thickBot="1">
      <c r="B26" s="414" t="s">
        <v>254</v>
      </c>
      <c r="C26" s="415">
        <f>IRR(C22:H22)</f>
        <v>0.44995845243457583</v>
      </c>
    </row>
    <row r="27" spans="2:8" ht="16.5" thickBot="1"/>
    <row r="28" spans="2:8">
      <c r="B28" s="417" t="s">
        <v>89</v>
      </c>
      <c r="C28" s="418"/>
      <c r="D28" s="419"/>
    </row>
    <row r="29" spans="2:8">
      <c r="B29" s="319" t="s">
        <v>90</v>
      </c>
      <c r="C29" s="232"/>
      <c r="D29" s="320" t="s">
        <v>94</v>
      </c>
    </row>
    <row r="30" spans="2:8">
      <c r="B30" s="319" t="s">
        <v>91</v>
      </c>
      <c r="C30" s="321">
        <v>0.5</v>
      </c>
      <c r="D30" s="322">
        <v>0.25</v>
      </c>
    </row>
    <row r="31" spans="2:8">
      <c r="B31" s="319" t="s">
        <v>92</v>
      </c>
      <c r="C31" s="321">
        <v>0.5</v>
      </c>
      <c r="D31" s="322">
        <v>0.15</v>
      </c>
    </row>
    <row r="32" spans="2:8" ht="16.5" thickBot="1">
      <c r="B32" s="323" t="s">
        <v>93</v>
      </c>
      <c r="C32" s="324">
        <f>+(C30*D30)+(C31*D31)</f>
        <v>0.2</v>
      </c>
      <c r="D32" s="325"/>
    </row>
  </sheetData>
  <mergeCells count="1">
    <mergeCell ref="B28:D28"/>
  </mergeCells>
  <phoneticPr fontId="0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18"/>
  <sheetViews>
    <sheetView topLeftCell="A4" workbookViewId="0">
      <selection activeCell="D25" sqref="D25"/>
    </sheetView>
  </sheetViews>
  <sheetFormatPr baseColWidth="10" defaultRowHeight="18.75"/>
  <cols>
    <col min="1" max="1" width="3.3984375" customWidth="1"/>
    <col min="2" max="2" width="17.296875" bestFit="1" customWidth="1"/>
    <col min="3" max="7" width="12.5" bestFit="1" customWidth="1"/>
    <col min="8" max="8" width="5.8984375" customWidth="1"/>
    <col min="9" max="9" width="6.59765625" customWidth="1"/>
    <col min="10" max="10" width="8.09765625" customWidth="1"/>
    <col min="11" max="12" width="5.8984375" customWidth="1"/>
    <col min="13" max="13" width="6.59765625" customWidth="1"/>
    <col min="14" max="14" width="8.09765625" customWidth="1"/>
    <col min="18" max="18" width="12.5" customWidth="1"/>
  </cols>
  <sheetData>
    <row r="1" spans="2:23">
      <c r="B1" s="209"/>
      <c r="C1" s="209">
        <v>1</v>
      </c>
      <c r="D1" s="209">
        <v>2</v>
      </c>
      <c r="E1" s="209">
        <v>3</v>
      </c>
      <c r="F1" s="209">
        <v>4</v>
      </c>
      <c r="G1" s="209">
        <v>5</v>
      </c>
    </row>
    <row r="2" spans="2:23">
      <c r="B2" s="208" t="s">
        <v>179</v>
      </c>
      <c r="C2" s="1"/>
      <c r="D2" s="213">
        <v>8.2135555555555559E-2</v>
      </c>
      <c r="E2" s="213">
        <v>9.4817925925925917E-2</v>
      </c>
      <c r="F2" s="213">
        <v>0.10977476543209878</v>
      </c>
      <c r="G2" s="214">
        <v>0.120579246090535</v>
      </c>
    </row>
    <row r="3" spans="2:23" ht="19.5" thickBot="1">
      <c r="B3" s="215" t="s">
        <v>180</v>
      </c>
      <c r="C3" s="216"/>
      <c r="D3" s="217" t="e">
        <f>+Datos!#REF!</f>
        <v>#REF!</v>
      </c>
      <c r="E3" s="217" t="e">
        <f>+Datos!#REF!</f>
        <v>#REF!</v>
      </c>
      <c r="F3" s="217" t="e">
        <f>+Datos!#REF!</f>
        <v>#REF!</v>
      </c>
      <c r="G3" s="218" t="e">
        <f>+Datos!#REF!</f>
        <v>#REF!</v>
      </c>
    </row>
    <row r="4" spans="2:23" ht="19.5" thickBot="1"/>
    <row r="5" spans="2:23" ht="15.75" customHeight="1" thickBot="1">
      <c r="B5" s="482" t="s">
        <v>181</v>
      </c>
      <c r="C5" s="483"/>
      <c r="D5" s="483"/>
      <c r="E5" s="483"/>
      <c r="F5" s="483"/>
      <c r="G5" s="484"/>
    </row>
    <row r="6" spans="2:23" ht="13.5" customHeight="1" thickBot="1">
      <c r="C6" s="54"/>
    </row>
    <row r="7" spans="2:23" ht="15.75" customHeight="1">
      <c r="B7" s="95" t="s">
        <v>112</v>
      </c>
      <c r="C7" s="96">
        <v>1</v>
      </c>
      <c r="D7" s="96">
        <v>2</v>
      </c>
      <c r="E7" s="96">
        <v>3</v>
      </c>
      <c r="F7" s="96">
        <v>4</v>
      </c>
      <c r="G7" s="97">
        <v>5</v>
      </c>
      <c r="H7" s="54"/>
      <c r="I7" s="54"/>
      <c r="J7" s="33"/>
      <c r="K7" s="481"/>
      <c r="L7" s="481"/>
      <c r="M7" s="22"/>
      <c r="N7" s="481"/>
      <c r="O7" s="481"/>
      <c r="P7" s="22"/>
      <c r="Q7" s="481"/>
      <c r="R7" s="481"/>
      <c r="S7" s="22"/>
      <c r="T7" s="22"/>
      <c r="U7" s="33"/>
      <c r="V7" s="33"/>
      <c r="W7" s="33"/>
    </row>
    <row r="8" spans="2:23" s="33" customFormat="1" ht="16.5" customHeight="1">
      <c r="B8" s="275" t="s">
        <v>105</v>
      </c>
      <c r="C8" s="276">
        <v>33720</v>
      </c>
      <c r="D8" s="276">
        <f>+C8*1.0821</f>
        <v>36488.412000000004</v>
      </c>
      <c r="E8" s="276">
        <f>+D8*1.0948</f>
        <v>39947.513457600005</v>
      </c>
      <c r="F8" s="276">
        <f>+E8*1.1098</f>
        <v>44333.750435244481</v>
      </c>
      <c r="G8" s="276">
        <f>+F8*1.1206</f>
        <v>49680.40073773497</v>
      </c>
      <c r="H8" s="52"/>
      <c r="I8" s="22"/>
      <c r="K8" s="52"/>
      <c r="L8" s="22"/>
      <c r="M8" s="22"/>
      <c r="N8" s="52"/>
      <c r="O8" s="22"/>
      <c r="P8" s="22"/>
      <c r="Q8" s="52"/>
      <c r="R8" s="22"/>
      <c r="S8" s="22"/>
      <c r="T8" s="22"/>
    </row>
    <row r="9" spans="2:23" s="33" customFormat="1" ht="16.5" customHeight="1">
      <c r="B9" s="275" t="s">
        <v>106</v>
      </c>
      <c r="C9" s="277">
        <f>200*12</f>
        <v>2400</v>
      </c>
      <c r="D9" s="277">
        <f>+C9*1.0821</f>
        <v>2597.04</v>
      </c>
      <c r="E9" s="277">
        <f>+D9*1.0948</f>
        <v>2843.239392</v>
      </c>
      <c r="F9" s="277">
        <f>+E9*1.1098</f>
        <v>3155.4270772415998</v>
      </c>
      <c r="G9" s="277">
        <f>+F9*1.1206</f>
        <v>3535.9715827569371</v>
      </c>
      <c r="H9" s="52"/>
      <c r="I9" s="22"/>
      <c r="K9" s="52"/>
      <c r="L9" s="22"/>
      <c r="M9" s="22"/>
      <c r="N9" s="52"/>
      <c r="O9" s="22"/>
      <c r="P9" s="22"/>
      <c r="Q9" s="52"/>
      <c r="R9" s="22"/>
      <c r="S9" s="22"/>
      <c r="T9" s="22"/>
    </row>
    <row r="10" spans="2:23" s="33" customFormat="1" ht="16.5" customHeight="1">
      <c r="B10" s="275" t="s">
        <v>213</v>
      </c>
      <c r="C10" s="277">
        <v>8400</v>
      </c>
      <c r="D10" s="277">
        <v>8400</v>
      </c>
      <c r="E10" s="277">
        <v>8400</v>
      </c>
      <c r="F10" s="277">
        <v>8400</v>
      </c>
      <c r="G10" s="277">
        <v>8400</v>
      </c>
      <c r="H10" s="52"/>
      <c r="I10" s="22"/>
      <c r="K10" s="52"/>
      <c r="L10" s="22"/>
      <c r="M10" s="22"/>
      <c r="N10" s="52"/>
      <c r="O10" s="22"/>
      <c r="P10" s="22"/>
      <c r="Q10" s="52"/>
      <c r="R10" s="22"/>
      <c r="S10" s="22"/>
      <c r="T10" s="22"/>
    </row>
    <row r="11" spans="2:23" ht="16.5" customHeight="1">
      <c r="B11" s="57" t="s">
        <v>206</v>
      </c>
      <c r="C11" s="94">
        <v>720</v>
      </c>
      <c r="D11" s="94">
        <f>+C11*1.0821</f>
        <v>779.11200000000008</v>
      </c>
      <c r="E11" s="94">
        <f>+D11*1.0948</f>
        <v>852.97181760000012</v>
      </c>
      <c r="F11" s="94">
        <f>+E11*1.1098</f>
        <v>946.62812317248006</v>
      </c>
      <c r="G11" s="94">
        <f>+F11*1.1206</f>
        <v>1060.7914748270812</v>
      </c>
      <c r="H11" s="52"/>
      <c r="I11" s="22"/>
      <c r="J11" s="33"/>
      <c r="K11" s="52"/>
      <c r="L11" s="22"/>
      <c r="M11" s="22"/>
      <c r="N11" s="52"/>
      <c r="O11" s="22"/>
      <c r="P11" s="22"/>
      <c r="Q11" s="52"/>
      <c r="R11" s="22"/>
      <c r="S11" s="22"/>
      <c r="T11" s="22"/>
      <c r="U11" s="33"/>
      <c r="V11" s="33"/>
      <c r="W11" s="33"/>
    </row>
    <row r="12" spans="2:23" ht="16.5" customHeight="1">
      <c r="B12" s="57" t="s">
        <v>88</v>
      </c>
      <c r="C12" s="94">
        <f>80*12</f>
        <v>960</v>
      </c>
      <c r="D12" s="94">
        <f>+C12*(1+D2)</f>
        <v>1038.8501333333334</v>
      </c>
      <c r="E12" s="94">
        <f>+D12*(1+E2)</f>
        <v>1137.3517483238716</v>
      </c>
      <c r="F12" s="94">
        <f>+E12*(1+F2)</f>
        <v>1262.2042697099121</v>
      </c>
      <c r="G12" s="94">
        <f>+F12*(1+G2)</f>
        <v>1414.3999089637875</v>
      </c>
      <c r="H12" s="52"/>
      <c r="I12" s="22"/>
      <c r="J12" s="33"/>
      <c r="K12" s="52"/>
      <c r="L12" s="22"/>
      <c r="M12" s="22"/>
      <c r="N12" s="52"/>
      <c r="O12" s="22"/>
      <c r="P12" s="22"/>
      <c r="Q12" s="52"/>
      <c r="R12" s="22"/>
      <c r="S12" s="22"/>
      <c r="T12" s="22"/>
      <c r="U12" s="33"/>
      <c r="V12" s="33"/>
      <c r="W12" s="33"/>
    </row>
    <row r="13" spans="2:23" ht="16.5" customHeight="1">
      <c r="B13" s="57" t="s">
        <v>48</v>
      </c>
      <c r="C13" s="94">
        <v>840</v>
      </c>
      <c r="D13" s="94">
        <f>+C13*(1+D2)</f>
        <v>908.99386666666669</v>
      </c>
      <c r="E13" s="94">
        <f>+D13*(1+E2)</f>
        <v>995.18277978338767</v>
      </c>
      <c r="F13" s="94">
        <f>+E13*(1+F2)</f>
        <v>1104.4287359961731</v>
      </c>
      <c r="G13" s="94">
        <f>+F13*(1+G2)</f>
        <v>1237.5999203433144</v>
      </c>
      <c r="H13" s="52"/>
      <c r="I13" s="22"/>
      <c r="J13" s="33"/>
      <c r="K13" s="52"/>
      <c r="L13" s="22"/>
      <c r="M13" s="22"/>
      <c r="N13" s="52"/>
      <c r="O13" s="22"/>
      <c r="P13" s="22"/>
      <c r="Q13" s="52"/>
      <c r="R13" s="22"/>
      <c r="S13" s="22"/>
      <c r="T13" s="22"/>
      <c r="U13" s="33"/>
      <c r="V13" s="33"/>
      <c r="W13" s="33"/>
    </row>
    <row r="14" spans="2:23" ht="16.5" customHeight="1">
      <c r="B14" s="57" t="s">
        <v>49</v>
      </c>
      <c r="C14" s="94">
        <v>240</v>
      </c>
      <c r="D14" s="94">
        <f>+C14*(1+D2)</f>
        <v>259.71253333333334</v>
      </c>
      <c r="E14" s="94">
        <f>+D14*(1+E2)</f>
        <v>284.33793708096789</v>
      </c>
      <c r="F14" s="94">
        <f>+E14*(1+F2)</f>
        <v>315.55106742747802</v>
      </c>
      <c r="G14" s="94">
        <f>+F14*(1+G2)</f>
        <v>353.59997724094688</v>
      </c>
      <c r="H14" s="52"/>
      <c r="I14" s="22"/>
      <c r="J14" s="33"/>
      <c r="K14" s="52"/>
      <c r="L14" s="22"/>
      <c r="M14" s="22"/>
      <c r="N14" s="52"/>
      <c r="O14" s="22"/>
      <c r="P14" s="22"/>
      <c r="Q14" s="52"/>
      <c r="R14" s="22"/>
      <c r="S14" s="22"/>
      <c r="T14" s="22"/>
      <c r="U14" s="33"/>
      <c r="V14" s="33"/>
      <c r="W14" s="33"/>
    </row>
    <row r="15" spans="2:23" ht="16.5" customHeight="1">
      <c r="B15" s="274" t="s">
        <v>207</v>
      </c>
      <c r="C15" s="94">
        <v>660</v>
      </c>
      <c r="D15" s="94">
        <f>+C15*(1+D2)</f>
        <v>714.20946666666669</v>
      </c>
      <c r="E15" s="94">
        <f>+D15*(1+E2)</f>
        <v>781.92932697266167</v>
      </c>
      <c r="F15" s="94">
        <f>+E15*(1+F2)</f>
        <v>867.76543542556453</v>
      </c>
      <c r="G15" s="94">
        <f>+F15*(1+G2)</f>
        <v>972.399937412604</v>
      </c>
      <c r="H15" s="52"/>
      <c r="I15" s="22"/>
      <c r="J15" s="33"/>
      <c r="K15" s="52"/>
      <c r="L15" s="22"/>
      <c r="M15" s="22"/>
      <c r="N15" s="52"/>
      <c r="O15" s="22"/>
      <c r="P15" s="22"/>
      <c r="Q15" s="52"/>
      <c r="R15" s="22"/>
      <c r="S15" s="22"/>
      <c r="T15" s="22"/>
      <c r="U15" s="33"/>
      <c r="V15" s="33"/>
      <c r="W15" s="33"/>
    </row>
    <row r="16" spans="2:23" ht="20.25" customHeight="1" thickBot="1">
      <c r="B16" s="90" t="s">
        <v>35</v>
      </c>
      <c r="C16" s="92">
        <f>+SUM(C8:C15)</f>
        <v>47940</v>
      </c>
      <c r="D16" s="92">
        <f>+SUM(D8:D15)</f>
        <v>51186.33</v>
      </c>
      <c r="E16" s="92">
        <f>+SUM(E8:E15)</f>
        <v>55242.526459360903</v>
      </c>
      <c r="F16" s="92">
        <f>+SUM(F8:F15)</f>
        <v>60385.755144217685</v>
      </c>
      <c r="G16" s="92">
        <f>+SUM(G8:G15)</f>
        <v>66655.163539279631</v>
      </c>
      <c r="H16" s="53"/>
      <c r="I16" s="22"/>
      <c r="J16" s="33"/>
      <c r="K16" s="53"/>
      <c r="L16" s="22"/>
      <c r="M16" s="22"/>
      <c r="N16" s="53"/>
      <c r="O16" s="22"/>
      <c r="P16" s="22"/>
      <c r="Q16" s="53"/>
      <c r="R16" s="22"/>
      <c r="S16" s="22"/>
      <c r="T16" s="22"/>
      <c r="U16" s="33"/>
      <c r="V16" s="33"/>
      <c r="W16" s="33"/>
    </row>
    <row r="17" spans="2:20" ht="16.5" customHeight="1">
      <c r="B17" s="52" t="s">
        <v>118</v>
      </c>
      <c r="H17" s="30"/>
      <c r="I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>
      <c r="C18" s="210"/>
      <c r="K18" s="30"/>
      <c r="L18" s="30"/>
      <c r="M18" s="30"/>
      <c r="N18" s="30"/>
      <c r="O18" s="30"/>
      <c r="P18" s="30"/>
      <c r="Q18" s="30"/>
      <c r="R18" s="30"/>
      <c r="S18" s="30"/>
      <c r="T18" s="30"/>
    </row>
  </sheetData>
  <mergeCells count="4">
    <mergeCell ref="Q7:R7"/>
    <mergeCell ref="B5:G5"/>
    <mergeCell ref="N7:O7"/>
    <mergeCell ref="K7:L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T25"/>
  <sheetViews>
    <sheetView topLeftCell="A7" workbookViewId="0">
      <selection activeCell="D28" sqref="D28"/>
    </sheetView>
  </sheetViews>
  <sheetFormatPr baseColWidth="10" defaultRowHeight="18.75"/>
  <cols>
    <col min="1" max="1" width="3.3984375" customWidth="1"/>
    <col min="2" max="2" width="13.69921875" customWidth="1"/>
    <col min="3" max="3" width="11.5" bestFit="1" customWidth="1"/>
    <col min="4" max="4" width="12.796875" customWidth="1"/>
    <col min="5" max="5" width="10" customWidth="1"/>
    <col min="6" max="6" width="11.296875" customWidth="1"/>
    <col min="7" max="7" width="9" customWidth="1"/>
    <col min="8" max="8" width="5.8984375" customWidth="1"/>
    <col min="9" max="9" width="7.19921875" bestFit="1" customWidth="1"/>
    <col min="10" max="10" width="8.09765625" customWidth="1"/>
    <col min="11" max="12" width="5.8984375" customWidth="1"/>
    <col min="13" max="13" width="7.19921875" customWidth="1"/>
    <col min="14" max="14" width="8.09765625" customWidth="1"/>
    <col min="18" max="18" width="12.5" customWidth="1"/>
  </cols>
  <sheetData>
    <row r="1" spans="2:20" ht="19.5" thickBot="1"/>
    <row r="2" spans="2:20" ht="15.75" customHeight="1" thickBot="1">
      <c r="B2" s="482" t="s">
        <v>187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4"/>
    </row>
    <row r="3" spans="2:20" ht="11.25" customHeight="1" thickBot="1"/>
    <row r="4" spans="2:20" ht="15" customHeight="1" thickBot="1">
      <c r="B4" s="88" t="s">
        <v>111</v>
      </c>
      <c r="C4" s="482" t="s">
        <v>97</v>
      </c>
      <c r="D4" s="483"/>
      <c r="E4" s="483"/>
      <c r="F4" s="484"/>
      <c r="G4" s="483" t="s">
        <v>108</v>
      </c>
      <c r="H4" s="483"/>
      <c r="I4" s="483"/>
      <c r="J4" s="484"/>
      <c r="K4" s="482" t="s">
        <v>107</v>
      </c>
      <c r="L4" s="483"/>
      <c r="M4" s="483"/>
      <c r="N4" s="484"/>
    </row>
    <row r="5" spans="2:20" s="118" customFormat="1" ht="21" customHeight="1">
      <c r="B5" s="99" t="s">
        <v>39</v>
      </c>
      <c r="C5" s="100" t="s">
        <v>40</v>
      </c>
      <c r="D5" s="101" t="s">
        <v>41</v>
      </c>
      <c r="E5" s="101" t="s">
        <v>42</v>
      </c>
      <c r="F5" s="102" t="s">
        <v>43</v>
      </c>
      <c r="G5" s="119" t="s">
        <v>40</v>
      </c>
      <c r="H5" s="120" t="s">
        <v>41</v>
      </c>
      <c r="I5" s="120" t="s">
        <v>42</v>
      </c>
      <c r="J5" s="121" t="s">
        <v>43</v>
      </c>
      <c r="K5" s="122" t="s">
        <v>40</v>
      </c>
      <c r="L5" s="120" t="s">
        <v>41</v>
      </c>
      <c r="M5" s="120" t="s">
        <v>42</v>
      </c>
      <c r="N5" s="121" t="s">
        <v>43</v>
      </c>
    </row>
    <row r="6" spans="2:20" ht="19.5" thickBot="1">
      <c r="B6" s="371" t="s">
        <v>246</v>
      </c>
      <c r="C6" s="372">
        <v>1</v>
      </c>
      <c r="D6" s="373">
        <v>700</v>
      </c>
      <c r="E6" s="55">
        <f t="shared" ref="E6:E12" si="0">+C6*D6</f>
        <v>700</v>
      </c>
      <c r="F6" s="56">
        <f t="shared" ref="F6:F12" si="1">+E6*12</f>
        <v>8400</v>
      </c>
      <c r="G6" s="372">
        <v>1</v>
      </c>
      <c r="H6" s="55">
        <f>+E6</f>
        <v>700</v>
      </c>
      <c r="I6" s="55">
        <f t="shared" ref="I6:I12" si="2">+G6*H6</f>
        <v>700</v>
      </c>
      <c r="J6" s="56">
        <f t="shared" ref="J6:J12" si="3">+I6*12</f>
        <v>8400</v>
      </c>
      <c r="K6" s="372">
        <v>1</v>
      </c>
      <c r="L6" s="55">
        <f>+H6</f>
        <v>700</v>
      </c>
      <c r="M6" s="55">
        <f t="shared" ref="M6:M12" si="4">+K6*L6</f>
        <v>700</v>
      </c>
      <c r="N6" s="56">
        <f t="shared" ref="N6:N12" si="5">+M6*12</f>
        <v>8400</v>
      </c>
    </row>
    <row r="7" spans="2:20" s="33" customFormat="1" ht="19.5" thickBot="1">
      <c r="B7" s="371" t="s">
        <v>247</v>
      </c>
      <c r="C7" s="372">
        <v>1</v>
      </c>
      <c r="D7" s="373">
        <v>270</v>
      </c>
      <c r="E7" s="103">
        <f t="shared" si="0"/>
        <v>270</v>
      </c>
      <c r="F7" s="104">
        <f t="shared" si="1"/>
        <v>3240</v>
      </c>
      <c r="G7" s="372">
        <v>1</v>
      </c>
      <c r="H7" s="55">
        <f t="shared" ref="H7:H12" si="6">+E7</f>
        <v>270</v>
      </c>
      <c r="I7" s="103">
        <f t="shared" si="2"/>
        <v>270</v>
      </c>
      <c r="J7" s="104">
        <f t="shared" si="3"/>
        <v>3240</v>
      </c>
      <c r="K7" s="372">
        <v>1</v>
      </c>
      <c r="L7" s="55">
        <f t="shared" ref="L7:L12" si="7">+H7</f>
        <v>270</v>
      </c>
      <c r="M7" s="103">
        <f t="shared" si="4"/>
        <v>270</v>
      </c>
      <c r="N7" s="104">
        <f t="shared" si="5"/>
        <v>3240</v>
      </c>
    </row>
    <row r="8" spans="2:20" s="33" customFormat="1" ht="19.5" thickBot="1">
      <c r="B8" s="371" t="s">
        <v>248</v>
      </c>
      <c r="C8" s="372">
        <v>1</v>
      </c>
      <c r="D8" s="373">
        <v>400</v>
      </c>
      <c r="E8" s="103">
        <f t="shared" si="0"/>
        <v>400</v>
      </c>
      <c r="F8" s="104">
        <f t="shared" si="1"/>
        <v>4800</v>
      </c>
      <c r="G8" s="372">
        <v>1</v>
      </c>
      <c r="H8" s="55">
        <f t="shared" si="6"/>
        <v>400</v>
      </c>
      <c r="I8" s="103">
        <f t="shared" si="2"/>
        <v>400</v>
      </c>
      <c r="J8" s="104">
        <f t="shared" si="3"/>
        <v>4800</v>
      </c>
      <c r="K8" s="372">
        <v>1</v>
      </c>
      <c r="L8" s="55">
        <f t="shared" si="7"/>
        <v>400</v>
      </c>
      <c r="M8" s="103">
        <f t="shared" si="4"/>
        <v>400</v>
      </c>
      <c r="N8" s="104">
        <f t="shared" si="5"/>
        <v>4800</v>
      </c>
    </row>
    <row r="9" spans="2:20" s="33" customFormat="1" ht="19.5" thickBot="1">
      <c r="B9" s="371" t="s">
        <v>249</v>
      </c>
      <c r="C9" s="372">
        <v>1</v>
      </c>
      <c r="D9" s="373">
        <v>270</v>
      </c>
      <c r="E9" s="103">
        <f t="shared" si="0"/>
        <v>270</v>
      </c>
      <c r="F9" s="104">
        <f t="shared" si="1"/>
        <v>3240</v>
      </c>
      <c r="G9" s="372">
        <v>1</v>
      </c>
      <c r="H9" s="55">
        <f t="shared" si="6"/>
        <v>270</v>
      </c>
      <c r="I9" s="103">
        <f t="shared" si="2"/>
        <v>270</v>
      </c>
      <c r="J9" s="104">
        <f t="shared" si="3"/>
        <v>3240</v>
      </c>
      <c r="K9" s="372">
        <v>1</v>
      </c>
      <c r="L9" s="55">
        <f t="shared" si="7"/>
        <v>270</v>
      </c>
      <c r="M9" s="103">
        <f t="shared" si="4"/>
        <v>270</v>
      </c>
      <c r="N9" s="104">
        <f t="shared" si="5"/>
        <v>3240</v>
      </c>
    </row>
    <row r="10" spans="2:20" s="33" customFormat="1" ht="19.5" thickBot="1">
      <c r="B10" s="371" t="s">
        <v>250</v>
      </c>
      <c r="C10" s="372">
        <v>2</v>
      </c>
      <c r="D10" s="373">
        <v>300</v>
      </c>
      <c r="E10" s="103">
        <f t="shared" si="0"/>
        <v>600</v>
      </c>
      <c r="F10" s="104">
        <f t="shared" si="1"/>
        <v>7200</v>
      </c>
      <c r="G10" s="372">
        <v>2</v>
      </c>
      <c r="H10" s="55">
        <f t="shared" si="6"/>
        <v>600</v>
      </c>
      <c r="I10" s="103">
        <f t="shared" si="2"/>
        <v>1200</v>
      </c>
      <c r="J10" s="104">
        <f t="shared" si="3"/>
        <v>14400</v>
      </c>
      <c r="K10" s="372">
        <v>2</v>
      </c>
      <c r="L10" s="55">
        <f t="shared" si="7"/>
        <v>600</v>
      </c>
      <c r="M10" s="103">
        <f t="shared" si="4"/>
        <v>1200</v>
      </c>
      <c r="N10" s="104">
        <f t="shared" si="5"/>
        <v>14400</v>
      </c>
    </row>
    <row r="11" spans="2:20" s="33" customFormat="1" ht="19.5" thickBot="1">
      <c r="B11" s="371" t="s">
        <v>251</v>
      </c>
      <c r="C11" s="372">
        <v>1</v>
      </c>
      <c r="D11" s="373">
        <v>300</v>
      </c>
      <c r="E11" s="103">
        <f t="shared" si="0"/>
        <v>300</v>
      </c>
      <c r="F11" s="104">
        <f t="shared" si="1"/>
        <v>3600</v>
      </c>
      <c r="G11" s="372">
        <v>1</v>
      </c>
      <c r="H11" s="55">
        <f t="shared" si="6"/>
        <v>300</v>
      </c>
      <c r="I11" s="103">
        <f t="shared" si="2"/>
        <v>300</v>
      </c>
      <c r="J11" s="104">
        <f t="shared" si="3"/>
        <v>3600</v>
      </c>
      <c r="K11" s="372">
        <v>1</v>
      </c>
      <c r="L11" s="55">
        <f t="shared" si="7"/>
        <v>300</v>
      </c>
      <c r="M11" s="103">
        <f t="shared" si="4"/>
        <v>300</v>
      </c>
      <c r="N11" s="104">
        <f t="shared" si="5"/>
        <v>3600</v>
      </c>
    </row>
    <row r="12" spans="2:20" ht="19.5" thickBot="1">
      <c r="B12" s="371" t="s">
        <v>252</v>
      </c>
      <c r="C12" s="372">
        <v>1</v>
      </c>
      <c r="D12" s="373">
        <v>270</v>
      </c>
      <c r="E12" s="86">
        <f t="shared" si="0"/>
        <v>270</v>
      </c>
      <c r="F12" s="87">
        <f t="shared" si="1"/>
        <v>3240</v>
      </c>
      <c r="G12" s="372">
        <v>1</v>
      </c>
      <c r="H12" s="55">
        <f t="shared" si="6"/>
        <v>270</v>
      </c>
      <c r="I12" s="86">
        <f t="shared" si="2"/>
        <v>270</v>
      </c>
      <c r="J12" s="87">
        <f t="shared" si="3"/>
        <v>3240</v>
      </c>
      <c r="K12" s="372">
        <v>1</v>
      </c>
      <c r="L12" s="55">
        <f t="shared" si="7"/>
        <v>270</v>
      </c>
      <c r="M12" s="86">
        <f t="shared" si="4"/>
        <v>270</v>
      </c>
      <c r="N12" s="87">
        <f t="shared" si="5"/>
        <v>3240</v>
      </c>
    </row>
    <row r="13" spans="2:20" s="30" customFormat="1" ht="19.5" thickBot="1">
      <c r="B13" s="89" t="s">
        <v>44</v>
      </c>
      <c r="C13" s="90">
        <f>+SUM(C6:C12)</f>
        <v>8</v>
      </c>
      <c r="D13" s="91"/>
      <c r="E13" s="92">
        <f>+SUM(E6:E12)</f>
        <v>2810</v>
      </c>
      <c r="F13" s="93">
        <f>+SUM(F6:F12)</f>
        <v>33720</v>
      </c>
      <c r="G13" s="90">
        <f>+SUM(G6:G12)</f>
        <v>8</v>
      </c>
      <c r="H13" s="91"/>
      <c r="I13" s="92">
        <f>+SUM(I6:I12)</f>
        <v>3410</v>
      </c>
      <c r="J13" s="93">
        <f>+SUM(J6:J12)</f>
        <v>40920</v>
      </c>
      <c r="K13" s="90">
        <f>+SUM(K6:K12)</f>
        <v>8</v>
      </c>
      <c r="L13" s="91"/>
      <c r="M13" s="92">
        <f>+SUM(M6:M12)</f>
        <v>3410</v>
      </c>
      <c r="N13" s="93">
        <f>+SUM(N6:N12)</f>
        <v>40920</v>
      </c>
    </row>
    <row r="15" spans="2:20"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ht="19.5" thickBot="1">
      <c r="B16" s="93"/>
      <c r="C16" s="93" t="s">
        <v>171</v>
      </c>
      <c r="D16" s="93" t="s">
        <v>172</v>
      </c>
      <c r="E16" s="93" t="s">
        <v>173</v>
      </c>
      <c r="F16" s="93" t="s">
        <v>174</v>
      </c>
      <c r="G16" s="93" t="s">
        <v>175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7">
      <c r="B17" s="34" t="s">
        <v>166</v>
      </c>
      <c r="C17" s="203">
        <f>+F13</f>
        <v>33720</v>
      </c>
      <c r="D17" s="204">
        <f>+J13*(1+Datos!H5)</f>
        <v>43427.304799999998</v>
      </c>
      <c r="E17" s="204">
        <f>+J13*(1+Datos!I5)</f>
        <v>44280.986933333334</v>
      </c>
      <c r="F17" s="204">
        <f>+N13*(1+Datos!J5)</f>
        <v>44799.949528888887</v>
      </c>
      <c r="G17" s="204">
        <f>+N13*(1+Datos!L5)</f>
        <v>45854.102750024693</v>
      </c>
    </row>
    <row r="18" spans="2:7">
      <c r="B18" s="34" t="s">
        <v>167</v>
      </c>
      <c r="C18" s="203">
        <f>+C17/12</f>
        <v>2810</v>
      </c>
      <c r="D18" s="203">
        <f>+D17/12</f>
        <v>3618.9420666666665</v>
      </c>
      <c r="E18" s="203">
        <f>+E17/12</f>
        <v>3690.0822444444443</v>
      </c>
      <c r="F18" s="203">
        <f>+F17/12</f>
        <v>3733.3291274074072</v>
      </c>
      <c r="G18" s="203">
        <f>+G17/12</f>
        <v>3821.1752291687244</v>
      </c>
    </row>
    <row r="19" spans="2:7">
      <c r="B19" s="34" t="s">
        <v>168</v>
      </c>
      <c r="C19" s="203">
        <f>218*C13</f>
        <v>1744</v>
      </c>
      <c r="D19" s="203">
        <f>218*G13</f>
        <v>1744</v>
      </c>
      <c r="E19" s="203">
        <f>218*G13</f>
        <v>1744</v>
      </c>
      <c r="F19" s="203">
        <f>218*K13</f>
        <v>1744</v>
      </c>
      <c r="G19" s="203">
        <f>218*K13</f>
        <v>1744</v>
      </c>
    </row>
    <row r="20" spans="2:7">
      <c r="B20" s="34" t="s">
        <v>169</v>
      </c>
      <c r="C20" s="203">
        <f>+C17/24</f>
        <v>1405</v>
      </c>
      <c r="D20" s="203">
        <f>+D17/24</f>
        <v>1809.4710333333333</v>
      </c>
      <c r="E20" s="203">
        <f>+E17/24</f>
        <v>1845.0411222222222</v>
      </c>
      <c r="F20" s="203">
        <f>+F17/24</f>
        <v>1866.6645637037036</v>
      </c>
      <c r="G20" s="203">
        <f>+G17/24</f>
        <v>1910.5876145843622</v>
      </c>
    </row>
    <row r="21" spans="2:7">
      <c r="B21" s="34" t="s">
        <v>177</v>
      </c>
      <c r="C21" s="203">
        <f>+C17/12</f>
        <v>2810</v>
      </c>
      <c r="D21" s="203">
        <f>+D17/12</f>
        <v>3618.9420666666665</v>
      </c>
      <c r="E21" s="203">
        <f>+E17/12</f>
        <v>3690.0822444444443</v>
      </c>
      <c r="F21" s="203">
        <f>+F17/12</f>
        <v>3733.3291274074072</v>
      </c>
      <c r="G21" s="203">
        <f>+G17/12</f>
        <v>3821.1752291687244</v>
      </c>
    </row>
    <row r="22" spans="2:7">
      <c r="B22" s="34" t="s">
        <v>170</v>
      </c>
      <c r="C22" s="203">
        <f>+C17*0.1135</f>
        <v>3827.2200000000003</v>
      </c>
      <c r="D22" s="203">
        <f>+D17*0.1135</f>
        <v>4928.9990947999995</v>
      </c>
      <c r="E22" s="203">
        <f>+E17*0.1135</f>
        <v>5025.8920169333333</v>
      </c>
      <c r="F22" s="203">
        <f>+F17*0.1135</f>
        <v>5084.7942715288891</v>
      </c>
      <c r="G22" s="203">
        <f>+G17*0.1135</f>
        <v>5204.4406621278031</v>
      </c>
    </row>
    <row r="23" spans="2:7">
      <c r="B23" s="34" t="s">
        <v>176</v>
      </c>
      <c r="C23" s="203">
        <f>SUM(C17:C22)</f>
        <v>46316.22</v>
      </c>
      <c r="D23" s="203">
        <f>SUM(D17:D22)</f>
        <v>59147.659061466671</v>
      </c>
      <c r="E23" s="203">
        <f>SUM(E17:E22)</f>
        <v>60276.084561377778</v>
      </c>
      <c r="F23" s="203">
        <f>SUM(F17:F22)</f>
        <v>60962.066618936296</v>
      </c>
      <c r="G23" s="203">
        <f>SUM(G17:G22)</f>
        <v>62355.481485074306</v>
      </c>
    </row>
    <row r="25" spans="2:7">
      <c r="C25" s="210"/>
    </row>
  </sheetData>
  <mergeCells count="4">
    <mergeCell ref="B2:N2"/>
    <mergeCell ref="C4:F4"/>
    <mergeCell ref="G4:J4"/>
    <mergeCell ref="K4:N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38"/>
  <sheetViews>
    <sheetView topLeftCell="A22" workbookViewId="0">
      <selection activeCell="F33" sqref="F33"/>
    </sheetView>
  </sheetViews>
  <sheetFormatPr baseColWidth="10" defaultRowHeight="18.75"/>
  <cols>
    <col min="1" max="1" width="5.69921875" customWidth="1"/>
    <col min="2" max="2" width="18.296875" customWidth="1"/>
    <col min="3" max="7" width="10.5" style="28" bestFit="1" customWidth="1"/>
    <col min="8" max="12" width="12.5" bestFit="1" customWidth="1"/>
  </cols>
  <sheetData>
    <row r="1" spans="2:7">
      <c r="B1" s="98" t="s">
        <v>182</v>
      </c>
      <c r="C1" s="96">
        <v>1</v>
      </c>
      <c r="D1" s="96">
        <v>2</v>
      </c>
      <c r="E1" s="96">
        <v>3</v>
      </c>
      <c r="F1" s="96">
        <v>4</v>
      </c>
      <c r="G1" s="97">
        <v>5</v>
      </c>
    </row>
    <row r="2" spans="2:7">
      <c r="B2" s="208" t="s">
        <v>106</v>
      </c>
      <c r="C2" s="219">
        <f>+'Gastos de Administracion'!C9</f>
        <v>2400</v>
      </c>
      <c r="D2" s="219">
        <f>+'Gastos de Administracion'!D9</f>
        <v>2597.04</v>
      </c>
      <c r="E2" s="219">
        <f>+'Gastos de Administracion'!E9</f>
        <v>2843.239392</v>
      </c>
      <c r="F2" s="219">
        <f>+'Gastos de Administracion'!F9</f>
        <v>3155.4270772415998</v>
      </c>
      <c r="G2" s="221">
        <f>+'Gastos de Administracion'!G9</f>
        <v>3535.9715827569371</v>
      </c>
    </row>
    <row r="3" spans="2:7">
      <c r="B3" s="223" t="s">
        <v>183</v>
      </c>
      <c r="C3" s="219">
        <f>+'Estado Pèrdidas Y Ganacias'!C10</f>
        <v>454.2</v>
      </c>
      <c r="D3" s="219">
        <f>+'Estado Pèrdidas Y Ganacias'!D10</f>
        <v>491.48982000000001</v>
      </c>
      <c r="E3" s="219">
        <f>+'Estado Pèrdidas Y Ganacias'!E10</f>
        <v>538.08305493600005</v>
      </c>
      <c r="F3" s="219">
        <f>+'Estado Pèrdidas Y Ganacias'!F10</f>
        <v>597.16457436797282</v>
      </c>
      <c r="G3" s="221">
        <f>+'Estado Pèrdidas Y Ganacias'!G10</f>
        <v>669.18262203675033</v>
      </c>
    </row>
    <row r="4" spans="2:7" ht="19.5" thickBot="1">
      <c r="B4" s="215" t="s">
        <v>8</v>
      </c>
      <c r="C4" s="224">
        <f>+SUM(C2:C3)</f>
        <v>2854.2</v>
      </c>
      <c r="D4" s="224">
        <f>+SUM(D2:D3)</f>
        <v>3088.5298199999997</v>
      </c>
      <c r="E4" s="224">
        <f>+SUM(E2:E3)</f>
        <v>3381.3224469360002</v>
      </c>
      <c r="F4" s="224">
        <f>+SUM(F2:F3)</f>
        <v>3752.5916516095726</v>
      </c>
      <c r="G4" s="225">
        <f>+SUM(G2:G3)</f>
        <v>4205.1542047936873</v>
      </c>
    </row>
    <row r="5" spans="2:7" ht="19.5" thickBot="1"/>
    <row r="6" spans="2:7">
      <c r="B6" s="98" t="s">
        <v>103</v>
      </c>
      <c r="C6" s="96">
        <v>1</v>
      </c>
      <c r="D6" s="96">
        <v>2</v>
      </c>
      <c r="E6" s="96">
        <v>3</v>
      </c>
      <c r="F6" s="96">
        <v>4</v>
      </c>
      <c r="G6" s="97">
        <v>5</v>
      </c>
    </row>
    <row r="7" spans="2:7">
      <c r="B7" s="208" t="s">
        <v>105</v>
      </c>
      <c r="C7" s="219">
        <f>+'Gastos de Administracion'!C8</f>
        <v>33720</v>
      </c>
      <c r="D7" s="219">
        <f>+'Gastos de Administracion'!D8</f>
        <v>36488.412000000004</v>
      </c>
      <c r="E7" s="219">
        <f>+'Gastos de Administracion'!E8</f>
        <v>39947.513457600005</v>
      </c>
      <c r="F7" s="219">
        <f>+'Gastos de Administracion'!F8</f>
        <v>44333.750435244481</v>
      </c>
      <c r="G7" s="219">
        <f>+'Gastos de Administracion'!G8</f>
        <v>49680.40073773497</v>
      </c>
    </row>
    <row r="8" spans="2:7">
      <c r="B8" s="208" t="s">
        <v>223</v>
      </c>
      <c r="C8" s="220">
        <f>+'Gastos de Administracion'!C11</f>
        <v>720</v>
      </c>
      <c r="D8" s="220">
        <f>+'Gastos de Administracion'!D11</f>
        <v>779.11200000000008</v>
      </c>
      <c r="E8" s="220">
        <f>+'Gastos de Administracion'!E11</f>
        <v>852.97181760000012</v>
      </c>
      <c r="F8" s="220">
        <f>+'Gastos de Administracion'!F11</f>
        <v>946.62812317248006</v>
      </c>
      <c r="G8" s="222">
        <f>+'Gastos de Administracion'!G11</f>
        <v>1060.7914748270812</v>
      </c>
    </row>
    <row r="9" spans="2:7">
      <c r="B9" s="208" t="s">
        <v>88</v>
      </c>
      <c r="C9" s="220">
        <f>+'Gastos de Administracion'!C12</f>
        <v>960</v>
      </c>
      <c r="D9" s="220">
        <f>+'Gastos de Administracion'!D12</f>
        <v>1038.8501333333334</v>
      </c>
      <c r="E9" s="220">
        <f>+'Gastos de Administracion'!E12</f>
        <v>1137.3517483238716</v>
      </c>
      <c r="F9" s="220">
        <f>+'Gastos de Administracion'!F12</f>
        <v>1262.2042697099121</v>
      </c>
      <c r="G9" s="222">
        <f>+'Gastos de Administracion'!G12</f>
        <v>1414.3999089637875</v>
      </c>
    </row>
    <row r="10" spans="2:7">
      <c r="B10" s="208" t="s">
        <v>48</v>
      </c>
      <c r="C10" s="220">
        <f>+'Gastos de Administracion'!C13</f>
        <v>840</v>
      </c>
      <c r="D10" s="220">
        <f>+'Gastos de Administracion'!D13</f>
        <v>908.99386666666669</v>
      </c>
      <c r="E10" s="220">
        <f>+'Gastos de Administracion'!E13</f>
        <v>995.18277978338767</v>
      </c>
      <c r="F10" s="220">
        <f>+'Gastos de Administracion'!F13</f>
        <v>1104.4287359961731</v>
      </c>
      <c r="G10" s="222">
        <f>+'Gastos de Administracion'!G13</f>
        <v>1237.5999203433144</v>
      </c>
    </row>
    <row r="11" spans="2:7">
      <c r="B11" s="208" t="s">
        <v>49</v>
      </c>
      <c r="C11" s="220">
        <f>+'Gastos de Administracion'!C14</f>
        <v>240</v>
      </c>
      <c r="D11" s="220">
        <f>+'Gastos de Administracion'!D14</f>
        <v>259.71253333333334</v>
      </c>
      <c r="E11" s="220">
        <f>+'Gastos de Administracion'!E14</f>
        <v>284.33793708096789</v>
      </c>
      <c r="F11" s="220">
        <f>+'Gastos de Administracion'!F14</f>
        <v>315.55106742747802</v>
      </c>
      <c r="G11" s="222">
        <f>+'Gastos de Administracion'!G14</f>
        <v>353.59997724094688</v>
      </c>
    </row>
    <row r="12" spans="2:7">
      <c r="B12" s="208" t="s">
        <v>224</v>
      </c>
      <c r="C12" s="220">
        <f>+'Gastos de Administracion'!C15</f>
        <v>660</v>
      </c>
      <c r="D12" s="220">
        <f>+'Gastos de Administracion'!D15</f>
        <v>714.20946666666669</v>
      </c>
      <c r="E12" s="220">
        <f>+'Gastos de Administracion'!E15</f>
        <v>781.92932697266167</v>
      </c>
      <c r="F12" s="220">
        <f>+'Gastos de Administracion'!F15</f>
        <v>867.76543542556453</v>
      </c>
      <c r="G12" s="222">
        <f>+'Gastos de Administracion'!G15</f>
        <v>972.399937412604</v>
      </c>
    </row>
    <row r="13" spans="2:7" ht="19.5" thickBot="1">
      <c r="B13" s="215" t="s">
        <v>8</v>
      </c>
      <c r="C13" s="224">
        <f>SUM(C7:C12)</f>
        <v>37140</v>
      </c>
      <c r="D13" s="224">
        <f>SUM(D7:D12)</f>
        <v>40189.29</v>
      </c>
      <c r="E13" s="224">
        <f>SUM(E7:E12)</f>
        <v>43999.2870673609</v>
      </c>
      <c r="F13" s="224">
        <f>SUM(F7:F12)</f>
        <v>48830.328066976086</v>
      </c>
      <c r="G13" s="224">
        <f>SUM(G7:G12)</f>
        <v>54719.191956522707</v>
      </c>
    </row>
    <row r="14" spans="2:7" ht="19.5" thickBot="1"/>
    <row r="15" spans="2:7">
      <c r="B15" s="267"/>
      <c r="C15" s="237"/>
      <c r="D15" s="237"/>
      <c r="E15" s="237"/>
      <c r="F15" s="237"/>
      <c r="G15" s="238"/>
    </row>
    <row r="16" spans="2:7">
      <c r="B16" s="485" t="s">
        <v>184</v>
      </c>
      <c r="C16" s="486"/>
      <c r="D16" s="486"/>
      <c r="E16" s="486"/>
      <c r="F16" s="486"/>
      <c r="G16" s="487"/>
    </row>
    <row r="17" spans="2:14">
      <c r="B17" s="268" t="s">
        <v>110</v>
      </c>
      <c r="C17" s="269">
        <v>1</v>
      </c>
      <c r="D17" s="269">
        <v>2</v>
      </c>
      <c r="E17" s="269">
        <v>3</v>
      </c>
      <c r="F17" s="269">
        <v>4</v>
      </c>
      <c r="G17" s="270">
        <v>5</v>
      </c>
      <c r="H17" s="234"/>
      <c r="I17" s="234"/>
      <c r="J17" s="234"/>
      <c r="K17" s="234"/>
      <c r="L17" s="234"/>
      <c r="M17" s="33"/>
      <c r="N17" s="33"/>
    </row>
    <row r="18" spans="2:14">
      <c r="B18" s="228" t="s">
        <v>101</v>
      </c>
      <c r="C18" s="226">
        <f>+'FLUJO DE CAJA'!D6</f>
        <v>142920</v>
      </c>
      <c r="D18" s="226">
        <f>+'FLUJO DE CAJA'!E6</f>
        <v>154653.73200000002</v>
      </c>
      <c r="E18" s="226">
        <f>+'FLUJO DE CAJA'!F6</f>
        <v>169314.90579359999</v>
      </c>
      <c r="F18" s="226">
        <f>+'FLUJO DE CAJA'!G6</f>
        <v>187905.68244973727</v>
      </c>
      <c r="G18" s="226">
        <f>+'FLUJO DE CAJA'!H6</f>
        <v>210567.10775317557</v>
      </c>
      <c r="H18" s="33"/>
      <c r="I18" s="33"/>
      <c r="J18" s="33"/>
      <c r="K18" s="33"/>
      <c r="L18" s="33"/>
      <c r="M18" s="33"/>
      <c r="N18" s="33"/>
    </row>
    <row r="19" spans="2:14">
      <c r="B19" s="228" t="s">
        <v>104</v>
      </c>
      <c r="C19" s="226">
        <f>+C4</f>
        <v>2854.2</v>
      </c>
      <c r="D19" s="226">
        <f>+D4</f>
        <v>3088.5298199999997</v>
      </c>
      <c r="E19" s="226">
        <f>+E4</f>
        <v>3381.3224469360002</v>
      </c>
      <c r="F19" s="226">
        <f>+F4</f>
        <v>3752.5916516095726</v>
      </c>
      <c r="G19" s="229">
        <f>+G4</f>
        <v>4205.1542047936873</v>
      </c>
      <c r="H19" s="33"/>
      <c r="I19" s="33"/>
      <c r="J19" s="33"/>
      <c r="K19" s="33"/>
      <c r="L19" s="33"/>
      <c r="M19" s="33"/>
      <c r="N19" s="33"/>
    </row>
    <row r="20" spans="2:14">
      <c r="B20" s="228" t="s">
        <v>102</v>
      </c>
      <c r="C20" s="226">
        <f>+C18-C19</f>
        <v>140065.79999999999</v>
      </c>
      <c r="D20" s="226">
        <f>+D18-D19</f>
        <v>151565.20218000002</v>
      </c>
      <c r="E20" s="226">
        <f>+E18-E19</f>
        <v>165933.58334666397</v>
      </c>
      <c r="F20" s="226">
        <f>+F18-F19</f>
        <v>184153.0907981277</v>
      </c>
      <c r="G20" s="229">
        <f>+G18-G19</f>
        <v>206361.95354838189</v>
      </c>
      <c r="H20" s="33"/>
      <c r="I20" s="33"/>
      <c r="J20" s="33"/>
      <c r="K20" s="33"/>
      <c r="L20" s="33"/>
      <c r="M20" s="33"/>
      <c r="N20" s="33"/>
    </row>
    <row r="21" spans="2:14" ht="48">
      <c r="B21" s="236" t="s">
        <v>205</v>
      </c>
      <c r="C21" s="227">
        <f>+C20/C18</f>
        <v>0.98002938706968923</v>
      </c>
      <c r="D21" s="227">
        <f>+D20/D18</f>
        <v>0.98002938706968934</v>
      </c>
      <c r="E21" s="227">
        <f>+E20/E18</f>
        <v>0.98002938706968923</v>
      </c>
      <c r="F21" s="227">
        <f>+F20/F18</f>
        <v>0.98002938706968934</v>
      </c>
      <c r="G21" s="230">
        <f>+G20/G18</f>
        <v>0.98002938706968934</v>
      </c>
      <c r="H21" s="33"/>
      <c r="I21" s="33"/>
      <c r="J21" s="33"/>
      <c r="K21" s="33"/>
      <c r="L21" s="33"/>
      <c r="M21" s="33"/>
      <c r="N21" s="33"/>
    </row>
    <row r="22" spans="2:14">
      <c r="B22" s="228" t="s">
        <v>103</v>
      </c>
      <c r="C22" s="226">
        <f>+C13</f>
        <v>37140</v>
      </c>
      <c r="D22" s="226">
        <f>+D13</f>
        <v>40189.29</v>
      </c>
      <c r="E22" s="226">
        <f>+E13</f>
        <v>43999.2870673609</v>
      </c>
      <c r="F22" s="226">
        <f>+F13</f>
        <v>48830.328066976086</v>
      </c>
      <c r="G22" s="229">
        <f>+G13</f>
        <v>54719.191956522707</v>
      </c>
      <c r="H22" s="235"/>
      <c r="I22" s="235"/>
      <c r="J22" s="235"/>
      <c r="K22" s="235"/>
      <c r="L22" s="235"/>
      <c r="M22" s="33"/>
      <c r="N22" s="33"/>
    </row>
    <row r="23" spans="2:14" ht="19.5" thickBot="1">
      <c r="B23" s="271" t="s">
        <v>178</v>
      </c>
      <c r="C23" s="272">
        <f>+C22/C21</f>
        <v>37896.822779008158</v>
      </c>
      <c r="D23" s="272">
        <f>+D22/D21</f>
        <v>41008.249885411002</v>
      </c>
      <c r="E23" s="272">
        <f>+E22/E21</f>
        <v>44895.88541719121</v>
      </c>
      <c r="F23" s="272">
        <f>+F22/F21</f>
        <v>49825.371270732918</v>
      </c>
      <c r="G23" s="273">
        <f>+G22/G21</f>
        <v>55834.235869328739</v>
      </c>
      <c r="H23" s="33"/>
      <c r="I23" s="33"/>
      <c r="J23" s="33"/>
      <c r="K23" s="33"/>
      <c r="L23" s="235"/>
      <c r="M23" s="33"/>
      <c r="N23" s="33"/>
    </row>
    <row r="24" spans="2:14">
      <c r="H24" s="33"/>
      <c r="I24" s="33"/>
      <c r="J24" s="33"/>
      <c r="K24" s="33"/>
      <c r="L24" s="33"/>
      <c r="M24" s="33"/>
      <c r="N24" s="33"/>
    </row>
    <row r="25" spans="2:14" ht="19.5" thickBot="1"/>
    <row r="26" spans="2:14">
      <c r="B26" s="231" t="s">
        <v>109</v>
      </c>
      <c r="C26" s="54"/>
      <c r="D26"/>
    </row>
    <row r="27" spans="2:14">
      <c r="B27" s="34" t="s">
        <v>46</v>
      </c>
      <c r="C27" s="22"/>
      <c r="D27"/>
    </row>
    <row r="28" spans="2:14">
      <c r="B28" s="34" t="s">
        <v>47</v>
      </c>
      <c r="C28" s="22"/>
      <c r="D28"/>
    </row>
    <row r="29" spans="2:14">
      <c r="B29" s="34" t="s">
        <v>77</v>
      </c>
      <c r="C29" s="22"/>
      <c r="D29"/>
    </row>
    <row r="30" spans="2:14">
      <c r="B30" s="232" t="s">
        <v>185</v>
      </c>
    </row>
    <row r="33" spans="3:7">
      <c r="C33" s="233"/>
      <c r="D33" s="233"/>
      <c r="E33" s="233"/>
      <c r="F33" s="233"/>
      <c r="G33" s="233"/>
    </row>
    <row r="35" spans="3:7">
      <c r="C35" s="211"/>
      <c r="D35" s="211"/>
      <c r="E35" s="211"/>
      <c r="F35" s="211"/>
      <c r="G35" s="211"/>
    </row>
    <row r="38" spans="3:7">
      <c r="C38"/>
      <c r="D38"/>
      <c r="E38"/>
      <c r="F38"/>
      <c r="G38"/>
    </row>
  </sheetData>
  <mergeCells count="1">
    <mergeCell ref="B16:G16"/>
  </mergeCells>
  <phoneticPr fontId="0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17"/>
  <sheetViews>
    <sheetView tabSelected="1" workbookViewId="0">
      <selection activeCell="F18" sqref="F18"/>
    </sheetView>
  </sheetViews>
  <sheetFormatPr baseColWidth="10" defaultRowHeight="18.75"/>
  <cols>
    <col min="3" max="3" width="12.69921875" bestFit="1" customWidth="1"/>
    <col min="4" max="6" width="13.5" bestFit="1" customWidth="1"/>
    <col min="7" max="7" width="15.3984375" bestFit="1" customWidth="1"/>
  </cols>
  <sheetData>
    <row r="3" spans="1:8">
      <c r="A3" t="s">
        <v>262</v>
      </c>
      <c r="B3" t="s">
        <v>268</v>
      </c>
      <c r="C3" s="492">
        <v>0.32819999999999999</v>
      </c>
    </row>
    <row r="6" spans="1:8">
      <c r="C6" t="s">
        <v>52</v>
      </c>
    </row>
    <row r="7" spans="1:8">
      <c r="A7" s="1"/>
      <c r="B7" s="495" t="s">
        <v>263</v>
      </c>
      <c r="C7" s="495">
        <v>1</v>
      </c>
      <c r="D7" s="495">
        <v>2</v>
      </c>
      <c r="E7" s="495">
        <v>3</v>
      </c>
      <c r="F7" s="495">
        <v>4</v>
      </c>
      <c r="G7" s="495">
        <v>5</v>
      </c>
    </row>
    <row r="8" spans="1:8">
      <c r="A8" s="1" t="s">
        <v>264</v>
      </c>
      <c r="B8" s="493">
        <f>+'FLUJO DE CAJA'!C22</f>
        <v>-271296.47547945206</v>
      </c>
      <c r="C8" s="493">
        <f>+'FLUJO DE CAJA'!D22</f>
        <v>90278.307959999991</v>
      </c>
      <c r="D8" s="493">
        <f>+'FLUJO DE CAJA'!E22</f>
        <v>102975.91218000001</v>
      </c>
      <c r="E8" s="493">
        <f>+'FLUJO DE CAJA'!F22</f>
        <v>113534.29627930309</v>
      </c>
      <c r="F8" s="493">
        <f>+'FLUJO DE CAJA'!G22</f>
        <v>120051.99178989432</v>
      </c>
      <c r="G8" s="493">
        <f>+'FLUJO DE CAJA'!H22</f>
        <v>612988.52015541506</v>
      </c>
    </row>
    <row r="9" spans="1:8">
      <c r="A9" s="1"/>
      <c r="B9" s="1"/>
      <c r="C9" s="1"/>
      <c r="D9" s="1"/>
      <c r="E9" s="1"/>
      <c r="F9" s="1"/>
      <c r="G9" s="1"/>
    </row>
    <row r="10" spans="1:8">
      <c r="A10" s="1" t="s">
        <v>265</v>
      </c>
      <c r="B10" s="1"/>
      <c r="C10" s="494">
        <f>(C8/(1+$C$3)^(C7))</f>
        <v>67970.4170757416</v>
      </c>
      <c r="D10" s="494">
        <f t="shared" ref="D10:G10" si="0">(D8/(1+$C$3)^(D7))</f>
        <v>58372.554040177107</v>
      </c>
      <c r="E10" s="494">
        <f t="shared" si="0"/>
        <v>48454.782077960255</v>
      </c>
      <c r="F10" s="494">
        <f t="shared" si="0"/>
        <v>38575.846619388867</v>
      </c>
      <c r="G10" s="494">
        <f t="shared" si="0"/>
        <v>148297.88654412373</v>
      </c>
    </row>
    <row r="11" spans="1:8">
      <c r="A11" s="1"/>
      <c r="B11" s="1"/>
      <c r="C11" s="494">
        <f>+C10</f>
        <v>67970.4170757416</v>
      </c>
      <c r="D11" s="494">
        <f>C11+D10</f>
        <v>126342.97111591871</v>
      </c>
      <c r="E11" s="494">
        <f t="shared" ref="E11:G11" si="1">D11+E10</f>
        <v>174797.75319387898</v>
      </c>
      <c r="F11" s="494">
        <f t="shared" si="1"/>
        <v>213373.59981326785</v>
      </c>
      <c r="G11" s="494">
        <f t="shared" si="1"/>
        <v>361671.48635739158</v>
      </c>
    </row>
    <row r="14" spans="1:8">
      <c r="E14">
        <f>G10</f>
        <v>148297.88654412373</v>
      </c>
      <c r="F14">
        <v>12</v>
      </c>
    </row>
    <row r="15" spans="1:8">
      <c r="E15">
        <f>-(B8+F11)</f>
        <v>57922.875666184205</v>
      </c>
      <c r="F15" s="2" t="s">
        <v>266</v>
      </c>
      <c r="G15" s="491">
        <f>(E15*F14)/E14</f>
        <v>4.6870156021232434</v>
      </c>
      <c r="H15" t="s">
        <v>269</v>
      </c>
    </row>
    <row r="17" spans="1:2">
      <c r="A17" t="s">
        <v>267</v>
      </c>
      <c r="B17" t="s">
        <v>270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8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8"/>
  <sheetViews>
    <sheetView topLeftCell="A7" workbookViewId="0">
      <selection activeCell="B24" sqref="B24"/>
    </sheetView>
  </sheetViews>
  <sheetFormatPr baseColWidth="10" defaultRowHeight="18.75"/>
  <cols>
    <col min="1" max="1" width="7.3984375" customWidth="1"/>
    <col min="2" max="2" width="21.69921875" style="25" customWidth="1"/>
    <col min="3" max="3" width="15.69921875" style="11" customWidth="1"/>
    <col min="4" max="4" width="18.8984375" bestFit="1" customWidth="1"/>
    <col min="5" max="5" width="13.3984375" customWidth="1"/>
    <col min="6" max="6" width="11.09765625" customWidth="1"/>
  </cols>
  <sheetData>
    <row r="1" spans="2:7" ht="17.25" customHeight="1"/>
    <row r="2" spans="2:7" ht="15" customHeight="1">
      <c r="B2" s="430" t="s">
        <v>113</v>
      </c>
      <c r="C2" s="430"/>
      <c r="D2" s="430"/>
      <c r="E2" s="430"/>
      <c r="F2" s="58"/>
      <c r="G2" s="30"/>
    </row>
    <row r="3" spans="2:7" ht="15" customHeight="1">
      <c r="B3" s="430" t="s">
        <v>116</v>
      </c>
      <c r="C3" s="430"/>
      <c r="D3" s="430"/>
      <c r="E3" s="430"/>
      <c r="F3" s="58"/>
      <c r="G3" s="30"/>
    </row>
    <row r="4" spans="2:7" ht="15" customHeight="1" thickBot="1">
      <c r="B4" s="430" t="s">
        <v>117</v>
      </c>
      <c r="C4" s="430"/>
      <c r="D4" s="430"/>
      <c r="E4" s="430"/>
      <c r="F4" s="58"/>
      <c r="G4" s="30"/>
    </row>
    <row r="5" spans="2:7">
      <c r="B5" s="428" t="s">
        <v>0</v>
      </c>
      <c r="C5" s="431"/>
      <c r="D5" s="428" t="s">
        <v>12</v>
      </c>
      <c r="E5" s="429"/>
    </row>
    <row r="6" spans="2:7">
      <c r="B6" s="424" t="s">
        <v>1</v>
      </c>
      <c r="C6" s="425"/>
      <c r="D6" s="426" t="s">
        <v>13</v>
      </c>
      <c r="E6" s="427"/>
    </row>
    <row r="7" spans="2:7">
      <c r="B7" s="63" t="s">
        <v>2</v>
      </c>
      <c r="C7" s="109">
        <f>+'CAPITAL DE TRABJO'!B5</f>
        <v>3977.6054794520546</v>
      </c>
      <c r="D7" s="61" t="s">
        <v>14</v>
      </c>
      <c r="E7" s="64">
        <v>0</v>
      </c>
    </row>
    <row r="8" spans="2:7">
      <c r="B8" s="65" t="s">
        <v>3</v>
      </c>
      <c r="C8" s="110">
        <v>0</v>
      </c>
      <c r="D8" s="67" t="s">
        <v>15</v>
      </c>
      <c r="E8" s="68">
        <f>+SUM(E6:E7)</f>
        <v>0</v>
      </c>
    </row>
    <row r="9" spans="2:7">
      <c r="B9" s="69" t="s">
        <v>4</v>
      </c>
      <c r="C9" s="111">
        <f>+SUM(C7:C8)</f>
        <v>3977.6054794520546</v>
      </c>
      <c r="D9" s="61"/>
      <c r="E9" s="70"/>
    </row>
    <row r="10" spans="2:7">
      <c r="B10" s="71"/>
      <c r="C10" s="112"/>
      <c r="D10" s="426" t="s">
        <v>16</v>
      </c>
      <c r="E10" s="427"/>
    </row>
    <row r="11" spans="2:7">
      <c r="B11" s="424" t="s">
        <v>5</v>
      </c>
      <c r="C11" s="425"/>
      <c r="D11" s="61" t="s">
        <v>17</v>
      </c>
      <c r="E11" s="64" t="e">
        <f>+#REF!</f>
        <v>#REF!</v>
      </c>
    </row>
    <row r="12" spans="2:7">
      <c r="B12" s="72" t="s">
        <v>6</v>
      </c>
      <c r="C12" s="113">
        <f>+'Equipo de Oficina, computacion '!I6</f>
        <v>1018.8499999999999</v>
      </c>
      <c r="D12" s="67" t="s">
        <v>18</v>
      </c>
      <c r="E12" s="68" t="e">
        <f>+E11</f>
        <v>#REF!</v>
      </c>
    </row>
    <row r="13" spans="2:7">
      <c r="B13" s="73" t="s">
        <v>86</v>
      </c>
      <c r="C13" s="114">
        <f>+'Equipo de Oficina, computacion '!I8</f>
        <v>6020.1399999999994</v>
      </c>
      <c r="D13" s="67" t="s">
        <v>25</v>
      </c>
      <c r="E13" s="68" t="e">
        <f>+E12+E8</f>
        <v>#REF!</v>
      </c>
    </row>
    <row r="14" spans="2:7">
      <c r="B14" s="74" t="s">
        <v>66</v>
      </c>
      <c r="C14" s="110">
        <f>+'Equipo de Oficina, computacion '!I10</f>
        <v>171</v>
      </c>
      <c r="D14" s="61"/>
      <c r="E14" s="62"/>
    </row>
    <row r="15" spans="2:7" ht="19.5" thickBot="1">
      <c r="B15" s="369" t="s">
        <v>245</v>
      </c>
      <c r="C15" s="370">
        <f>+'Equipo de Oficina, computacion '!I27</f>
        <v>30324.880000000001</v>
      </c>
      <c r="D15" s="61"/>
      <c r="E15" s="62"/>
    </row>
    <row r="16" spans="2:7" ht="19.5" thickBot="1">
      <c r="B16" s="69" t="s">
        <v>10</v>
      </c>
      <c r="C16" s="111">
        <f>SUM(C12:C15)</f>
        <v>37534.870000000003</v>
      </c>
      <c r="D16" s="428" t="s">
        <v>19</v>
      </c>
      <c r="E16" s="429"/>
    </row>
    <row r="17" spans="2:7">
      <c r="B17" s="75"/>
      <c r="C17" s="112"/>
      <c r="D17" s="76" t="s">
        <v>20</v>
      </c>
      <c r="E17" s="77">
        <f>+C23</f>
        <v>271296.47547945206</v>
      </c>
    </row>
    <row r="18" spans="2:7">
      <c r="B18" s="424" t="s">
        <v>7</v>
      </c>
      <c r="C18" s="425"/>
      <c r="D18" s="78" t="s">
        <v>21</v>
      </c>
      <c r="E18" s="79">
        <v>0</v>
      </c>
    </row>
    <row r="19" spans="2:7">
      <c r="B19" s="71" t="s">
        <v>87</v>
      </c>
      <c r="C19" s="115">
        <f>+'Gastos De Constitucion'!B6</f>
        <v>229784</v>
      </c>
      <c r="D19" s="78"/>
      <c r="E19" s="79"/>
    </row>
    <row r="20" spans="2:7">
      <c r="B20" s="71"/>
      <c r="C20" s="112"/>
      <c r="D20" s="80" t="s">
        <v>22</v>
      </c>
      <c r="E20" s="66">
        <v>0</v>
      </c>
      <c r="G20" s="11"/>
    </row>
    <row r="21" spans="2:7">
      <c r="B21" s="69" t="s">
        <v>11</v>
      </c>
      <c r="C21" s="116">
        <f>+C19+C20</f>
        <v>229784</v>
      </c>
      <c r="D21" s="67" t="s">
        <v>23</v>
      </c>
      <c r="E21" s="68">
        <f>+SUM(E17:E20)</f>
        <v>271296.47547945206</v>
      </c>
    </row>
    <row r="22" spans="2:7">
      <c r="B22" s="71"/>
      <c r="C22" s="112"/>
      <c r="D22" s="61"/>
      <c r="E22" s="70"/>
    </row>
    <row r="23" spans="2:7" ht="19.5" thickBot="1">
      <c r="B23" s="81" t="s">
        <v>9</v>
      </c>
      <c r="C23" s="117">
        <f>+C21+C16+C9</f>
        <v>271296.47547945206</v>
      </c>
      <c r="D23" s="81" t="s">
        <v>24</v>
      </c>
      <c r="E23" s="82" t="e">
        <f>+E21+E13</f>
        <v>#REF!</v>
      </c>
    </row>
    <row r="25" spans="2:7" ht="19.5" customHeight="1" thickBot="1">
      <c r="D25" s="239"/>
    </row>
    <row r="26" spans="2:7">
      <c r="B26" s="422" t="s">
        <v>78</v>
      </c>
      <c r="C26" s="423"/>
      <c r="E26" s="363"/>
      <c r="F26" s="364"/>
    </row>
    <row r="27" spans="2:7">
      <c r="B27" s="105" t="s">
        <v>6</v>
      </c>
      <c r="C27" s="106">
        <f>+'Equipo de Oficina, computacion '!I6</f>
        <v>1018.8499999999999</v>
      </c>
      <c r="E27" s="363"/>
      <c r="F27" s="364"/>
    </row>
    <row r="28" spans="2:7">
      <c r="B28" s="107" t="s">
        <v>86</v>
      </c>
      <c r="C28" s="108">
        <f>+C13</f>
        <v>6020.1399999999994</v>
      </c>
      <c r="E28" s="363"/>
      <c r="F28" s="364"/>
    </row>
    <row r="29" spans="2:7" ht="31.5">
      <c r="B29" s="107" t="s">
        <v>66</v>
      </c>
      <c r="C29" s="108">
        <f>+C14</f>
        <v>171</v>
      </c>
      <c r="E29" s="363"/>
      <c r="F29" s="364"/>
    </row>
    <row r="30" spans="2:7">
      <c r="B30" s="107" t="s">
        <v>255</v>
      </c>
      <c r="C30" s="108">
        <f>+'Equipo de Oficina, computacion '!I27</f>
        <v>30324.880000000001</v>
      </c>
      <c r="E30" s="363"/>
      <c r="F30" s="364"/>
    </row>
    <row r="31" spans="2:7">
      <c r="B31" s="107" t="s">
        <v>244</v>
      </c>
      <c r="C31" s="108">
        <f>+'Gastos De Constitucion'!B6</f>
        <v>229784</v>
      </c>
      <c r="E31" s="363"/>
      <c r="F31" s="364"/>
    </row>
    <row r="32" spans="2:7">
      <c r="B32" s="107" t="s">
        <v>67</v>
      </c>
      <c r="C32" s="108">
        <f>+'CAPITAL DE TRABJO'!B5</f>
        <v>3977.6054794520546</v>
      </c>
      <c r="E32" s="365"/>
      <c r="F32" s="366"/>
    </row>
    <row r="33" spans="2:7" ht="19.5" thickBot="1">
      <c r="B33" s="240" t="s">
        <v>8</v>
      </c>
      <c r="C33" s="241">
        <f>+SUM(C27:C32)</f>
        <v>271296.47547945206</v>
      </c>
      <c r="D33" s="11"/>
      <c r="E33" s="343"/>
      <c r="F33" s="344"/>
    </row>
    <row r="34" spans="2:7">
      <c r="B34" s="416" t="s">
        <v>256</v>
      </c>
    </row>
    <row r="36" spans="2:7" ht="18.75" customHeight="1" thickBot="1">
      <c r="B36" s="420" t="s">
        <v>96</v>
      </c>
      <c r="C36" s="421"/>
      <c r="D36" s="243" t="s">
        <v>69</v>
      </c>
    </row>
    <row r="37" spans="2:7">
      <c r="B37" s="24" t="s">
        <v>68</v>
      </c>
      <c r="C37" s="244">
        <v>1</v>
      </c>
      <c r="D37" s="29">
        <v>0</v>
      </c>
    </row>
    <row r="38" spans="2:7" ht="22.5">
      <c r="G38" s="242"/>
    </row>
  </sheetData>
  <mergeCells count="13">
    <mergeCell ref="B2:E2"/>
    <mergeCell ref="B3:E3"/>
    <mergeCell ref="B4:E4"/>
    <mergeCell ref="D6:E6"/>
    <mergeCell ref="B5:C5"/>
    <mergeCell ref="B6:C6"/>
    <mergeCell ref="D5:E5"/>
    <mergeCell ref="B36:C36"/>
    <mergeCell ref="B26:C26"/>
    <mergeCell ref="B18:C18"/>
    <mergeCell ref="B11:C11"/>
    <mergeCell ref="D10:E10"/>
    <mergeCell ref="D16:E16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4"/>
  <sheetViews>
    <sheetView topLeftCell="A28" workbookViewId="0">
      <selection activeCell="D24" sqref="D24"/>
    </sheetView>
  </sheetViews>
  <sheetFormatPr baseColWidth="10" defaultRowHeight="18.75"/>
  <cols>
    <col min="1" max="1" width="7.3984375" customWidth="1"/>
    <col min="2" max="2" width="16.5" style="157" bestFit="1" customWidth="1"/>
    <col min="3" max="5" width="7.8984375" bestFit="1" customWidth="1"/>
    <col min="6" max="7" width="8.3984375" bestFit="1" customWidth="1"/>
    <col min="8" max="8" width="8.3984375" customWidth="1"/>
  </cols>
  <sheetData>
    <row r="1" spans="2:8" ht="15" customHeight="1" thickBot="1">
      <c r="B1" s="158"/>
      <c r="C1" s="135"/>
      <c r="D1" s="135"/>
      <c r="E1" s="135"/>
      <c r="F1" s="58"/>
      <c r="G1" s="30"/>
    </row>
    <row r="2" spans="2:8">
      <c r="B2" s="159" t="s">
        <v>0</v>
      </c>
      <c r="C2" s="160" t="s">
        <v>160</v>
      </c>
      <c r="D2" s="160">
        <v>1</v>
      </c>
      <c r="E2" s="160">
        <v>2</v>
      </c>
      <c r="F2" s="160">
        <v>3</v>
      </c>
      <c r="G2" s="160">
        <v>4</v>
      </c>
      <c r="H2" s="161">
        <v>5</v>
      </c>
    </row>
    <row r="3" spans="2:8">
      <c r="B3" s="162" t="s">
        <v>1</v>
      </c>
      <c r="C3" s="163"/>
      <c r="D3" s="163"/>
      <c r="E3" s="163"/>
      <c r="F3" s="163"/>
      <c r="G3" s="163"/>
      <c r="H3" s="164"/>
    </row>
    <row r="4" spans="2:8">
      <c r="B4" s="165" t="s">
        <v>2</v>
      </c>
      <c r="C4" s="127">
        <f>+'CAPITAL DE TRABJO'!B5</f>
        <v>3977.6054794520546</v>
      </c>
      <c r="D4" s="127">
        <f>+C4+D44</f>
        <v>47348.519146118713</v>
      </c>
      <c r="E4" s="127">
        <f>+D4+E44</f>
        <v>79062.986964278723</v>
      </c>
      <c r="F4" s="127">
        <f>+E4+F44</f>
        <v>117239.18585121221</v>
      </c>
      <c r="G4" s="127">
        <f>+F4+G44</f>
        <v>163609.126206677</v>
      </c>
      <c r="H4" s="128">
        <f>+G4+H44</f>
        <v>219966.9058648948</v>
      </c>
    </row>
    <row r="5" spans="2:8">
      <c r="B5" s="165" t="s">
        <v>3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8">
        <v>0</v>
      </c>
    </row>
    <row r="6" spans="2:8">
      <c r="B6" s="162" t="s">
        <v>4</v>
      </c>
      <c r="C6" s="166">
        <f t="shared" ref="C6:H6" si="0">+SUM(C4:C5)</f>
        <v>3977.6054794520546</v>
      </c>
      <c r="D6" s="166">
        <f t="shared" si="0"/>
        <v>47348.519146118713</v>
      </c>
      <c r="E6" s="166">
        <f t="shared" si="0"/>
        <v>79062.986964278723</v>
      </c>
      <c r="F6" s="166">
        <f t="shared" si="0"/>
        <v>117239.18585121221</v>
      </c>
      <c r="G6" s="166">
        <f t="shared" si="0"/>
        <v>163609.126206677</v>
      </c>
      <c r="H6" s="167">
        <f t="shared" si="0"/>
        <v>219966.9058648948</v>
      </c>
    </row>
    <row r="7" spans="2:8">
      <c r="B7" s="168"/>
      <c r="C7" s="169"/>
      <c r="D7" s="169"/>
      <c r="E7" s="169"/>
      <c r="F7" s="169"/>
      <c r="G7" s="169"/>
      <c r="H7" s="170"/>
    </row>
    <row r="8" spans="2:8">
      <c r="B8" s="162" t="s">
        <v>5</v>
      </c>
      <c r="C8" s="163"/>
      <c r="D8" s="163"/>
      <c r="E8" s="163"/>
      <c r="F8" s="163"/>
      <c r="G8" s="163"/>
      <c r="H8" s="164"/>
    </row>
    <row r="9" spans="2:8">
      <c r="B9" s="165" t="s">
        <v>6</v>
      </c>
      <c r="C9" s="127">
        <f>+'Equipo de Oficina, computacion '!$I$6</f>
        <v>1018.8499999999999</v>
      </c>
      <c r="D9" s="127">
        <f>+'Equipo de Oficina, computacion '!$I$6</f>
        <v>1018.8499999999999</v>
      </c>
      <c r="E9" s="127">
        <f>+'Equipo de Oficina, computacion '!$I$6</f>
        <v>1018.8499999999999</v>
      </c>
      <c r="F9" s="127">
        <f>+'Equipo de Oficina, computacion '!$I$6</f>
        <v>1018.8499999999999</v>
      </c>
      <c r="G9" s="127">
        <f>+'Equipo de Oficina, computacion '!$I$6</f>
        <v>1018.8499999999999</v>
      </c>
      <c r="H9" s="128">
        <f>+'Equipo de Oficina, computacion '!$I$6</f>
        <v>1018.8499999999999</v>
      </c>
    </row>
    <row r="10" spans="2:8">
      <c r="B10" s="165" t="s">
        <v>86</v>
      </c>
      <c r="C10" s="127">
        <f>+'Equipo de Oficina, computacion '!$I$8</f>
        <v>6020.1399999999994</v>
      </c>
      <c r="D10" s="127">
        <f>+'Equipo de Oficina, computacion '!$I$8</f>
        <v>6020.1399999999994</v>
      </c>
      <c r="E10" s="127">
        <f>+'Equipo de Oficina, computacion '!$I$8</f>
        <v>6020.1399999999994</v>
      </c>
      <c r="F10" s="127">
        <f>+'Equipo de Oficina, computacion '!$I$8</f>
        <v>6020.1399999999994</v>
      </c>
      <c r="G10" s="127">
        <f>+'Equipo de Oficina, computacion '!$I$8</f>
        <v>6020.1399999999994</v>
      </c>
      <c r="H10" s="127">
        <f>+'Equipo de Oficina, computacion '!$I$8</f>
        <v>6020.1399999999994</v>
      </c>
    </row>
    <row r="11" spans="2:8" ht="28.5" customHeight="1">
      <c r="B11" s="171" t="s">
        <v>66</v>
      </c>
      <c r="C11" s="127">
        <f>+'Equipo de Oficina, computacion '!$I$10</f>
        <v>171</v>
      </c>
      <c r="D11" s="127">
        <f>+'Equipo de Oficina, computacion '!$I$10</f>
        <v>171</v>
      </c>
      <c r="E11" s="127">
        <f>+'Equipo de Oficina, computacion '!$I$10</f>
        <v>171</v>
      </c>
      <c r="F11" s="127">
        <f>+'Equipo de Oficina, computacion '!$I$10</f>
        <v>171</v>
      </c>
      <c r="G11" s="127">
        <f>+'Equipo de Oficina, computacion '!$I$10</f>
        <v>171</v>
      </c>
      <c r="H11" s="127">
        <f>+'Equipo de Oficina, computacion '!$I$10</f>
        <v>171</v>
      </c>
    </row>
    <row r="12" spans="2:8" ht="28.5" customHeight="1">
      <c r="B12" s="171" t="s">
        <v>243</v>
      </c>
      <c r="C12" s="127">
        <f>+'Equipo de Oficina, computacion '!$G$56</f>
        <v>30324.880000000001</v>
      </c>
      <c r="D12" s="127">
        <f>+'Equipo de Oficina, computacion '!$G$56</f>
        <v>30324.880000000001</v>
      </c>
      <c r="E12" s="127">
        <f>+'Equipo de Oficina, computacion '!$G$56</f>
        <v>30324.880000000001</v>
      </c>
      <c r="F12" s="127">
        <f>+'Equipo de Oficina, computacion '!$G$56</f>
        <v>30324.880000000001</v>
      </c>
      <c r="G12" s="127">
        <f>+'Equipo de Oficina, computacion '!$G$56</f>
        <v>30324.880000000001</v>
      </c>
      <c r="H12" s="127">
        <f>+'Equipo de Oficina, computacion '!$G$56</f>
        <v>30324.880000000001</v>
      </c>
    </row>
    <row r="13" spans="2:8" ht="27">
      <c r="B13" s="171" t="s">
        <v>193</v>
      </c>
      <c r="C13" s="127"/>
      <c r="D13" s="127">
        <f>-'Equipo de Oficina, computacion '!D65</f>
        <v>-101.88500000000001</v>
      </c>
      <c r="E13" s="127">
        <f>-'Equipo de Oficina, computacion '!E65</f>
        <v>-203.77</v>
      </c>
      <c r="F13" s="127">
        <f>-'Equipo de Oficina, computacion '!F65</f>
        <v>-305.65499999999997</v>
      </c>
      <c r="G13" s="127">
        <f>-'Equipo de Oficina, computacion '!G65</f>
        <v>-407.54</v>
      </c>
      <c r="H13" s="128">
        <f>-'Equipo de Oficina, computacion '!H65</f>
        <v>-509.42500000000001</v>
      </c>
    </row>
    <row r="14" spans="2:8" ht="27">
      <c r="B14" s="250" t="s">
        <v>203</v>
      </c>
      <c r="C14" s="169"/>
      <c r="D14" s="169">
        <f>-'Equipo de Oficina, computacion '!D68</f>
        <v>-2006.7133333333331</v>
      </c>
      <c r="E14" s="169">
        <f>-'Equipo de Oficina, computacion '!E68</f>
        <v>-4013.4266666666663</v>
      </c>
      <c r="F14" s="169">
        <f>-'Equipo de Oficina, computacion '!F68</f>
        <v>-6020.1399999999994</v>
      </c>
      <c r="G14" s="169">
        <f>-'Equipo de Oficina, computacion '!G68</f>
        <v>0</v>
      </c>
      <c r="H14" s="170">
        <f>-'Equipo de Oficina, computacion '!H68</f>
        <v>0</v>
      </c>
    </row>
    <row r="15" spans="2:8" ht="39.75">
      <c r="B15" s="250" t="s">
        <v>194</v>
      </c>
      <c r="C15" s="169"/>
      <c r="D15" s="169">
        <f>-'Equipo de Oficina, computacion '!D71</f>
        <v>-57</v>
      </c>
      <c r="E15" s="169">
        <f>-'Equipo de Oficina, computacion '!E71</f>
        <v>-114</v>
      </c>
      <c r="F15" s="169">
        <f>-'Equipo de Oficina, computacion '!F71</f>
        <v>-171</v>
      </c>
      <c r="G15" s="169">
        <v>0</v>
      </c>
      <c r="H15" s="170">
        <v>0</v>
      </c>
    </row>
    <row r="16" spans="2:8" ht="27">
      <c r="B16" s="250" t="s">
        <v>253</v>
      </c>
      <c r="C16" s="169"/>
      <c r="D16" s="169">
        <f>-'Equipo de Oficina, computacion '!D89</f>
        <v>-3032.4880000000007</v>
      </c>
      <c r="E16" s="169">
        <f>-'Equipo de Oficina, computacion '!E89</f>
        <v>-6064.9760000000015</v>
      </c>
      <c r="F16" s="169">
        <f>-'Equipo de Oficina, computacion '!F89</f>
        <v>-9097.4639999999999</v>
      </c>
      <c r="G16" s="169">
        <f>-'Equipo de Oficina, computacion '!G89</f>
        <v>-12129.952000000003</v>
      </c>
      <c r="H16" s="169">
        <f>-'Equipo de Oficina, computacion '!H89</f>
        <v>-15162.44</v>
      </c>
    </row>
    <row r="17" spans="2:8">
      <c r="B17" s="162" t="s">
        <v>10</v>
      </c>
      <c r="C17" s="166">
        <f t="shared" ref="C17:H17" si="1">+SUM(C9:C15)</f>
        <v>37534.870000000003</v>
      </c>
      <c r="D17" s="166">
        <f t="shared" si="1"/>
        <v>35369.271666666667</v>
      </c>
      <c r="E17" s="166">
        <f t="shared" si="1"/>
        <v>33203.67333333334</v>
      </c>
      <c r="F17" s="166">
        <f t="shared" si="1"/>
        <v>31038.075000000004</v>
      </c>
      <c r="G17" s="166">
        <f t="shared" si="1"/>
        <v>37127.33</v>
      </c>
      <c r="H17" s="167">
        <f t="shared" si="1"/>
        <v>37025.445</v>
      </c>
    </row>
    <row r="18" spans="2:8">
      <c r="B18" s="162"/>
      <c r="C18" s="169"/>
      <c r="D18" s="169"/>
      <c r="E18" s="169"/>
      <c r="F18" s="169"/>
      <c r="G18" s="169"/>
      <c r="H18" s="170"/>
    </row>
    <row r="19" spans="2:8">
      <c r="B19" s="162" t="s">
        <v>7</v>
      </c>
      <c r="C19" s="163"/>
      <c r="D19" s="163"/>
      <c r="E19" s="163"/>
      <c r="F19" s="163"/>
      <c r="G19" s="163"/>
      <c r="H19" s="164"/>
    </row>
    <row r="20" spans="2:8">
      <c r="B20" s="165" t="s">
        <v>87</v>
      </c>
      <c r="C20" s="127">
        <f>+'Gastos De Constitucion'!$B$6</f>
        <v>229784</v>
      </c>
      <c r="D20" s="127">
        <f>+'Gastos De Constitucion'!$B$6</f>
        <v>229784</v>
      </c>
      <c r="E20" s="127">
        <f>+'Gastos De Constitucion'!$B$6</f>
        <v>229784</v>
      </c>
      <c r="F20" s="127">
        <f>+'Gastos De Constitucion'!$B$6</f>
        <v>229784</v>
      </c>
      <c r="G20" s="127">
        <f>+'Gastos De Constitucion'!$B$6</f>
        <v>229784</v>
      </c>
      <c r="H20" s="128">
        <f>+'Gastos De Constitucion'!$B$6</f>
        <v>229784</v>
      </c>
    </row>
    <row r="21" spans="2:8">
      <c r="B21" s="165" t="s">
        <v>158</v>
      </c>
      <c r="C21" s="127"/>
      <c r="D21" s="127">
        <f>-'FLUJO DE CAJA'!$D$12</f>
        <v>-45956.800000000003</v>
      </c>
      <c r="E21" s="127">
        <f>+'FLUJO DE CAJA'!$D$12-D21</f>
        <v>91913.600000000006</v>
      </c>
      <c r="F21" s="127">
        <f>+'FLUJO DE CAJA'!$D$12+E21</f>
        <v>137870.40000000002</v>
      </c>
      <c r="G21" s="127">
        <f>+'FLUJO DE CAJA'!$D$12+F21</f>
        <v>183827.20000000001</v>
      </c>
      <c r="H21" s="128">
        <f>+'FLUJO DE CAJA'!$D$12+G21</f>
        <v>229784</v>
      </c>
    </row>
    <row r="22" spans="2:8">
      <c r="B22" s="162" t="s">
        <v>11</v>
      </c>
      <c r="C22" s="169">
        <f>+SUM(C20:C21)</f>
        <v>229784</v>
      </c>
      <c r="D22" s="169">
        <f>+SUM(D20)-D21</f>
        <v>275740.79999999999</v>
      </c>
      <c r="E22" s="169">
        <f>+SUM(E20)-E21</f>
        <v>137870.39999999999</v>
      </c>
      <c r="F22" s="169">
        <f>+SUM(F20)-F21</f>
        <v>91913.599999999977</v>
      </c>
      <c r="G22" s="169">
        <f>+SUM(G20)-G21</f>
        <v>45956.799999999988</v>
      </c>
      <c r="H22" s="169">
        <f>+SUM(H20)-H21</f>
        <v>0</v>
      </c>
    </row>
    <row r="23" spans="2:8">
      <c r="B23" s="172" t="s">
        <v>9</v>
      </c>
      <c r="C23" s="173">
        <f>+C6+C17+C22</f>
        <v>271296.47547945206</v>
      </c>
      <c r="D23" s="173">
        <f>+D22+D17+D6</f>
        <v>358458.59081278538</v>
      </c>
      <c r="E23" s="173">
        <f>+E22+E17+E6</f>
        <v>250137.06029761204</v>
      </c>
      <c r="F23" s="173">
        <f>+F22+F17+F6</f>
        <v>240190.8608512122</v>
      </c>
      <c r="G23" s="173">
        <f>+G22+G17+G6</f>
        <v>246693.256206677</v>
      </c>
      <c r="H23" s="333">
        <f>+H22+H17+H6</f>
        <v>256992.3508648948</v>
      </c>
    </row>
    <row r="24" spans="2:8">
      <c r="B24" s="174"/>
      <c r="C24" s="175"/>
      <c r="D24" s="175"/>
      <c r="E24" s="175"/>
      <c r="F24" s="175"/>
      <c r="G24" s="175"/>
      <c r="H24" s="176"/>
    </row>
    <row r="25" spans="2:8">
      <c r="B25" s="174" t="s">
        <v>12</v>
      </c>
      <c r="C25" s="177"/>
      <c r="D25" s="177"/>
      <c r="E25" s="177"/>
      <c r="F25" s="177"/>
      <c r="G25" s="177"/>
      <c r="H25" s="178"/>
    </row>
    <row r="26" spans="2:8">
      <c r="B26" s="179" t="s">
        <v>13</v>
      </c>
      <c r="C26" s="180"/>
      <c r="D26" s="180"/>
      <c r="E26" s="180"/>
      <c r="F26" s="180"/>
      <c r="G26" s="180"/>
      <c r="H26" s="181"/>
    </row>
    <row r="27" spans="2:8">
      <c r="B27" s="182" t="s">
        <v>14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8">
        <v>0</v>
      </c>
    </row>
    <row r="28" spans="2:8">
      <c r="B28" s="179" t="s">
        <v>15</v>
      </c>
      <c r="C28" s="169">
        <f t="shared" ref="C28:H28" si="2">+SUM(C26:C27)</f>
        <v>0</v>
      </c>
      <c r="D28" s="169">
        <f t="shared" si="2"/>
        <v>0</v>
      </c>
      <c r="E28" s="169">
        <f t="shared" si="2"/>
        <v>0</v>
      </c>
      <c r="F28" s="169">
        <f t="shared" si="2"/>
        <v>0</v>
      </c>
      <c r="G28" s="169">
        <f t="shared" si="2"/>
        <v>0</v>
      </c>
      <c r="H28" s="170">
        <f t="shared" si="2"/>
        <v>0</v>
      </c>
    </row>
    <row r="29" spans="2:8">
      <c r="B29" s="183"/>
      <c r="C29" s="169"/>
      <c r="D29" s="169"/>
      <c r="E29" s="169"/>
      <c r="F29" s="169"/>
      <c r="G29" s="169"/>
      <c r="H29" s="170"/>
    </row>
    <row r="30" spans="2:8">
      <c r="B30" s="179" t="s">
        <v>16</v>
      </c>
      <c r="C30" s="180"/>
      <c r="D30" s="180"/>
      <c r="E30" s="180"/>
      <c r="F30" s="180"/>
      <c r="G30" s="180"/>
      <c r="H30" s="181"/>
    </row>
    <row r="31" spans="2:8">
      <c r="B31" s="183" t="s">
        <v>17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70">
        <v>0</v>
      </c>
    </row>
    <row r="32" spans="2:8">
      <c r="B32" s="179" t="s">
        <v>18</v>
      </c>
      <c r="C32" s="169">
        <f t="shared" ref="C32:H32" si="3">+C31</f>
        <v>0</v>
      </c>
      <c r="D32" s="169">
        <f t="shared" si="3"/>
        <v>0</v>
      </c>
      <c r="E32" s="169">
        <f t="shared" si="3"/>
        <v>0</v>
      </c>
      <c r="F32" s="169">
        <f t="shared" si="3"/>
        <v>0</v>
      </c>
      <c r="G32" s="169">
        <f t="shared" si="3"/>
        <v>0</v>
      </c>
      <c r="H32" s="170">
        <f t="shared" si="3"/>
        <v>0</v>
      </c>
    </row>
    <row r="33" spans="2:10">
      <c r="B33" s="179" t="s">
        <v>25</v>
      </c>
      <c r="C33" s="169">
        <f t="shared" ref="C33:H33" si="4">+C32+C28</f>
        <v>0</v>
      </c>
      <c r="D33" s="169">
        <f t="shared" si="4"/>
        <v>0</v>
      </c>
      <c r="E33" s="169">
        <f t="shared" si="4"/>
        <v>0</v>
      </c>
      <c r="F33" s="169">
        <f t="shared" si="4"/>
        <v>0</v>
      </c>
      <c r="G33" s="169">
        <f t="shared" si="4"/>
        <v>0</v>
      </c>
      <c r="H33" s="170">
        <f t="shared" si="4"/>
        <v>0</v>
      </c>
    </row>
    <row r="34" spans="2:10">
      <c r="B34" s="183"/>
      <c r="C34" s="184"/>
      <c r="D34" s="184"/>
      <c r="E34" s="184"/>
      <c r="F34" s="184"/>
      <c r="G34" s="184"/>
      <c r="H34" s="185"/>
    </row>
    <row r="35" spans="2:10">
      <c r="B35" s="174" t="s">
        <v>19</v>
      </c>
      <c r="C35" s="177"/>
      <c r="D35" s="177"/>
      <c r="E35" s="177"/>
      <c r="F35" s="177"/>
      <c r="G35" s="177"/>
      <c r="H35" s="178"/>
    </row>
    <row r="36" spans="2:10">
      <c r="B36" s="182" t="s">
        <v>20</v>
      </c>
      <c r="C36" s="127">
        <f>+'Estado de Situacion Inicial'!$E$17</f>
        <v>271296.47547945206</v>
      </c>
      <c r="D36" s="127">
        <f>+'Estado de Situacion Inicial'!$E$17</f>
        <v>271296.47547945206</v>
      </c>
      <c r="E36" s="127">
        <f>+'Estado de Situacion Inicial'!$E$17</f>
        <v>271296.47547945206</v>
      </c>
      <c r="F36" s="127">
        <f>+'Estado de Situacion Inicial'!$E$17</f>
        <v>271296.47547945206</v>
      </c>
      <c r="G36" s="127">
        <f>+'Estado de Situacion Inicial'!$E$17</f>
        <v>271296.47547945206</v>
      </c>
      <c r="H36" s="128">
        <f>+'Estado de Situacion Inicial'!$E$17</f>
        <v>271296.47547945206</v>
      </c>
    </row>
    <row r="37" spans="2:10">
      <c r="B37" s="182" t="s">
        <v>192</v>
      </c>
      <c r="C37" s="127">
        <v>0</v>
      </c>
      <c r="D37" s="127">
        <f>+C37+D44</f>
        <v>43370.91366666666</v>
      </c>
      <c r="E37" s="127">
        <f>+D37+E44</f>
        <v>75085.381484826677</v>
      </c>
      <c r="F37" s="127">
        <f>+E37+F44</f>
        <v>113261.58037176015</v>
      </c>
      <c r="G37" s="127">
        <f>+F37+G44</f>
        <v>159631.52072722494</v>
      </c>
      <c r="H37" s="128">
        <f>+G37+H44</f>
        <v>215989.30038544274</v>
      </c>
    </row>
    <row r="38" spans="2:10">
      <c r="B38" s="188" t="s">
        <v>191</v>
      </c>
      <c r="C38" s="189">
        <f t="shared" ref="C38:H38" si="5">+SUM(C36:C37)</f>
        <v>271296.47547945206</v>
      </c>
      <c r="D38" s="189">
        <f t="shared" si="5"/>
        <v>314667.38914611872</v>
      </c>
      <c r="E38" s="189">
        <f t="shared" si="5"/>
        <v>346381.85696427873</v>
      </c>
      <c r="F38" s="189">
        <f t="shared" si="5"/>
        <v>384558.05585121224</v>
      </c>
      <c r="G38" s="189">
        <f t="shared" si="5"/>
        <v>430927.99620667699</v>
      </c>
      <c r="H38" s="334">
        <f t="shared" si="5"/>
        <v>487285.77586489479</v>
      </c>
    </row>
    <row r="39" spans="2:10" ht="19.5" thickBot="1">
      <c r="B39" s="190" t="s">
        <v>24</v>
      </c>
      <c r="C39" s="191">
        <f t="shared" ref="C39:H39" si="6">+C33+C38</f>
        <v>271296.47547945206</v>
      </c>
      <c r="D39" s="191">
        <f t="shared" si="6"/>
        <v>314667.38914611872</v>
      </c>
      <c r="E39" s="191">
        <f t="shared" si="6"/>
        <v>346381.85696427873</v>
      </c>
      <c r="F39" s="191">
        <f t="shared" si="6"/>
        <v>384558.05585121224</v>
      </c>
      <c r="G39" s="191">
        <f t="shared" si="6"/>
        <v>430927.99620667699</v>
      </c>
      <c r="H39" s="335">
        <f t="shared" si="6"/>
        <v>487285.77586489479</v>
      </c>
      <c r="J39" s="11"/>
    </row>
    <row r="41" spans="2:10">
      <c r="C41" s="192">
        <f t="shared" ref="C41:H41" si="7">+C23-C39</f>
        <v>0</v>
      </c>
      <c r="D41" s="249">
        <f t="shared" si="7"/>
        <v>43791.20166666666</v>
      </c>
      <c r="E41" s="249">
        <f t="shared" si="7"/>
        <v>-96244.796666666691</v>
      </c>
      <c r="F41" s="249">
        <f t="shared" si="7"/>
        <v>-144367.19500000004</v>
      </c>
      <c r="G41" s="249">
        <f t="shared" si="7"/>
        <v>-184234.74</v>
      </c>
      <c r="H41" s="249">
        <f t="shared" si="7"/>
        <v>-230293.42499999999</v>
      </c>
    </row>
    <row r="44" spans="2:10">
      <c r="B44" s="186" t="s">
        <v>22</v>
      </c>
      <c r="D44" s="187">
        <f>+'Estado Pèrdidas Y Ganacias'!C21</f>
        <v>43370.91366666666</v>
      </c>
      <c r="E44" s="187">
        <f>+'Estado Pèrdidas Y Ganacias'!D21</f>
        <v>31714.467818160014</v>
      </c>
      <c r="F44" s="187">
        <f>+'Estado Pèrdidas Y Ganacias'!E21</f>
        <v>38176.198886933482</v>
      </c>
      <c r="G44" s="187">
        <f>+'Estado Pèrdidas Y Ganacias'!F21</f>
        <v>46369.940355464772</v>
      </c>
      <c r="H44" s="187">
        <f>+'Estado Pèrdidas Y Ganacias'!G21</f>
        <v>56357.779658217813</v>
      </c>
      <c r="I44" s="112"/>
    </row>
  </sheetData>
  <phoneticPr fontId="0" type="noConversion"/>
  <pageMargins left="0.7" right="0.7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topLeftCell="B1" workbookViewId="0">
      <selection activeCell="D7" sqref="D7"/>
    </sheetView>
  </sheetViews>
  <sheetFormatPr baseColWidth="10" defaultRowHeight="18.75"/>
  <cols>
    <col min="1" max="1" width="23.5" customWidth="1"/>
    <col min="2" max="2" width="22.69921875" bestFit="1" customWidth="1"/>
    <col min="3" max="3" width="5.09765625" style="2" bestFit="1" customWidth="1"/>
    <col min="4" max="4" width="5.8984375" style="2" bestFit="1" customWidth="1"/>
    <col min="5" max="6" width="6.59765625" style="2" bestFit="1" customWidth="1"/>
    <col min="7" max="7" width="9.09765625" style="2" customWidth="1"/>
  </cols>
  <sheetData>
    <row r="1" spans="1:9">
      <c r="A1" s="255" t="s">
        <v>161</v>
      </c>
      <c r="B1" s="245"/>
      <c r="C1" s="248">
        <v>1</v>
      </c>
      <c r="D1" s="248">
        <v>2</v>
      </c>
      <c r="E1" s="248">
        <v>3</v>
      </c>
      <c r="F1" s="248">
        <v>4</v>
      </c>
      <c r="G1" s="248">
        <v>5</v>
      </c>
      <c r="H1" s="202"/>
      <c r="I1" s="202"/>
    </row>
    <row r="2" spans="1:9" ht="30.75">
      <c r="A2" s="247" t="s">
        <v>164</v>
      </c>
      <c r="B2" s="245" t="s">
        <v>162</v>
      </c>
      <c r="C2" s="246">
        <f>++'FLUJO DE CAJA'!D14/'Estado de Situacion Inicial'!E17</f>
        <v>0.15986537823618563</v>
      </c>
      <c r="D2" s="246">
        <f>+'FLUJO DE CAJA'!E14/'Estado de Situacion Inicial'!$E$17</f>
        <v>0.19101252883984332</v>
      </c>
      <c r="E2" s="246">
        <f>+'FLUJO DE CAJA'!F14/'Estado de Situacion Inicial'!$E$17</f>
        <v>0.2299307789964059</v>
      </c>
      <c r="F2" s="246">
        <f>+'FLUJO DE CAJA'!G14/'Estado de Situacion Inicial'!$E$17</f>
        <v>0.27928072513259361</v>
      </c>
      <c r="G2" s="246">
        <f>+'FLUJO DE CAJA'!H14/'Estado de Situacion Inicial'!$E$17</f>
        <v>0.33943631260149032</v>
      </c>
      <c r="H2" s="202" t="s">
        <v>163</v>
      </c>
      <c r="I2" s="202"/>
    </row>
    <row r="3" spans="1:9" ht="37.5">
      <c r="A3" s="24" t="s">
        <v>188</v>
      </c>
      <c r="B3" s="256" t="s">
        <v>189</v>
      </c>
      <c r="C3" s="257">
        <f>+'FLUJO DE CAJA'!D14/'FLUJO DE CAJA'!D6</f>
        <v>0.30346287200298533</v>
      </c>
      <c r="D3" s="389">
        <f>+'FLUJO DE CAJA'!E14/'FLUJO DE CAJA'!D6</f>
        <v>0.36258764236402663</v>
      </c>
      <c r="E3" s="389">
        <f>+'FLUJO DE CAJA'!F14/'FLUJO DE CAJA'!E6</f>
        <v>0.40334888230159061</v>
      </c>
      <c r="F3" s="389">
        <f>+'FLUJO DE CAJA'!G14/'FLUJO DE CAJA'!F6</f>
        <v>0.44749678737784382</v>
      </c>
      <c r="G3" s="389">
        <f>+'FLUJO DE CAJA'!H14/'FLUJO DE CAJA'!G6</f>
        <v>0.49007498899432356</v>
      </c>
      <c r="H3" s="202" t="s">
        <v>190</v>
      </c>
    </row>
  </sheetData>
  <phoneticPr fontId="15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topLeftCell="A13" workbookViewId="0">
      <selection activeCell="E22" sqref="E22"/>
    </sheetView>
  </sheetViews>
  <sheetFormatPr baseColWidth="10" defaultRowHeight="18.75"/>
  <cols>
    <col min="1" max="1" width="5.5" customWidth="1"/>
    <col min="2" max="2" width="14.09765625" bestFit="1" customWidth="1"/>
    <col min="3" max="3" width="9.09765625" customWidth="1"/>
    <col min="4" max="4" width="4.69921875" customWidth="1"/>
    <col min="5" max="5" width="7.09765625" customWidth="1"/>
    <col min="6" max="6" width="6.5" bestFit="1" customWidth="1"/>
    <col min="7" max="7" width="7.5" customWidth="1"/>
    <col min="8" max="8" width="6.19921875" customWidth="1"/>
    <col min="9" max="9" width="5.09765625" customWidth="1"/>
    <col min="10" max="10" width="5.8984375" customWidth="1"/>
    <col min="11" max="11" width="5.5" hidden="1" customWidth="1"/>
    <col min="12" max="14" width="9.09765625" hidden="1" customWidth="1"/>
    <col min="15" max="16" width="9.09765625" customWidth="1"/>
  </cols>
  <sheetData>
    <row r="1" spans="1:16">
      <c r="A1" s="136"/>
      <c r="B1" s="155">
        <v>39855</v>
      </c>
      <c r="C1" s="138"/>
      <c r="D1" s="138"/>
      <c r="E1" s="139"/>
      <c r="F1" s="136"/>
      <c r="G1" s="140"/>
      <c r="H1" s="141"/>
      <c r="I1" s="141"/>
      <c r="J1" s="141"/>
      <c r="K1" s="142"/>
      <c r="L1" s="136"/>
      <c r="M1" s="136"/>
      <c r="N1" s="136"/>
      <c r="O1" s="136"/>
      <c r="P1" s="136"/>
    </row>
    <row r="2" spans="1:16">
      <c r="A2" s="374"/>
      <c r="B2" s="138"/>
      <c r="C2" s="138"/>
      <c r="D2" s="138"/>
      <c r="E2" s="139"/>
      <c r="F2" s="375"/>
      <c r="G2" s="140"/>
      <c r="H2" s="141"/>
      <c r="I2" s="141"/>
      <c r="J2" s="141"/>
      <c r="K2" s="142"/>
      <c r="L2" s="376"/>
      <c r="M2" s="376"/>
      <c r="N2" s="376"/>
      <c r="O2" s="377"/>
      <c r="P2" s="136"/>
    </row>
    <row r="3" spans="1:16">
      <c r="A3" s="374"/>
      <c r="B3" s="143" t="s">
        <v>129</v>
      </c>
      <c r="C3" s="138"/>
      <c r="D3" s="138"/>
      <c r="E3" s="139"/>
      <c r="F3" s="375"/>
      <c r="G3" s="140"/>
      <c r="H3" s="141"/>
      <c r="I3" s="141"/>
      <c r="J3" s="141"/>
      <c r="K3" s="142"/>
      <c r="L3" s="376"/>
      <c r="M3" s="376"/>
      <c r="N3" s="376"/>
      <c r="O3" s="377"/>
      <c r="P3" s="136"/>
    </row>
    <row r="4" spans="1:16" ht="19.5" thickBot="1">
      <c r="A4" s="374"/>
      <c r="B4" s="138"/>
      <c r="C4" s="138"/>
      <c r="D4" s="138"/>
      <c r="E4" s="139"/>
      <c r="F4" s="375"/>
      <c r="G4" s="137">
        <v>39855</v>
      </c>
      <c r="H4" s="141"/>
      <c r="I4" s="141"/>
      <c r="J4" s="141"/>
      <c r="K4" s="142"/>
      <c r="L4" s="376"/>
      <c r="M4" s="376"/>
      <c r="N4" s="376"/>
      <c r="O4" s="377"/>
      <c r="P4" s="136"/>
    </row>
    <row r="5" spans="1:16" ht="48.75" thickBot="1">
      <c r="A5" s="374" t="s">
        <v>130</v>
      </c>
      <c r="B5" s="144" t="s">
        <v>131</v>
      </c>
      <c r="C5" s="145" t="s">
        <v>132</v>
      </c>
      <c r="D5" s="145" t="s">
        <v>133</v>
      </c>
      <c r="E5" s="144" t="s">
        <v>134</v>
      </c>
      <c r="F5" s="146" t="s">
        <v>135</v>
      </c>
      <c r="G5" s="147" t="s">
        <v>136</v>
      </c>
      <c r="H5" s="148" t="s">
        <v>137</v>
      </c>
      <c r="I5" s="148" t="s">
        <v>71</v>
      </c>
      <c r="J5" s="148" t="s">
        <v>138</v>
      </c>
      <c r="K5" s="149" t="s">
        <v>139</v>
      </c>
      <c r="L5" s="150" t="s">
        <v>140</v>
      </c>
      <c r="M5" s="150" t="s">
        <v>141</v>
      </c>
      <c r="N5" s="150" t="s">
        <v>142</v>
      </c>
      <c r="O5" s="150" t="s">
        <v>143</v>
      </c>
      <c r="P5" s="151" t="s">
        <v>144</v>
      </c>
    </row>
    <row r="6" spans="1:16">
      <c r="A6" s="378">
        <v>131</v>
      </c>
      <c r="B6" s="152" t="s">
        <v>99</v>
      </c>
      <c r="C6" s="379" t="s">
        <v>145</v>
      </c>
      <c r="D6" s="380" t="s">
        <v>146</v>
      </c>
      <c r="E6" s="153">
        <v>100</v>
      </c>
      <c r="F6" s="381">
        <v>39129</v>
      </c>
      <c r="G6" s="381">
        <v>40929</v>
      </c>
      <c r="H6" s="382">
        <v>1074</v>
      </c>
      <c r="I6" s="383">
        <v>1800</v>
      </c>
      <c r="J6" s="383">
        <v>5</v>
      </c>
      <c r="K6" s="384">
        <v>4.2737999999999998E-2</v>
      </c>
      <c r="L6" s="385" t="s">
        <v>147</v>
      </c>
      <c r="M6" s="386">
        <v>1.7250000000000001E-2</v>
      </c>
      <c r="N6" s="386">
        <v>3.9700086513505498E-2</v>
      </c>
      <c r="O6" s="387">
        <v>5.7634913005863542E-2</v>
      </c>
      <c r="P6" s="387">
        <v>5.6827569832593738E-2</v>
      </c>
    </row>
    <row r="7" spans="1:16">
      <c r="A7" s="378">
        <v>139</v>
      </c>
      <c r="B7" s="152" t="s">
        <v>99</v>
      </c>
      <c r="C7" s="379" t="s">
        <v>148</v>
      </c>
      <c r="D7" s="380" t="s">
        <v>146</v>
      </c>
      <c r="E7" s="153">
        <v>100</v>
      </c>
      <c r="F7" s="381">
        <v>38831</v>
      </c>
      <c r="G7" s="381">
        <v>40631</v>
      </c>
      <c r="H7" s="382">
        <v>776</v>
      </c>
      <c r="I7" s="383">
        <v>1800</v>
      </c>
      <c r="J7" s="383">
        <v>5</v>
      </c>
      <c r="K7" s="384">
        <v>7.3938000000000004E-2</v>
      </c>
      <c r="L7" s="385" t="s">
        <v>149</v>
      </c>
      <c r="M7" s="386">
        <v>1.7250000000000001E-2</v>
      </c>
      <c r="N7" s="386">
        <v>3.9700086513505498E-2</v>
      </c>
      <c r="O7" s="387">
        <v>5.7634913005863542E-2</v>
      </c>
      <c r="P7" s="387">
        <v>5.6827569832593738E-2</v>
      </c>
    </row>
    <row r="8" spans="1:16">
      <c r="A8" s="378">
        <v>140</v>
      </c>
      <c r="B8" s="152" t="s">
        <v>99</v>
      </c>
      <c r="C8" s="379" t="s">
        <v>148</v>
      </c>
      <c r="D8" s="380" t="s">
        <v>146</v>
      </c>
      <c r="E8" s="153">
        <v>100</v>
      </c>
      <c r="F8" s="381">
        <v>38831</v>
      </c>
      <c r="G8" s="381">
        <v>40631</v>
      </c>
      <c r="H8" s="382">
        <v>776</v>
      </c>
      <c r="I8" s="383">
        <v>1800</v>
      </c>
      <c r="J8" s="383">
        <v>5</v>
      </c>
      <c r="K8" s="384">
        <v>8.0799999999999997E-2</v>
      </c>
      <c r="L8" s="385" t="s">
        <v>150</v>
      </c>
      <c r="M8" s="386"/>
      <c r="N8" s="386">
        <v>8.0956495875526932E-2</v>
      </c>
      <c r="O8" s="387">
        <v>8.095649587552689E-2</v>
      </c>
      <c r="P8" s="387">
        <v>7.9381153973967056E-2</v>
      </c>
    </row>
    <row r="9" spans="1:16">
      <c r="A9" s="378">
        <v>141</v>
      </c>
      <c r="B9" s="152" t="s">
        <v>99</v>
      </c>
      <c r="C9" s="379" t="s">
        <v>148</v>
      </c>
      <c r="D9" s="380" t="s">
        <v>146</v>
      </c>
      <c r="E9" s="153">
        <v>100</v>
      </c>
      <c r="F9" s="381">
        <v>38832</v>
      </c>
      <c r="G9" s="381">
        <v>40632</v>
      </c>
      <c r="H9" s="382">
        <v>777</v>
      </c>
      <c r="I9" s="383">
        <v>1800</v>
      </c>
      <c r="J9" s="383">
        <v>5</v>
      </c>
      <c r="K9" s="384">
        <v>8.0799999999999997E-2</v>
      </c>
      <c r="L9" s="385" t="s">
        <v>150</v>
      </c>
      <c r="M9" s="386"/>
      <c r="N9" s="386">
        <v>8.0956495875526932E-2</v>
      </c>
      <c r="O9" s="387">
        <v>8.095649587552689E-2</v>
      </c>
      <c r="P9" s="387">
        <v>7.9381153973967056E-2</v>
      </c>
    </row>
    <row r="10" spans="1:16">
      <c r="A10" s="378">
        <v>142</v>
      </c>
      <c r="B10" s="152" t="s">
        <v>99</v>
      </c>
      <c r="C10" s="379" t="s">
        <v>148</v>
      </c>
      <c r="D10" s="380" t="s">
        <v>146</v>
      </c>
      <c r="E10" s="153">
        <v>100</v>
      </c>
      <c r="F10" s="381">
        <v>38833</v>
      </c>
      <c r="G10" s="381">
        <v>40633</v>
      </c>
      <c r="H10" s="382">
        <v>778</v>
      </c>
      <c r="I10" s="383">
        <v>1800</v>
      </c>
      <c r="J10" s="383">
        <v>5</v>
      </c>
      <c r="K10" s="384">
        <v>8.0799999999999997E-2</v>
      </c>
      <c r="L10" s="385" t="s">
        <v>150</v>
      </c>
      <c r="M10" s="386"/>
      <c r="N10" s="386">
        <v>8.0956495875526932E-2</v>
      </c>
      <c r="O10" s="387">
        <v>8.095649587552689E-2</v>
      </c>
      <c r="P10" s="387">
        <v>7.9381153973967056E-2</v>
      </c>
    </row>
    <row r="11" spans="1:16">
      <c r="A11" s="378">
        <v>143</v>
      </c>
      <c r="B11" s="152" t="s">
        <v>99</v>
      </c>
      <c r="C11" s="379" t="s">
        <v>148</v>
      </c>
      <c r="D11" s="380" t="s">
        <v>146</v>
      </c>
      <c r="E11" s="153">
        <v>100</v>
      </c>
      <c r="F11" s="381">
        <v>39386</v>
      </c>
      <c r="G11" s="381">
        <v>41186</v>
      </c>
      <c r="H11" s="382">
        <v>1331</v>
      </c>
      <c r="I11" s="383">
        <v>1800</v>
      </c>
      <c r="J11" s="383">
        <v>5</v>
      </c>
      <c r="K11" s="384">
        <v>7.5800000000000006E-2</v>
      </c>
      <c r="L11" s="385" t="s">
        <v>151</v>
      </c>
      <c r="M11" s="386"/>
      <c r="N11" s="386">
        <v>7.9001562499999997E-2</v>
      </c>
      <c r="O11" s="387">
        <v>7.9001562500000011E-2</v>
      </c>
      <c r="P11" s="387">
        <v>7.7500000000000124E-2</v>
      </c>
    </row>
    <row r="12" spans="1:16">
      <c r="A12" s="378">
        <v>144</v>
      </c>
      <c r="B12" s="152" t="s">
        <v>99</v>
      </c>
      <c r="C12" s="379" t="s">
        <v>148</v>
      </c>
      <c r="D12" s="380" t="s">
        <v>146</v>
      </c>
      <c r="E12" s="153">
        <v>100</v>
      </c>
      <c r="F12" s="381">
        <v>39527</v>
      </c>
      <c r="G12" s="381">
        <v>41327</v>
      </c>
      <c r="H12" s="382">
        <v>1472</v>
      </c>
      <c r="I12" s="383">
        <v>1800</v>
      </c>
      <c r="J12" s="383">
        <v>5</v>
      </c>
      <c r="K12" s="384">
        <v>7.2900000000000006E-2</v>
      </c>
      <c r="L12" s="385" t="s">
        <v>152</v>
      </c>
      <c r="M12" s="386">
        <v>5.1900000000000002E-2</v>
      </c>
      <c r="N12" s="386">
        <v>3.1030939619374098E-2</v>
      </c>
      <c r="O12" s="387">
        <v>8.4541445385619696E-2</v>
      </c>
      <c r="P12" s="387">
        <v>8.2826392559514073E-2</v>
      </c>
    </row>
    <row r="13" spans="1:16">
      <c r="A13" s="378">
        <v>145</v>
      </c>
      <c r="B13" s="152" t="s">
        <v>99</v>
      </c>
      <c r="C13" s="379" t="s">
        <v>148</v>
      </c>
      <c r="D13" s="380" t="s">
        <v>146</v>
      </c>
      <c r="E13" s="153">
        <v>100</v>
      </c>
      <c r="F13" s="381">
        <v>39541</v>
      </c>
      <c r="G13" s="381">
        <v>41341</v>
      </c>
      <c r="H13" s="382">
        <v>1486</v>
      </c>
      <c r="I13" s="383">
        <v>1800</v>
      </c>
      <c r="J13" s="383">
        <v>5</v>
      </c>
      <c r="K13" s="384">
        <v>7.2900000000000006E-2</v>
      </c>
      <c r="L13" s="385" t="s">
        <v>152</v>
      </c>
      <c r="M13" s="386">
        <v>5.1900000000000002E-2</v>
      </c>
      <c r="N13" s="386">
        <v>3.1030939619374098E-2</v>
      </c>
      <c r="O13" s="387">
        <v>8.4541445385619696E-2</v>
      </c>
      <c r="P13" s="387">
        <v>8.2826392559514073E-2</v>
      </c>
    </row>
    <row r="14" spans="1:16">
      <c r="A14" s="378">
        <v>146</v>
      </c>
      <c r="B14" s="152" t="s">
        <v>99</v>
      </c>
      <c r="C14" s="379" t="s">
        <v>148</v>
      </c>
      <c r="D14" s="380" t="s">
        <v>146</v>
      </c>
      <c r="E14" s="153">
        <v>100</v>
      </c>
      <c r="F14" s="381">
        <v>39812</v>
      </c>
      <c r="G14" s="381">
        <v>41612</v>
      </c>
      <c r="H14" s="382">
        <v>1757</v>
      </c>
      <c r="I14" s="383">
        <v>1800</v>
      </c>
      <c r="J14" s="383">
        <v>5</v>
      </c>
      <c r="K14" s="384">
        <v>8.09E-2</v>
      </c>
      <c r="L14" s="385" t="s">
        <v>153</v>
      </c>
      <c r="M14" s="386"/>
      <c r="N14" s="386">
        <v>8.4201562499999993E-2</v>
      </c>
      <c r="O14" s="387">
        <v>8.4201562500000104E-2</v>
      </c>
      <c r="P14" s="387">
        <v>8.2500000000000004E-2</v>
      </c>
    </row>
    <row r="15" spans="1:16">
      <c r="A15" s="378">
        <v>147</v>
      </c>
      <c r="B15" s="152" t="s">
        <v>99</v>
      </c>
      <c r="C15" s="379" t="s">
        <v>148</v>
      </c>
      <c r="D15" s="380" t="s">
        <v>146</v>
      </c>
      <c r="E15" s="153">
        <v>100</v>
      </c>
      <c r="F15" s="381">
        <v>39853</v>
      </c>
      <c r="G15" s="381">
        <v>41653</v>
      </c>
      <c r="H15" s="382">
        <v>1798</v>
      </c>
      <c r="I15" s="383">
        <v>1800</v>
      </c>
      <c r="J15" s="383">
        <v>5</v>
      </c>
      <c r="K15" s="384">
        <v>8.09E-2</v>
      </c>
      <c r="L15" s="385" t="s">
        <v>153</v>
      </c>
      <c r="M15" s="386">
        <v>5.1900000000000002E-2</v>
      </c>
      <c r="N15" s="386">
        <v>3.1030939619374098E-2</v>
      </c>
      <c r="O15" s="387">
        <v>8.4541445385619696E-2</v>
      </c>
      <c r="P15" s="387">
        <v>8.2826392559514073E-2</v>
      </c>
    </row>
    <row r="16" spans="1:16">
      <c r="A16" s="378">
        <v>215</v>
      </c>
      <c r="B16" s="152" t="s">
        <v>154</v>
      </c>
      <c r="C16" s="379" t="s">
        <v>155</v>
      </c>
      <c r="D16" s="380" t="s">
        <v>156</v>
      </c>
      <c r="E16" s="153">
        <v>100</v>
      </c>
      <c r="F16" s="381">
        <v>39561</v>
      </c>
      <c r="G16" s="381">
        <v>41361</v>
      </c>
      <c r="H16" s="382">
        <v>1506</v>
      </c>
      <c r="I16" s="383">
        <v>1800</v>
      </c>
      <c r="J16" s="383">
        <v>5</v>
      </c>
      <c r="K16" s="384">
        <v>7.0999999999999994E-2</v>
      </c>
      <c r="L16" s="385" t="s">
        <v>152</v>
      </c>
      <c r="M16" s="386"/>
      <c r="N16" s="386">
        <v>8.5156434976373999E-2</v>
      </c>
      <c r="O16" s="387">
        <v>8.515643497637404E-2</v>
      </c>
      <c r="P16" s="387">
        <v>8.515643497637404E-2</v>
      </c>
    </row>
    <row r="17" spans="1:16" ht="19.5" thickBot="1">
      <c r="A17" s="136"/>
      <c r="B17" s="138"/>
      <c r="C17" s="138"/>
      <c r="D17" s="138"/>
      <c r="E17" s="139"/>
      <c r="F17" s="136"/>
      <c r="G17" s="140"/>
      <c r="H17" s="141"/>
      <c r="I17" s="141"/>
      <c r="J17" s="141"/>
      <c r="K17" s="142"/>
      <c r="L17" s="136"/>
      <c r="M17" s="136"/>
      <c r="N17" s="136"/>
      <c r="O17" s="156">
        <f>+AVERAGE(O6:O16)</f>
        <v>7.8193019070140091E-2</v>
      </c>
      <c r="P17" s="154">
        <f>+AVERAGE(P6:P16)</f>
        <v>7.6857655840182282E-2</v>
      </c>
    </row>
    <row r="18" spans="1:16" ht="19.5" thickBot="1">
      <c r="A18" s="432" t="s">
        <v>165</v>
      </c>
      <c r="B18" s="433"/>
      <c r="C18" s="433"/>
      <c r="D18" s="433"/>
      <c r="E18" s="205">
        <v>2500</v>
      </c>
      <c r="F18" s="206">
        <f>+E18/100</f>
        <v>25</v>
      </c>
      <c r="O18" s="388">
        <f>+O17+(F18/100)</f>
        <v>0.32819301907014009</v>
      </c>
    </row>
  </sheetData>
  <mergeCells count="1">
    <mergeCell ref="A18:D18"/>
  </mergeCells>
  <phoneticPr fontId="15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1"/>
  <sheetViews>
    <sheetView workbookViewId="0">
      <selection activeCell="C17" sqref="C17"/>
    </sheetView>
  </sheetViews>
  <sheetFormatPr baseColWidth="10" defaultColWidth="10.8984375" defaultRowHeight="15.75"/>
  <cols>
    <col min="1" max="1" width="10.8984375" style="59"/>
    <col min="2" max="2" width="11.796875" style="59" customWidth="1"/>
    <col min="3" max="5" width="7.5" style="60" customWidth="1"/>
    <col min="6" max="7" width="7.296875" style="60" bestFit="1" customWidth="1"/>
    <col min="8" max="16384" width="10.8984375" style="59"/>
  </cols>
  <sheetData>
    <row r="1" spans="2:7" ht="16.5" thickBot="1"/>
    <row r="2" spans="2:7" ht="14.25" customHeight="1">
      <c r="B2" s="194" t="s">
        <v>112</v>
      </c>
      <c r="C2" s="195">
        <v>1</v>
      </c>
      <c r="D2" s="195">
        <v>2</v>
      </c>
      <c r="E2" s="195">
        <v>3</v>
      </c>
      <c r="F2" s="195">
        <v>4</v>
      </c>
      <c r="G2" s="196">
        <v>5</v>
      </c>
    </row>
    <row r="3" spans="2:7">
      <c r="B3" s="125" t="s">
        <v>54</v>
      </c>
      <c r="C3" s="197"/>
      <c r="D3" s="197"/>
      <c r="E3" s="197"/>
      <c r="F3" s="197"/>
      <c r="G3" s="198"/>
    </row>
    <row r="4" spans="2:7" s="212" customFormat="1">
      <c r="B4" s="278" t="s">
        <v>50</v>
      </c>
      <c r="C4" s="291">
        <f>+'FLUJO DE CAJA'!D4</f>
        <v>90000</v>
      </c>
      <c r="D4" s="291">
        <f>+'FLUJO DE CAJA'!E4</f>
        <v>97389</v>
      </c>
      <c r="E4" s="291">
        <f>+'FLUJO DE CAJA'!F4</f>
        <v>106621.47719999999</v>
      </c>
      <c r="F4" s="291">
        <f>+'FLUJO DE CAJA'!G4</f>
        <v>118328.51539655999</v>
      </c>
      <c r="G4" s="291">
        <f>+'FLUJO DE CAJA'!H4</f>
        <v>132598.93435338512</v>
      </c>
    </row>
    <row r="5" spans="2:7" s="212" customFormat="1">
      <c r="B5" s="278" t="s">
        <v>222</v>
      </c>
      <c r="C5" s="291">
        <f>+'FLUJO DE CAJA'!D5</f>
        <v>52920</v>
      </c>
      <c r="D5" s="291">
        <f>+'FLUJO DE CAJA'!E5</f>
        <v>57264.732000000004</v>
      </c>
      <c r="E5" s="291">
        <f>+'FLUJO DE CAJA'!F5</f>
        <v>62693.428593600001</v>
      </c>
      <c r="F5" s="291">
        <f>+'FLUJO DE CAJA'!G5</f>
        <v>69577.167053177269</v>
      </c>
      <c r="G5" s="291">
        <f>+'FLUJO DE CAJA'!H5</f>
        <v>77968.173399790452</v>
      </c>
    </row>
    <row r="6" spans="2:7">
      <c r="B6" s="126" t="s">
        <v>55</v>
      </c>
      <c r="C6" s="258">
        <f>SUM(C4:C5)</f>
        <v>142920</v>
      </c>
      <c r="D6" s="258">
        <f>SUM(D4:D5)</f>
        <v>154653.73200000002</v>
      </c>
      <c r="E6" s="258">
        <f>SUM(E4:E5)</f>
        <v>169314.90579359999</v>
      </c>
      <c r="F6" s="258">
        <f>SUM(F4:F5)</f>
        <v>187905.68244973727</v>
      </c>
      <c r="G6" s="258">
        <f>SUM(G4:G5)</f>
        <v>210567.10775317557</v>
      </c>
    </row>
    <row r="7" spans="2:7">
      <c r="B7" s="126"/>
      <c r="C7" s="258"/>
      <c r="D7" s="258"/>
      <c r="E7" s="258"/>
      <c r="F7" s="258"/>
      <c r="G7" s="259"/>
    </row>
    <row r="8" spans="2:7">
      <c r="B8" s="125" t="s">
        <v>56</v>
      </c>
      <c r="C8" s="258"/>
      <c r="D8" s="258"/>
      <c r="E8" s="258"/>
      <c r="F8" s="258"/>
      <c r="G8" s="259"/>
    </row>
    <row r="9" spans="2:7" s="212" customFormat="1">
      <c r="B9" s="278" t="s">
        <v>45</v>
      </c>
      <c r="C9" s="291">
        <f>+'Gastos de Administracion'!C16</f>
        <v>47940</v>
      </c>
      <c r="D9" s="291">
        <f>+'Gastos de Administracion'!D16</f>
        <v>51186.33</v>
      </c>
      <c r="E9" s="291">
        <f>+'Gastos de Administracion'!E16</f>
        <v>55242.526459360903</v>
      </c>
      <c r="F9" s="291">
        <f>+'Gastos de Administracion'!F16</f>
        <v>60385.755144217685</v>
      </c>
      <c r="G9" s="291">
        <f>+'Gastos de Administracion'!G16</f>
        <v>66655.163539279631</v>
      </c>
    </row>
    <row r="10" spans="2:7" s="212" customFormat="1">
      <c r="B10" s="278" t="s">
        <v>62</v>
      </c>
      <c r="C10" s="291">
        <v>454.2</v>
      </c>
      <c r="D10" s="291">
        <f>+C10*Datos!I7</f>
        <v>491.48982000000001</v>
      </c>
      <c r="E10" s="291">
        <f>+D10*Datos!J7</f>
        <v>538.08305493600005</v>
      </c>
      <c r="F10" s="291">
        <f>+E10*Datos!K7</f>
        <v>597.16457436797282</v>
      </c>
      <c r="G10" s="291">
        <f>+F10*Datos!L7</f>
        <v>669.18262203675033</v>
      </c>
    </row>
    <row r="11" spans="2:7" s="212" customFormat="1">
      <c r="B11" s="278" t="s">
        <v>57</v>
      </c>
      <c r="C11" s="291">
        <f>+'Equipo de Oficina, computacion '!$F$57</f>
        <v>5198.0863333333336</v>
      </c>
      <c r="D11" s="291">
        <f>+'Equipo de Oficina, computacion '!$F$57</f>
        <v>5198.0863333333336</v>
      </c>
      <c r="E11" s="291">
        <f>+'Equipo de Oficina, computacion '!$F$57</f>
        <v>5198.0863333333336</v>
      </c>
      <c r="F11" s="291">
        <f>+'Equipo de Oficina, computacion '!$F$57</f>
        <v>5198.0863333333336</v>
      </c>
      <c r="G11" s="291">
        <f>+'Equipo de Oficina, computacion '!$F$57</f>
        <v>5198.0863333333336</v>
      </c>
    </row>
    <row r="12" spans="2:7">
      <c r="B12" s="199" t="s">
        <v>121</v>
      </c>
      <c r="C12" s="258">
        <f>+'Gastos De Constitucion'!$B$6/5</f>
        <v>45956.800000000003</v>
      </c>
      <c r="D12" s="258">
        <f>+'Gastos De Constitucion'!$B$6/5</f>
        <v>45956.800000000003</v>
      </c>
      <c r="E12" s="258">
        <f>+'Gastos De Constitucion'!$B$6/5</f>
        <v>45956.800000000003</v>
      </c>
      <c r="F12" s="258">
        <f>+'Gastos De Constitucion'!$B$6/5</f>
        <v>45956.800000000003</v>
      </c>
      <c r="G12" s="259">
        <f>+'Gastos De Constitucion'!$B$6/5</f>
        <v>45956.800000000003</v>
      </c>
    </row>
    <row r="13" spans="2:7">
      <c r="B13" s="253" t="s">
        <v>204</v>
      </c>
      <c r="C13" s="254">
        <f>+C6-SUM(C9:C12)</f>
        <v>43370.91366666666</v>
      </c>
      <c r="D13" s="254">
        <f>+D6-SUM(D9:D12)</f>
        <v>51821.025846666686</v>
      </c>
      <c r="E13" s="254">
        <f>+E6-SUM(E9:E12)</f>
        <v>62379.409945969746</v>
      </c>
      <c r="F13" s="254">
        <f>+F6-SUM(F9:F12)</f>
        <v>75767.876397818269</v>
      </c>
      <c r="G13" s="254">
        <f>+G6-SUM(G9:G12)</f>
        <v>92087.875258525848</v>
      </c>
    </row>
    <row r="14" spans="2:7" s="295" customFormat="1">
      <c r="B14" s="292" t="s">
        <v>58</v>
      </c>
      <c r="C14" s="293"/>
      <c r="D14" s="293"/>
      <c r="E14" s="293"/>
      <c r="F14" s="293"/>
      <c r="G14" s="294"/>
    </row>
    <row r="15" spans="2:7">
      <c r="B15" s="129" t="s">
        <v>63</v>
      </c>
      <c r="C15" s="260">
        <f>+C13-C14</f>
        <v>43370.91366666666</v>
      </c>
      <c r="D15" s="260">
        <f>+D13-D14</f>
        <v>51821.025846666686</v>
      </c>
      <c r="E15" s="260">
        <f>+E13-E14</f>
        <v>62379.409945969746</v>
      </c>
      <c r="F15" s="260">
        <f>+F13-F14</f>
        <v>75767.876397818269</v>
      </c>
      <c r="G15" s="260">
        <f>+G13-G14</f>
        <v>92087.875258525848</v>
      </c>
    </row>
    <row r="16" spans="2:7">
      <c r="B16" s="129" t="s">
        <v>60</v>
      </c>
      <c r="C16" s="260"/>
      <c r="D16" s="260">
        <f>+D15*15%</f>
        <v>7773.1538770000025</v>
      </c>
      <c r="E16" s="260">
        <f>+E15*15%</f>
        <v>9356.9114918954619</v>
      </c>
      <c r="F16" s="260">
        <f>+F15*15%</f>
        <v>11365.18145967274</v>
      </c>
      <c r="G16" s="261">
        <f>+G15*15%</f>
        <v>13813.181288778876</v>
      </c>
    </row>
    <row r="17" spans="2:7">
      <c r="B17" s="129" t="s">
        <v>61</v>
      </c>
      <c r="C17" s="260">
        <f>+C15-C16</f>
        <v>43370.91366666666</v>
      </c>
      <c r="D17" s="260">
        <f>+D15-D16</f>
        <v>44047.871969666681</v>
      </c>
      <c r="E17" s="260">
        <f>+E15-E16</f>
        <v>53022.498454074288</v>
      </c>
      <c r="F17" s="260">
        <f>+F15-F16</f>
        <v>64402.694938145527</v>
      </c>
      <c r="G17" s="261">
        <f>+G15-G16</f>
        <v>78274.693969746964</v>
      </c>
    </row>
    <row r="18" spans="2:7">
      <c r="B18" s="129" t="s">
        <v>95</v>
      </c>
      <c r="C18" s="260"/>
      <c r="D18" s="260">
        <f>+D17*'FLUJO DE CAJA'!$C$32</f>
        <v>8809.574393933337</v>
      </c>
      <c r="E18" s="260">
        <f>+E17*'FLUJO DE CAJA'!$C$32</f>
        <v>10604.499690814859</v>
      </c>
      <c r="F18" s="260">
        <f>+F17*'FLUJO DE CAJA'!$C$32</f>
        <v>12880.538987629106</v>
      </c>
      <c r="G18" s="261">
        <f>+G17*'FLUJO DE CAJA'!$C$32</f>
        <v>15654.938793949394</v>
      </c>
    </row>
    <row r="19" spans="2:7">
      <c r="B19" s="129" t="s">
        <v>64</v>
      </c>
      <c r="C19" s="260">
        <f>+C17-C18</f>
        <v>43370.91366666666</v>
      </c>
      <c r="D19" s="260">
        <f>+D17-D18</f>
        <v>35238.297575733348</v>
      </c>
      <c r="E19" s="260">
        <f>+E17-E18</f>
        <v>42417.998763259428</v>
      </c>
      <c r="F19" s="260">
        <f>+F17-F18</f>
        <v>51522.155950516419</v>
      </c>
      <c r="G19" s="261">
        <f>+G17-G18</f>
        <v>62619.755175797574</v>
      </c>
    </row>
    <row r="20" spans="2:7">
      <c r="B20" s="200" t="s">
        <v>65</v>
      </c>
      <c r="C20" s="262"/>
      <c r="D20" s="262">
        <f>10%*D19</f>
        <v>3523.829757573335</v>
      </c>
      <c r="E20" s="262">
        <f>10%*E19</f>
        <v>4241.7998763259429</v>
      </c>
      <c r="F20" s="262">
        <f>10%*F19</f>
        <v>5152.2155950516426</v>
      </c>
      <c r="G20" s="263">
        <f>10%*G19</f>
        <v>6261.9755175797582</v>
      </c>
    </row>
    <row r="21" spans="2:7" ht="16.5" thickBot="1">
      <c r="B21" s="201" t="s">
        <v>22</v>
      </c>
      <c r="C21" s="264">
        <f>+C19-C20</f>
        <v>43370.91366666666</v>
      </c>
      <c r="D21" s="264">
        <f>+D19-D20</f>
        <v>31714.467818160014</v>
      </c>
      <c r="E21" s="264">
        <f>+E19-E20</f>
        <v>38176.198886933482</v>
      </c>
      <c r="F21" s="264">
        <f>+F19-F20</f>
        <v>46369.940355464772</v>
      </c>
      <c r="G21" s="265">
        <f>+G19-G20</f>
        <v>56357.779658217813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89"/>
  <sheetViews>
    <sheetView topLeftCell="A64" zoomScale="85" workbookViewId="0">
      <selection activeCell="F27" sqref="F27"/>
    </sheetView>
  </sheetViews>
  <sheetFormatPr baseColWidth="10" defaultRowHeight="18.75"/>
  <cols>
    <col min="3" max="3" width="13.296875" customWidth="1"/>
    <col min="4" max="6" width="10.5" bestFit="1" customWidth="1"/>
    <col min="7" max="7" width="12.5" customWidth="1"/>
    <col min="8" max="8" width="10.5" bestFit="1" customWidth="1"/>
    <col min="9" max="9" width="13" customWidth="1"/>
    <col min="10" max="10" width="11.5" bestFit="1" customWidth="1"/>
  </cols>
  <sheetData>
    <row r="1" spans="2:9" ht="19.5" thickBot="1"/>
    <row r="2" spans="2:9" ht="19.5" thickBot="1">
      <c r="B2" s="446" t="s">
        <v>85</v>
      </c>
      <c r="C2" s="447"/>
      <c r="D2" s="447"/>
      <c r="E2" s="447"/>
      <c r="F2" s="447"/>
      <c r="G2" s="447"/>
      <c r="H2" s="448"/>
    </row>
    <row r="3" spans="2:9" ht="24">
      <c r="B3" s="453" t="s">
        <v>26</v>
      </c>
      <c r="C3" s="454"/>
      <c r="D3" s="13" t="s">
        <v>84</v>
      </c>
      <c r="E3" s="14" t="s">
        <v>83</v>
      </c>
      <c r="F3" s="14" t="s">
        <v>36</v>
      </c>
      <c r="G3" s="14" t="s">
        <v>82</v>
      </c>
      <c r="H3" s="15" t="s">
        <v>27</v>
      </c>
    </row>
    <row r="4" spans="2:9" ht="23.25" customHeight="1">
      <c r="B4" s="455" t="s">
        <v>28</v>
      </c>
      <c r="C4" s="434"/>
      <c r="D4" s="3">
        <v>7</v>
      </c>
      <c r="E4" s="7">
        <v>85.68</v>
      </c>
      <c r="F4" s="7"/>
      <c r="G4" s="7">
        <f>+E4+F4</f>
        <v>85.68</v>
      </c>
      <c r="H4" s="16">
        <f>+G4*D4</f>
        <v>599.76</v>
      </c>
    </row>
    <row r="5" spans="2:9" ht="19.5" thickBot="1">
      <c r="B5" s="455" t="s">
        <v>29</v>
      </c>
      <c r="C5" s="434"/>
      <c r="D5" s="3">
        <v>7</v>
      </c>
      <c r="E5" s="7">
        <v>52.3</v>
      </c>
      <c r="F5" s="7"/>
      <c r="G5" s="7">
        <f>+E5+F5</f>
        <v>52.3</v>
      </c>
      <c r="H5" s="16">
        <f>+G5*D5</f>
        <v>366.09999999999997</v>
      </c>
    </row>
    <row r="6" spans="2:9" ht="19.5" thickBot="1">
      <c r="B6" s="460" t="s">
        <v>30</v>
      </c>
      <c r="C6" s="461"/>
      <c r="D6" s="4">
        <v>7</v>
      </c>
      <c r="E6" s="8">
        <v>7.57</v>
      </c>
      <c r="F6" s="7"/>
      <c r="G6" s="7">
        <f>+E6+F6</f>
        <v>7.57</v>
      </c>
      <c r="H6" s="16">
        <f>+G6*D6</f>
        <v>52.99</v>
      </c>
      <c r="I6" s="21">
        <f>+SUM(H4:H6)</f>
        <v>1018.8499999999999</v>
      </c>
    </row>
    <row r="7" spans="2:9" ht="19.5" thickBot="1">
      <c r="B7" s="456" t="s">
        <v>31</v>
      </c>
      <c r="C7" s="462"/>
      <c r="D7" s="5"/>
      <c r="E7" s="9"/>
      <c r="F7" s="9"/>
      <c r="G7" s="9"/>
      <c r="H7" s="17"/>
    </row>
    <row r="8" spans="2:9" ht="19.5" thickBot="1">
      <c r="B8" s="458" t="s">
        <v>32</v>
      </c>
      <c r="C8" s="459"/>
      <c r="D8" s="6">
        <v>7</v>
      </c>
      <c r="E8" s="8">
        <v>860.02</v>
      </c>
      <c r="F8" s="10"/>
      <c r="G8" s="10">
        <f>+E8+F8</f>
        <v>860.02</v>
      </c>
      <c r="H8" s="18">
        <f>+G8*D8</f>
        <v>6020.1399999999994</v>
      </c>
      <c r="I8" s="21">
        <f>+SUM(H8:H8)</f>
        <v>6020.1399999999994</v>
      </c>
    </row>
    <row r="9" spans="2:9" ht="19.5" thickBot="1">
      <c r="B9" s="456" t="s">
        <v>33</v>
      </c>
      <c r="C9" s="462"/>
      <c r="D9" s="5"/>
      <c r="E9" s="9"/>
      <c r="F9" s="9"/>
      <c r="G9" s="9"/>
      <c r="H9" s="17"/>
    </row>
    <row r="10" spans="2:9" ht="19.5" thickBot="1">
      <c r="B10" s="458" t="s">
        <v>34</v>
      </c>
      <c r="C10" s="459"/>
      <c r="D10" s="4">
        <v>5</v>
      </c>
      <c r="E10" s="8">
        <v>34.200000000000003</v>
      </c>
      <c r="F10" s="10"/>
      <c r="G10" s="10">
        <v>34.200000000000003</v>
      </c>
      <c r="H10" s="18">
        <f>+G10*D10</f>
        <v>171</v>
      </c>
      <c r="I10" s="21">
        <f>+SUM(H10:H10)</f>
        <v>171</v>
      </c>
    </row>
    <row r="11" spans="2:9">
      <c r="B11" s="456" t="s">
        <v>225</v>
      </c>
      <c r="C11" s="457"/>
      <c r="D11" s="3"/>
      <c r="E11" s="7"/>
      <c r="F11" s="7"/>
      <c r="G11" s="10"/>
      <c r="H11" s="18"/>
      <c r="I11" s="345"/>
    </row>
    <row r="12" spans="2:9" ht="22.5" customHeight="1">
      <c r="B12" s="463" t="s">
        <v>226</v>
      </c>
      <c r="C12" s="463"/>
      <c r="D12" s="3">
        <v>16</v>
      </c>
      <c r="E12" s="7">
        <v>200</v>
      </c>
      <c r="F12" s="7"/>
      <c r="G12" s="10">
        <f>+E12</f>
        <v>200</v>
      </c>
      <c r="H12" s="18">
        <f t="shared" ref="H12:H27" si="0">+G12*D12</f>
        <v>3200</v>
      </c>
      <c r="I12" s="345"/>
    </row>
    <row r="13" spans="2:9">
      <c r="B13" s="463" t="s">
        <v>227</v>
      </c>
      <c r="C13" s="463"/>
      <c r="D13" s="3">
        <v>12</v>
      </c>
      <c r="E13" s="7">
        <v>224.39</v>
      </c>
      <c r="F13" s="7"/>
      <c r="G13" s="10">
        <f t="shared" ref="G13:G27" si="1">+E13</f>
        <v>224.39</v>
      </c>
      <c r="H13" s="18">
        <f t="shared" si="0"/>
        <v>2692.68</v>
      </c>
      <c r="I13" s="345"/>
    </row>
    <row r="14" spans="2:9">
      <c r="B14" s="463" t="s">
        <v>228</v>
      </c>
      <c r="C14" s="463"/>
      <c r="D14" s="3">
        <v>2</v>
      </c>
      <c r="E14" s="7">
        <v>329</v>
      </c>
      <c r="F14" s="7"/>
      <c r="G14" s="10">
        <f t="shared" si="1"/>
        <v>329</v>
      </c>
      <c r="H14" s="18">
        <f t="shared" si="0"/>
        <v>658</v>
      </c>
      <c r="I14" s="345"/>
    </row>
    <row r="15" spans="2:9">
      <c r="B15" s="463" t="s">
        <v>229</v>
      </c>
      <c r="C15" s="463"/>
      <c r="D15" s="3">
        <v>1</v>
      </c>
      <c r="E15" s="7">
        <v>106</v>
      </c>
      <c r="F15" s="7"/>
      <c r="G15" s="10">
        <f t="shared" si="1"/>
        <v>106</v>
      </c>
      <c r="H15" s="18">
        <f t="shared" si="0"/>
        <v>106</v>
      </c>
      <c r="I15" s="345"/>
    </row>
    <row r="16" spans="2:9">
      <c r="B16" s="463" t="s">
        <v>230</v>
      </c>
      <c r="C16" s="463"/>
      <c r="D16" s="3">
        <v>28</v>
      </c>
      <c r="E16" s="7">
        <v>158.4</v>
      </c>
      <c r="F16" s="7"/>
      <c r="G16" s="10">
        <f t="shared" si="1"/>
        <v>158.4</v>
      </c>
      <c r="H16" s="18">
        <f t="shared" si="0"/>
        <v>4435.2</v>
      </c>
      <c r="I16" s="345"/>
    </row>
    <row r="17" spans="2:11">
      <c r="B17" s="463" t="s">
        <v>231</v>
      </c>
      <c r="C17" s="463"/>
      <c r="D17" s="3">
        <v>4</v>
      </c>
      <c r="E17" s="7">
        <v>255</v>
      </c>
      <c r="F17" s="7"/>
      <c r="G17" s="10">
        <f t="shared" si="1"/>
        <v>255</v>
      </c>
      <c r="H17" s="18">
        <f t="shared" si="0"/>
        <v>1020</v>
      </c>
      <c r="I17" s="345"/>
    </row>
    <row r="18" spans="2:11">
      <c r="B18" s="463" t="s">
        <v>232</v>
      </c>
      <c r="C18" s="463"/>
      <c r="D18" s="3">
        <v>28</v>
      </c>
      <c r="E18" s="7">
        <v>260.85000000000002</v>
      </c>
      <c r="F18" s="7"/>
      <c r="G18" s="7">
        <f t="shared" si="1"/>
        <v>260.85000000000002</v>
      </c>
      <c r="H18" s="346">
        <f t="shared" si="0"/>
        <v>7303.8000000000011</v>
      </c>
      <c r="I18" s="345"/>
    </row>
    <row r="19" spans="2:11">
      <c r="B19" s="463" t="s">
        <v>233</v>
      </c>
      <c r="C19" s="463"/>
      <c r="D19" s="3">
        <v>5</v>
      </c>
      <c r="E19" s="7">
        <v>919</v>
      </c>
      <c r="F19" s="7"/>
      <c r="G19" s="7">
        <f t="shared" si="1"/>
        <v>919</v>
      </c>
      <c r="H19" s="346">
        <f t="shared" si="0"/>
        <v>4595</v>
      </c>
      <c r="I19" s="345"/>
    </row>
    <row r="20" spans="2:11">
      <c r="B20" s="463" t="s">
        <v>234</v>
      </c>
      <c r="C20" s="463"/>
      <c r="D20" s="3">
        <v>3</v>
      </c>
      <c r="E20" s="7">
        <v>268.02999999999997</v>
      </c>
      <c r="F20" s="7"/>
      <c r="G20" s="7">
        <f t="shared" si="1"/>
        <v>268.02999999999997</v>
      </c>
      <c r="H20" s="346">
        <f t="shared" si="0"/>
        <v>804.08999999999992</v>
      </c>
      <c r="I20" s="345"/>
    </row>
    <row r="21" spans="2:11">
      <c r="B21" s="463" t="s">
        <v>235</v>
      </c>
      <c r="C21" s="463"/>
      <c r="D21" s="3">
        <v>1</v>
      </c>
      <c r="E21" s="7">
        <v>1715.32</v>
      </c>
      <c r="F21" s="7"/>
      <c r="G21" s="7">
        <f t="shared" si="1"/>
        <v>1715.32</v>
      </c>
      <c r="H21" s="346">
        <f t="shared" si="0"/>
        <v>1715.32</v>
      </c>
      <c r="I21" s="345"/>
    </row>
    <row r="22" spans="2:11">
      <c r="B22" s="463" t="s">
        <v>236</v>
      </c>
      <c r="C22" s="463"/>
      <c r="D22" s="3">
        <v>1</v>
      </c>
      <c r="E22" s="7">
        <v>51.88</v>
      </c>
      <c r="F22" s="7"/>
      <c r="G22" s="7">
        <f t="shared" si="1"/>
        <v>51.88</v>
      </c>
      <c r="H22" s="346">
        <f t="shared" si="0"/>
        <v>51.88</v>
      </c>
      <c r="I22" s="345"/>
    </row>
    <row r="23" spans="2:11">
      <c r="B23" s="463" t="s">
        <v>237</v>
      </c>
      <c r="C23" s="463"/>
      <c r="D23" s="3">
        <v>1</v>
      </c>
      <c r="E23" s="7">
        <v>572.25</v>
      </c>
      <c r="F23" s="7"/>
      <c r="G23" s="7">
        <f t="shared" si="1"/>
        <v>572.25</v>
      </c>
      <c r="H23" s="346">
        <f t="shared" si="0"/>
        <v>572.25</v>
      </c>
      <c r="I23" s="345"/>
    </row>
    <row r="24" spans="2:11">
      <c r="B24" s="463" t="s">
        <v>238</v>
      </c>
      <c r="C24" s="463"/>
      <c r="D24" s="3">
        <v>3</v>
      </c>
      <c r="E24" s="7">
        <v>251.37</v>
      </c>
      <c r="F24" s="7"/>
      <c r="G24" s="7">
        <f t="shared" si="1"/>
        <v>251.37</v>
      </c>
      <c r="H24" s="346">
        <f t="shared" si="0"/>
        <v>754.11</v>
      </c>
      <c r="I24" s="345"/>
    </row>
    <row r="25" spans="2:11">
      <c r="B25" s="463" t="s">
        <v>239</v>
      </c>
      <c r="C25" s="463"/>
      <c r="D25" s="3">
        <v>3</v>
      </c>
      <c r="E25" s="7">
        <v>702.45</v>
      </c>
      <c r="F25" s="7"/>
      <c r="G25" s="7">
        <f t="shared" si="1"/>
        <v>702.45</v>
      </c>
      <c r="H25" s="346">
        <f t="shared" si="0"/>
        <v>2107.3500000000004</v>
      </c>
      <c r="I25" s="345"/>
    </row>
    <row r="26" spans="2:11">
      <c r="B26" s="463" t="s">
        <v>240</v>
      </c>
      <c r="C26" s="463"/>
      <c r="D26" s="3">
        <v>1</v>
      </c>
      <c r="E26" s="7">
        <v>19.2</v>
      </c>
      <c r="F26" s="7"/>
      <c r="G26" s="7">
        <f t="shared" si="1"/>
        <v>19.2</v>
      </c>
      <c r="H26" s="346">
        <f t="shared" si="0"/>
        <v>19.2</v>
      </c>
      <c r="I26" s="345"/>
    </row>
    <row r="27" spans="2:11">
      <c r="B27" s="463" t="s">
        <v>241</v>
      </c>
      <c r="C27" s="463"/>
      <c r="D27" s="3">
        <v>2</v>
      </c>
      <c r="E27" s="7">
        <v>145</v>
      </c>
      <c r="F27" s="7"/>
      <c r="G27" s="7">
        <f t="shared" si="1"/>
        <v>145</v>
      </c>
      <c r="H27" s="346">
        <f t="shared" si="0"/>
        <v>290</v>
      </c>
      <c r="I27" s="345">
        <f>SUM(H12:H27)</f>
        <v>30324.880000000001</v>
      </c>
    </row>
    <row r="28" spans="2:11" ht="19.5" thickBot="1">
      <c r="B28" s="466" t="s">
        <v>35</v>
      </c>
      <c r="C28" s="467"/>
      <c r="D28" s="467"/>
      <c r="E28" s="467"/>
      <c r="F28" s="19"/>
      <c r="G28" s="19"/>
      <c r="H28" s="20">
        <f>SUM(H4:H27)</f>
        <v>37534.869999999995</v>
      </c>
    </row>
    <row r="29" spans="2:11" ht="19.5" thickBot="1">
      <c r="K29" s="251">
        <f>100%/3</f>
        <v>0.33333333333333331</v>
      </c>
    </row>
    <row r="30" spans="2:11" ht="19.5" thickBot="1">
      <c r="B30" s="193"/>
      <c r="C30" s="193"/>
      <c r="D30" s="193"/>
      <c r="E30" s="464" t="s">
        <v>242</v>
      </c>
      <c r="F30" s="465"/>
      <c r="G30" s="439"/>
      <c r="H30" s="439"/>
      <c r="K30" s="251">
        <f>100%/10</f>
        <v>0.1</v>
      </c>
    </row>
    <row r="31" spans="2:11" s="23" customFormat="1" ht="22.5" thickBot="1">
      <c r="B31" s="449" t="s">
        <v>119</v>
      </c>
      <c r="C31" s="450"/>
      <c r="D31" s="404" t="s">
        <v>159</v>
      </c>
      <c r="E31" s="404" t="s">
        <v>120</v>
      </c>
      <c r="F31" s="405" t="s">
        <v>114</v>
      </c>
      <c r="G31" s="350"/>
      <c r="H31" s="350"/>
    </row>
    <row r="32" spans="2:11">
      <c r="B32" s="468" t="s">
        <v>26</v>
      </c>
      <c r="C32" s="469"/>
      <c r="D32" s="402"/>
      <c r="E32" s="402"/>
      <c r="F32" s="403"/>
      <c r="G32" s="351"/>
      <c r="H32" s="351"/>
      <c r="J32" s="251"/>
    </row>
    <row r="33" spans="2:10">
      <c r="B33" s="435" t="str">
        <f>+B4</f>
        <v>ESCRITORIOS  1,70 X 0,60, CON PORTATECLADO</v>
      </c>
      <c r="C33" s="436"/>
      <c r="D33" s="354">
        <f>100%/10</f>
        <v>0.1</v>
      </c>
      <c r="E33" s="355">
        <f>+H4</f>
        <v>599.76</v>
      </c>
      <c r="F33" s="396">
        <f>+H4*D33</f>
        <v>59.975999999999999</v>
      </c>
      <c r="G33" s="352"/>
      <c r="H33" s="353"/>
    </row>
    <row r="34" spans="2:10" ht="18.75" customHeight="1" thickBot="1">
      <c r="B34" s="443" t="s">
        <v>29</v>
      </c>
      <c r="C34" s="444"/>
      <c r="D34" s="354">
        <f>100%/10</f>
        <v>0.1</v>
      </c>
      <c r="E34" s="355">
        <f>+H5</f>
        <v>366.09999999999997</v>
      </c>
      <c r="F34" s="396">
        <f>+H5*D34</f>
        <v>36.61</v>
      </c>
      <c r="G34" s="352"/>
      <c r="H34" s="353"/>
    </row>
    <row r="35" spans="2:10" ht="18.75" customHeight="1">
      <c r="B35" s="443" t="s">
        <v>30</v>
      </c>
      <c r="C35" s="444"/>
      <c r="D35" s="354">
        <f>100%/10</f>
        <v>0.1</v>
      </c>
      <c r="E35" s="355">
        <f>+H6</f>
        <v>52.99</v>
      </c>
      <c r="F35" s="396">
        <f>+H6*D35</f>
        <v>5.2990000000000004</v>
      </c>
      <c r="G35" s="347">
        <f>SUM(E33:E35)</f>
        <v>1018.8499999999999</v>
      </c>
      <c r="H35" s="353"/>
      <c r="J35" s="362"/>
    </row>
    <row r="36" spans="2:10">
      <c r="B36" s="451" t="s">
        <v>31</v>
      </c>
      <c r="C36" s="452"/>
      <c r="D36" s="354"/>
      <c r="E36" s="355"/>
      <c r="F36" s="396"/>
      <c r="G36" s="348"/>
      <c r="H36" s="353"/>
      <c r="J36" s="362"/>
    </row>
    <row r="37" spans="2:10" ht="21" customHeight="1">
      <c r="B37" s="435" t="str">
        <f>+B8</f>
        <v>COMPUTADORAS INTEL 1,8GHZ, MEMORY RAM 2GB, DISCO 160GB,MONITOR 17" LICENCIA WINDOWS VISTA</v>
      </c>
      <c r="C37" s="436"/>
      <c r="D37" s="354">
        <f>100%/3</f>
        <v>0.33333333333333331</v>
      </c>
      <c r="E37" s="355">
        <f>+H8</f>
        <v>6020.1399999999994</v>
      </c>
      <c r="F37" s="397">
        <f>+E37*D37</f>
        <v>2006.7133333333331</v>
      </c>
      <c r="G37" s="348">
        <f>+E37</f>
        <v>6020.1399999999994</v>
      </c>
      <c r="H37" s="353"/>
      <c r="J37" s="362"/>
    </row>
    <row r="38" spans="2:10">
      <c r="B38" s="451" t="s">
        <v>33</v>
      </c>
      <c r="C38" s="452"/>
      <c r="D38" s="356"/>
      <c r="E38" s="355"/>
      <c r="F38" s="396"/>
      <c r="G38" s="348"/>
      <c r="H38" s="353"/>
      <c r="J38" s="362"/>
    </row>
    <row r="39" spans="2:10">
      <c r="B39" s="435" t="str">
        <f>+B10</f>
        <v>TELEFONOS SENCILLOS PANASONIC</v>
      </c>
      <c r="C39" s="436"/>
      <c r="D39" s="354">
        <f>100%/3</f>
        <v>0.33333333333333331</v>
      </c>
      <c r="E39" s="355">
        <f>+H10</f>
        <v>171</v>
      </c>
      <c r="F39" s="396">
        <f>+E39*D39</f>
        <v>57</v>
      </c>
      <c r="G39" s="348">
        <f>+E39</f>
        <v>171</v>
      </c>
      <c r="H39" s="353"/>
      <c r="J39" s="362"/>
    </row>
    <row r="40" spans="2:10">
      <c r="B40" s="456" t="s">
        <v>225</v>
      </c>
      <c r="C40" s="457"/>
      <c r="D40" s="354"/>
      <c r="E40" s="355"/>
      <c r="F40" s="396"/>
      <c r="G40" s="348"/>
      <c r="H40" s="353"/>
      <c r="J40" s="362"/>
    </row>
    <row r="41" spans="2:10">
      <c r="B41" s="437" t="str">
        <f>+B12</f>
        <v>CAMAS DE PLAZA Y MEDIA</v>
      </c>
      <c r="C41" s="438"/>
      <c r="D41" s="357">
        <v>0.1</v>
      </c>
      <c r="E41" s="355">
        <f>+H12</f>
        <v>3200</v>
      </c>
      <c r="F41" s="396">
        <f>+E41*D41</f>
        <v>320</v>
      </c>
      <c r="G41" s="348"/>
      <c r="H41" s="349"/>
      <c r="J41" s="362"/>
    </row>
    <row r="42" spans="2:10">
      <c r="B42" s="437" t="str">
        <f>+B13</f>
        <v>CAMAS DE DOS PLAZA</v>
      </c>
      <c r="C42" s="438"/>
      <c r="D42" s="357">
        <v>0.1</v>
      </c>
      <c r="E42" s="355">
        <f t="shared" ref="E42:E56" si="2">+H13</f>
        <v>2692.68</v>
      </c>
      <c r="F42" s="396">
        <f t="shared" ref="F42:F56" si="3">+E42*D42</f>
        <v>269.26799999999997</v>
      </c>
      <c r="G42" s="348"/>
      <c r="H42" s="207"/>
      <c r="J42" s="362"/>
    </row>
    <row r="43" spans="2:10">
      <c r="B43" s="437" t="str">
        <f t="shared" ref="B43:B52" si="4">+B14</f>
        <v>SOFAS</v>
      </c>
      <c r="C43" s="438"/>
      <c r="D43" s="357">
        <v>0.1</v>
      </c>
      <c r="E43" s="355">
        <f t="shared" si="2"/>
        <v>658</v>
      </c>
      <c r="F43" s="396">
        <f t="shared" si="3"/>
        <v>65.8</v>
      </c>
      <c r="G43" s="348"/>
      <c r="H43" s="207"/>
      <c r="J43" s="362"/>
    </row>
    <row r="44" spans="2:10">
      <c r="B44" s="437" t="str">
        <f t="shared" si="4"/>
        <v>ASPIRADORA</v>
      </c>
      <c r="C44" s="438"/>
      <c r="D44" s="357">
        <v>0.1</v>
      </c>
      <c r="E44" s="355">
        <f t="shared" si="2"/>
        <v>106</v>
      </c>
      <c r="F44" s="396">
        <f t="shared" si="3"/>
        <v>10.600000000000001</v>
      </c>
      <c r="G44" s="348"/>
      <c r="H44" s="207"/>
      <c r="J44" s="362"/>
    </row>
    <row r="45" spans="2:10">
      <c r="B45" s="437" t="str">
        <f t="shared" si="4"/>
        <v>TELEVISORES</v>
      </c>
      <c r="C45" s="438"/>
      <c r="D45" s="357">
        <v>0.1</v>
      </c>
      <c r="E45" s="355">
        <f t="shared" si="2"/>
        <v>4435.2</v>
      </c>
      <c r="F45" s="396">
        <f t="shared" si="3"/>
        <v>443.52</v>
      </c>
      <c r="G45" s="348"/>
      <c r="H45" s="207"/>
      <c r="J45" s="362"/>
    </row>
    <row r="46" spans="2:10">
      <c r="B46" s="437" t="str">
        <f t="shared" si="4"/>
        <v>AIRES ACONDICIONADOS</v>
      </c>
      <c r="C46" s="438"/>
      <c r="D46" s="357">
        <v>0.1</v>
      </c>
      <c r="E46" s="355">
        <f t="shared" si="2"/>
        <v>1020</v>
      </c>
      <c r="F46" s="396">
        <f t="shared" si="3"/>
        <v>102</v>
      </c>
      <c r="G46" s="348"/>
      <c r="H46" s="207"/>
      <c r="J46" s="362"/>
    </row>
    <row r="47" spans="2:10">
      <c r="B47" s="437" t="str">
        <f t="shared" si="4"/>
        <v>ROPEROS</v>
      </c>
      <c r="C47" s="438"/>
      <c r="D47" s="357">
        <v>0.1</v>
      </c>
      <c r="E47" s="355">
        <f t="shared" si="2"/>
        <v>7303.8000000000011</v>
      </c>
      <c r="F47" s="396">
        <f t="shared" si="3"/>
        <v>730.38000000000011</v>
      </c>
      <c r="G47" s="348"/>
      <c r="H47" s="207"/>
      <c r="J47" s="362"/>
    </row>
    <row r="48" spans="2:10">
      <c r="B48" s="437" t="str">
        <f t="shared" si="4"/>
        <v>JUEGOS DE COMEDOR</v>
      </c>
      <c r="C48" s="438"/>
      <c r="D48" s="357">
        <v>0.1</v>
      </c>
      <c r="E48" s="355">
        <f t="shared" si="2"/>
        <v>4595</v>
      </c>
      <c r="F48" s="396">
        <f t="shared" si="3"/>
        <v>459.5</v>
      </c>
      <c r="G48" s="348"/>
      <c r="H48" s="207"/>
      <c r="J48" s="362"/>
    </row>
    <row r="49" spans="2:13">
      <c r="B49" s="437" t="str">
        <f t="shared" si="4"/>
        <v>DISPENSADOR DE AGUA</v>
      </c>
      <c r="C49" s="438"/>
      <c r="D49" s="357">
        <v>0.1</v>
      </c>
      <c r="E49" s="355">
        <f t="shared" si="2"/>
        <v>804.08999999999992</v>
      </c>
      <c r="F49" s="396">
        <f t="shared" si="3"/>
        <v>80.408999999999992</v>
      </c>
      <c r="G49" s="348"/>
      <c r="H49" s="207"/>
      <c r="J49" s="362"/>
    </row>
    <row r="50" spans="2:13">
      <c r="B50" s="437" t="str">
        <f t="shared" si="4"/>
        <v>REFRIGERADORA</v>
      </c>
      <c r="C50" s="438"/>
      <c r="D50" s="357">
        <v>0.1</v>
      </c>
      <c r="E50" s="355">
        <f t="shared" si="2"/>
        <v>1715.32</v>
      </c>
      <c r="F50" s="396">
        <f t="shared" si="3"/>
        <v>171.53200000000001</v>
      </c>
      <c r="G50" s="348"/>
      <c r="H50" s="207"/>
      <c r="J50" s="362"/>
    </row>
    <row r="51" spans="2:13">
      <c r="B51" s="437" t="str">
        <f t="shared" si="4"/>
        <v>OLLA ARROCERA</v>
      </c>
      <c r="C51" s="438"/>
      <c r="D51" s="357">
        <v>0.1</v>
      </c>
      <c r="E51" s="355">
        <f t="shared" si="2"/>
        <v>51.88</v>
      </c>
      <c r="F51" s="396">
        <f t="shared" si="3"/>
        <v>5.1880000000000006</v>
      </c>
      <c r="G51" s="348"/>
      <c r="H51" s="207"/>
      <c r="J51" s="362"/>
    </row>
    <row r="52" spans="2:13">
      <c r="B52" s="437" t="str">
        <f t="shared" si="4"/>
        <v>COCINA</v>
      </c>
      <c r="C52" s="438"/>
      <c r="D52" s="357">
        <v>0.1</v>
      </c>
      <c r="E52" s="355">
        <f t="shared" si="2"/>
        <v>572.25</v>
      </c>
      <c r="F52" s="396">
        <f t="shared" si="3"/>
        <v>57.225000000000001</v>
      </c>
      <c r="G52" s="348"/>
      <c r="H52" s="207"/>
      <c r="J52" s="362"/>
    </row>
    <row r="53" spans="2:13">
      <c r="B53" s="437" t="str">
        <f>+B24</f>
        <v>LAVADORA</v>
      </c>
      <c r="C53" s="438"/>
      <c r="D53" s="357">
        <v>0.1</v>
      </c>
      <c r="E53" s="355">
        <f t="shared" si="2"/>
        <v>754.11</v>
      </c>
      <c r="F53" s="396">
        <f t="shared" si="3"/>
        <v>75.411000000000001</v>
      </c>
      <c r="G53" s="348"/>
      <c r="H53" s="207"/>
      <c r="J53" s="362"/>
    </row>
    <row r="54" spans="2:13">
      <c r="B54" s="437" t="str">
        <f>+B25</f>
        <v>SECADORA</v>
      </c>
      <c r="C54" s="438"/>
      <c r="D54" s="357">
        <v>0.1</v>
      </c>
      <c r="E54" s="355">
        <f t="shared" si="2"/>
        <v>2107.3500000000004</v>
      </c>
      <c r="F54" s="396">
        <f t="shared" si="3"/>
        <v>210.73500000000004</v>
      </c>
      <c r="G54" s="348"/>
      <c r="H54" s="207"/>
      <c r="J54" s="362"/>
    </row>
    <row r="55" spans="2:13">
      <c r="B55" s="437" t="str">
        <f>+B26</f>
        <v>TOSTADORA</v>
      </c>
      <c r="C55" s="438"/>
      <c r="D55" s="357">
        <v>0.1</v>
      </c>
      <c r="E55" s="355">
        <f t="shared" si="2"/>
        <v>19.2</v>
      </c>
      <c r="F55" s="396">
        <f t="shared" si="3"/>
        <v>1.92</v>
      </c>
      <c r="G55" s="348"/>
      <c r="H55" s="207"/>
      <c r="J55" s="362"/>
    </row>
    <row r="56" spans="2:13" ht="19.5" thickBot="1">
      <c r="B56" s="437" t="str">
        <f>+B27</f>
        <v>MICROONDAS</v>
      </c>
      <c r="C56" s="438"/>
      <c r="D56" s="398">
        <v>0.1</v>
      </c>
      <c r="E56" s="399">
        <f t="shared" si="2"/>
        <v>290</v>
      </c>
      <c r="F56" s="400">
        <f t="shared" si="3"/>
        <v>29</v>
      </c>
      <c r="G56" s="348">
        <f>SUM(E41:E56)</f>
        <v>30324.880000000001</v>
      </c>
      <c r="H56" s="359"/>
      <c r="J56" s="362"/>
    </row>
    <row r="57" spans="2:13" ht="19.5" thickBot="1">
      <c r="B57" s="471" t="s">
        <v>115</v>
      </c>
      <c r="C57" s="472"/>
      <c r="D57" s="472"/>
      <c r="E57" s="473"/>
      <c r="F57" s="401">
        <f>SUM(F33:F56)</f>
        <v>5198.0863333333336</v>
      </c>
      <c r="G57" s="358">
        <f>+SUM(G35:G56)</f>
        <v>37534.870000000003</v>
      </c>
      <c r="H57" s="360"/>
      <c r="J57" s="362"/>
    </row>
    <row r="59" spans="2:13">
      <c r="B59" s="445" t="s">
        <v>202</v>
      </c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</row>
    <row r="60" spans="2:13">
      <c r="B60" s="442" t="s">
        <v>119</v>
      </c>
      <c r="C60" s="442"/>
      <c r="D60" s="1" t="s">
        <v>97</v>
      </c>
      <c r="E60" s="1" t="s">
        <v>98</v>
      </c>
      <c r="F60" s="1" t="s">
        <v>186</v>
      </c>
      <c r="G60" s="1" t="s">
        <v>195</v>
      </c>
      <c r="H60" s="1" t="s">
        <v>196</v>
      </c>
      <c r="I60" s="1" t="s">
        <v>197</v>
      </c>
      <c r="J60" s="1" t="s">
        <v>198</v>
      </c>
      <c r="K60" s="1" t="s">
        <v>199</v>
      </c>
      <c r="L60" s="1" t="s">
        <v>200</v>
      </c>
      <c r="M60" s="1" t="s">
        <v>201</v>
      </c>
    </row>
    <row r="61" spans="2:13">
      <c r="B61" s="440" t="s">
        <v>26</v>
      </c>
      <c r="C61" s="440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28.5" customHeight="1">
      <c r="B62" s="434" t="s">
        <v>28</v>
      </c>
      <c r="C62" s="434"/>
      <c r="D62" s="252">
        <f>+F33</f>
        <v>59.975999999999999</v>
      </c>
      <c r="E62" s="252">
        <f>+D62+F33</f>
        <v>119.952</v>
      </c>
      <c r="F62" s="252">
        <f>+E62+F33</f>
        <v>179.928</v>
      </c>
      <c r="G62" s="252">
        <f>+F62+$F$33</f>
        <v>239.904</v>
      </c>
      <c r="H62" s="252">
        <f t="shared" ref="H62:M62" si="5">+G62+$F$33</f>
        <v>299.88</v>
      </c>
      <c r="I62" s="361">
        <f t="shared" si="5"/>
        <v>359.85599999999999</v>
      </c>
      <c r="J62" s="257">
        <f t="shared" si="5"/>
        <v>419.83199999999999</v>
      </c>
      <c r="K62" s="257">
        <f t="shared" si="5"/>
        <v>479.80799999999999</v>
      </c>
      <c r="L62" s="257">
        <f t="shared" si="5"/>
        <v>539.78399999999999</v>
      </c>
      <c r="M62" s="257">
        <f t="shared" si="5"/>
        <v>599.76</v>
      </c>
    </row>
    <row r="63" spans="2:13" ht="18.75" customHeight="1">
      <c r="B63" s="434" t="str">
        <f>+B34</f>
        <v xml:space="preserve">SILLAS MODELO GRAFITTI </v>
      </c>
      <c r="C63" s="434"/>
      <c r="D63" s="252">
        <f>+F34</f>
        <v>36.61</v>
      </c>
      <c r="E63" s="252">
        <f>+D63+$F$34</f>
        <v>73.22</v>
      </c>
      <c r="F63" s="252">
        <f t="shared" ref="F63:M63" si="6">+E63+$F$34</f>
        <v>109.83</v>
      </c>
      <c r="G63" s="252">
        <f t="shared" si="6"/>
        <v>146.44</v>
      </c>
      <c r="H63" s="252">
        <f t="shared" si="6"/>
        <v>183.05</v>
      </c>
      <c r="I63" s="252">
        <f t="shared" si="6"/>
        <v>219.66000000000003</v>
      </c>
      <c r="J63" s="252">
        <f t="shared" si="6"/>
        <v>256.27000000000004</v>
      </c>
      <c r="K63" s="252">
        <f t="shared" si="6"/>
        <v>292.88000000000005</v>
      </c>
      <c r="L63" s="252">
        <f t="shared" si="6"/>
        <v>329.49000000000007</v>
      </c>
      <c r="M63" s="252">
        <f t="shared" si="6"/>
        <v>366.10000000000008</v>
      </c>
    </row>
    <row r="64" spans="2:13" ht="18.75" customHeight="1">
      <c r="B64" s="434" t="s">
        <v>30</v>
      </c>
      <c r="C64" s="434"/>
      <c r="D64" s="252">
        <f>+F35</f>
        <v>5.2990000000000004</v>
      </c>
      <c r="E64" s="252">
        <f>+D64+$F$35</f>
        <v>10.598000000000001</v>
      </c>
      <c r="F64" s="252">
        <f t="shared" ref="F64:M64" si="7">+E64+$F$35</f>
        <v>15.897000000000002</v>
      </c>
      <c r="G64" s="252">
        <f t="shared" si="7"/>
        <v>21.196000000000002</v>
      </c>
      <c r="H64" s="252">
        <f t="shared" si="7"/>
        <v>26.495000000000001</v>
      </c>
      <c r="I64" s="252">
        <f t="shared" si="7"/>
        <v>31.794</v>
      </c>
      <c r="J64" s="252">
        <f t="shared" si="7"/>
        <v>37.093000000000004</v>
      </c>
      <c r="K64" s="252">
        <f t="shared" si="7"/>
        <v>42.392000000000003</v>
      </c>
      <c r="L64" s="252">
        <f t="shared" si="7"/>
        <v>47.691000000000003</v>
      </c>
      <c r="M64" s="252">
        <f t="shared" si="7"/>
        <v>52.99</v>
      </c>
    </row>
    <row r="65" spans="2:13" ht="18.75" customHeight="1">
      <c r="B65" s="441" t="s">
        <v>8</v>
      </c>
      <c r="C65" s="441"/>
      <c r="D65" s="252">
        <f>SUM(D62:D64)</f>
        <v>101.88500000000001</v>
      </c>
      <c r="E65" s="252">
        <f t="shared" ref="E65:M65" si="8">SUM(E62:E64)</f>
        <v>203.77</v>
      </c>
      <c r="F65" s="252">
        <f t="shared" si="8"/>
        <v>305.65499999999997</v>
      </c>
      <c r="G65" s="252">
        <f t="shared" si="8"/>
        <v>407.54</v>
      </c>
      <c r="H65" s="252">
        <f t="shared" si="8"/>
        <v>509.42500000000001</v>
      </c>
      <c r="I65" s="252">
        <f t="shared" si="8"/>
        <v>611.31000000000006</v>
      </c>
      <c r="J65" s="252">
        <f t="shared" si="8"/>
        <v>713.19500000000005</v>
      </c>
      <c r="K65" s="252">
        <f t="shared" si="8"/>
        <v>815.08000000000015</v>
      </c>
      <c r="L65" s="252">
        <f t="shared" si="8"/>
        <v>916.96500000000015</v>
      </c>
      <c r="M65" s="252">
        <f t="shared" si="8"/>
        <v>1018.8500000000001</v>
      </c>
    </row>
    <row r="66" spans="2:13" ht="18.75" customHeight="1">
      <c r="B66" s="440" t="s">
        <v>31</v>
      </c>
      <c r="C66" s="440"/>
      <c r="D66" s="252"/>
      <c r="E66" s="252"/>
      <c r="F66" s="252"/>
      <c r="G66" s="252"/>
      <c r="H66" s="252"/>
    </row>
    <row r="67" spans="2:13">
      <c r="B67" s="434" t="s">
        <v>122</v>
      </c>
      <c r="C67" s="434"/>
      <c r="D67" s="252">
        <f>+F37</f>
        <v>2006.7133333333331</v>
      </c>
      <c r="E67" s="252">
        <f>+D67+$F$37</f>
        <v>4013.4266666666663</v>
      </c>
      <c r="F67" s="252">
        <f>+E67+$F$37</f>
        <v>6020.1399999999994</v>
      </c>
      <c r="G67" s="252">
        <f>+H37</f>
        <v>0</v>
      </c>
      <c r="H67" s="252">
        <f>+G67+H37</f>
        <v>0</v>
      </c>
      <c r="I67" s="406">
        <f>+H67+H37</f>
        <v>0</v>
      </c>
    </row>
    <row r="68" spans="2:13" ht="18.75" customHeight="1">
      <c r="B68" s="441" t="s">
        <v>8</v>
      </c>
      <c r="C68" s="441"/>
      <c r="D68" s="252">
        <f>+SUM(D67:D67)</f>
        <v>2006.7133333333331</v>
      </c>
      <c r="E68" s="252">
        <f>+SUM(E67:E67)</f>
        <v>4013.4266666666663</v>
      </c>
      <c r="F68" s="252">
        <f>+SUM(F67:F67)</f>
        <v>6020.1399999999994</v>
      </c>
      <c r="G68" s="252">
        <f>+SUM(G67:G67)</f>
        <v>0</v>
      </c>
      <c r="H68" s="252">
        <f>+SUM(H67:H67)</f>
        <v>0</v>
      </c>
    </row>
    <row r="69" spans="2:13" ht="18.75" customHeight="1">
      <c r="B69" s="440" t="s">
        <v>33</v>
      </c>
      <c r="C69" s="440"/>
      <c r="D69" s="252"/>
      <c r="E69" s="252"/>
      <c r="F69" s="252"/>
      <c r="G69" s="252"/>
      <c r="H69" s="252"/>
    </row>
    <row r="70" spans="2:13">
      <c r="B70" s="434" t="str">
        <f>+B39</f>
        <v>TELEFONOS SENCILLOS PANASONIC</v>
      </c>
      <c r="C70" s="434"/>
      <c r="D70" s="252">
        <f>+F39</f>
        <v>57</v>
      </c>
      <c r="E70" s="252">
        <f>+D70+$F$39</f>
        <v>114</v>
      </c>
      <c r="F70" s="252">
        <f>+E70+$F$39</f>
        <v>171</v>
      </c>
      <c r="G70" s="252">
        <f>+H39</f>
        <v>0</v>
      </c>
      <c r="H70" s="252">
        <f>+G70+H39</f>
        <v>0</v>
      </c>
    </row>
    <row r="71" spans="2:13">
      <c r="B71" s="441" t="s">
        <v>8</v>
      </c>
      <c r="C71" s="441"/>
      <c r="D71" s="210">
        <f>SUM(D70)</f>
        <v>57</v>
      </c>
      <c r="E71" s="210">
        <f>SUM(E70)</f>
        <v>114</v>
      </c>
      <c r="F71" s="210">
        <f>SUM(F70)</f>
        <v>171</v>
      </c>
    </row>
    <row r="72" spans="2:13">
      <c r="B72" s="440" t="s">
        <v>225</v>
      </c>
      <c r="C72" s="440"/>
    </row>
    <row r="73" spans="2:13">
      <c r="B73" s="470" t="str">
        <f>+B41</f>
        <v>CAMAS DE PLAZA Y MEDIA</v>
      </c>
      <c r="C73" s="470"/>
      <c r="D73" s="361">
        <f>+F41</f>
        <v>320</v>
      </c>
      <c r="E73" s="361">
        <f>+D73+$F$41</f>
        <v>640</v>
      </c>
      <c r="F73" s="361">
        <f t="shared" ref="F73:M73" si="9">+E73+$F$41</f>
        <v>960</v>
      </c>
      <c r="G73" s="361">
        <f t="shared" si="9"/>
        <v>1280</v>
      </c>
      <c r="H73" s="361">
        <f t="shared" si="9"/>
        <v>1600</v>
      </c>
      <c r="I73" s="361">
        <f t="shared" si="9"/>
        <v>1920</v>
      </c>
      <c r="J73" s="361">
        <f t="shared" si="9"/>
        <v>2240</v>
      </c>
      <c r="K73" s="361">
        <f t="shared" si="9"/>
        <v>2560</v>
      </c>
      <c r="L73" s="361">
        <f t="shared" si="9"/>
        <v>2880</v>
      </c>
      <c r="M73" s="361">
        <f t="shared" si="9"/>
        <v>3200</v>
      </c>
    </row>
    <row r="74" spans="2:13">
      <c r="B74" s="470" t="str">
        <f t="shared" ref="B74:B85" si="10">+B42</f>
        <v>CAMAS DE DOS PLAZA</v>
      </c>
      <c r="C74" s="470"/>
      <c r="D74" s="361">
        <f t="shared" ref="D74:D88" si="11">+F42</f>
        <v>269.26799999999997</v>
      </c>
      <c r="E74" s="361">
        <f>+D74+$F$42</f>
        <v>538.53599999999994</v>
      </c>
      <c r="F74" s="361">
        <f t="shared" ref="F74:M74" si="12">+E74+$F$42</f>
        <v>807.80399999999986</v>
      </c>
      <c r="G74" s="361">
        <f t="shared" si="12"/>
        <v>1077.0719999999999</v>
      </c>
      <c r="H74" s="361">
        <f t="shared" si="12"/>
        <v>1346.34</v>
      </c>
      <c r="I74" s="361">
        <f t="shared" si="12"/>
        <v>1615.6079999999999</v>
      </c>
      <c r="J74" s="361">
        <f t="shared" si="12"/>
        <v>1884.876</v>
      </c>
      <c r="K74" s="361">
        <f t="shared" si="12"/>
        <v>2154.1439999999998</v>
      </c>
      <c r="L74" s="361">
        <f t="shared" si="12"/>
        <v>2423.4119999999998</v>
      </c>
      <c r="M74" s="361">
        <f t="shared" si="12"/>
        <v>2692.68</v>
      </c>
    </row>
    <row r="75" spans="2:13">
      <c r="B75" s="470" t="str">
        <f t="shared" si="10"/>
        <v>SOFAS</v>
      </c>
      <c r="C75" s="470"/>
      <c r="D75" s="361">
        <f t="shared" si="11"/>
        <v>65.8</v>
      </c>
      <c r="E75" s="361">
        <f>+D75+$F$43</f>
        <v>131.6</v>
      </c>
      <c r="F75" s="361">
        <f t="shared" ref="F75:M75" si="13">+E75+$F$43</f>
        <v>197.39999999999998</v>
      </c>
      <c r="G75" s="361">
        <f t="shared" si="13"/>
        <v>263.2</v>
      </c>
      <c r="H75" s="361">
        <f t="shared" si="13"/>
        <v>329</v>
      </c>
      <c r="I75" s="361">
        <f t="shared" si="13"/>
        <v>394.8</v>
      </c>
      <c r="J75" s="361">
        <f t="shared" si="13"/>
        <v>460.6</v>
      </c>
      <c r="K75" s="361">
        <f t="shared" si="13"/>
        <v>526.4</v>
      </c>
      <c r="L75" s="361">
        <f t="shared" si="13"/>
        <v>592.19999999999993</v>
      </c>
      <c r="M75" s="361">
        <f t="shared" si="13"/>
        <v>657.99999999999989</v>
      </c>
    </row>
    <row r="76" spans="2:13">
      <c r="B76" s="470" t="str">
        <f t="shared" si="10"/>
        <v>ASPIRADORA</v>
      </c>
      <c r="C76" s="470"/>
      <c r="D76" s="361">
        <f t="shared" si="11"/>
        <v>10.600000000000001</v>
      </c>
      <c r="E76" s="361">
        <f>+D76+$F$44</f>
        <v>21.200000000000003</v>
      </c>
      <c r="F76" s="361">
        <f t="shared" ref="F76:M76" si="14">+E76+$F$44</f>
        <v>31.800000000000004</v>
      </c>
      <c r="G76" s="361">
        <f t="shared" si="14"/>
        <v>42.400000000000006</v>
      </c>
      <c r="H76" s="361">
        <f t="shared" si="14"/>
        <v>53.000000000000007</v>
      </c>
      <c r="I76" s="361">
        <f t="shared" si="14"/>
        <v>63.600000000000009</v>
      </c>
      <c r="J76" s="361">
        <f t="shared" si="14"/>
        <v>74.200000000000017</v>
      </c>
      <c r="K76" s="361">
        <f t="shared" si="14"/>
        <v>84.800000000000011</v>
      </c>
      <c r="L76" s="361">
        <f t="shared" si="14"/>
        <v>95.4</v>
      </c>
      <c r="M76" s="361">
        <f t="shared" si="14"/>
        <v>106</v>
      </c>
    </row>
    <row r="77" spans="2:13">
      <c r="B77" s="470" t="str">
        <f t="shared" si="10"/>
        <v>TELEVISORES</v>
      </c>
      <c r="C77" s="470"/>
      <c r="D77" s="361">
        <f t="shared" si="11"/>
        <v>443.52</v>
      </c>
      <c r="E77" s="361">
        <f>+D77+$F$45</f>
        <v>887.04</v>
      </c>
      <c r="F77" s="361">
        <f t="shared" ref="F77:M77" si="15">+E77+$F$45</f>
        <v>1330.56</v>
      </c>
      <c r="G77" s="361">
        <f t="shared" si="15"/>
        <v>1774.08</v>
      </c>
      <c r="H77" s="361">
        <f t="shared" si="15"/>
        <v>2217.6</v>
      </c>
      <c r="I77" s="361">
        <f t="shared" si="15"/>
        <v>2661.12</v>
      </c>
      <c r="J77" s="361">
        <f t="shared" si="15"/>
        <v>3104.64</v>
      </c>
      <c r="K77" s="361">
        <f t="shared" si="15"/>
        <v>3548.16</v>
      </c>
      <c r="L77" s="361">
        <f t="shared" si="15"/>
        <v>3991.68</v>
      </c>
      <c r="M77" s="361">
        <f t="shared" si="15"/>
        <v>4435.2</v>
      </c>
    </row>
    <row r="78" spans="2:13">
      <c r="B78" s="470" t="str">
        <f t="shared" si="10"/>
        <v>AIRES ACONDICIONADOS</v>
      </c>
      <c r="C78" s="470"/>
      <c r="D78" s="361">
        <f t="shared" si="11"/>
        <v>102</v>
      </c>
      <c r="E78" s="361">
        <f>+D78+$F$46</f>
        <v>204</v>
      </c>
      <c r="F78" s="361">
        <f t="shared" ref="F78:M78" si="16">+E78+$F$46</f>
        <v>306</v>
      </c>
      <c r="G78" s="361">
        <f t="shared" si="16"/>
        <v>408</v>
      </c>
      <c r="H78" s="361">
        <f t="shared" si="16"/>
        <v>510</v>
      </c>
      <c r="I78" s="361">
        <f t="shared" si="16"/>
        <v>612</v>
      </c>
      <c r="J78" s="361">
        <f t="shared" si="16"/>
        <v>714</v>
      </c>
      <c r="K78" s="361">
        <f t="shared" si="16"/>
        <v>816</v>
      </c>
      <c r="L78" s="361">
        <f t="shared" si="16"/>
        <v>918</v>
      </c>
      <c r="M78" s="361">
        <f t="shared" si="16"/>
        <v>1020</v>
      </c>
    </row>
    <row r="79" spans="2:13">
      <c r="B79" s="470" t="str">
        <f t="shared" si="10"/>
        <v>ROPEROS</v>
      </c>
      <c r="C79" s="470"/>
      <c r="D79" s="361">
        <f t="shared" si="11"/>
        <v>730.38000000000011</v>
      </c>
      <c r="E79" s="361">
        <f>+D79+$F$47</f>
        <v>1460.7600000000002</v>
      </c>
      <c r="F79" s="361">
        <f t="shared" ref="F79:M79" si="17">+E79+$F$47</f>
        <v>2191.1400000000003</v>
      </c>
      <c r="G79" s="361">
        <f t="shared" si="17"/>
        <v>2921.5200000000004</v>
      </c>
      <c r="H79" s="361">
        <f t="shared" si="17"/>
        <v>3651.9000000000005</v>
      </c>
      <c r="I79" s="361">
        <f t="shared" si="17"/>
        <v>4382.2800000000007</v>
      </c>
      <c r="J79" s="361">
        <f t="shared" si="17"/>
        <v>5112.6600000000008</v>
      </c>
      <c r="K79" s="361">
        <f t="shared" si="17"/>
        <v>5843.0400000000009</v>
      </c>
      <c r="L79" s="361">
        <f t="shared" si="17"/>
        <v>6573.420000000001</v>
      </c>
      <c r="M79" s="361">
        <f t="shared" si="17"/>
        <v>7303.8000000000011</v>
      </c>
    </row>
    <row r="80" spans="2:13">
      <c r="B80" s="470" t="str">
        <f t="shared" si="10"/>
        <v>JUEGOS DE COMEDOR</v>
      </c>
      <c r="C80" s="470"/>
      <c r="D80" s="361">
        <f t="shared" si="11"/>
        <v>459.5</v>
      </c>
      <c r="E80" s="361">
        <f>+D80+$F$48</f>
        <v>919</v>
      </c>
      <c r="F80" s="361">
        <f t="shared" ref="F80:M80" si="18">+E80+$F$48</f>
        <v>1378.5</v>
      </c>
      <c r="G80" s="361">
        <f t="shared" si="18"/>
        <v>1838</v>
      </c>
      <c r="H80" s="361">
        <f t="shared" si="18"/>
        <v>2297.5</v>
      </c>
      <c r="I80" s="361">
        <f t="shared" si="18"/>
        <v>2757</v>
      </c>
      <c r="J80" s="361">
        <f t="shared" si="18"/>
        <v>3216.5</v>
      </c>
      <c r="K80" s="361">
        <f t="shared" si="18"/>
        <v>3676</v>
      </c>
      <c r="L80" s="361">
        <f t="shared" si="18"/>
        <v>4135.5</v>
      </c>
      <c r="M80" s="361">
        <f t="shared" si="18"/>
        <v>4595</v>
      </c>
    </row>
    <row r="81" spans="2:13">
      <c r="B81" s="470" t="str">
        <f t="shared" si="10"/>
        <v>DISPENSADOR DE AGUA</v>
      </c>
      <c r="C81" s="470"/>
      <c r="D81" s="361">
        <f t="shared" si="11"/>
        <v>80.408999999999992</v>
      </c>
      <c r="E81" s="361">
        <f>+D81+$F$49</f>
        <v>160.81799999999998</v>
      </c>
      <c r="F81" s="361">
        <f t="shared" ref="F81:M81" si="19">+E81+$F$49</f>
        <v>241.22699999999998</v>
      </c>
      <c r="G81" s="361">
        <f t="shared" si="19"/>
        <v>321.63599999999997</v>
      </c>
      <c r="H81" s="361">
        <f t="shared" si="19"/>
        <v>402.04499999999996</v>
      </c>
      <c r="I81" s="361">
        <f t="shared" si="19"/>
        <v>482.45399999999995</v>
      </c>
      <c r="J81" s="361">
        <f t="shared" si="19"/>
        <v>562.86299999999994</v>
      </c>
      <c r="K81" s="361">
        <f t="shared" si="19"/>
        <v>643.27199999999993</v>
      </c>
      <c r="L81" s="361">
        <f t="shared" si="19"/>
        <v>723.68099999999993</v>
      </c>
      <c r="M81" s="361">
        <f t="shared" si="19"/>
        <v>804.08999999999992</v>
      </c>
    </row>
    <row r="82" spans="2:13">
      <c r="B82" s="470" t="str">
        <f t="shared" si="10"/>
        <v>REFRIGERADORA</v>
      </c>
      <c r="C82" s="470"/>
      <c r="D82" s="361">
        <f t="shared" si="11"/>
        <v>171.53200000000001</v>
      </c>
      <c r="E82" s="361">
        <f>+D82+$F$50</f>
        <v>343.06400000000002</v>
      </c>
      <c r="F82" s="361">
        <f t="shared" ref="F82:M82" si="20">+E82+$F$50</f>
        <v>514.596</v>
      </c>
      <c r="G82" s="361">
        <f t="shared" si="20"/>
        <v>686.12800000000004</v>
      </c>
      <c r="H82" s="361">
        <f t="shared" si="20"/>
        <v>857.66000000000008</v>
      </c>
      <c r="I82" s="361">
        <f t="shared" si="20"/>
        <v>1029.192</v>
      </c>
      <c r="J82" s="361">
        <f t="shared" si="20"/>
        <v>1200.7239999999999</v>
      </c>
      <c r="K82" s="361">
        <f t="shared" si="20"/>
        <v>1372.2559999999999</v>
      </c>
      <c r="L82" s="361">
        <f t="shared" si="20"/>
        <v>1543.7879999999998</v>
      </c>
      <c r="M82" s="361">
        <f t="shared" si="20"/>
        <v>1715.3199999999997</v>
      </c>
    </row>
    <row r="83" spans="2:13">
      <c r="B83" s="470" t="str">
        <f t="shared" si="10"/>
        <v>OLLA ARROCERA</v>
      </c>
      <c r="C83" s="470"/>
      <c r="D83" s="361">
        <f t="shared" si="11"/>
        <v>5.1880000000000006</v>
      </c>
      <c r="E83" s="361">
        <f>+D83+$F$51</f>
        <v>10.376000000000001</v>
      </c>
      <c r="F83" s="361">
        <f t="shared" ref="F83:M83" si="21">+E83+$F$51</f>
        <v>15.564000000000002</v>
      </c>
      <c r="G83" s="361">
        <f t="shared" si="21"/>
        <v>20.752000000000002</v>
      </c>
      <c r="H83" s="361">
        <f t="shared" si="21"/>
        <v>25.940000000000005</v>
      </c>
      <c r="I83" s="361">
        <f t="shared" si="21"/>
        <v>31.128000000000007</v>
      </c>
      <c r="J83" s="361">
        <f t="shared" si="21"/>
        <v>36.31600000000001</v>
      </c>
      <c r="K83" s="361">
        <f t="shared" si="21"/>
        <v>41.504000000000012</v>
      </c>
      <c r="L83" s="361">
        <f t="shared" si="21"/>
        <v>46.692000000000014</v>
      </c>
      <c r="M83" s="361">
        <f t="shared" si="21"/>
        <v>51.880000000000017</v>
      </c>
    </row>
    <row r="84" spans="2:13">
      <c r="B84" s="470" t="str">
        <f t="shared" si="10"/>
        <v>COCINA</v>
      </c>
      <c r="C84" s="470"/>
      <c r="D84" s="361">
        <f t="shared" si="11"/>
        <v>57.225000000000001</v>
      </c>
      <c r="E84" s="361">
        <f>+D84+$F$52</f>
        <v>114.45</v>
      </c>
      <c r="F84" s="361">
        <f t="shared" ref="F84:M84" si="22">+E84+$F$52</f>
        <v>171.67500000000001</v>
      </c>
      <c r="G84" s="361">
        <f t="shared" si="22"/>
        <v>228.9</v>
      </c>
      <c r="H84" s="361">
        <f t="shared" si="22"/>
        <v>286.125</v>
      </c>
      <c r="I84" s="361">
        <f t="shared" si="22"/>
        <v>343.35</v>
      </c>
      <c r="J84" s="361">
        <f t="shared" si="22"/>
        <v>400.57500000000005</v>
      </c>
      <c r="K84" s="361">
        <f t="shared" si="22"/>
        <v>457.80000000000007</v>
      </c>
      <c r="L84" s="361">
        <f t="shared" si="22"/>
        <v>515.02500000000009</v>
      </c>
      <c r="M84" s="361">
        <f t="shared" si="22"/>
        <v>572.25000000000011</v>
      </c>
    </row>
    <row r="85" spans="2:13">
      <c r="B85" s="470" t="str">
        <f t="shared" si="10"/>
        <v>LAVADORA</v>
      </c>
      <c r="C85" s="470"/>
      <c r="D85" s="361">
        <f t="shared" si="11"/>
        <v>75.411000000000001</v>
      </c>
      <c r="E85" s="361">
        <f>+D85+$F$53</f>
        <v>150.822</v>
      </c>
      <c r="F85" s="361">
        <f t="shared" ref="F85:M85" si="23">+E85+$F$53</f>
        <v>226.233</v>
      </c>
      <c r="G85" s="361">
        <f t="shared" si="23"/>
        <v>301.64400000000001</v>
      </c>
      <c r="H85" s="361">
        <f t="shared" si="23"/>
        <v>377.05500000000001</v>
      </c>
      <c r="I85" s="361">
        <f t="shared" si="23"/>
        <v>452.46600000000001</v>
      </c>
      <c r="J85" s="361">
        <f t="shared" si="23"/>
        <v>527.87699999999995</v>
      </c>
      <c r="K85" s="361">
        <f t="shared" si="23"/>
        <v>603.28800000000001</v>
      </c>
      <c r="L85" s="361">
        <f t="shared" si="23"/>
        <v>678.69900000000007</v>
      </c>
      <c r="M85" s="361">
        <f t="shared" si="23"/>
        <v>754.11000000000013</v>
      </c>
    </row>
    <row r="86" spans="2:13">
      <c r="B86" s="463" t="str">
        <f>+B54</f>
        <v>SECADORA</v>
      </c>
      <c r="C86" s="463"/>
      <c r="D86" s="361">
        <f t="shared" si="11"/>
        <v>210.73500000000004</v>
      </c>
      <c r="E86" s="361">
        <f>+D86+$F$54</f>
        <v>421.47000000000008</v>
      </c>
      <c r="F86" s="361">
        <f t="shared" ref="F86:M86" si="24">+E86+$F$54</f>
        <v>632.20500000000015</v>
      </c>
      <c r="G86" s="361">
        <f t="shared" si="24"/>
        <v>842.94000000000017</v>
      </c>
      <c r="H86" s="361">
        <f t="shared" si="24"/>
        <v>1053.6750000000002</v>
      </c>
      <c r="I86" s="361">
        <f t="shared" si="24"/>
        <v>1264.4100000000003</v>
      </c>
      <c r="J86" s="361">
        <f t="shared" si="24"/>
        <v>1475.1450000000004</v>
      </c>
      <c r="K86" s="361">
        <f t="shared" si="24"/>
        <v>1685.8800000000006</v>
      </c>
      <c r="L86" s="361">
        <f t="shared" si="24"/>
        <v>1896.6150000000007</v>
      </c>
      <c r="M86" s="361">
        <f t="shared" si="24"/>
        <v>2107.3500000000008</v>
      </c>
    </row>
    <row r="87" spans="2:13">
      <c r="B87" s="463" t="str">
        <f>+B55</f>
        <v>TOSTADORA</v>
      </c>
      <c r="C87" s="463"/>
      <c r="D87" s="361">
        <f t="shared" si="11"/>
        <v>1.92</v>
      </c>
      <c r="E87" s="361">
        <f>+D87+$F$55</f>
        <v>3.84</v>
      </c>
      <c r="F87" s="361">
        <f t="shared" ref="F87:M87" si="25">+E87+$F$55</f>
        <v>5.76</v>
      </c>
      <c r="G87" s="361">
        <f t="shared" si="25"/>
        <v>7.68</v>
      </c>
      <c r="H87" s="361">
        <f t="shared" si="25"/>
        <v>9.6</v>
      </c>
      <c r="I87" s="361">
        <f t="shared" si="25"/>
        <v>11.52</v>
      </c>
      <c r="J87" s="361">
        <f t="shared" si="25"/>
        <v>13.44</v>
      </c>
      <c r="K87" s="361">
        <f t="shared" si="25"/>
        <v>15.36</v>
      </c>
      <c r="L87" s="361">
        <f t="shared" si="25"/>
        <v>17.28</v>
      </c>
      <c r="M87" s="361">
        <f t="shared" si="25"/>
        <v>19.200000000000003</v>
      </c>
    </row>
    <row r="88" spans="2:13">
      <c r="B88" s="463" t="str">
        <f>+B56</f>
        <v>MICROONDAS</v>
      </c>
      <c r="C88" s="463"/>
      <c r="D88" s="361">
        <f t="shared" si="11"/>
        <v>29</v>
      </c>
      <c r="E88" s="361">
        <f>+D88+$F$56</f>
        <v>58</v>
      </c>
      <c r="F88" s="361">
        <f t="shared" ref="F88:M88" si="26">+E88+$F$56</f>
        <v>87</v>
      </c>
      <c r="G88" s="361">
        <f t="shared" si="26"/>
        <v>116</v>
      </c>
      <c r="H88" s="361">
        <f t="shared" si="26"/>
        <v>145</v>
      </c>
      <c r="I88" s="361">
        <f t="shared" si="26"/>
        <v>174</v>
      </c>
      <c r="J88" s="361">
        <f t="shared" si="26"/>
        <v>203</v>
      </c>
      <c r="K88" s="361">
        <f t="shared" si="26"/>
        <v>232</v>
      </c>
      <c r="L88" s="361">
        <f t="shared" si="26"/>
        <v>261</v>
      </c>
      <c r="M88" s="361">
        <f t="shared" si="26"/>
        <v>290</v>
      </c>
    </row>
    <row r="89" spans="2:13">
      <c r="B89" s="441" t="s">
        <v>8</v>
      </c>
      <c r="C89" s="441"/>
      <c r="D89" s="361">
        <f>SUM(D73:D88)</f>
        <v>3032.4880000000007</v>
      </c>
      <c r="E89" s="361">
        <f t="shared" ref="E89:M89" si="27">SUM(E73:E88)</f>
        <v>6064.9760000000015</v>
      </c>
      <c r="F89" s="361">
        <f t="shared" si="27"/>
        <v>9097.4639999999999</v>
      </c>
      <c r="G89" s="361">
        <f t="shared" si="27"/>
        <v>12129.952000000003</v>
      </c>
      <c r="H89" s="361">
        <f t="shared" si="27"/>
        <v>15162.44</v>
      </c>
      <c r="I89" s="361">
        <f t="shared" si="27"/>
        <v>18194.928</v>
      </c>
      <c r="J89" s="361">
        <f t="shared" si="27"/>
        <v>21227.416000000001</v>
      </c>
      <c r="K89" s="361">
        <f t="shared" si="27"/>
        <v>24259.904000000006</v>
      </c>
      <c r="L89" s="361">
        <f t="shared" si="27"/>
        <v>27292.392000000003</v>
      </c>
      <c r="M89" s="361">
        <f t="shared" si="27"/>
        <v>30324.880000000005</v>
      </c>
    </row>
  </sheetData>
  <mergeCells count="87">
    <mergeCell ref="B87:C87"/>
    <mergeCell ref="B88:C88"/>
    <mergeCell ref="B89:C89"/>
    <mergeCell ref="B84:C84"/>
    <mergeCell ref="B85:C85"/>
    <mergeCell ref="B86:C86"/>
    <mergeCell ref="B80:C80"/>
    <mergeCell ref="B81:C81"/>
    <mergeCell ref="B82:C82"/>
    <mergeCell ref="B83:C83"/>
    <mergeCell ref="B76:C76"/>
    <mergeCell ref="B77:C77"/>
    <mergeCell ref="B78:C78"/>
    <mergeCell ref="B79:C79"/>
    <mergeCell ref="B53:C53"/>
    <mergeCell ref="B54:C54"/>
    <mergeCell ref="B74:C74"/>
    <mergeCell ref="B75:C75"/>
    <mergeCell ref="B71:C71"/>
    <mergeCell ref="B72:C72"/>
    <mergeCell ref="B73:C73"/>
    <mergeCell ref="B57:E57"/>
    <mergeCell ref="B66:C66"/>
    <mergeCell ref="B67:C67"/>
    <mergeCell ref="B49:C49"/>
    <mergeCell ref="B50:C50"/>
    <mergeCell ref="B51:C51"/>
    <mergeCell ref="B52:C52"/>
    <mergeCell ref="B45:C45"/>
    <mergeCell ref="B46:C46"/>
    <mergeCell ref="B47:C47"/>
    <mergeCell ref="B48:C48"/>
    <mergeCell ref="B44:C44"/>
    <mergeCell ref="B24:C24"/>
    <mergeCell ref="B25:C25"/>
    <mergeCell ref="B26:C26"/>
    <mergeCell ref="B27:C27"/>
    <mergeCell ref="B40:C40"/>
    <mergeCell ref="B32:C32"/>
    <mergeCell ref="B16:C16"/>
    <mergeCell ref="B17:C17"/>
    <mergeCell ref="B18:C18"/>
    <mergeCell ref="B41:C41"/>
    <mergeCell ref="B42:C42"/>
    <mergeCell ref="B43:C43"/>
    <mergeCell ref="B13:C13"/>
    <mergeCell ref="E30:F30"/>
    <mergeCell ref="B28:E28"/>
    <mergeCell ref="B20:C20"/>
    <mergeCell ref="B23:C23"/>
    <mergeCell ref="B21:C21"/>
    <mergeCell ref="B22:C22"/>
    <mergeCell ref="B14:C14"/>
    <mergeCell ref="B19:C19"/>
    <mergeCell ref="B15:C15"/>
    <mergeCell ref="B10:C10"/>
    <mergeCell ref="B6:C6"/>
    <mergeCell ref="B7:C7"/>
    <mergeCell ref="B8:C8"/>
    <mergeCell ref="B9:C9"/>
    <mergeCell ref="B12:C12"/>
    <mergeCell ref="B2:H2"/>
    <mergeCell ref="B56:C56"/>
    <mergeCell ref="B31:C31"/>
    <mergeCell ref="B36:C36"/>
    <mergeCell ref="B37:C37"/>
    <mergeCell ref="B38:C38"/>
    <mergeCell ref="B3:C3"/>
    <mergeCell ref="B4:C4"/>
    <mergeCell ref="B5:C5"/>
    <mergeCell ref="B11:C11"/>
    <mergeCell ref="B70:C70"/>
    <mergeCell ref="B68:C68"/>
    <mergeCell ref="B60:C60"/>
    <mergeCell ref="B65:C65"/>
    <mergeCell ref="B61:C61"/>
    <mergeCell ref="B62:C62"/>
    <mergeCell ref="B63:C63"/>
    <mergeCell ref="B64:C64"/>
    <mergeCell ref="B39:C39"/>
    <mergeCell ref="B55:C55"/>
    <mergeCell ref="G30:H30"/>
    <mergeCell ref="B69:C69"/>
    <mergeCell ref="B33:C33"/>
    <mergeCell ref="B34:C34"/>
    <mergeCell ref="B35:C35"/>
    <mergeCell ref="B59:M59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topLeftCell="A22" workbookViewId="0">
      <selection activeCell="A27" sqref="A27"/>
    </sheetView>
  </sheetViews>
  <sheetFormatPr baseColWidth="10" defaultRowHeight="18.75"/>
  <cols>
    <col min="1" max="1" width="21.09765625" customWidth="1"/>
    <col min="2" max="2" width="15.5" customWidth="1"/>
    <col min="4" max="4" width="18.8984375" bestFit="1" customWidth="1"/>
  </cols>
  <sheetData>
    <row r="1" spans="1:7">
      <c r="A1" t="s">
        <v>97</v>
      </c>
    </row>
    <row r="2" spans="1:7">
      <c r="A2" s="26" t="s">
        <v>72</v>
      </c>
    </row>
    <row r="3" spans="1:7">
      <c r="A3" t="s">
        <v>70</v>
      </c>
      <c r="B3" s="2">
        <v>30</v>
      </c>
      <c r="C3" t="s">
        <v>71</v>
      </c>
      <c r="D3" t="s">
        <v>100</v>
      </c>
    </row>
    <row r="4" spans="1:7">
      <c r="A4" t="s">
        <v>75</v>
      </c>
      <c r="B4" s="27">
        <f>+'Estado Pèrdidas Y Ganacias'!C9+'Estado Pèrdidas Y Ganacias'!C10+'Estado Pèrdidas Y Ganacias'!C14</f>
        <v>48394.2</v>
      </c>
    </row>
    <row r="5" spans="1:7">
      <c r="A5" t="s">
        <v>76</v>
      </c>
      <c r="B5" s="27">
        <f>+(B4/365)*B3</f>
        <v>3977.6054794520546</v>
      </c>
    </row>
    <row r="12" spans="1:7" ht="19.5" thickBot="1"/>
    <row r="13" spans="1:7" ht="79.5" customHeight="1" thickBot="1">
      <c r="A13" s="474" t="s">
        <v>74</v>
      </c>
      <c r="B13" s="475"/>
      <c r="C13" s="475"/>
      <c r="D13" s="475"/>
      <c r="E13" s="475"/>
      <c r="F13" s="475"/>
      <c r="G13" s="476"/>
    </row>
    <row r="14" spans="1:7" ht="19.5" thickBot="1"/>
    <row r="15" spans="1:7" ht="64.5" customHeight="1" thickBot="1">
      <c r="A15" s="477" t="s">
        <v>73</v>
      </c>
      <c r="B15" s="475"/>
      <c r="C15" s="475"/>
      <c r="D15" s="475"/>
      <c r="E15" s="475"/>
      <c r="F15" s="475"/>
      <c r="G15" s="476"/>
    </row>
    <row r="17" spans="1:2">
      <c r="A17" t="s">
        <v>98</v>
      </c>
    </row>
    <row r="18" spans="1:2">
      <c r="A18" t="s">
        <v>70</v>
      </c>
      <c r="B18">
        <v>30</v>
      </c>
    </row>
    <row r="19" spans="1:2">
      <c r="A19" t="s">
        <v>75</v>
      </c>
      <c r="B19" s="210">
        <f>+'Estado Pèrdidas Y Ganacias'!D9+'Estado Pèrdidas Y Ganacias'!D10+'Estado Pèrdidas Y Ganacias'!D14</f>
        <v>51677.819820000004</v>
      </c>
    </row>
    <row r="20" spans="1:2">
      <c r="A20" t="s">
        <v>76</v>
      </c>
      <c r="B20" s="266">
        <f>+(B19/365)*B18</f>
        <v>4247.492040000001</v>
      </c>
    </row>
  </sheetData>
  <mergeCells count="2">
    <mergeCell ref="A13:G13"/>
    <mergeCell ref="A15:G15"/>
  </mergeCells>
  <phoneticPr fontId="15" type="noConversion"/>
  <pageMargins left="0.75" right="0.75" top="1" bottom="1" header="0" footer="0"/>
  <pageSetup paperSize="9" orientation="portrait" horizontalDpi="300" verticalDpi="300" r:id="rId1"/>
  <headerFooter alignWithMargins="0"/>
  <legacyDrawing r:id="rId2"/>
  <oleObjects>
    <oleObject progId="Equation.3" shapeId="102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topLeftCell="A4" workbookViewId="0">
      <selection activeCell="E21" sqref="E21"/>
    </sheetView>
  </sheetViews>
  <sheetFormatPr baseColWidth="10" defaultRowHeight="18.75"/>
  <cols>
    <col min="1" max="1" width="18.09765625" customWidth="1"/>
    <col min="2" max="2" width="8.296875" customWidth="1"/>
  </cols>
  <sheetData>
    <row r="1" spans="1:5" ht="13.5" customHeight="1">
      <c r="A1" s="12" t="s">
        <v>37</v>
      </c>
      <c r="B1" s="12" t="s">
        <v>38</v>
      </c>
    </row>
    <row r="2" spans="1:5" ht="14.25" customHeight="1">
      <c r="A2" s="83" t="s">
        <v>208</v>
      </c>
      <c r="B2" s="287">
        <v>23000</v>
      </c>
    </row>
    <row r="3" spans="1:5" ht="14.25" customHeight="1">
      <c r="A3" s="84" t="s">
        <v>209</v>
      </c>
      <c r="B3" s="288">
        <v>1000</v>
      </c>
    </row>
    <row r="4" spans="1:5" ht="14.25" customHeight="1">
      <c r="A4" s="85" t="s">
        <v>210</v>
      </c>
      <c r="B4" s="289">
        <v>4500</v>
      </c>
    </row>
    <row r="5" spans="1:5" ht="14.25" customHeight="1">
      <c r="A5" s="367" t="s">
        <v>211</v>
      </c>
      <c r="B5" s="368">
        <v>201284</v>
      </c>
      <c r="C5" s="49"/>
      <c r="D5" s="11">
        <f>+B6/5</f>
        <v>45956.800000000003</v>
      </c>
      <c r="E5" s="50"/>
    </row>
    <row r="6" spans="1:5" ht="14.25" customHeight="1">
      <c r="A6" s="12" t="s">
        <v>8</v>
      </c>
      <c r="B6" s="290">
        <f>SUM(B2:B5)</f>
        <v>229784</v>
      </c>
      <c r="C6" s="279"/>
      <c r="D6" s="279"/>
    </row>
    <row r="7" spans="1:5">
      <c r="C7" s="478"/>
      <c r="D7" s="281"/>
    </row>
    <row r="8" spans="1:5">
      <c r="C8" s="478"/>
      <c r="D8" s="282"/>
    </row>
    <row r="9" spans="1:5">
      <c r="C9" s="280"/>
      <c r="D9" s="282"/>
    </row>
    <row r="10" spans="1:5" ht="25.5" customHeight="1">
      <c r="C10" s="478"/>
      <c r="D10" s="283"/>
    </row>
    <row r="11" spans="1:5">
      <c r="C11" s="478"/>
      <c r="D11" s="284"/>
    </row>
    <row r="12" spans="1:5">
      <c r="C12" s="285"/>
      <c r="D12" s="286"/>
    </row>
    <row r="13" spans="1:5">
      <c r="C13" s="30"/>
      <c r="D13" s="30"/>
    </row>
  </sheetData>
  <mergeCells count="2">
    <mergeCell ref="C7:C8"/>
    <mergeCell ref="C10:C1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FLUJO DE CAJA 1</vt:lpstr>
      <vt:lpstr>Estado de Situacion Inicial</vt:lpstr>
      <vt:lpstr>balance general</vt:lpstr>
      <vt:lpstr>RATIOS</vt:lpstr>
      <vt:lpstr>ALT DE INVERSION</vt:lpstr>
      <vt:lpstr>Estado Pèrdidas Y Ganacias</vt:lpstr>
      <vt:lpstr>Equipo de Oficina, computacion </vt:lpstr>
      <vt:lpstr>CAPITAL DE TRABJO</vt:lpstr>
      <vt:lpstr>Gastos De Constitucion</vt:lpstr>
      <vt:lpstr>Datos</vt:lpstr>
      <vt:lpstr>PRECIOS </vt:lpstr>
      <vt:lpstr>FLUJO DE CAJA</vt:lpstr>
      <vt:lpstr>Gastos de Administracion</vt:lpstr>
      <vt:lpstr>Gastos de Sueldos</vt:lpstr>
      <vt:lpstr>PTO DE EQUILIBRIO</vt:lpstr>
      <vt:lpstr>payback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</dc:creator>
  <cp:lastModifiedBy>Fabricio</cp:lastModifiedBy>
  <cp:lastPrinted>2009-02-13T14:53:09Z</cp:lastPrinted>
  <dcterms:created xsi:type="dcterms:W3CDTF">2009-01-19T18:07:00Z</dcterms:created>
  <dcterms:modified xsi:type="dcterms:W3CDTF">2009-09-23T03:06:30Z</dcterms:modified>
</cp:coreProperties>
</file>