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5480" windowHeight="8145" tabRatio="870"/>
  </bookViews>
  <sheets>
    <sheet name="DEMANDA COLEGIAL" sheetId="29" r:id="rId1"/>
    <sheet name="DEMANDA UNI Y PRE" sheetId="28" r:id="rId2"/>
    <sheet name="Localizacion" sheetId="27" r:id="rId3"/>
    <sheet name="Balance de Obras Fisicas" sheetId="26" r:id="rId4"/>
    <sheet name="Balance Personal" sheetId="25" r:id="rId5"/>
    <sheet name="Calculo Sueldo Profesores" sheetId="2" r:id="rId6"/>
    <sheet name="Balance Maquinaria" sheetId="24" r:id="rId7"/>
    <sheet name="Reinversion" sheetId="23" r:id="rId8"/>
    <sheet name="Determinación del tamaño" sheetId="20" r:id="rId9"/>
    <sheet name="Ingresos" sheetId="12" r:id="rId10"/>
    <sheet name="Costos Fijos Administrativos" sheetId="14" r:id="rId11"/>
    <sheet name="Otros Costos Fijos" sheetId="15" r:id="rId12"/>
    <sheet name="Calculo No. aulas" sheetId="1" r:id="rId13"/>
    <sheet name="Costos Variables" sheetId="3" r:id="rId14"/>
    <sheet name="Capital de Trabajo" sheetId="13" r:id="rId15"/>
    <sheet name="Flujo de Caja" sheetId="16" r:id="rId16"/>
    <sheet name="Valor de desecho e I.I." sheetId="17" r:id="rId17"/>
    <sheet name="Prestamo" sheetId="18" r:id="rId18"/>
    <sheet name="Payback" sheetId="19" r:id="rId19"/>
    <sheet name="CB_DATA_" sheetId="22" state="veryHidden" r:id="rId20"/>
    <sheet name="SENSIBILIDAD" sheetId="21" r:id="rId21"/>
    <sheet name="Crystal Ball" sheetId="30" r:id="rId22"/>
  </sheets>
  <externalReferences>
    <externalReference r:id="rId23"/>
    <externalReference r:id="rId24"/>
  </externalReferences>
  <definedNames>
    <definedName name="CB_1051fcf699d542ab8a593785f9ba976d" localSheetId="20" hidden="1">SENSIBILIDAD!$C$50</definedName>
    <definedName name="CB_ce49542be2a84cfcafbf41c0fb9beb97" localSheetId="20" hidden="1">SENSIBILIDAD!$C$39</definedName>
    <definedName name="CB_fc51a2018ec14278adc4708d3a68735f" localSheetId="20" hidden="1">SENSIBILIDAD!$B$4</definedName>
    <definedName name="CBWorkbookPriority" hidden="1">-976737257</definedName>
    <definedName name="CBx_e6930bf2a32947e1aafe1e46ef5be57f" localSheetId="19" hidden="1">"'Hoja1'!$A$1"</definedName>
    <definedName name="CBx_eb442adc697d49a5b55544a547650b7e" localSheetId="19" hidden="1">"'CB_DATA_'!$A$1"</definedName>
    <definedName name="CBx_Sheet_Guid" localSheetId="19" hidden="1">"'eb442adc-697d-49a5-b555-44a547650b7e"</definedName>
    <definedName name="CBx_Sheet_Guid" localSheetId="20" hidden="1">"'e6930bf2-a329-47e1-aafe-1e46ef5be57f"</definedName>
    <definedName name="CBx_StorageType" localSheetId="19" hidden="1">1</definedName>
    <definedName name="CBx_StorageType" localSheetId="20" hidden="1">1</definedName>
    <definedName name="cm">[2]CB!$B$9</definedName>
    <definedName name="i">SENSIBILIDAD!$B$4</definedName>
    <definedName name="np">[2]CB!$B$6</definedName>
    <definedName name="p">[2]CB!$B$7</definedName>
    <definedName name="pa">[2]CB!$B$8</definedName>
    <definedName name="tn">[2]CB!$B$5</definedName>
  </definedNames>
  <calcPr calcId="124519"/>
</workbook>
</file>

<file path=xl/calcChain.xml><?xml version="1.0" encoding="utf-8"?>
<calcChain xmlns="http://schemas.openxmlformats.org/spreadsheetml/2006/main">
  <c r="B21" i="29"/>
  <c r="C21"/>
  <c r="E4"/>
  <c r="F4"/>
  <c r="E26" i="25"/>
  <c r="E27"/>
  <c r="E25"/>
  <c r="E43"/>
  <c r="F43"/>
  <c r="E42"/>
  <c r="F42"/>
  <c r="E41"/>
  <c r="F41"/>
  <c r="E40"/>
  <c r="F40"/>
  <c r="F44"/>
  <c r="Q34" i="28"/>
  <c r="Q35"/>
  <c r="O42"/>
  <c r="Q31"/>
  <c r="Q32"/>
  <c r="R33"/>
  <c r="R30"/>
  <c r="V26"/>
  <c r="U26"/>
  <c r="T26"/>
  <c r="S26"/>
  <c r="R26"/>
  <c r="Q26"/>
  <c r="P26"/>
  <c r="O26"/>
  <c r="N26"/>
  <c r="W26"/>
  <c r="S36"/>
  <c r="I19" i="27"/>
  <c r="G19"/>
  <c r="E19"/>
  <c r="I18"/>
  <c r="G18"/>
  <c r="E18"/>
  <c r="I17"/>
  <c r="I20"/>
  <c r="G17"/>
  <c r="G20"/>
  <c r="E17"/>
  <c r="E20"/>
  <c r="E12" i="26"/>
  <c r="E11"/>
  <c r="E10"/>
  <c r="E9"/>
  <c r="E8"/>
  <c r="E7"/>
  <c r="E13"/>
  <c r="E23" i="25"/>
  <c r="E22"/>
  <c r="E21"/>
  <c r="E20"/>
  <c r="E28"/>
  <c r="E19"/>
  <c r="E17"/>
  <c r="E16"/>
  <c r="E15"/>
  <c r="E14"/>
  <c r="E13"/>
  <c r="E11"/>
  <c r="E10"/>
  <c r="E9"/>
  <c r="G21" i="24"/>
  <c r="E20"/>
  <c r="E19"/>
  <c r="E18"/>
  <c r="E17"/>
  <c r="E16"/>
  <c r="E15"/>
  <c r="E14"/>
  <c r="E13"/>
  <c r="E12"/>
  <c r="D11"/>
  <c r="E11"/>
  <c r="E10"/>
  <c r="E9"/>
  <c r="E8"/>
  <c r="E21"/>
  <c r="L21" i="23"/>
  <c r="K21"/>
  <c r="J21"/>
  <c r="I21"/>
  <c r="H21"/>
  <c r="G21"/>
  <c r="F21"/>
  <c r="E21"/>
  <c r="D21"/>
  <c r="C21"/>
  <c r="C30" i="21"/>
  <c r="C29"/>
  <c r="C28"/>
  <c r="C27"/>
  <c r="C26"/>
  <c r="C25"/>
  <c r="C24"/>
  <c r="C23"/>
  <c r="C22"/>
  <c r="C21"/>
  <c r="C15"/>
  <c r="C14"/>
  <c r="C13"/>
  <c r="C12"/>
  <c r="C11"/>
  <c r="C10"/>
  <c r="C9"/>
  <c r="C8"/>
  <c r="C7"/>
  <c r="C24" i="16"/>
  <c r="B23" i="17"/>
  <c r="C76" i="1"/>
  <c r="G84" i="12"/>
  <c r="S78" i="2"/>
  <c r="O78"/>
  <c r="N78"/>
  <c r="C2"/>
  <c r="E39"/>
  <c r="D49"/>
  <c r="D16" i="17"/>
  <c r="F16"/>
  <c r="G16"/>
  <c r="H16"/>
  <c r="F20" i="14"/>
  <c r="F35"/>
  <c r="F80"/>
  <c r="F65"/>
  <c r="F50"/>
  <c r="J18" i="2"/>
  <c r="B11" i="13"/>
  <c r="M7" i="1"/>
  <c r="M9"/>
  <c r="N6"/>
  <c r="D81" i="20"/>
  <c r="D9" i="17"/>
  <c r="E69" i="20"/>
  <c r="E68"/>
  <c r="E142"/>
  <c r="E146"/>
  <c r="F41"/>
  <c r="F40"/>
  <c r="E30"/>
  <c r="F35"/>
  <c r="E29"/>
  <c r="F34"/>
  <c r="D19"/>
  <c r="D15"/>
  <c r="E81"/>
  <c r="F81"/>
  <c r="G81"/>
  <c r="H81"/>
  <c r="H27" i="16"/>
  <c r="D17" i="17"/>
  <c r="D15"/>
  <c r="F15"/>
  <c r="G15"/>
  <c r="H15"/>
  <c r="D14"/>
  <c r="D13"/>
  <c r="F13"/>
  <c r="G13"/>
  <c r="D12"/>
  <c r="D11"/>
  <c r="F11"/>
  <c r="G11"/>
  <c r="H11"/>
  <c r="D10"/>
  <c r="C8"/>
  <c r="D8"/>
  <c r="D7"/>
  <c r="D6"/>
  <c r="F6"/>
  <c r="G6"/>
  <c r="H6"/>
  <c r="D5"/>
  <c r="F5"/>
  <c r="B9" i="13"/>
  <c r="C28" i="12"/>
  <c r="I80" i="15"/>
  <c r="I81"/>
  <c r="I82"/>
  <c r="I83"/>
  <c r="I84"/>
  <c r="I85"/>
  <c r="I86"/>
  <c r="I87"/>
  <c r="I88"/>
  <c r="I89"/>
  <c r="I90"/>
  <c r="I91"/>
  <c r="H80"/>
  <c r="H81"/>
  <c r="H82"/>
  <c r="H83"/>
  <c r="H84"/>
  <c r="H85"/>
  <c r="H86"/>
  <c r="H87"/>
  <c r="H88"/>
  <c r="H89"/>
  <c r="H90"/>
  <c r="H91"/>
  <c r="G80"/>
  <c r="G81"/>
  <c r="G82"/>
  <c r="G83"/>
  <c r="G84"/>
  <c r="G85"/>
  <c r="G86"/>
  <c r="G87"/>
  <c r="G88"/>
  <c r="G89"/>
  <c r="G90"/>
  <c r="G91"/>
  <c r="D80"/>
  <c r="D81"/>
  <c r="D82"/>
  <c r="D83"/>
  <c r="D84"/>
  <c r="D85"/>
  <c r="D86"/>
  <c r="D87"/>
  <c r="D88"/>
  <c r="D89"/>
  <c r="D90"/>
  <c r="D91"/>
  <c r="C80"/>
  <c r="C81"/>
  <c r="C82"/>
  <c r="C83"/>
  <c r="C84"/>
  <c r="C85"/>
  <c r="C86"/>
  <c r="C87"/>
  <c r="C88"/>
  <c r="C89"/>
  <c r="C90"/>
  <c r="C91"/>
  <c r="B80"/>
  <c r="B81"/>
  <c r="I65"/>
  <c r="I66"/>
  <c r="I67"/>
  <c r="I68"/>
  <c r="I69"/>
  <c r="I70"/>
  <c r="I71"/>
  <c r="I72"/>
  <c r="I73"/>
  <c r="I74"/>
  <c r="I75"/>
  <c r="I76"/>
  <c r="H65"/>
  <c r="H66"/>
  <c r="H67"/>
  <c r="H68"/>
  <c r="H69"/>
  <c r="H70"/>
  <c r="H71"/>
  <c r="H72"/>
  <c r="H73"/>
  <c r="H74"/>
  <c r="H75"/>
  <c r="H76"/>
  <c r="G65"/>
  <c r="G66"/>
  <c r="G67"/>
  <c r="G68"/>
  <c r="G69"/>
  <c r="G70"/>
  <c r="G71"/>
  <c r="G72"/>
  <c r="G73"/>
  <c r="G74"/>
  <c r="G75"/>
  <c r="G76"/>
  <c r="D65"/>
  <c r="D66"/>
  <c r="D67"/>
  <c r="D68"/>
  <c r="D69"/>
  <c r="D70"/>
  <c r="D71"/>
  <c r="D72"/>
  <c r="D73"/>
  <c r="D74"/>
  <c r="D75"/>
  <c r="D76"/>
  <c r="C65"/>
  <c r="C66"/>
  <c r="C67"/>
  <c r="B65"/>
  <c r="I50"/>
  <c r="I51"/>
  <c r="I52"/>
  <c r="I53"/>
  <c r="I54"/>
  <c r="I55"/>
  <c r="I56"/>
  <c r="I57"/>
  <c r="I58"/>
  <c r="I59"/>
  <c r="I60"/>
  <c r="I61"/>
  <c r="H50"/>
  <c r="H51"/>
  <c r="H52"/>
  <c r="H53"/>
  <c r="H54"/>
  <c r="H55"/>
  <c r="H56"/>
  <c r="H57"/>
  <c r="H58"/>
  <c r="H59"/>
  <c r="H60"/>
  <c r="H61"/>
  <c r="G50"/>
  <c r="G51"/>
  <c r="G52"/>
  <c r="G53"/>
  <c r="G54"/>
  <c r="G55"/>
  <c r="G56"/>
  <c r="G57"/>
  <c r="G58"/>
  <c r="G59"/>
  <c r="G60"/>
  <c r="G61"/>
  <c r="D50"/>
  <c r="D51"/>
  <c r="D52"/>
  <c r="D53"/>
  <c r="D54"/>
  <c r="D55"/>
  <c r="D56"/>
  <c r="D57"/>
  <c r="D58"/>
  <c r="D59"/>
  <c r="D60"/>
  <c r="D61"/>
  <c r="C50"/>
  <c r="C51"/>
  <c r="B50"/>
  <c r="B51"/>
  <c r="B52"/>
  <c r="I35"/>
  <c r="I36"/>
  <c r="I37"/>
  <c r="I38"/>
  <c r="I39"/>
  <c r="I40"/>
  <c r="I41"/>
  <c r="I42"/>
  <c r="I43"/>
  <c r="I44"/>
  <c r="I45"/>
  <c r="I46"/>
  <c r="H35"/>
  <c r="H36"/>
  <c r="H37"/>
  <c r="H38"/>
  <c r="H39"/>
  <c r="H40"/>
  <c r="H41"/>
  <c r="H42"/>
  <c r="H43"/>
  <c r="H44"/>
  <c r="H45"/>
  <c r="H46"/>
  <c r="G35"/>
  <c r="G36"/>
  <c r="G37"/>
  <c r="G38"/>
  <c r="G39"/>
  <c r="G40"/>
  <c r="G41"/>
  <c r="G42"/>
  <c r="G43"/>
  <c r="G44"/>
  <c r="G45"/>
  <c r="G46"/>
  <c r="D35"/>
  <c r="D36"/>
  <c r="D37"/>
  <c r="C35"/>
  <c r="C36"/>
  <c r="B35"/>
  <c r="B36"/>
  <c r="B37"/>
  <c r="B38"/>
  <c r="I20"/>
  <c r="I21"/>
  <c r="I22"/>
  <c r="I23"/>
  <c r="I24"/>
  <c r="I25"/>
  <c r="I26"/>
  <c r="I27"/>
  <c r="I28"/>
  <c r="I29"/>
  <c r="I30"/>
  <c r="I31"/>
  <c r="H20"/>
  <c r="H21"/>
  <c r="H22"/>
  <c r="H23"/>
  <c r="H24"/>
  <c r="H25"/>
  <c r="H26"/>
  <c r="H27"/>
  <c r="H28"/>
  <c r="H29"/>
  <c r="H30"/>
  <c r="H31"/>
  <c r="G20"/>
  <c r="G21"/>
  <c r="G22"/>
  <c r="G23"/>
  <c r="G24"/>
  <c r="G25"/>
  <c r="G26"/>
  <c r="G27"/>
  <c r="G28"/>
  <c r="G29"/>
  <c r="G30"/>
  <c r="G31"/>
  <c r="D20"/>
  <c r="D21"/>
  <c r="D22"/>
  <c r="D23"/>
  <c r="D24"/>
  <c r="D25"/>
  <c r="D26"/>
  <c r="D27"/>
  <c r="D28"/>
  <c r="D29"/>
  <c r="D30"/>
  <c r="D31"/>
  <c r="C20"/>
  <c r="C21"/>
  <c r="C22"/>
  <c r="C23"/>
  <c r="C24"/>
  <c r="C25"/>
  <c r="C26"/>
  <c r="C27"/>
  <c r="C28"/>
  <c r="C29"/>
  <c r="C30"/>
  <c r="C31"/>
  <c r="B20"/>
  <c r="C12"/>
  <c r="C11"/>
  <c r="C10"/>
  <c r="C9"/>
  <c r="F65"/>
  <c r="B8"/>
  <c r="C7"/>
  <c r="C6"/>
  <c r="C5"/>
  <c r="B5" i="14"/>
  <c r="C10"/>
  <c r="B8"/>
  <c r="B7"/>
  <c r="B6"/>
  <c r="F9" i="17"/>
  <c r="G9"/>
  <c r="H9"/>
  <c r="F10"/>
  <c r="G10"/>
  <c r="H10"/>
  <c r="F12"/>
  <c r="G12"/>
  <c r="H12"/>
  <c r="F14"/>
  <c r="G14"/>
  <c r="H14"/>
  <c r="F17"/>
  <c r="G17"/>
  <c r="H17"/>
  <c r="B82" i="15"/>
  <c r="B83"/>
  <c r="J83"/>
  <c r="B53"/>
  <c r="S63" i="2"/>
  <c r="O63"/>
  <c r="N63"/>
  <c r="S48"/>
  <c r="O48"/>
  <c r="N48"/>
  <c r="S33"/>
  <c r="O33"/>
  <c r="N33"/>
  <c r="N18"/>
  <c r="O18"/>
  <c r="S18"/>
  <c r="C55" i="1"/>
  <c r="D52" i="2"/>
  <c r="D50"/>
  <c r="C29" i="1"/>
  <c r="D69" i="2"/>
  <c r="B17" i="14"/>
  <c r="B18"/>
  <c r="B62"/>
  <c r="D51" i="2"/>
  <c r="D62" i="14"/>
  <c r="D63"/>
  <c r="D77"/>
  <c r="D78"/>
  <c r="D79"/>
  <c r="D80"/>
  <c r="D81"/>
  <c r="D82"/>
  <c r="D83"/>
  <c r="D84"/>
  <c r="D85"/>
  <c r="D86"/>
  <c r="D87"/>
  <c r="D88"/>
  <c r="D47"/>
  <c r="D48"/>
  <c r="D49"/>
  <c r="D50"/>
  <c r="D51"/>
  <c r="D52"/>
  <c r="D53"/>
  <c r="D54"/>
  <c r="D55"/>
  <c r="D56"/>
  <c r="D57"/>
  <c r="D58"/>
  <c r="D17"/>
  <c r="D18"/>
  <c r="D19"/>
  <c r="D20"/>
  <c r="D21"/>
  <c r="D22"/>
  <c r="D23"/>
  <c r="D24"/>
  <c r="D25"/>
  <c r="D26"/>
  <c r="D27"/>
  <c r="D28"/>
  <c r="D32"/>
  <c r="D33"/>
  <c r="D34"/>
  <c r="D35"/>
  <c r="D36"/>
  <c r="D37"/>
  <c r="D38"/>
  <c r="D39"/>
  <c r="D40"/>
  <c r="D41"/>
  <c r="D42"/>
  <c r="D43"/>
  <c r="F80" i="15"/>
  <c r="F50"/>
  <c r="F35"/>
  <c r="C17" i="14"/>
  <c r="C18"/>
  <c r="C19"/>
  <c r="C20"/>
  <c r="F20" i="15"/>
  <c r="E80"/>
  <c r="E81"/>
  <c r="E82"/>
  <c r="E83"/>
  <c r="D77" i="2"/>
  <c r="D64" i="14"/>
  <c r="D65"/>
  <c r="D66"/>
  <c r="D67"/>
  <c r="D68"/>
  <c r="D69"/>
  <c r="D70"/>
  <c r="D71"/>
  <c r="D72"/>
  <c r="D73"/>
  <c r="D73" i="2"/>
  <c r="D62"/>
  <c r="D58"/>
  <c r="D56"/>
  <c r="D57"/>
  <c r="E84" i="15"/>
  <c r="E85"/>
  <c r="E86"/>
  <c r="E87"/>
  <c r="E88"/>
  <c r="E89"/>
  <c r="E90"/>
  <c r="E91"/>
  <c r="C21" i="14"/>
  <c r="C22"/>
  <c r="C23"/>
  <c r="C24"/>
  <c r="C25"/>
  <c r="C26"/>
  <c r="C27"/>
  <c r="C28"/>
  <c r="C32"/>
  <c r="C33"/>
  <c r="C34"/>
  <c r="C35"/>
  <c r="C36"/>
  <c r="C37"/>
  <c r="C38"/>
  <c r="C39"/>
  <c r="C40"/>
  <c r="C41"/>
  <c r="C42"/>
  <c r="C43"/>
  <c r="D61" i="2"/>
  <c r="D75"/>
  <c r="D53"/>
  <c r="D59"/>
  <c r="D55"/>
  <c r="D60"/>
  <c r="D54"/>
  <c r="D27" i="12"/>
  <c r="D25"/>
  <c r="D23"/>
  <c r="D21"/>
  <c r="D19"/>
  <c r="D12"/>
  <c r="D10"/>
  <c r="D7"/>
  <c r="D9"/>
  <c r="D28"/>
  <c r="D26"/>
  <c r="D24"/>
  <c r="D22"/>
  <c r="D20"/>
  <c r="D13"/>
  <c r="D11"/>
  <c r="D6"/>
  <c r="D8"/>
  <c r="D5"/>
  <c r="E70" i="2"/>
  <c r="E10"/>
  <c r="D50" i="21"/>
  <c r="E50"/>
  <c r="F50"/>
  <c r="G50"/>
  <c r="G11" i="16"/>
  <c r="B39" i="15"/>
  <c r="B40"/>
  <c r="C47" i="14"/>
  <c r="C48"/>
  <c r="C49"/>
  <c r="C50"/>
  <c r="C51"/>
  <c r="C52"/>
  <c r="C53"/>
  <c r="C54"/>
  <c r="C55"/>
  <c r="C56"/>
  <c r="C57"/>
  <c r="C58"/>
  <c r="C37" i="15"/>
  <c r="J80"/>
  <c r="B54"/>
  <c r="C68"/>
  <c r="F7" i="17"/>
  <c r="G7"/>
  <c r="H7"/>
  <c r="J81" i="15"/>
  <c r="C38"/>
  <c r="C39"/>
  <c r="C40"/>
  <c r="B84"/>
  <c r="B85"/>
  <c r="B86"/>
  <c r="J86"/>
  <c r="C69"/>
  <c r="C70"/>
  <c r="C71"/>
  <c r="B55"/>
  <c r="B56"/>
  <c r="J85"/>
  <c r="B57"/>
  <c r="B58"/>
  <c r="B59"/>
  <c r="B60"/>
  <c r="C72"/>
  <c r="C73"/>
  <c r="C74"/>
  <c r="B87"/>
  <c r="B88"/>
  <c r="J88"/>
  <c r="C41"/>
  <c r="C42"/>
  <c r="J87"/>
  <c r="B89"/>
  <c r="J89"/>
  <c r="C43"/>
  <c r="C44"/>
  <c r="B90"/>
  <c r="C75"/>
  <c r="B61"/>
  <c r="C76"/>
  <c r="C45"/>
  <c r="C46"/>
  <c r="B91"/>
  <c r="J91"/>
  <c r="J90"/>
  <c r="C84" i="2"/>
  <c r="D84"/>
  <c r="G38" i="1"/>
  <c r="AH38"/>
  <c r="N7"/>
  <c r="B41" i="15"/>
  <c r="B63" i="14"/>
  <c r="E11" i="16"/>
  <c r="H11"/>
  <c r="F11"/>
  <c r="D38" i="1"/>
  <c r="D39"/>
  <c r="AJ53"/>
  <c r="B19" i="14"/>
  <c r="C77"/>
  <c r="C78"/>
  <c r="C79"/>
  <c r="C80"/>
  <c r="C81"/>
  <c r="C82"/>
  <c r="C83"/>
  <c r="C84"/>
  <c r="C85"/>
  <c r="C86"/>
  <c r="C87"/>
  <c r="C88"/>
  <c r="C62"/>
  <c r="C63"/>
  <c r="C64"/>
  <c r="C65"/>
  <c r="C66"/>
  <c r="C67"/>
  <c r="C68"/>
  <c r="C69"/>
  <c r="C70"/>
  <c r="C71"/>
  <c r="C72"/>
  <c r="C73"/>
  <c r="E62"/>
  <c r="E63"/>
  <c r="E64"/>
  <c r="E65"/>
  <c r="E66"/>
  <c r="E67"/>
  <c r="E68"/>
  <c r="E69"/>
  <c r="E70"/>
  <c r="E71"/>
  <c r="E72"/>
  <c r="E73"/>
  <c r="E47"/>
  <c r="E48"/>
  <c r="E49"/>
  <c r="E50"/>
  <c r="E51"/>
  <c r="E52"/>
  <c r="E53"/>
  <c r="E54"/>
  <c r="E55"/>
  <c r="E56"/>
  <c r="E57"/>
  <c r="E58"/>
  <c r="E77"/>
  <c r="E78"/>
  <c r="E79"/>
  <c r="E80"/>
  <c r="E81"/>
  <c r="E82"/>
  <c r="E83"/>
  <c r="E84"/>
  <c r="E85"/>
  <c r="E86"/>
  <c r="E87"/>
  <c r="E88"/>
  <c r="E17"/>
  <c r="E20" i="15"/>
  <c r="E21"/>
  <c r="E22"/>
  <c r="E23"/>
  <c r="E24"/>
  <c r="E25"/>
  <c r="E26"/>
  <c r="E27"/>
  <c r="E28"/>
  <c r="E29"/>
  <c r="E30"/>
  <c r="E31"/>
  <c r="E35"/>
  <c r="E65"/>
  <c r="E66"/>
  <c r="E67"/>
  <c r="E68"/>
  <c r="E69"/>
  <c r="E70"/>
  <c r="E71"/>
  <c r="E72"/>
  <c r="E73"/>
  <c r="E74"/>
  <c r="E75"/>
  <c r="E76"/>
  <c r="C8"/>
  <c r="C13"/>
  <c r="C14"/>
  <c r="E50"/>
  <c r="B21"/>
  <c r="J20"/>
  <c r="D38"/>
  <c r="D39"/>
  <c r="C52"/>
  <c r="J84"/>
  <c r="D10" i="1"/>
  <c r="D12"/>
  <c r="J82" i="15"/>
  <c r="F96"/>
  <c r="H12" i="16"/>
  <c r="D11"/>
  <c r="G39" i="1"/>
  <c r="H39" i="12"/>
  <c r="Y18"/>
  <c r="B77" i="14"/>
  <c r="B47"/>
  <c r="B66" i="15"/>
  <c r="J65"/>
  <c r="F10" i="1"/>
  <c r="F12"/>
  <c r="J66" i="15"/>
  <c r="B67"/>
  <c r="B78" i="14"/>
  <c r="G77"/>
  <c r="D11" i="1"/>
  <c r="D13"/>
  <c r="B13" i="13"/>
  <c r="E51" i="15"/>
  <c r="J50"/>
  <c r="B20" i="14"/>
  <c r="B64"/>
  <c r="G63"/>
  <c r="B42" i="15"/>
  <c r="B48" i="14"/>
  <c r="G47"/>
  <c r="C53" i="15"/>
  <c r="D40"/>
  <c r="B22"/>
  <c r="J21"/>
  <c r="C13" i="13"/>
  <c r="D13"/>
  <c r="E13"/>
  <c r="F13"/>
  <c r="G13"/>
  <c r="H13"/>
  <c r="I13"/>
  <c r="J13"/>
  <c r="K13"/>
  <c r="L13"/>
  <c r="M13"/>
  <c r="J35" i="15"/>
  <c r="E36"/>
  <c r="G17" i="14"/>
  <c r="E18"/>
  <c r="G62"/>
  <c r="F11" i="1"/>
  <c r="F13"/>
  <c r="G35" i="12"/>
  <c r="R4"/>
  <c r="D50" i="1"/>
  <c r="G50"/>
  <c r="G56"/>
  <c r="G57"/>
  <c r="B21" i="14"/>
  <c r="G78"/>
  <c r="B79"/>
  <c r="E19"/>
  <c r="G18"/>
  <c r="C12" i="13"/>
  <c r="E37" i="15"/>
  <c r="J36"/>
  <c r="G48" i="14"/>
  <c r="B49"/>
  <c r="B43" i="15"/>
  <c r="B65" i="14"/>
  <c r="G64"/>
  <c r="B12" i="13"/>
  <c r="B14"/>
  <c r="B23" i="15"/>
  <c r="J22"/>
  <c r="D41"/>
  <c r="C54"/>
  <c r="E52"/>
  <c r="J51"/>
  <c r="B68"/>
  <c r="J67"/>
  <c r="F14" i="1"/>
  <c r="G36" i="12"/>
  <c r="S4"/>
  <c r="S7"/>
  <c r="V7"/>
  <c r="C55" i="15"/>
  <c r="D42"/>
  <c r="B24"/>
  <c r="J23"/>
  <c r="B15" i="13"/>
  <c r="B16"/>
  <c r="B66" i="14"/>
  <c r="G65"/>
  <c r="G49"/>
  <c r="B50"/>
  <c r="J68" i="15"/>
  <c r="B69"/>
  <c r="E53"/>
  <c r="J52"/>
  <c r="B44"/>
  <c r="E38"/>
  <c r="J37"/>
  <c r="E20" i="14"/>
  <c r="G19"/>
  <c r="D12" i="13"/>
  <c r="B22" i="14"/>
  <c r="G79"/>
  <c r="B80"/>
  <c r="G80"/>
  <c r="B81"/>
  <c r="E21"/>
  <c r="G20"/>
  <c r="E39" i="15"/>
  <c r="J38"/>
  <c r="B45"/>
  <c r="B70"/>
  <c r="J69"/>
  <c r="G50" i="14"/>
  <c r="B51"/>
  <c r="B67"/>
  <c r="G66"/>
  <c r="C56" i="15"/>
  <c r="B23" i="14"/>
  <c r="E54" i="15"/>
  <c r="J53"/>
  <c r="J24"/>
  <c r="B25"/>
  <c r="D43"/>
  <c r="B52" i="14"/>
  <c r="G51"/>
  <c r="B46" i="15"/>
  <c r="E40"/>
  <c r="J39"/>
  <c r="E22" i="14"/>
  <c r="G21"/>
  <c r="F12" i="13"/>
  <c r="G81" i="14"/>
  <c r="B82"/>
  <c r="B26" i="15"/>
  <c r="J25"/>
  <c r="D44"/>
  <c r="E55"/>
  <c r="J54"/>
  <c r="B24" i="14"/>
  <c r="C57" i="15"/>
  <c r="B68" i="14"/>
  <c r="G67"/>
  <c r="B71" i="15"/>
  <c r="J70"/>
  <c r="E12" i="13"/>
  <c r="D9" i="2"/>
  <c r="B72" i="15"/>
  <c r="J71"/>
  <c r="B69" i="14"/>
  <c r="G68"/>
  <c r="C58" i="15"/>
  <c r="B25" i="14"/>
  <c r="B83"/>
  <c r="G82"/>
  <c r="G52"/>
  <c r="B53"/>
  <c r="E56" i="15"/>
  <c r="J55"/>
  <c r="D45"/>
  <c r="B27"/>
  <c r="J26"/>
  <c r="E23" i="14"/>
  <c r="G22"/>
  <c r="E41" i="15"/>
  <c r="J40"/>
  <c r="D30" i="2"/>
  <c r="G12" i="13"/>
  <c r="C59" i="15"/>
  <c r="B70" i="14"/>
  <c r="G69"/>
  <c r="B73" i="15"/>
  <c r="J72"/>
  <c r="E42"/>
  <c r="J41"/>
  <c r="E24" i="14"/>
  <c r="G23"/>
  <c r="H12" i="13"/>
  <c r="B28" i="15"/>
  <c r="J27"/>
  <c r="D46"/>
  <c r="E57"/>
  <c r="J56"/>
  <c r="B54" i="14"/>
  <c r="G53"/>
  <c r="G83"/>
  <c r="B84"/>
  <c r="B26"/>
  <c r="D24" i="2"/>
  <c r="B27" i="14"/>
  <c r="E58" i="15"/>
  <c r="J57"/>
  <c r="J28"/>
  <c r="B29"/>
  <c r="E25" i="14"/>
  <c r="G24"/>
  <c r="I12" i="13"/>
  <c r="E43" i="15"/>
  <c r="J42"/>
  <c r="B74"/>
  <c r="J73"/>
  <c r="G70" i="14"/>
  <c r="B71"/>
  <c r="C60" i="15"/>
  <c r="B85" i="14"/>
  <c r="G84"/>
  <c r="G54"/>
  <c r="B55"/>
  <c r="B56"/>
  <c r="G55"/>
  <c r="G85"/>
  <c r="B86"/>
  <c r="B72"/>
  <c r="G71"/>
  <c r="E44" i="15"/>
  <c r="J43"/>
  <c r="E26" i="14"/>
  <c r="G25"/>
  <c r="J12" i="13"/>
  <c r="E59" i="15"/>
  <c r="J58"/>
  <c r="C61"/>
  <c r="J74"/>
  <c r="B75"/>
  <c r="B30"/>
  <c r="J29"/>
  <c r="B28" i="14"/>
  <c r="B32"/>
  <c r="B31" i="15"/>
  <c r="J31"/>
  <c r="B96"/>
  <c r="D12" i="16"/>
  <c r="J30" i="15"/>
  <c r="G56" i="14"/>
  <c r="B57"/>
  <c r="B76" i="15"/>
  <c r="J76"/>
  <c r="E96"/>
  <c r="G12" i="16"/>
  <c r="J75" i="15"/>
  <c r="E60"/>
  <c r="J59"/>
  <c r="E27" i="14"/>
  <c r="G26"/>
  <c r="K12" i="13"/>
  <c r="E45" i="15"/>
  <c r="J44"/>
  <c r="B73" i="14"/>
  <c r="G72"/>
  <c r="B87"/>
  <c r="G86"/>
  <c r="G87"/>
  <c r="B88"/>
  <c r="F73"/>
  <c r="G73"/>
  <c r="E91"/>
  <c r="E46" i="15"/>
  <c r="J46"/>
  <c r="J45"/>
  <c r="E28" i="14"/>
  <c r="G27"/>
  <c r="L12" i="13"/>
  <c r="E61" i="15"/>
  <c r="J61"/>
  <c r="J60"/>
  <c r="B58" i="14"/>
  <c r="G57"/>
  <c r="B33"/>
  <c r="E95" i="15"/>
  <c r="E97"/>
  <c r="G10" i="16"/>
  <c r="F58" i="14"/>
  <c r="G58"/>
  <c r="D91"/>
  <c r="E32"/>
  <c r="G28"/>
  <c r="F28"/>
  <c r="D96" i="15"/>
  <c r="F12" i="16"/>
  <c r="C96" i="15"/>
  <c r="E12" i="16"/>
  <c r="B34" i="14"/>
  <c r="F88"/>
  <c r="G88"/>
  <c r="F91"/>
  <c r="F95" i="15"/>
  <c r="F97"/>
  <c r="H10" i="16"/>
  <c r="D95" i="15"/>
  <c r="D97"/>
  <c r="F10" i="16"/>
  <c r="M12" i="13"/>
  <c r="B91" i="14"/>
  <c r="B35"/>
  <c r="E33"/>
  <c r="G32"/>
  <c r="E34"/>
  <c r="G33"/>
  <c r="B36"/>
  <c r="D10" i="16"/>
  <c r="B95" i="15"/>
  <c r="B97"/>
  <c r="D61" i="20"/>
  <c r="D122"/>
  <c r="H83"/>
  <c r="F103"/>
  <c r="E83"/>
  <c r="F83"/>
  <c r="G122"/>
  <c r="E35" i="14"/>
  <c r="G34"/>
  <c r="B37"/>
  <c r="B38"/>
  <c r="E36"/>
  <c r="G35"/>
  <c r="E37"/>
  <c r="G36"/>
  <c r="B39"/>
  <c r="B40"/>
  <c r="E38"/>
  <c r="G37"/>
  <c r="B41"/>
  <c r="E39"/>
  <c r="G38"/>
  <c r="E40"/>
  <c r="G39"/>
  <c r="B42"/>
  <c r="B43"/>
  <c r="E41"/>
  <c r="G40"/>
  <c r="E42"/>
  <c r="G41"/>
  <c r="E43"/>
  <c r="G42"/>
  <c r="F43"/>
  <c r="G43"/>
  <c r="C91"/>
  <c r="E10" i="16"/>
  <c r="C95" i="15"/>
  <c r="C97"/>
  <c r="D14" i="1"/>
  <c r="E4" i="2"/>
  <c r="E73"/>
  <c r="F73"/>
  <c r="E34" i="12"/>
  <c r="E4"/>
  <c r="E10"/>
  <c r="H10"/>
  <c r="O28" i="1"/>
  <c r="L25"/>
  <c r="N27"/>
  <c r="E36" i="12"/>
  <c r="G4"/>
  <c r="G12"/>
  <c r="J12"/>
  <c r="E49" i="1"/>
  <c r="F49"/>
  <c r="H21"/>
  <c r="I21"/>
  <c r="E58" i="2"/>
  <c r="F58"/>
  <c r="R58"/>
  <c r="R63"/>
  <c r="E24"/>
  <c r="F24"/>
  <c r="E36"/>
  <c r="E46"/>
  <c r="E22"/>
  <c r="AB13" i="1"/>
  <c r="AC23"/>
  <c r="H24"/>
  <c r="K24"/>
  <c r="J27"/>
  <c r="L22"/>
  <c r="O24"/>
  <c r="N22"/>
  <c r="E76" i="2"/>
  <c r="E41"/>
  <c r="E7"/>
  <c r="E61"/>
  <c r="F61"/>
  <c r="E19"/>
  <c r="E29"/>
  <c r="E64"/>
  <c r="E5"/>
  <c r="G40" i="1"/>
  <c r="D15"/>
  <c r="D20"/>
  <c r="E20"/>
  <c r="F20"/>
  <c r="E21"/>
  <c r="F27"/>
  <c r="D22"/>
  <c r="E26"/>
  <c r="E35" i="12"/>
  <c r="F4"/>
  <c r="F8"/>
  <c r="I8"/>
  <c r="F22" i="1"/>
  <c r="H38"/>
  <c r="AR38"/>
  <c r="H10"/>
  <c r="R10" i="12"/>
  <c r="U10"/>
  <c r="R8"/>
  <c r="U8"/>
  <c r="R12"/>
  <c r="U12"/>
  <c r="G34"/>
  <c r="Q4"/>
  <c r="Q6"/>
  <c r="T6"/>
  <c r="F15" i="1"/>
  <c r="AB15"/>
  <c r="AB12"/>
  <c r="G13" i="12"/>
  <c r="J13"/>
  <c r="H22" i="1"/>
  <c r="J23"/>
  <c r="H25"/>
  <c r="K28"/>
  <c r="I26"/>
  <c r="AB11"/>
  <c r="H55"/>
  <c r="H56"/>
  <c r="AB10"/>
  <c r="AH40"/>
  <c r="AM47"/>
  <c r="AN47"/>
  <c r="G10"/>
  <c r="E10"/>
  <c r="E38"/>
  <c r="F38"/>
  <c r="F39"/>
  <c r="P58" i="2"/>
  <c r="D48" i="1"/>
  <c r="F48"/>
  <c r="P53"/>
  <c r="D51"/>
  <c r="E39" i="12"/>
  <c r="G18"/>
  <c r="G28"/>
  <c r="J28"/>
  <c r="D47" i="1"/>
  <c r="E47"/>
  <c r="D46"/>
  <c r="E52"/>
  <c r="C108" i="2"/>
  <c r="D108"/>
  <c r="C104"/>
  <c r="D104"/>
  <c r="F21" i="3"/>
  <c r="C103" i="2"/>
  <c r="D103"/>
  <c r="F17" i="3"/>
  <c r="C98" i="2"/>
  <c r="D98"/>
  <c r="E21" i="3"/>
  <c r="C97" i="2"/>
  <c r="D97"/>
  <c r="E17" i="3"/>
  <c r="C96" i="2"/>
  <c r="D96"/>
  <c r="C92"/>
  <c r="D92"/>
  <c r="D21" i="3"/>
  <c r="C91" i="2"/>
  <c r="D91"/>
  <c r="D17" i="3"/>
  <c r="E74" i="2"/>
  <c r="E66"/>
  <c r="E60"/>
  <c r="F60"/>
  <c r="E43"/>
  <c r="E35"/>
  <c r="E26"/>
  <c r="E16"/>
  <c r="E9"/>
  <c r="E6"/>
  <c r="E69"/>
  <c r="F69"/>
  <c r="E59"/>
  <c r="F59"/>
  <c r="Q59"/>
  <c r="E51"/>
  <c r="F51"/>
  <c r="E42"/>
  <c r="E34"/>
  <c r="E25"/>
  <c r="E17"/>
  <c r="E12"/>
  <c r="E23"/>
  <c r="E31"/>
  <c r="E40"/>
  <c r="E49"/>
  <c r="F49"/>
  <c r="G49"/>
  <c r="E53"/>
  <c r="E71"/>
  <c r="E14"/>
  <c r="E11"/>
  <c r="E20"/>
  <c r="E28"/>
  <c r="E37"/>
  <c r="E47"/>
  <c r="E65"/>
  <c r="E72"/>
  <c r="E62"/>
  <c r="F62"/>
  <c r="G62"/>
  <c r="E50"/>
  <c r="F50"/>
  <c r="E45"/>
  <c r="G28" i="1"/>
  <c r="G24"/>
  <c r="D21"/>
  <c r="F23"/>
  <c r="F30"/>
  <c r="E23"/>
  <c r="D24"/>
  <c r="J22"/>
  <c r="D25"/>
  <c r="M23"/>
  <c r="L21"/>
  <c r="M21"/>
  <c r="M26"/>
  <c r="L24"/>
  <c r="L20"/>
  <c r="N23"/>
  <c r="C102" i="2"/>
  <c r="D102"/>
  <c r="C109"/>
  <c r="D109"/>
  <c r="G17" i="3"/>
  <c r="C16"/>
  <c r="F11" i="13"/>
  <c r="F14"/>
  <c r="F9" i="2"/>
  <c r="U9"/>
  <c r="R7" i="12"/>
  <c r="U7"/>
  <c r="R11"/>
  <c r="U11"/>
  <c r="G8"/>
  <c r="J8"/>
  <c r="AB14" i="1"/>
  <c r="AT53"/>
  <c r="F53"/>
  <c r="Z53"/>
  <c r="D40"/>
  <c r="AH39"/>
  <c r="E54" i="2"/>
  <c r="E68"/>
  <c r="E56"/>
  <c r="F56"/>
  <c r="E32"/>
  <c r="E15"/>
  <c r="E77"/>
  <c r="F77"/>
  <c r="G77"/>
  <c r="E67"/>
  <c r="E57"/>
  <c r="F57"/>
  <c r="E44"/>
  <c r="E27"/>
  <c r="E8"/>
  <c r="C85"/>
  <c r="D85"/>
  <c r="C17" i="3"/>
  <c r="G11" i="13"/>
  <c r="G14"/>
  <c r="C86" i="2"/>
  <c r="D86"/>
  <c r="C21" i="3"/>
  <c r="K11" i="13"/>
  <c r="K14"/>
  <c r="E21" i="2"/>
  <c r="E38"/>
  <c r="E55"/>
  <c r="F55"/>
  <c r="G55"/>
  <c r="E75"/>
  <c r="F75"/>
  <c r="P75"/>
  <c r="E13"/>
  <c r="E30"/>
  <c r="F30"/>
  <c r="E52"/>
  <c r="F52"/>
  <c r="C90"/>
  <c r="D90"/>
  <c r="C110"/>
  <c r="D110"/>
  <c r="G21" i="3"/>
  <c r="F54" i="2"/>
  <c r="T54"/>
  <c r="F53"/>
  <c r="U53"/>
  <c r="D103" i="20"/>
  <c r="E122"/>
  <c r="D83"/>
  <c r="H122"/>
  <c r="G103"/>
  <c r="H103"/>
  <c r="C30" i="16"/>
  <c r="B4" i="21" s="1"/>
  <c r="C114" i="20"/>
  <c r="C133"/>
  <c r="C94"/>
  <c r="D62"/>
  <c r="D63"/>
  <c r="E103"/>
  <c r="D21"/>
  <c r="G83"/>
  <c r="F122"/>
  <c r="B20" i="17"/>
  <c r="F8"/>
  <c r="G8"/>
  <c r="H8"/>
  <c r="G5"/>
  <c r="H5"/>
  <c r="H13"/>
  <c r="G66" i="12"/>
  <c r="G67"/>
  <c r="G8" i="13"/>
  <c r="G9"/>
  <c r="G70" i="12"/>
  <c r="G72"/>
  <c r="G75"/>
  <c r="G78"/>
  <c r="G80"/>
  <c r="G83"/>
  <c r="G68"/>
  <c r="K8" i="13"/>
  <c r="K9"/>
  <c r="K15"/>
  <c r="G71" i="12"/>
  <c r="G74"/>
  <c r="G76"/>
  <c r="G79"/>
  <c r="G82"/>
  <c r="F85"/>
  <c r="G23"/>
  <c r="J23"/>
  <c r="Y25"/>
  <c r="AB25"/>
  <c r="Y21"/>
  <c r="AB21"/>
  <c r="Y27"/>
  <c r="AB27"/>
  <c r="Y22"/>
  <c r="AB22"/>
  <c r="Y24"/>
  <c r="AB24"/>
  <c r="Y19"/>
  <c r="AB19"/>
  <c r="U54" i="2"/>
  <c r="Q73"/>
  <c r="R73"/>
  <c r="R78"/>
  <c r="P73"/>
  <c r="R5" i="12"/>
  <c r="U5"/>
  <c r="R9"/>
  <c r="U9"/>
  <c r="R6"/>
  <c r="U6"/>
  <c r="R13"/>
  <c r="U13"/>
  <c r="Q9"/>
  <c r="T9"/>
  <c r="Q12"/>
  <c r="T12"/>
  <c r="Q5"/>
  <c r="T5"/>
  <c r="Q7"/>
  <c r="T7"/>
  <c r="E7"/>
  <c r="H7"/>
  <c r="E5"/>
  <c r="H5"/>
  <c r="E13"/>
  <c r="H13"/>
  <c r="E6"/>
  <c r="H6"/>
  <c r="E8"/>
  <c r="H8"/>
  <c r="S11"/>
  <c r="V11"/>
  <c r="S9"/>
  <c r="V9"/>
  <c r="S5"/>
  <c r="V5"/>
  <c r="S10"/>
  <c r="V10"/>
  <c r="S13"/>
  <c r="V13"/>
  <c r="S6"/>
  <c r="V6"/>
  <c r="S12"/>
  <c r="V12"/>
  <c r="S8"/>
  <c r="V8"/>
  <c r="G6"/>
  <c r="J6"/>
  <c r="Y26"/>
  <c r="AB26"/>
  <c r="Y23"/>
  <c r="AB23"/>
  <c r="Y20"/>
  <c r="AB20"/>
  <c r="Y28"/>
  <c r="AB28"/>
  <c r="G73" i="2"/>
  <c r="G75"/>
  <c r="H20" i="1"/>
  <c r="I20"/>
  <c r="J20"/>
  <c r="I23"/>
  <c r="I30"/>
  <c r="I31"/>
  <c r="G7" i="12"/>
  <c r="J7"/>
  <c r="G10"/>
  <c r="J10"/>
  <c r="E9"/>
  <c r="H9"/>
  <c r="E11"/>
  <c r="H11"/>
  <c r="E12"/>
  <c r="H12"/>
  <c r="G9"/>
  <c r="J9"/>
  <c r="AM50" i="1"/>
  <c r="AP50"/>
  <c r="AP56"/>
  <c r="AP57"/>
  <c r="J30"/>
  <c r="E30"/>
  <c r="Q58" i="2"/>
  <c r="G58"/>
  <c r="G11" i="12"/>
  <c r="J11"/>
  <c r="G5"/>
  <c r="J5"/>
  <c r="H30" i="1"/>
  <c r="H31"/>
  <c r="F5" i="12"/>
  <c r="I5"/>
  <c r="Q8"/>
  <c r="T8"/>
  <c r="Q10"/>
  <c r="T10"/>
  <c r="Q13"/>
  <c r="T13"/>
  <c r="Q11"/>
  <c r="T11"/>
  <c r="AN52" i="1"/>
  <c r="F40"/>
  <c r="G40" i="12"/>
  <c r="Q18"/>
  <c r="AB25" i="1"/>
  <c r="O30"/>
  <c r="O31"/>
  <c r="G24" i="2"/>
  <c r="U24"/>
  <c r="T24"/>
  <c r="F6" i="12"/>
  <c r="I6"/>
  <c r="L49" i="2"/>
  <c r="G54"/>
  <c r="G25" i="12"/>
  <c r="J25"/>
  <c r="X38" i="1"/>
  <c r="H39"/>
  <c r="AR39"/>
  <c r="F9" i="12"/>
  <c r="I9"/>
  <c r="AM46" i="1"/>
  <c r="H40"/>
  <c r="I40" i="12"/>
  <c r="AC18"/>
  <c r="K30" i="1"/>
  <c r="K64"/>
  <c r="K65"/>
  <c r="K66"/>
  <c r="D11" i="2"/>
  <c r="F11"/>
  <c r="AD27" i="1"/>
  <c r="AE28"/>
  <c r="AC21"/>
  <c r="AD23"/>
  <c r="AB24"/>
  <c r="AH22"/>
  <c r="AE24"/>
  <c r="AB21"/>
  <c r="AC26"/>
  <c r="F11" i="12"/>
  <c r="I11"/>
  <c r="F10"/>
  <c r="I10"/>
  <c r="M49" i="2"/>
  <c r="M63"/>
  <c r="P59"/>
  <c r="P62"/>
  <c r="G19" i="12"/>
  <c r="J19"/>
  <c r="G24"/>
  <c r="J24"/>
  <c r="G21"/>
  <c r="J21"/>
  <c r="AB20" i="1"/>
  <c r="AC20"/>
  <c r="AD22"/>
  <c r="AB22"/>
  <c r="T55" i="2"/>
  <c r="P77"/>
  <c r="T9"/>
  <c r="G52"/>
  <c r="K52"/>
  <c r="H40" i="12"/>
  <c r="W18"/>
  <c r="G41" i="1"/>
  <c r="AH41"/>
  <c r="G53" i="2"/>
  <c r="U63"/>
  <c r="G15" i="13"/>
  <c r="T56" i="2"/>
  <c r="G56"/>
  <c r="E39" i="1"/>
  <c r="N38"/>
  <c r="E40"/>
  <c r="G12"/>
  <c r="AN10"/>
  <c r="G11"/>
  <c r="K31"/>
  <c r="F7" i="12"/>
  <c r="I7"/>
  <c r="F12"/>
  <c r="I12"/>
  <c r="F13"/>
  <c r="I13"/>
  <c r="E12" i="1"/>
  <c r="P10"/>
  <c r="E11"/>
  <c r="AO53"/>
  <c r="AM51"/>
  <c r="AM48"/>
  <c r="AO48"/>
  <c r="AN49"/>
  <c r="AO49"/>
  <c r="AQ55"/>
  <c r="AQ56"/>
  <c r="L64"/>
  <c r="L65"/>
  <c r="L66"/>
  <c r="D12" i="2"/>
  <c r="F12"/>
  <c r="G12"/>
  <c r="H57" i="1"/>
  <c r="AJ21"/>
  <c r="AL22"/>
  <c r="AL27"/>
  <c r="AK21"/>
  <c r="AJ24"/>
  <c r="AK26"/>
  <c r="AM28"/>
  <c r="AJ25"/>
  <c r="AL23"/>
  <c r="AJ20"/>
  <c r="AJ22"/>
  <c r="AM24"/>
  <c r="AK23"/>
  <c r="H12"/>
  <c r="AZ10"/>
  <c r="H11"/>
  <c r="AB29" i="12"/>
  <c r="E57"/>
  <c r="E80"/>
  <c r="D30" i="1"/>
  <c r="D64"/>
  <c r="D65"/>
  <c r="D66"/>
  <c r="D4" i="2"/>
  <c r="F4"/>
  <c r="J31" i="1"/>
  <c r="E64"/>
  <c r="E65"/>
  <c r="E66"/>
  <c r="D5" i="2"/>
  <c r="F5"/>
  <c r="E31" i="1"/>
  <c r="P30" i="2"/>
  <c r="G30"/>
  <c r="F31" i="1"/>
  <c r="F64"/>
  <c r="F65"/>
  <c r="F66"/>
  <c r="D6" i="2"/>
  <c r="F6"/>
  <c r="G57"/>
  <c r="T57"/>
  <c r="E40" i="12"/>
  <c r="E18"/>
  <c r="I46" i="1"/>
  <c r="I47"/>
  <c r="J47"/>
  <c r="I48"/>
  <c r="K48"/>
  <c r="K53"/>
  <c r="J49"/>
  <c r="K49"/>
  <c r="I51"/>
  <c r="I50"/>
  <c r="L50"/>
  <c r="L56"/>
  <c r="J52"/>
  <c r="M55"/>
  <c r="M56"/>
  <c r="H41"/>
  <c r="AR41"/>
  <c r="I39" i="12"/>
  <c r="AE18"/>
  <c r="K50" i="2"/>
  <c r="G50"/>
  <c r="L50"/>
  <c r="G60"/>
  <c r="P60"/>
  <c r="E108"/>
  <c r="G16" i="3"/>
  <c r="X40" i="1"/>
  <c r="D56"/>
  <c r="E46"/>
  <c r="AR40"/>
  <c r="P61" i="2"/>
  <c r="G61"/>
  <c r="D16" i="3"/>
  <c r="E90" i="2"/>
  <c r="AH47" i="1"/>
  <c r="AI47"/>
  <c r="AH48"/>
  <c r="AJ48"/>
  <c r="AI52"/>
  <c r="AI49"/>
  <c r="AJ49"/>
  <c r="AH50"/>
  <c r="AK50"/>
  <c r="AK56"/>
  <c r="AK57"/>
  <c r="AH51"/>
  <c r="AL55"/>
  <c r="AL56"/>
  <c r="AH46"/>
  <c r="AG21"/>
  <c r="AG23"/>
  <c r="AF22"/>
  <c r="AH27"/>
  <c r="AF21"/>
  <c r="AH23"/>
  <c r="AI24"/>
  <c r="AF20"/>
  <c r="AF24"/>
  <c r="AG26"/>
  <c r="AF25"/>
  <c r="AI28"/>
  <c r="F16" i="3"/>
  <c r="E102" i="2"/>
  <c r="L30" i="1"/>
  <c r="M20"/>
  <c r="AN46"/>
  <c r="K51" i="2"/>
  <c r="G51"/>
  <c r="G69"/>
  <c r="U69"/>
  <c r="T69"/>
  <c r="E16" i="3"/>
  <c r="E96" i="2"/>
  <c r="X39" i="1"/>
  <c r="G39" i="12"/>
  <c r="S18"/>
  <c r="E84" i="2"/>
  <c r="Q63"/>
  <c r="J64"/>
  <c r="J78"/>
  <c r="K49"/>
  <c r="G59"/>
  <c r="T53"/>
  <c r="G20" i="12"/>
  <c r="J20"/>
  <c r="G22"/>
  <c r="J22"/>
  <c r="G26"/>
  <c r="J26"/>
  <c r="G27"/>
  <c r="J27"/>
  <c r="G9" i="2"/>
  <c r="D41" i="1"/>
  <c r="G30"/>
  <c r="F18" i="17"/>
  <c r="D4" i="18"/>
  <c r="E67" i="20"/>
  <c r="E70"/>
  <c r="H18" i="17"/>
  <c r="D105" i="20"/>
  <c r="D85"/>
  <c r="D124"/>
  <c r="D15" i="16"/>
  <c r="F81" i="12"/>
  <c r="F69"/>
  <c r="F8" i="13"/>
  <c r="F9"/>
  <c r="F15"/>
  <c r="F77" i="12"/>
  <c r="F73"/>
  <c r="J14"/>
  <c r="D45"/>
  <c r="D68"/>
  <c r="H14"/>
  <c r="D43"/>
  <c r="T14"/>
  <c r="D51"/>
  <c r="V14"/>
  <c r="D53"/>
  <c r="D76"/>
  <c r="U14"/>
  <c r="D52"/>
  <c r="D75"/>
  <c r="I75"/>
  <c r="AM30" i="1"/>
  <c r="AM31"/>
  <c r="F41"/>
  <c r="X41"/>
  <c r="AB30"/>
  <c r="AF64"/>
  <c r="AF65"/>
  <c r="AF66"/>
  <c r="D34" i="2"/>
  <c r="F34"/>
  <c r="H49"/>
  <c r="L63"/>
  <c r="D31" i="1"/>
  <c r="I14" i="12"/>
  <c r="D44"/>
  <c r="D67"/>
  <c r="I67"/>
  <c r="C8" i="13"/>
  <c r="C9"/>
  <c r="T11" i="2"/>
  <c r="G11"/>
  <c r="AM56" i="1"/>
  <c r="AM57"/>
  <c r="AI30"/>
  <c r="AI31"/>
  <c r="AE30"/>
  <c r="T12" i="2"/>
  <c r="W25" i="12"/>
  <c r="Z25"/>
  <c r="W22"/>
  <c r="Z22"/>
  <c r="W20"/>
  <c r="Z20"/>
  <c r="W26"/>
  <c r="Z26"/>
  <c r="W27"/>
  <c r="Z27"/>
  <c r="W28"/>
  <c r="Z28"/>
  <c r="W19"/>
  <c r="Z19"/>
  <c r="W21"/>
  <c r="Z21"/>
  <c r="W23"/>
  <c r="Z23"/>
  <c r="W24"/>
  <c r="Z24"/>
  <c r="J29"/>
  <c r="E45"/>
  <c r="E68"/>
  <c r="I68"/>
  <c r="H13" i="1"/>
  <c r="H14"/>
  <c r="AZ11"/>
  <c r="AZ12"/>
  <c r="I34" i="12"/>
  <c r="AC4"/>
  <c r="AJ30" i="1"/>
  <c r="AJ31"/>
  <c r="AK20"/>
  <c r="AD20"/>
  <c r="AD30"/>
  <c r="AC30"/>
  <c r="BG64"/>
  <c r="BG65"/>
  <c r="AQ57"/>
  <c r="F40" i="12"/>
  <c r="K18"/>
  <c r="N40" i="1"/>
  <c r="N39"/>
  <c r="E41"/>
  <c r="N41"/>
  <c r="F39" i="12"/>
  <c r="M18"/>
  <c r="AB31" i="1"/>
  <c r="P11"/>
  <c r="E13"/>
  <c r="E14"/>
  <c r="P12"/>
  <c r="F34" i="12"/>
  <c r="K4"/>
  <c r="G13" i="1"/>
  <c r="AN11"/>
  <c r="G14"/>
  <c r="H34" i="12"/>
  <c r="W4"/>
  <c r="G15" i="1"/>
  <c r="AN15"/>
  <c r="AN12"/>
  <c r="P63" i="2"/>
  <c r="S21" i="12"/>
  <c r="V21"/>
  <c r="S26"/>
  <c r="V26"/>
  <c r="S22"/>
  <c r="V22"/>
  <c r="S27"/>
  <c r="V27"/>
  <c r="S20"/>
  <c r="V20"/>
  <c r="S25"/>
  <c r="V25"/>
  <c r="S23"/>
  <c r="V23"/>
  <c r="S24"/>
  <c r="V24"/>
  <c r="S19"/>
  <c r="V19"/>
  <c r="S28"/>
  <c r="V28"/>
  <c r="L31" i="1"/>
  <c r="BB64"/>
  <c r="BB65"/>
  <c r="AL57"/>
  <c r="BA55"/>
  <c r="BA56"/>
  <c r="AW46"/>
  <c r="AX49"/>
  <c r="AY49"/>
  <c r="AX52"/>
  <c r="AW47"/>
  <c r="AX47"/>
  <c r="AW48"/>
  <c r="AY48"/>
  <c r="AW50"/>
  <c r="AZ50"/>
  <c r="AZ56"/>
  <c r="AY53"/>
  <c r="AW51"/>
  <c r="F46"/>
  <c r="F56"/>
  <c r="E56"/>
  <c r="AD52"/>
  <c r="AC47"/>
  <c r="AD47"/>
  <c r="AC48"/>
  <c r="AE48"/>
  <c r="AD49"/>
  <c r="AE49"/>
  <c r="AC51"/>
  <c r="AC50"/>
  <c r="AF50"/>
  <c r="AF56"/>
  <c r="AE53"/>
  <c r="AC46"/>
  <c r="AG55"/>
  <c r="AG56"/>
  <c r="AS49"/>
  <c r="AT49"/>
  <c r="AR47"/>
  <c r="AS47"/>
  <c r="AR50"/>
  <c r="AU50"/>
  <c r="AU56"/>
  <c r="AV55"/>
  <c r="AV56"/>
  <c r="AR48"/>
  <c r="AT48"/>
  <c r="AS52"/>
  <c r="AR51"/>
  <c r="AR46"/>
  <c r="M57"/>
  <c r="Q64"/>
  <c r="Q65"/>
  <c r="Q66"/>
  <c r="D17" i="2"/>
  <c r="F17"/>
  <c r="L57" i="1"/>
  <c r="P64"/>
  <c r="P65"/>
  <c r="P66"/>
  <c r="D16" i="2"/>
  <c r="F16"/>
  <c r="J46" i="1"/>
  <c r="I56"/>
  <c r="I57"/>
  <c r="K6" i="2"/>
  <c r="G6"/>
  <c r="K4"/>
  <c r="G4"/>
  <c r="M4"/>
  <c r="M18"/>
  <c r="E11" i="13"/>
  <c r="E14"/>
  <c r="L4" i="2"/>
  <c r="G64" i="1"/>
  <c r="G65"/>
  <c r="G66"/>
  <c r="D7" i="2"/>
  <c r="F7"/>
  <c r="G31" i="1"/>
  <c r="X47"/>
  <c r="Y47"/>
  <c r="X51"/>
  <c r="X46"/>
  <c r="AB55"/>
  <c r="AB56"/>
  <c r="X48"/>
  <c r="Z48"/>
  <c r="X50"/>
  <c r="AA50"/>
  <c r="AA56"/>
  <c r="Y52"/>
  <c r="Y49"/>
  <c r="Z49"/>
  <c r="AN56"/>
  <c r="AN57"/>
  <c r="AO46"/>
  <c r="AO56"/>
  <c r="AO57"/>
  <c r="N20"/>
  <c r="N30"/>
  <c r="M30"/>
  <c r="AF30"/>
  <c r="AF31"/>
  <c r="AG20"/>
  <c r="AH56"/>
  <c r="AH57"/>
  <c r="AI46"/>
  <c r="AC22" i="12"/>
  <c r="AF22"/>
  <c r="AC25"/>
  <c r="AF25"/>
  <c r="AC27"/>
  <c r="AF27"/>
  <c r="AC24"/>
  <c r="AF24"/>
  <c r="AC26"/>
  <c r="AF26"/>
  <c r="AC23"/>
  <c r="AF23"/>
  <c r="AC20"/>
  <c r="AF20"/>
  <c r="AC21"/>
  <c r="AF21"/>
  <c r="AC28"/>
  <c r="AF28"/>
  <c r="AC19"/>
  <c r="AF19"/>
  <c r="D57" i="1"/>
  <c r="H64"/>
  <c r="H65"/>
  <c r="H66"/>
  <c r="D8" i="2"/>
  <c r="F8"/>
  <c r="Q26" i="12"/>
  <c r="T26"/>
  <c r="Q28"/>
  <c r="T28"/>
  <c r="Q20"/>
  <c r="T20"/>
  <c r="Q27"/>
  <c r="T27"/>
  <c r="Q22"/>
  <c r="T22"/>
  <c r="Q23"/>
  <c r="T23"/>
  <c r="Q19"/>
  <c r="T19"/>
  <c r="Q25"/>
  <c r="T25"/>
  <c r="Q24"/>
  <c r="T24"/>
  <c r="Q21"/>
  <c r="T21"/>
  <c r="AE23"/>
  <c r="AH23"/>
  <c r="AE27"/>
  <c r="AH27"/>
  <c r="AE22"/>
  <c r="AH22"/>
  <c r="AE24"/>
  <c r="AH24"/>
  <c r="AE19"/>
  <c r="AH19"/>
  <c r="AE21"/>
  <c r="AH21"/>
  <c r="AE28"/>
  <c r="AH28"/>
  <c r="AE26"/>
  <c r="AH26"/>
  <c r="AE20"/>
  <c r="AH20"/>
  <c r="AE25"/>
  <c r="AH25"/>
  <c r="E26"/>
  <c r="H26"/>
  <c r="E28"/>
  <c r="H28"/>
  <c r="E21"/>
  <c r="H21"/>
  <c r="E20"/>
  <c r="H20"/>
  <c r="E23"/>
  <c r="H23"/>
  <c r="E22"/>
  <c r="H22"/>
  <c r="E25"/>
  <c r="H25"/>
  <c r="E24"/>
  <c r="H24"/>
  <c r="E27"/>
  <c r="H27"/>
  <c r="E19"/>
  <c r="H19"/>
  <c r="L5" i="2"/>
  <c r="K5"/>
  <c r="G5"/>
  <c r="T63"/>
  <c r="K63"/>
  <c r="D21" i="16"/>
  <c r="E15"/>
  <c r="D90" i="20"/>
  <c r="E85"/>
  <c r="C7" i="19"/>
  <c r="E124" i="20"/>
  <c r="D129"/>
  <c r="D110"/>
  <c r="E105"/>
  <c r="C130"/>
  <c r="C131"/>
  <c r="C111"/>
  <c r="C112"/>
  <c r="F63"/>
  <c r="F62"/>
  <c r="F61"/>
  <c r="C91"/>
  <c r="C92"/>
  <c r="D8" i="13"/>
  <c r="D9"/>
  <c r="D66" i="12"/>
  <c r="D74"/>
  <c r="D54"/>
  <c r="D46"/>
  <c r="E8" i="13"/>
  <c r="E9"/>
  <c r="E15"/>
  <c r="H15" i="1"/>
  <c r="AZ15"/>
  <c r="M8" i="13"/>
  <c r="M9"/>
  <c r="L8"/>
  <c r="L9"/>
  <c r="AE31" i="1"/>
  <c r="AI64"/>
  <c r="AI65"/>
  <c r="AI66"/>
  <c r="D37" i="2"/>
  <c r="F37"/>
  <c r="Z29" i="12"/>
  <c r="E55"/>
  <c r="H29"/>
  <c r="E43"/>
  <c r="E66"/>
  <c r="I66"/>
  <c r="V29"/>
  <c r="E53"/>
  <c r="E76"/>
  <c r="I76"/>
  <c r="E46"/>
  <c r="E69"/>
  <c r="AV25" i="1"/>
  <c r="AX27"/>
  <c r="AW26"/>
  <c r="AX22"/>
  <c r="AX23"/>
  <c r="AW21"/>
  <c r="AV20"/>
  <c r="AY28"/>
  <c r="AY24"/>
  <c r="AV24"/>
  <c r="AV21"/>
  <c r="AW23"/>
  <c r="AV22"/>
  <c r="W10" i="12"/>
  <c r="Z10"/>
  <c r="W7"/>
  <c r="Z7"/>
  <c r="W13"/>
  <c r="Z13"/>
  <c r="W12"/>
  <c r="Z12"/>
  <c r="W6"/>
  <c r="Z6"/>
  <c r="W5"/>
  <c r="Z5"/>
  <c r="W11"/>
  <c r="Z11"/>
  <c r="W8"/>
  <c r="Z8"/>
  <c r="W9"/>
  <c r="Z9"/>
  <c r="K12"/>
  <c r="N12"/>
  <c r="K11"/>
  <c r="N11"/>
  <c r="K9"/>
  <c r="N9"/>
  <c r="K6"/>
  <c r="N6"/>
  <c r="K5"/>
  <c r="N5"/>
  <c r="K8"/>
  <c r="N8"/>
  <c r="K10"/>
  <c r="N10"/>
  <c r="K7"/>
  <c r="N7"/>
  <c r="K13"/>
  <c r="N13"/>
  <c r="P14" i="1"/>
  <c r="F36" i="12"/>
  <c r="M4"/>
  <c r="M26"/>
  <c r="P26"/>
  <c r="M28"/>
  <c r="P28"/>
  <c r="M27"/>
  <c r="P27"/>
  <c r="M22"/>
  <c r="P22"/>
  <c r="M24"/>
  <c r="P24"/>
  <c r="M23"/>
  <c r="P23"/>
  <c r="M25"/>
  <c r="P25"/>
  <c r="M20"/>
  <c r="P20"/>
  <c r="M19"/>
  <c r="P19"/>
  <c r="M21"/>
  <c r="P21"/>
  <c r="N51" i="1"/>
  <c r="O49"/>
  <c r="P49"/>
  <c r="O52"/>
  <c r="R55"/>
  <c r="R56"/>
  <c r="N50"/>
  <c r="Q50"/>
  <c r="Q56"/>
  <c r="Q57"/>
  <c r="N47"/>
  <c r="O47"/>
  <c r="N48"/>
  <c r="P48"/>
  <c r="N46"/>
  <c r="K28" i="12"/>
  <c r="N28"/>
  <c r="K23"/>
  <c r="N23"/>
  <c r="K21"/>
  <c r="N21"/>
  <c r="K27"/>
  <c r="N27"/>
  <c r="K22"/>
  <c r="N22"/>
  <c r="K25"/>
  <c r="N25"/>
  <c r="K20"/>
  <c r="N20"/>
  <c r="K26"/>
  <c r="N26"/>
  <c r="K24"/>
  <c r="N24"/>
  <c r="K19"/>
  <c r="N19"/>
  <c r="AD31" i="1"/>
  <c r="AH64"/>
  <c r="AH65"/>
  <c r="AH66"/>
  <c r="D36" i="2"/>
  <c r="F36"/>
  <c r="AZ13" i="1"/>
  <c r="I35" i="12"/>
  <c r="AD4"/>
  <c r="AH29"/>
  <c r="E61"/>
  <c r="E84"/>
  <c r="T29"/>
  <c r="E51"/>
  <c r="AN14" i="1"/>
  <c r="H36" i="12"/>
  <c r="Y4"/>
  <c r="AN13" i="1"/>
  <c r="H35" i="12"/>
  <c r="X4"/>
  <c r="AA24" i="1"/>
  <c r="Y26"/>
  <c r="Z22"/>
  <c r="X20"/>
  <c r="Y20"/>
  <c r="Z20"/>
  <c r="X21"/>
  <c r="Z23"/>
  <c r="Z27"/>
  <c r="X22"/>
  <c r="X24"/>
  <c r="AA28"/>
  <c r="Y23"/>
  <c r="Y21"/>
  <c r="X25"/>
  <c r="E15"/>
  <c r="P15"/>
  <c r="F35" i="12"/>
  <c r="L4"/>
  <c r="P13" i="1"/>
  <c r="K34" i="2"/>
  <c r="L34"/>
  <c r="M34"/>
  <c r="M48"/>
  <c r="G34"/>
  <c r="T52" i="1"/>
  <c r="S47"/>
  <c r="T47"/>
  <c r="S46"/>
  <c r="S48"/>
  <c r="U48"/>
  <c r="S50"/>
  <c r="V50"/>
  <c r="V56"/>
  <c r="V57"/>
  <c r="W55"/>
  <c r="W56"/>
  <c r="U53"/>
  <c r="T49"/>
  <c r="U49"/>
  <c r="S51"/>
  <c r="AC31"/>
  <c r="AG64"/>
  <c r="AG65"/>
  <c r="AG66"/>
  <c r="D35" i="2"/>
  <c r="F35"/>
  <c r="AL20" i="1"/>
  <c r="AL30"/>
  <c r="AL31"/>
  <c r="AK30"/>
  <c r="AK31"/>
  <c r="AC8" i="12"/>
  <c r="AF8"/>
  <c r="AC7"/>
  <c r="AF7"/>
  <c r="AC6"/>
  <c r="AF6"/>
  <c r="AC5"/>
  <c r="AF5"/>
  <c r="AC13"/>
  <c r="AF13"/>
  <c r="AC12"/>
  <c r="AF12"/>
  <c r="AC11"/>
  <c r="AF11"/>
  <c r="AC10"/>
  <c r="AF10"/>
  <c r="AC9"/>
  <c r="AF9"/>
  <c r="BH22" i="1"/>
  <c r="BI23"/>
  <c r="BJ22"/>
  <c r="BJ27"/>
  <c r="BJ23"/>
  <c r="BH21"/>
  <c r="BI21"/>
  <c r="BK28"/>
  <c r="BH20"/>
  <c r="BK24"/>
  <c r="BK30"/>
  <c r="BK31"/>
  <c r="BI26"/>
  <c r="BH25"/>
  <c r="BH24"/>
  <c r="I36" i="12"/>
  <c r="AE4"/>
  <c r="AZ14" i="1"/>
  <c r="J19" i="2"/>
  <c r="J33"/>
  <c r="T8"/>
  <c r="U8"/>
  <c r="U18"/>
  <c r="M11" i="13"/>
  <c r="M14"/>
  <c r="G8" i="2"/>
  <c r="AI56" i="1"/>
  <c r="AI57"/>
  <c r="AJ46"/>
  <c r="AJ56"/>
  <c r="AJ57"/>
  <c r="N31"/>
  <c r="Y46"/>
  <c r="X56"/>
  <c r="AH20"/>
  <c r="AH30"/>
  <c r="AH31"/>
  <c r="AG30"/>
  <c r="AG31"/>
  <c r="M31"/>
  <c r="AA57"/>
  <c r="AM64"/>
  <c r="AM65"/>
  <c r="AM66"/>
  <c r="D41" i="2"/>
  <c r="F41"/>
  <c r="AN64" i="1"/>
  <c r="AN65"/>
  <c r="AN66"/>
  <c r="D42" i="2"/>
  <c r="F42"/>
  <c r="AB57" i="1"/>
  <c r="G16" i="2"/>
  <c r="P16"/>
  <c r="P17"/>
  <c r="G17"/>
  <c r="AS46" i="1"/>
  <c r="AR56"/>
  <c r="AV57"/>
  <c r="BP64"/>
  <c r="BP65"/>
  <c r="BP66"/>
  <c r="D72" i="2"/>
  <c r="F72"/>
  <c r="AS64" i="1"/>
  <c r="AS65"/>
  <c r="AS66"/>
  <c r="D47" i="2"/>
  <c r="F47"/>
  <c r="AG57" i="1"/>
  <c r="F57"/>
  <c r="J64"/>
  <c r="J65"/>
  <c r="J66"/>
  <c r="D10" i="2"/>
  <c r="F10"/>
  <c r="AX46" i="1"/>
  <c r="AW56"/>
  <c r="AF29" i="12"/>
  <c r="E59"/>
  <c r="L18" i="2"/>
  <c r="D11" i="13"/>
  <c r="D14"/>
  <c r="D15"/>
  <c r="G7" i="2"/>
  <c r="K7"/>
  <c r="J56" i="1"/>
  <c r="J57"/>
  <c r="K46"/>
  <c r="K56"/>
  <c r="K57"/>
  <c r="AU57"/>
  <c r="AD46"/>
  <c r="AC56"/>
  <c r="AF57"/>
  <c r="AR64"/>
  <c r="AR65"/>
  <c r="AR66"/>
  <c r="D46" i="2"/>
  <c r="F46"/>
  <c r="E57" i="1"/>
  <c r="I64"/>
  <c r="I65"/>
  <c r="AZ57"/>
  <c r="BT64"/>
  <c r="BT65"/>
  <c r="BT66"/>
  <c r="D76" i="2"/>
  <c r="F76"/>
  <c r="BA57" i="1"/>
  <c r="BU64"/>
  <c r="BU65"/>
  <c r="K18" i="2"/>
  <c r="M64" i="1"/>
  <c r="M65"/>
  <c r="M66"/>
  <c r="D13" i="2"/>
  <c r="F13"/>
  <c r="E110" i="20"/>
  <c r="F105"/>
  <c r="B11" i="18"/>
  <c r="D14" i="16"/>
  <c r="D6" i="18"/>
  <c r="C26" i="16"/>
  <c r="F124" i="20"/>
  <c r="E129"/>
  <c r="F85"/>
  <c r="E90"/>
  <c r="E21" i="16"/>
  <c r="F15"/>
  <c r="D77" i="12"/>
  <c r="D69"/>
  <c r="H69"/>
  <c r="Y30" i="1"/>
  <c r="AA30"/>
  <c r="AA31"/>
  <c r="X30"/>
  <c r="X31"/>
  <c r="AY30"/>
  <c r="BF64"/>
  <c r="BF65"/>
  <c r="M15" i="13"/>
  <c r="K37" i="2"/>
  <c r="G37"/>
  <c r="E78" i="12"/>
  <c r="E58"/>
  <c r="E81"/>
  <c r="F46"/>
  <c r="N29"/>
  <c r="E47"/>
  <c r="E70"/>
  <c r="AE5"/>
  <c r="AH5"/>
  <c r="AE13"/>
  <c r="AH13"/>
  <c r="AE12"/>
  <c r="AH12"/>
  <c r="AE10"/>
  <c r="AH10"/>
  <c r="AE7"/>
  <c r="AH7"/>
  <c r="AE9"/>
  <c r="AH9"/>
  <c r="AE8"/>
  <c r="AH8"/>
  <c r="AE11"/>
  <c r="AH11"/>
  <c r="AE6"/>
  <c r="AH6"/>
  <c r="AE64" i="1"/>
  <c r="AE65"/>
  <c r="AE66"/>
  <c r="D32" i="2"/>
  <c r="F32"/>
  <c r="W57" i="1"/>
  <c r="P22"/>
  <c r="R27"/>
  <c r="R22"/>
  <c r="P21"/>
  <c r="S28"/>
  <c r="V22"/>
  <c r="R23"/>
  <c r="Q26"/>
  <c r="Q23"/>
  <c r="P24"/>
  <c r="P25"/>
  <c r="P20"/>
  <c r="Q21"/>
  <c r="S24"/>
  <c r="Y31"/>
  <c r="AD64"/>
  <c r="AD65"/>
  <c r="AD66"/>
  <c r="D31" i="2"/>
  <c r="F31"/>
  <c r="X10" i="12"/>
  <c r="AA10"/>
  <c r="X9"/>
  <c r="AA9"/>
  <c r="X13"/>
  <c r="AA13"/>
  <c r="X11"/>
  <c r="AA11"/>
  <c r="X8"/>
  <c r="AA8"/>
  <c r="X6"/>
  <c r="AA6"/>
  <c r="X5"/>
  <c r="AA5"/>
  <c r="X12"/>
  <c r="AA12"/>
  <c r="X7"/>
  <c r="AA7"/>
  <c r="Y11"/>
  <c r="AB11"/>
  <c r="Y10"/>
  <c r="AB10"/>
  <c r="Y6"/>
  <c r="AB6"/>
  <c r="Y7"/>
  <c r="AB7"/>
  <c r="Y5"/>
  <c r="AB5"/>
  <c r="Y9"/>
  <c r="AB9"/>
  <c r="Y13"/>
  <c r="AB13"/>
  <c r="Y8"/>
  <c r="AB8"/>
  <c r="Y12"/>
  <c r="AB12"/>
  <c r="E74"/>
  <c r="I74"/>
  <c r="I77"/>
  <c r="E54"/>
  <c r="AD9"/>
  <c r="AG9"/>
  <c r="AD7"/>
  <c r="AG7"/>
  <c r="AD13"/>
  <c r="AG13"/>
  <c r="AD8"/>
  <c r="AG8"/>
  <c r="AD11"/>
  <c r="AG11"/>
  <c r="AD10"/>
  <c r="AG10"/>
  <c r="AD6"/>
  <c r="AG6"/>
  <c r="AD12"/>
  <c r="AG12"/>
  <c r="AD5"/>
  <c r="AG5"/>
  <c r="K36" i="2"/>
  <c r="G36"/>
  <c r="O46" i="1"/>
  <c r="N56"/>
  <c r="N57"/>
  <c r="R57"/>
  <c r="Z64"/>
  <c r="Z65"/>
  <c r="Z66"/>
  <c r="D27" i="2"/>
  <c r="F27"/>
  <c r="M10" i="12"/>
  <c r="P10"/>
  <c r="M8"/>
  <c r="P8"/>
  <c r="M11"/>
  <c r="P11"/>
  <c r="M9"/>
  <c r="P9"/>
  <c r="M13"/>
  <c r="P13"/>
  <c r="M7"/>
  <c r="P7"/>
  <c r="M6"/>
  <c r="P6"/>
  <c r="M12"/>
  <c r="P12"/>
  <c r="M5"/>
  <c r="P5"/>
  <c r="AY31" i="1"/>
  <c r="AV30"/>
  <c r="AW20"/>
  <c r="Z30"/>
  <c r="N14" i="12"/>
  <c r="D47"/>
  <c r="Z14"/>
  <c r="D55"/>
  <c r="BF27" i="1"/>
  <c r="BE21"/>
  <c r="BD24"/>
  <c r="BD25"/>
  <c r="BD21"/>
  <c r="BG24"/>
  <c r="BE26"/>
  <c r="BG28"/>
  <c r="BF23"/>
  <c r="BD22"/>
  <c r="BD20"/>
  <c r="BE23"/>
  <c r="BI20"/>
  <c r="BH30"/>
  <c r="BH31"/>
  <c r="K35" i="2"/>
  <c r="G35"/>
  <c r="L35"/>
  <c r="L48"/>
  <c r="T46" i="1"/>
  <c r="S56"/>
  <c r="S57"/>
  <c r="L11" i="12"/>
  <c r="O11"/>
  <c r="L13"/>
  <c r="O13"/>
  <c r="L12"/>
  <c r="O12"/>
  <c r="L6"/>
  <c r="O6"/>
  <c r="L7"/>
  <c r="O7"/>
  <c r="L5"/>
  <c r="O5"/>
  <c r="L8"/>
  <c r="O8"/>
  <c r="L9"/>
  <c r="O9"/>
  <c r="L10"/>
  <c r="O10"/>
  <c r="AQ24" i="1"/>
  <c r="AP22"/>
  <c r="AO21"/>
  <c r="AN21"/>
  <c r="AT22"/>
  <c r="AQ28"/>
  <c r="AN24"/>
  <c r="AO26"/>
  <c r="AO23"/>
  <c r="AN20"/>
  <c r="AP27"/>
  <c r="AN25"/>
  <c r="AN22"/>
  <c r="AP23"/>
  <c r="AR20"/>
  <c r="AR21"/>
  <c r="AS26"/>
  <c r="AU24"/>
  <c r="AS21"/>
  <c r="AU28"/>
  <c r="AT23"/>
  <c r="AT27"/>
  <c r="AR24"/>
  <c r="AR25"/>
  <c r="AS23"/>
  <c r="AR22"/>
  <c r="AZ20"/>
  <c r="BB22"/>
  <c r="AZ22"/>
  <c r="BA26"/>
  <c r="BA23"/>
  <c r="BA21"/>
  <c r="BC24"/>
  <c r="AZ24"/>
  <c r="BB27"/>
  <c r="AZ25"/>
  <c r="AZ21"/>
  <c r="BB23"/>
  <c r="BF22"/>
  <c r="BC28"/>
  <c r="T20"/>
  <c r="U23"/>
  <c r="T21"/>
  <c r="V27"/>
  <c r="W28"/>
  <c r="T24"/>
  <c r="V23"/>
  <c r="U21"/>
  <c r="T25"/>
  <c r="U26"/>
  <c r="W24"/>
  <c r="W30"/>
  <c r="W31"/>
  <c r="T22"/>
  <c r="AF14" i="12"/>
  <c r="D59"/>
  <c r="P29"/>
  <c r="E49"/>
  <c r="E72"/>
  <c r="P13" i="2"/>
  <c r="G13"/>
  <c r="Q13"/>
  <c r="R13"/>
  <c r="R18"/>
  <c r="J11" i="13"/>
  <c r="J14"/>
  <c r="C11"/>
  <c r="C14"/>
  <c r="AE46" i="1"/>
  <c r="AE56"/>
  <c r="AD56"/>
  <c r="AX56"/>
  <c r="AY46"/>
  <c r="AY56"/>
  <c r="P47" i="2"/>
  <c r="G47"/>
  <c r="AS56" i="1"/>
  <c r="AT46"/>
  <c r="AT56"/>
  <c r="T42" i="2"/>
  <c r="G42"/>
  <c r="Y56" i="1"/>
  <c r="Z46"/>
  <c r="Z56"/>
  <c r="N64"/>
  <c r="N65"/>
  <c r="N66"/>
  <c r="D14" i="2"/>
  <c r="F14"/>
  <c r="O64" i="1"/>
  <c r="O65"/>
  <c r="O66"/>
  <c r="D15" i="2"/>
  <c r="F15"/>
  <c r="J69" i="12"/>
  <c r="E82" i="20"/>
  <c r="F82"/>
  <c r="G82"/>
  <c r="H82"/>
  <c r="P76" i="2"/>
  <c r="G76"/>
  <c r="P46"/>
  <c r="G46"/>
  <c r="AC57" i="1"/>
  <c r="AO64"/>
  <c r="AO65"/>
  <c r="AO66"/>
  <c r="D43" i="2"/>
  <c r="F43"/>
  <c r="Y64" i="1"/>
  <c r="Y65"/>
  <c r="Y66"/>
  <c r="D26" i="2"/>
  <c r="F26"/>
  <c r="E82" i="12"/>
  <c r="E62"/>
  <c r="E85"/>
  <c r="AW57" i="1"/>
  <c r="BQ64"/>
  <c r="BQ65"/>
  <c r="G10" i="2"/>
  <c r="T10"/>
  <c r="T18"/>
  <c r="L11" i="13"/>
  <c r="L14"/>
  <c r="L15"/>
  <c r="G72" i="2"/>
  <c r="T72"/>
  <c r="AR57" i="1"/>
  <c r="T41" i="2"/>
  <c r="G41"/>
  <c r="X57" i="1"/>
  <c r="AJ64"/>
  <c r="AJ65"/>
  <c r="AJ66"/>
  <c r="D38" i="2"/>
  <c r="F38"/>
  <c r="F21" i="16"/>
  <c r="G15"/>
  <c r="F110" i="20"/>
  <c r="G105"/>
  <c r="G85"/>
  <c r="F90"/>
  <c r="G124"/>
  <c r="F129"/>
  <c r="D12" i="18"/>
  <c r="D11"/>
  <c r="C11"/>
  <c r="D13"/>
  <c r="H8" i="13"/>
  <c r="H9"/>
  <c r="I8"/>
  <c r="I9"/>
  <c r="J8"/>
  <c r="J9"/>
  <c r="I69" i="12"/>
  <c r="K48" i="2"/>
  <c r="J15" i="13"/>
  <c r="S30" i="1"/>
  <c r="P14" i="12"/>
  <c r="D49"/>
  <c r="D72"/>
  <c r="AO20" i="1"/>
  <c r="AN30"/>
  <c r="U46"/>
  <c r="U56"/>
  <c r="U57"/>
  <c r="T56"/>
  <c r="D78" i="12"/>
  <c r="I78"/>
  <c r="Z31" i="1"/>
  <c r="AC64"/>
  <c r="AC65"/>
  <c r="AW30"/>
  <c r="AX20"/>
  <c r="AX30"/>
  <c r="P46"/>
  <c r="P56"/>
  <c r="P57"/>
  <c r="O56"/>
  <c r="O57"/>
  <c r="E77" i="12"/>
  <c r="H77"/>
  <c r="F54"/>
  <c r="P30" i="1"/>
  <c r="Q20"/>
  <c r="AU30"/>
  <c r="BG30"/>
  <c r="I72" i="12"/>
  <c r="E50"/>
  <c r="E73"/>
  <c r="AB14"/>
  <c r="D57"/>
  <c r="D80"/>
  <c r="I80"/>
  <c r="AA64" i="1"/>
  <c r="AA65"/>
  <c r="AA66"/>
  <c r="D28" i="2"/>
  <c r="F28"/>
  <c r="AH14" i="12"/>
  <c r="D61"/>
  <c r="D84"/>
  <c r="I84"/>
  <c r="D82"/>
  <c r="I82"/>
  <c r="T30" i="1"/>
  <c r="U20"/>
  <c r="BA20"/>
  <c r="AZ30"/>
  <c r="AR30"/>
  <c r="AS20"/>
  <c r="BJ20"/>
  <c r="BJ30"/>
  <c r="BJ31"/>
  <c r="BI30"/>
  <c r="BI31"/>
  <c r="BD30"/>
  <c r="BE20"/>
  <c r="D70" i="12"/>
  <c r="I70"/>
  <c r="BC64" i="1"/>
  <c r="BC65"/>
  <c r="AV31"/>
  <c r="T27" i="2"/>
  <c r="G27"/>
  <c r="P31"/>
  <c r="G31"/>
  <c r="P32"/>
  <c r="G32"/>
  <c r="BC30" i="1"/>
  <c r="AQ30"/>
  <c r="O14" i="12"/>
  <c r="D48"/>
  <c r="D71"/>
  <c r="I71"/>
  <c r="AG14"/>
  <c r="D60"/>
  <c r="D83"/>
  <c r="I83"/>
  <c r="AA14"/>
  <c r="D56"/>
  <c r="D79"/>
  <c r="I79"/>
  <c r="G26" i="2"/>
  <c r="T26"/>
  <c r="P43"/>
  <c r="R43"/>
  <c r="R48"/>
  <c r="G43"/>
  <c r="Q43"/>
  <c r="Q14"/>
  <c r="Q18"/>
  <c r="I11" i="13"/>
  <c r="I14"/>
  <c r="I15"/>
  <c r="P14" i="2"/>
  <c r="G14"/>
  <c r="Z57" i="1"/>
  <c r="AL64"/>
  <c r="AL65"/>
  <c r="AL66"/>
  <c r="D40" i="2"/>
  <c r="F40"/>
  <c r="AT57" i="1"/>
  <c r="AY57"/>
  <c r="AD57"/>
  <c r="AP64"/>
  <c r="AP65"/>
  <c r="AP66"/>
  <c r="D44" i="2"/>
  <c r="F44"/>
  <c r="C15" i="13"/>
  <c r="C16"/>
  <c r="D16"/>
  <c r="E16"/>
  <c r="F16"/>
  <c r="G16"/>
  <c r="C25" i="16"/>
  <c r="C28"/>
  <c r="J49" i="2"/>
  <c r="J63"/>
  <c r="V63"/>
  <c r="F25" i="3"/>
  <c r="T38" i="2"/>
  <c r="U38"/>
  <c r="G38"/>
  <c r="D102" i="20"/>
  <c r="D121"/>
  <c r="D82"/>
  <c r="P15" i="2"/>
  <c r="G15"/>
  <c r="Y57" i="1"/>
  <c r="AK64"/>
  <c r="AK65"/>
  <c r="AK66"/>
  <c r="D39" i="2"/>
  <c r="F39"/>
  <c r="AS57" i="1"/>
  <c r="AX57"/>
  <c r="AE57"/>
  <c r="AQ64"/>
  <c r="AQ65"/>
  <c r="AQ66"/>
  <c r="D45" i="2"/>
  <c r="F45"/>
  <c r="D22" i="16"/>
  <c r="E11" i="18"/>
  <c r="G110" i="20"/>
  <c r="H105"/>
  <c r="H110"/>
  <c r="H124"/>
  <c r="H129"/>
  <c r="G129"/>
  <c r="G90"/>
  <c r="H85"/>
  <c r="H15" i="16"/>
  <c r="G21"/>
  <c r="D6"/>
  <c r="D7"/>
  <c r="N9" i="13"/>
  <c r="H25" i="16"/>
  <c r="H4" i="2"/>
  <c r="BS64" i="1"/>
  <c r="BS65"/>
  <c r="BR64"/>
  <c r="BR65"/>
  <c r="BR66"/>
  <c r="D74" i="2"/>
  <c r="F74"/>
  <c r="Q74"/>
  <c r="Q78"/>
  <c r="P18"/>
  <c r="V18"/>
  <c r="C25" i="3"/>
  <c r="U64" i="1"/>
  <c r="U65"/>
  <c r="U66"/>
  <c r="D22" i="2"/>
  <c r="F22"/>
  <c r="S31" i="1"/>
  <c r="I73" i="12"/>
  <c r="AW64" i="1"/>
  <c r="AW65"/>
  <c r="AQ31"/>
  <c r="BD31"/>
  <c r="BL64"/>
  <c r="BL65"/>
  <c r="BL66"/>
  <c r="D68" i="2"/>
  <c r="F68"/>
  <c r="AR31" i="1"/>
  <c r="AX64"/>
  <c r="AX65"/>
  <c r="BB20"/>
  <c r="BB30"/>
  <c r="BA30"/>
  <c r="T31"/>
  <c r="V64"/>
  <c r="V65"/>
  <c r="V66"/>
  <c r="D23" i="2"/>
  <c r="F23"/>
  <c r="Q28"/>
  <c r="R28"/>
  <c r="R33"/>
  <c r="P28"/>
  <c r="G28"/>
  <c r="BG31" i="1"/>
  <c r="BO64"/>
  <c r="BO65"/>
  <c r="BO66"/>
  <c r="D71" i="2"/>
  <c r="F71"/>
  <c r="R20" i="1"/>
  <c r="R30"/>
  <c r="Q30"/>
  <c r="BE64"/>
  <c r="BE65"/>
  <c r="AX31"/>
  <c r="T57"/>
  <c r="AB64"/>
  <c r="AB65"/>
  <c r="AB66"/>
  <c r="D29" i="2"/>
  <c r="F29"/>
  <c r="AN31" i="1"/>
  <c r="AT64"/>
  <c r="AT65"/>
  <c r="D62" i="12"/>
  <c r="I81"/>
  <c r="BC31" i="1"/>
  <c r="BK64"/>
  <c r="BK65"/>
  <c r="BK66"/>
  <c r="D67" i="2"/>
  <c r="F67"/>
  <c r="BE30" i="1"/>
  <c r="BF20"/>
  <c r="BF30"/>
  <c r="AT20"/>
  <c r="AT30"/>
  <c r="AS30"/>
  <c r="BH64"/>
  <c r="BH65"/>
  <c r="BH66"/>
  <c r="D64" i="2"/>
  <c r="F64"/>
  <c r="AZ31" i="1"/>
  <c r="U30"/>
  <c r="V20"/>
  <c r="V30"/>
  <c r="AU31"/>
  <c r="BA64"/>
  <c r="BA65"/>
  <c r="P31"/>
  <c r="R64"/>
  <c r="R65"/>
  <c r="R66"/>
  <c r="D19" i="2"/>
  <c r="F19"/>
  <c r="AW31" i="1"/>
  <c r="BD64"/>
  <c r="BD65"/>
  <c r="AP20"/>
  <c r="AP30"/>
  <c r="AO30"/>
  <c r="D50" i="12"/>
  <c r="I85"/>
  <c r="J77"/>
  <c r="D58"/>
  <c r="H11" i="13"/>
  <c r="H14"/>
  <c r="Q44" i="2"/>
  <c r="Q48"/>
  <c r="G44"/>
  <c r="P44"/>
  <c r="G40"/>
  <c r="T40"/>
  <c r="P45"/>
  <c r="G45"/>
  <c r="P74"/>
  <c r="P78"/>
  <c r="G39"/>
  <c r="U39"/>
  <c r="U48"/>
  <c r="T39"/>
  <c r="T48"/>
  <c r="F27" i="3"/>
  <c r="G123" i="20"/>
  <c r="G13" i="16"/>
  <c r="G16"/>
  <c r="H21"/>
  <c r="H90" i="20"/>
  <c r="B12" i="18"/>
  <c r="G74" i="2"/>
  <c r="K22"/>
  <c r="G22"/>
  <c r="H34"/>
  <c r="P48"/>
  <c r="K19"/>
  <c r="M19"/>
  <c r="M33"/>
  <c r="L19"/>
  <c r="G19"/>
  <c r="K67"/>
  <c r="G67"/>
  <c r="Q29"/>
  <c r="P29"/>
  <c r="G29"/>
  <c r="Q31" i="1"/>
  <c r="S64"/>
  <c r="S65"/>
  <c r="S66"/>
  <c r="D20" i="2"/>
  <c r="F20"/>
  <c r="T71"/>
  <c r="G71"/>
  <c r="U23"/>
  <c r="U33"/>
  <c r="J34"/>
  <c r="J48"/>
  <c r="T23"/>
  <c r="G23"/>
  <c r="BI64" i="1"/>
  <c r="BI65"/>
  <c r="BI66"/>
  <c r="D65" i="2"/>
  <c r="F65"/>
  <c r="BA31" i="1"/>
  <c r="T68" i="2"/>
  <c r="G68"/>
  <c r="U68"/>
  <c r="U78"/>
  <c r="D81" i="12"/>
  <c r="H81"/>
  <c r="J81"/>
  <c r="F58"/>
  <c r="AO31" i="1"/>
  <c r="AU64"/>
  <c r="AU65"/>
  <c r="V31"/>
  <c r="X64"/>
  <c r="X65"/>
  <c r="X66"/>
  <c r="D25" i="2"/>
  <c r="F25"/>
  <c r="AS31" i="1"/>
  <c r="AY64"/>
  <c r="AY65"/>
  <c r="BF31"/>
  <c r="BN64"/>
  <c r="BN65"/>
  <c r="BN66"/>
  <c r="D70" i="2"/>
  <c r="F70"/>
  <c r="F6" i="16"/>
  <c r="F7"/>
  <c r="F121" i="20"/>
  <c r="F102"/>
  <c r="F50" i="12"/>
  <c r="D73"/>
  <c r="H73"/>
  <c r="J73"/>
  <c r="AV64" i="1"/>
  <c r="AV65"/>
  <c r="AP31"/>
  <c r="U31"/>
  <c r="W64"/>
  <c r="W65"/>
  <c r="M64" i="2"/>
  <c r="M78"/>
  <c r="L64"/>
  <c r="G64"/>
  <c r="K64"/>
  <c r="AT31" i="1"/>
  <c r="AZ64"/>
  <c r="AZ65"/>
  <c r="BE31"/>
  <c r="BM64"/>
  <c r="BM65"/>
  <c r="D85" i="12"/>
  <c r="H85"/>
  <c r="J85"/>
  <c r="F62"/>
  <c r="T64" i="1"/>
  <c r="T65"/>
  <c r="T66"/>
  <c r="D21" i="2"/>
  <c r="F21"/>
  <c r="R31" i="1"/>
  <c r="BB31"/>
  <c r="BJ64"/>
  <c r="BJ65"/>
  <c r="BJ66"/>
  <c r="D66" i="2"/>
  <c r="F66"/>
  <c r="P33"/>
  <c r="Q33"/>
  <c r="N14" i="13"/>
  <c r="H15"/>
  <c r="H16"/>
  <c r="I16"/>
  <c r="J16"/>
  <c r="K16"/>
  <c r="L16"/>
  <c r="M16"/>
  <c r="D84" i="20"/>
  <c r="D86"/>
  <c r="D87"/>
  <c r="D88"/>
  <c r="D89"/>
  <c r="D92"/>
  <c r="D104"/>
  <c r="D106"/>
  <c r="D107"/>
  <c r="D108"/>
  <c r="D109"/>
  <c r="D112"/>
  <c r="H84"/>
  <c r="H86"/>
  <c r="H87"/>
  <c r="H88"/>
  <c r="H89"/>
  <c r="H92"/>
  <c r="E84"/>
  <c r="E86"/>
  <c r="E87"/>
  <c r="E88"/>
  <c r="E89"/>
  <c r="E92"/>
  <c r="D13" i="16"/>
  <c r="D16"/>
  <c r="D17"/>
  <c r="D18"/>
  <c r="D19"/>
  <c r="G84" i="20"/>
  <c r="G86"/>
  <c r="G87"/>
  <c r="G88"/>
  <c r="G89"/>
  <c r="G92"/>
  <c r="F84"/>
  <c r="F86"/>
  <c r="F87"/>
  <c r="F88"/>
  <c r="F89"/>
  <c r="F92"/>
  <c r="E61"/>
  <c r="D123"/>
  <c r="D125"/>
  <c r="D126"/>
  <c r="D127"/>
  <c r="C27" i="3"/>
  <c r="E14" i="16"/>
  <c r="C12" i="18"/>
  <c r="V48" i="2"/>
  <c r="E25" i="3"/>
  <c r="C95" i="20"/>
  <c r="C153"/>
  <c r="K66" i="2"/>
  <c r="G66"/>
  <c r="E121" i="20"/>
  <c r="E6" i="16"/>
  <c r="E7"/>
  <c r="E102" i="20"/>
  <c r="H102"/>
  <c r="G102"/>
  <c r="G6" i="16"/>
  <c r="G7"/>
  <c r="G17"/>
  <c r="G18"/>
  <c r="G19"/>
  <c r="G20"/>
  <c r="G28"/>
  <c r="D10" i="19"/>
  <c r="G121" i="20"/>
  <c r="G125"/>
  <c r="G126"/>
  <c r="G127"/>
  <c r="G128"/>
  <c r="G131"/>
  <c r="G20" i="2"/>
  <c r="L20"/>
  <c r="L33"/>
  <c r="K20"/>
  <c r="D128" i="20"/>
  <c r="D131"/>
  <c r="K21" i="2"/>
  <c r="K33"/>
  <c r="G21"/>
  <c r="H6" i="16"/>
  <c r="H7"/>
  <c r="H121" i="20"/>
  <c r="G70" i="2"/>
  <c r="T70"/>
  <c r="T25"/>
  <c r="G25"/>
  <c r="L65"/>
  <c r="L78"/>
  <c r="G65"/>
  <c r="K65"/>
  <c r="T78"/>
  <c r="T33"/>
  <c r="D20" i="16"/>
  <c r="D28"/>
  <c r="E22"/>
  <c r="E12" i="18"/>
  <c r="K78" i="2"/>
  <c r="V78"/>
  <c r="G25" i="3"/>
  <c r="H13" i="16"/>
  <c r="H16"/>
  <c r="H17"/>
  <c r="H19" i="2"/>
  <c r="E27" i="3"/>
  <c r="H104" i="20"/>
  <c r="F104"/>
  <c r="F106"/>
  <c r="F107"/>
  <c r="F108"/>
  <c r="F109"/>
  <c r="F112"/>
  <c r="F13" i="16"/>
  <c r="F123" i="20"/>
  <c r="F125"/>
  <c r="F126"/>
  <c r="F127"/>
  <c r="G104"/>
  <c r="G106"/>
  <c r="G107"/>
  <c r="G108"/>
  <c r="G109"/>
  <c r="G112"/>
  <c r="E62"/>
  <c r="H106"/>
  <c r="H107"/>
  <c r="H108"/>
  <c r="H109"/>
  <c r="H112"/>
  <c r="E63"/>
  <c r="G27" i="3"/>
  <c r="V33" i="2"/>
  <c r="D25" i="3"/>
  <c r="D7" i="19"/>
  <c r="H64" i="2"/>
  <c r="B13" i="18"/>
  <c r="F128" i="20"/>
  <c r="F131"/>
  <c r="H123"/>
  <c r="H125"/>
  <c r="H126"/>
  <c r="H127"/>
  <c r="H128"/>
  <c r="H131"/>
  <c r="E123"/>
  <c r="E125"/>
  <c r="E126"/>
  <c r="E127"/>
  <c r="E128"/>
  <c r="E131"/>
  <c r="E104"/>
  <c r="E106"/>
  <c r="E107"/>
  <c r="E108"/>
  <c r="E109"/>
  <c r="E112"/>
  <c r="C115"/>
  <c r="C154"/>
  <c r="D27" i="3"/>
  <c r="E13" i="16"/>
  <c r="E16"/>
  <c r="E17"/>
  <c r="E18"/>
  <c r="E19"/>
  <c r="E20"/>
  <c r="E28"/>
  <c r="H18"/>
  <c r="H19"/>
  <c r="C13" i="18"/>
  <c r="F14" i="16"/>
  <c r="F16"/>
  <c r="F17"/>
  <c r="C134" i="20"/>
  <c r="C155"/>
  <c r="H20" i="16"/>
  <c r="H28"/>
  <c r="D11" i="19"/>
  <c r="D8"/>
  <c r="F18" i="16"/>
  <c r="F19"/>
  <c r="F20"/>
  <c r="F22"/>
  <c r="E13" i="18"/>
  <c r="F28" i="16"/>
  <c r="C31"/>
  <c r="D9" i="19"/>
  <c r="C32" i="16"/>
  <c r="C39" i="21"/>
  <c r="P42" i="28"/>
  <c r="Q42"/>
  <c r="R42"/>
  <c r="S42"/>
  <c r="T42"/>
  <c r="F5" i="19" l="1"/>
  <c r="E7" l="1"/>
  <c r="F7" s="1"/>
  <c r="C8" s="1"/>
  <c r="E8"/>
  <c r="F8" s="1"/>
  <c r="C9" l="1"/>
  <c r="E9" l="1"/>
  <c r="F9" s="1"/>
  <c r="C10" s="1"/>
  <c r="E10" l="1"/>
  <c r="F10" s="1"/>
  <c r="C11" s="1"/>
  <c r="E11" s="1"/>
  <c r="F11" s="1"/>
</calcChain>
</file>

<file path=xl/comments1.xml><?xml version="1.0" encoding="utf-8"?>
<comments xmlns="http://schemas.openxmlformats.org/spreadsheetml/2006/main">
  <authors>
    <author>Monica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Obtenido de la inv mercados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Obtenido de la inv mercados</t>
        </r>
      </text>
    </comment>
  </commentList>
</comments>
</file>

<file path=xl/comments2.xml><?xml version="1.0" encoding="utf-8"?>
<comments xmlns="http://schemas.openxmlformats.org/spreadsheetml/2006/main">
  <authors>
    <author>Monica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USD 288.00 RADIO
USD 100.00 VOLANTES</t>
        </r>
      </text>
    </comment>
  </commentList>
</comments>
</file>

<file path=xl/comments3.xml><?xml version="1.0" encoding="utf-8"?>
<comments xmlns="http://schemas.openxmlformats.org/spreadsheetml/2006/main">
  <authors>
    <author>Monica</author>
  </authors>
  <commentList>
    <comment ref="C19" authorId="0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Obtenido de la inv mercados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Obtenido de la inv mercados</t>
        </r>
      </text>
    </comment>
  </commentList>
</comments>
</file>

<file path=xl/sharedStrings.xml><?xml version="1.0" encoding="utf-8"?>
<sst xmlns="http://schemas.openxmlformats.org/spreadsheetml/2006/main" count="1661" uniqueCount="601">
  <si>
    <t>Participación</t>
  </si>
  <si>
    <t>Matematicas-Fisica-Quimica</t>
  </si>
  <si>
    <t>Matemáticas-Física</t>
  </si>
  <si>
    <t>Matemáticas – Química</t>
  </si>
  <si>
    <t>Física – Química</t>
  </si>
  <si>
    <t>Matemáticas-Contabilidad</t>
  </si>
  <si>
    <t>Matemáticas</t>
  </si>
  <si>
    <t>Física</t>
  </si>
  <si>
    <t>Química</t>
  </si>
  <si>
    <t>Contabilidad</t>
  </si>
  <si>
    <t>Demanda Anual:</t>
  </si>
  <si>
    <t>Invierno (66.67%):</t>
  </si>
  <si>
    <t>Verano (33.33%):</t>
  </si>
  <si>
    <t>Invierno I</t>
  </si>
  <si>
    <t>Invierno I (50%):</t>
  </si>
  <si>
    <t>invierno II(50%):</t>
  </si>
  <si>
    <t xml:space="preserve">Química </t>
  </si>
  <si>
    <t>Año 1</t>
  </si>
  <si>
    <t>Año 2</t>
  </si>
  <si>
    <t>Año 3</t>
  </si>
  <si>
    <t>Año 4</t>
  </si>
  <si>
    <t>Año 5</t>
  </si>
  <si>
    <t>Invierno II</t>
  </si>
  <si>
    <t>Verano</t>
  </si>
  <si>
    <t>Otras materias</t>
  </si>
  <si>
    <t>AÑO 1</t>
  </si>
  <si>
    <t>AÑO 2</t>
  </si>
  <si>
    <t>AÑO 3</t>
  </si>
  <si>
    <t>AÑO 4</t>
  </si>
  <si>
    <t>AÑO 5</t>
  </si>
  <si>
    <t># cursos</t>
  </si>
  <si>
    <t xml:space="preserve">alumnos </t>
  </si>
  <si>
    <t>Universitarios</t>
  </si>
  <si>
    <t>Pre-Universitarios</t>
  </si>
  <si>
    <t>Otras</t>
  </si>
  <si>
    <t># alumnos</t>
  </si>
  <si>
    <t># alumnos totales</t>
  </si>
  <si>
    <t># cursos totales</t>
  </si>
  <si>
    <t>Total anual</t>
  </si>
  <si>
    <t>Sueldo por curso 30h</t>
  </si>
  <si>
    <t xml:space="preserve">Sueldo Total </t>
  </si>
  <si>
    <t xml:space="preserve">Total curso completo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</si>
  <si>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</si>
  <si>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</si>
  <si>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</si>
  <si>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</si>
  <si>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</si>
  <si>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</si>
  <si>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</si>
  <si>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</si>
  <si>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</si>
  <si>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</si>
  <si>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</si>
  <si>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</si>
  <si>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Invierno II (66.67%):</t>
  </si>
  <si>
    <t>Valor Hora Clase:</t>
  </si>
  <si>
    <t>TOTAL</t>
  </si>
  <si>
    <t>TOTAL ANUAL</t>
  </si>
  <si>
    <t>ANEXO # 2</t>
  </si>
  <si>
    <t>Capital de Trabajo</t>
  </si>
  <si>
    <t>INGRESOS</t>
  </si>
  <si>
    <t>Negocio Propio</t>
  </si>
  <si>
    <t>TOTAL INGRESOS</t>
  </si>
  <si>
    <t>EGRESOS</t>
  </si>
  <si>
    <t>Costos Variables</t>
  </si>
  <si>
    <t>Costos Fijos Administrativos</t>
  </si>
  <si>
    <t>Otros Costos Fijos</t>
  </si>
  <si>
    <t>TOTAL EGRESOS</t>
  </si>
  <si>
    <t>SALDO MENSUAL</t>
  </si>
  <si>
    <t>SALDO ACUMULADO</t>
  </si>
  <si>
    <t>COSTOS VARIABLES</t>
  </si>
  <si>
    <t>$ POR HORA</t>
  </si>
  <si>
    <t>HORAS TRABAJO PROFESOR</t>
  </si>
  <si>
    <t>PROYECCION COSTOS VARIABLES</t>
  </si>
  <si>
    <t xml:space="preserve">Sueldos profesores </t>
  </si>
  <si>
    <t xml:space="preserve">Enero </t>
  </si>
  <si>
    <t xml:space="preserve">Verano </t>
  </si>
  <si>
    <t>TOTAL COSTOS VARIABLES</t>
  </si>
  <si>
    <t>COSTOS ADMINISTRATIVOS</t>
  </si>
  <si>
    <t>MENSUAL</t>
  </si>
  <si>
    <t>ANUAL</t>
  </si>
  <si>
    <t>SECRETARIAS (2)</t>
  </si>
  <si>
    <t>PERSONAL DE LIMPIEZA</t>
  </si>
  <si>
    <t>PERSONAL DE MENSAJERÍA</t>
  </si>
  <si>
    <t>DIRECTOR</t>
  </si>
  <si>
    <t>TOTAL COSTOS ADMINISTRATIVOS</t>
  </si>
  <si>
    <t>PROYECCION DE COSTOS ADMINISTRATIVOS</t>
  </si>
  <si>
    <t>Periodo</t>
  </si>
  <si>
    <t>SECRETARIAS</t>
  </si>
  <si>
    <t>Costos Fijos</t>
  </si>
  <si>
    <t>OTROS COSTOS FIJOS</t>
  </si>
  <si>
    <t>ARRIENDO Y AGUA POTABLE</t>
  </si>
  <si>
    <t>ENERGÍA ELÉCTRICA</t>
  </si>
  <si>
    <t>SERVICIO TELEFÓNICO</t>
  </si>
  <si>
    <t>SERVICIO DE INTERNET</t>
  </si>
  <si>
    <t>HOSTING DE INTERNET ANUAL</t>
  </si>
  <si>
    <t>-</t>
  </si>
  <si>
    <t>SUMINISTROS OFICINA</t>
  </si>
  <si>
    <t>SUMINISTROS PARA AULAS</t>
  </si>
  <si>
    <t>PUBLICIDAD</t>
  </si>
  <si>
    <t>COSTOS FIJOS ANUALES</t>
  </si>
  <si>
    <t>Otros Gastos</t>
  </si>
  <si>
    <t>PROYECCION DE COSTOS FIJOS</t>
  </si>
  <si>
    <t>SUMINISTROS AULAS</t>
  </si>
  <si>
    <t xml:space="preserve">SUMINISTROS </t>
  </si>
  <si>
    <t>Costos Fijos Totales</t>
  </si>
  <si>
    <t>INVERSION INICIAL</t>
  </si>
  <si>
    <t xml:space="preserve">INGRESOS </t>
  </si>
  <si>
    <t xml:space="preserve">TOTAL INGRESOS </t>
  </si>
  <si>
    <t xml:space="preserve">EGRESOS </t>
  </si>
  <si>
    <t>GASTOS ADMINISTRATIVOS</t>
  </si>
  <si>
    <t>GASTOS DE PUBLICIDAD</t>
  </si>
  <si>
    <t>GASTOS SUELDO  PROFESORES</t>
  </si>
  <si>
    <t xml:space="preserve">TOTAL EGRESOS </t>
  </si>
  <si>
    <t>UTILIDAD NETA</t>
  </si>
  <si>
    <t>DEPRECIACION</t>
  </si>
  <si>
    <t>AMORTIZACIÓN DE CAPITAL</t>
  </si>
  <si>
    <t>CAPITAL DE TRABAJO</t>
  </si>
  <si>
    <t>PRESTAMO</t>
  </si>
  <si>
    <t>VALOR DE DESECHO</t>
  </si>
  <si>
    <t>FLUJO DE CAJA</t>
  </si>
  <si>
    <t xml:space="preserve">TMAR </t>
  </si>
  <si>
    <t xml:space="preserve">TIR </t>
  </si>
  <si>
    <t xml:space="preserve"> </t>
  </si>
  <si>
    <t>VALOR DE DESECHO DEL PROYECTO</t>
  </si>
  <si>
    <t>Máquinas</t>
  </si>
  <si>
    <t>Cantidad</t>
  </si>
  <si>
    <t>Costo Unitario (US$)</t>
  </si>
  <si>
    <t>Costo Total (US$)</t>
  </si>
  <si>
    <t>Vida Contable</t>
  </si>
  <si>
    <t>Depreciación Anual</t>
  </si>
  <si>
    <t>Depreciación Acumulada</t>
  </si>
  <si>
    <t>Valor de Desecho</t>
  </si>
  <si>
    <t>Escritorios Secretarias</t>
  </si>
  <si>
    <t>Escritorio Director</t>
  </si>
  <si>
    <t>Escritorio para Computadora</t>
  </si>
  <si>
    <t>Equipo de Computación</t>
  </si>
  <si>
    <t xml:space="preserve">Aire Acondicionado  </t>
  </si>
  <si>
    <t>Pizarrón para tiza líquida</t>
  </si>
  <si>
    <t>Escritorio para Profesor</t>
  </si>
  <si>
    <t xml:space="preserve">Pupitres para Alumnos (sillas individuales) </t>
  </si>
  <si>
    <t>Muebles de Oficina para Biblioteca</t>
  </si>
  <si>
    <t>Fotocopiadora</t>
  </si>
  <si>
    <t>Teléfono</t>
  </si>
  <si>
    <t>Sillas de Espera</t>
  </si>
  <si>
    <t xml:space="preserve">DEPRECIACIÓN </t>
  </si>
  <si>
    <t>VALOR DESECHO</t>
  </si>
  <si>
    <t>GASTOS DE CONSTITUCIÓN</t>
  </si>
  <si>
    <t xml:space="preserve">TABLA DE AMORTIZACION DEL PRESTAMO </t>
  </si>
  <si>
    <t>30% de inversion requerida</t>
  </si>
  <si>
    <t>VALOR PRESTAMO</t>
  </si>
  <si>
    <t>AÑOS PLAZO</t>
  </si>
  <si>
    <t>PAGO ANUAL</t>
  </si>
  <si>
    <t>AÑOS GRACIA</t>
  </si>
  <si>
    <t>INTERES</t>
  </si>
  <si>
    <t>PERIODO</t>
  </si>
  <si>
    <t>CAPITAL</t>
  </si>
  <si>
    <t>TOTAL PAGO</t>
  </si>
  <si>
    <t>SALDO</t>
  </si>
  <si>
    <t>COSTO DEL CRÉDITO</t>
  </si>
  <si>
    <t>TIPO DE CREDITO</t>
  </si>
  <si>
    <t>PLAZOS</t>
  </si>
  <si>
    <t>MONTO FINANCIADO</t>
  </si>
  <si>
    <t>TASA EFECTIVA(2)</t>
  </si>
  <si>
    <t>V. TOTAL A PAGAR POR INTERESES</t>
  </si>
  <si>
    <t>CUOTA MENSUAL</t>
  </si>
  <si>
    <t>M. TOTAL A PAGAR A LA ENTIDAD</t>
  </si>
  <si>
    <t>DE LA </t>
  </si>
  <si>
    <t>MÁXIMA BCE</t>
  </si>
  <si>
    <t>ENTIDAD</t>
  </si>
  <si>
    <t>PRODUCTIVO</t>
  </si>
  <si>
    <t>Productivo Corporativo</t>
  </si>
  <si>
    <t>36 meses</t>
  </si>
  <si>
    <t> &gt; 1.000.000 </t>
  </si>
  <si>
    <t>Productivo Empresarial</t>
  </si>
  <si>
    <t> 1.000.000</t>
  </si>
  <si>
    <t>Productivo Pymes</t>
  </si>
  <si>
    <t>    200.000</t>
  </si>
  <si>
    <t>CONSUMO</t>
  </si>
  <si>
    <t>General</t>
  </si>
  <si>
    <t>24 meses</t>
  </si>
  <si>
    <t>      20.000</t>
  </si>
  <si>
    <t>CONSUMO VEHÍCULOS</t>
  </si>
  <si>
    <t>Vehículos</t>
  </si>
  <si>
    <t>      10.000</t>
  </si>
  <si>
    <t>MICROCREDITO</t>
  </si>
  <si>
    <t>Subsistencia</t>
  </si>
  <si>
    <t>         3.000</t>
  </si>
  <si>
    <t>Acumulación Simple</t>
  </si>
  <si>
    <t>Acumulación Ampliada</t>
  </si>
  <si>
    <t>VIVIENDA</t>
  </si>
  <si>
    <t>Vivienda</t>
  </si>
  <si>
    <t>3 años</t>
  </si>
  <si>
    <t>         5.000</t>
  </si>
  <si>
    <t>5 años</t>
  </si>
  <si>
    <t>(2) Tasa efectiva a la semana del 01 de Julio de 2009</t>
  </si>
  <si>
    <t>TMAR</t>
  </si>
  <si>
    <t>Saldo de inversion</t>
  </si>
  <si>
    <t xml:space="preserve">Flujo de Caja </t>
  </si>
  <si>
    <t>Rentabilidad exigida</t>
  </si>
  <si>
    <t>Recuperacion Inversion</t>
  </si>
  <si>
    <t>DIF.</t>
  </si>
  <si>
    <t>Preuniversitario</t>
  </si>
  <si>
    <t>Precios</t>
  </si>
  <si>
    <t>Total Ingresos</t>
  </si>
  <si>
    <t>Preuniversitarios</t>
  </si>
  <si>
    <t xml:space="preserve">Invierno </t>
  </si>
  <si>
    <t>Universitario</t>
  </si>
  <si>
    <t>Total</t>
  </si>
  <si>
    <t>Ingreso Mensual</t>
  </si>
  <si>
    <t>Ingresos netos</t>
  </si>
  <si>
    <t>ESTIMACIÓN DEMANDA PROYECTADA A 5 AÑOS</t>
  </si>
  <si>
    <t>DEMANDA ANUAL</t>
  </si>
  <si>
    <t>PLANTA BAJA</t>
  </si>
  <si>
    <t>AULA#1</t>
  </si>
  <si>
    <t>HORARIOS DE CLASES</t>
  </si>
  <si>
    <t>AULA#2</t>
  </si>
  <si>
    <t>Lunes a Viernes</t>
  </si>
  <si>
    <t>AULA#3</t>
  </si>
  <si>
    <t>08h30-10h00</t>
  </si>
  <si>
    <t>MATEMÁTICAS</t>
  </si>
  <si>
    <t>CURSO 1</t>
  </si>
  <si>
    <t>10h00-11h30</t>
  </si>
  <si>
    <t>FÍSICA</t>
  </si>
  <si>
    <t>PLANTA ALTA</t>
  </si>
  <si>
    <t>disponible</t>
  </si>
  <si>
    <t>AULA#4</t>
  </si>
  <si>
    <t>16h00-17h30</t>
  </si>
  <si>
    <t>CURSO 2</t>
  </si>
  <si>
    <t>AULA#5</t>
  </si>
  <si>
    <t>17h30-19h00</t>
  </si>
  <si>
    <t>Sábados : Química</t>
  </si>
  <si>
    <t># DE CURSOS:</t>
  </si>
  <si>
    <t>CAPACIDAD  DE ATENCIÓN POR CURSO:</t>
  </si>
  <si>
    <t>100 PERSONAS</t>
  </si>
  <si>
    <t>TOTAL CAPACIDAD DE ATENCIÓN DIARIA:</t>
  </si>
  <si>
    <t>200 PERSONAS</t>
  </si>
  <si>
    <t>DEMANDA INICIAL:</t>
  </si>
  <si>
    <t>ESTIMACIÓN DEMANDA POR TEMPORADAS:</t>
  </si>
  <si>
    <t>En base a la experiencia de otros reconocidos centros de capacitación, la demanda se intensifica en la temporada invernal</t>
  </si>
  <si>
    <t>teniendo las siguientes estimaciones por temporada sobre la demanda total anual:</t>
  </si>
  <si>
    <t>Demanda Verano:</t>
  </si>
  <si>
    <t>del Total anual</t>
  </si>
  <si>
    <t>Demanda Invierno:</t>
  </si>
  <si>
    <t>La demanda esperada para nuestro proyecto sería:</t>
  </si>
  <si>
    <t>Demanda Verano   = 504 x 33,33% =</t>
  </si>
  <si>
    <t>pesonas</t>
  </si>
  <si>
    <t>Demanda Invierno = 504 x 66,67% =</t>
  </si>
  <si>
    <t>personas</t>
  </si>
  <si>
    <t>De acuerdo al diseño del servicio, los cursos de capacitación tendrán una duración de 3 meses, por lo que podrán ofrecerse 2 periodos de estudios</t>
  </si>
  <si>
    <t>durante cada semestre. En este sentido, la demanda de la temporada invernal podrá satisfacerse separándola en los dos periodos de estudios.</t>
  </si>
  <si>
    <t>Cursos de capacitación Invierno-I</t>
  </si>
  <si>
    <t>Cursos de capacitación Invierno-II</t>
  </si>
  <si>
    <t>Por lo tanto, la capacidad diaria necesaria para satisfacer la demanda esperada en la temporada en la que esta se intensifica, deberá ser suficiente</t>
  </si>
  <si>
    <t>para otorgar el servicio a 168 personas por cada periodo de estudios</t>
  </si>
  <si>
    <t xml:space="preserve">Calculando la capacidad anual de ofrecimiento del servicio, estableciendo como capacidad mínima diaria necesaria la requerida para satisfacer la demanda cuando </t>
  </si>
  <si>
    <t>esta se intensifique (temporada invernal), obtenemos los siguientes resultados:</t>
  </si>
  <si>
    <t>Los costos variables representados por la hora clase que se deberá cancelar al profesor, es un costo que se cancela por cada curso dictado y no por cada alumno</t>
  </si>
  <si>
    <t>registrado, por lo tanto habría que establecer un promedio de capacidad por curso. De esta forma sabremos hasta que punto existirá capacidad para incluir alumnos</t>
  </si>
  <si>
    <t>adicionales a un programa de estudios sin que esto represente la contratación de un nuevo profesor.</t>
  </si>
  <si>
    <t>CAPACIDAD DE AULA PROMEDIO:</t>
  </si>
  <si>
    <t>100 alumnos / 5 aulas =</t>
  </si>
  <si>
    <t>20 alumnos</t>
  </si>
  <si>
    <t>Por lo tanto el costo variable sería:</t>
  </si>
  <si>
    <t>Opción tecnológica</t>
  </si>
  <si>
    <t>Capacidad producción</t>
  </si>
  <si>
    <t>Costo fijo anual *</t>
  </si>
  <si>
    <t>A</t>
  </si>
  <si>
    <t>B</t>
  </si>
  <si>
    <t>C</t>
  </si>
  <si>
    <t>* Arriendo, servicios básicos y sueldos personal administrativo</t>
  </si>
  <si>
    <t xml:space="preserve">**Inversión Inicial </t>
  </si>
  <si>
    <t>Máquinas y equipos</t>
  </si>
  <si>
    <t>Total I.I.</t>
  </si>
  <si>
    <t>*Ingresos:</t>
  </si>
  <si>
    <t>ALTERNATIVA A: capacidad para 504 personas</t>
  </si>
  <si>
    <t>Años</t>
  </si>
  <si>
    <t>Producción</t>
  </si>
  <si>
    <t>Ingresos</t>
  </si>
  <si>
    <t>Costos Fijos (-)</t>
  </si>
  <si>
    <t>Costos Variables (-)</t>
  </si>
  <si>
    <t>Depreciación (-)</t>
  </si>
  <si>
    <t>UAI</t>
  </si>
  <si>
    <t>Impuestos 25% (-)</t>
  </si>
  <si>
    <t>UDI</t>
  </si>
  <si>
    <t>Depreciación (+)</t>
  </si>
  <si>
    <t>Inversión (-)</t>
  </si>
  <si>
    <t>Flujo Anual</t>
  </si>
  <si>
    <t>Tasa descuento:</t>
  </si>
  <si>
    <t>VAN alternativa A:</t>
  </si>
  <si>
    <t>ALTERNATIVA B: capacidad para 517 personas</t>
  </si>
  <si>
    <t>Ingresos*</t>
  </si>
  <si>
    <t>VAN alternativa B:</t>
  </si>
  <si>
    <t>ALTERNATIVA C: capacidad para 531 personas</t>
  </si>
  <si>
    <t>VAN alternativa C:</t>
  </si>
  <si>
    <t>L:</t>
  </si>
  <si>
    <t>(1-L):</t>
  </si>
  <si>
    <t>T:</t>
  </si>
  <si>
    <t>Ba(desapalancado empresa comparable)*:</t>
  </si>
  <si>
    <t>B apalancado con nuestro riesgo financiero:</t>
  </si>
  <si>
    <t>Riesgo Bonos EEUU</t>
  </si>
  <si>
    <t>* www.damodaran.com</t>
  </si>
  <si>
    <t>USD por cada 20 alumnos</t>
  </si>
  <si>
    <t>Remodelación</t>
  </si>
  <si>
    <t>Gastos de Constitución</t>
  </si>
  <si>
    <t>Estudio de los ingresos en base a la investigación de mercados</t>
  </si>
  <si>
    <t>universitarios</t>
  </si>
  <si>
    <t>preuniversitario</t>
  </si>
  <si>
    <t>13° y 14° Sueldo</t>
  </si>
  <si>
    <t>BANCO DEL AUSTRO</t>
  </si>
  <si>
    <t>Participación Trabajadores (15%)</t>
  </si>
  <si>
    <t>INVERSIÓN INICIAL</t>
  </si>
  <si>
    <t>INVERSIÓN EN OBRAS FÍSICAS</t>
  </si>
  <si>
    <t>Extintores</t>
  </si>
  <si>
    <t>COMPRAS ACTIVOS FIJOS y bienes fungifles</t>
  </si>
  <si>
    <t>Por lo tanto, la mejor alternativa es la C: Capacidad para 531 personas</t>
  </si>
  <si>
    <t>Anexo # 5</t>
  </si>
  <si>
    <t>OTROS GASTOS FIJOS</t>
  </si>
  <si>
    <t>Gastos Financieros</t>
  </si>
  <si>
    <t xml:space="preserve">Depreciacion </t>
  </si>
  <si>
    <t xml:space="preserve">   VENTAS AL CONTADO</t>
  </si>
  <si>
    <t>FLUJO CAJA PROYECTADO</t>
  </si>
  <si>
    <t>Riesgo País**</t>
  </si>
  <si>
    <t>**Ministerio de Economia y Finanzas (al 31 de Agosto de 2009)</t>
  </si>
  <si>
    <t>HORA CLASE</t>
  </si>
  <si>
    <t>VAN</t>
  </si>
  <si>
    <t>CÁLCULO DE NÚMERO DE AULAS</t>
  </si>
  <si>
    <t>Crecimiento anual promedio:</t>
  </si>
  <si>
    <t>11h30-16h00</t>
  </si>
  <si>
    <t>PARTICIPACIÓN DE TRABAJADORES (15%)</t>
  </si>
  <si>
    <t>IMPUESTOS (25%)</t>
  </si>
  <si>
    <t>COMPRA DE ACTIVOS FIJOS</t>
  </si>
  <si>
    <t>PAYBACK</t>
  </si>
  <si>
    <t>CAPM:  Re= Rf + B (Rm-Rf)</t>
  </si>
  <si>
    <t>Re(CAPM):</t>
  </si>
  <si>
    <t>Programa Colegiales</t>
  </si>
  <si>
    <t>Cursos a Dictarse</t>
  </si>
  <si>
    <t>Número alumnos por curso</t>
  </si>
  <si>
    <t xml:space="preserve">Mayo </t>
  </si>
  <si>
    <t xml:space="preserve">Junio </t>
  </si>
  <si>
    <t>N°. Cursos</t>
  </si>
  <si>
    <t>Total Anual</t>
  </si>
  <si>
    <t>Meses</t>
  </si>
  <si>
    <t>*En los meses de mayo, junio y octubre</t>
  </si>
  <si>
    <t>Ingreso mensual por Estudiante</t>
  </si>
  <si>
    <t>Cursos Colegiales</t>
  </si>
  <si>
    <t>Ingresos Mensual Total por Curso</t>
  </si>
  <si>
    <t>Prima por Riesgo***</t>
  </si>
  <si>
    <t>*** Ross, Westerfield y Jaffe (2002)</t>
  </si>
  <si>
    <t>CALENDARIO DE REINVERSIONES EN MAQUINARIA</t>
  </si>
  <si>
    <t>BALANCE DE MAQUINARIA y EQUIPOS</t>
  </si>
  <si>
    <t>Vida Útil</t>
  </si>
  <si>
    <t>Inversión inicial en máquinas y equipos</t>
  </si>
  <si>
    <t>BALANCE DE PERSONAL TÉCNICO</t>
  </si>
  <si>
    <t>Cargo</t>
  </si>
  <si>
    <t>Número de puestos</t>
  </si>
  <si>
    <t xml:space="preserve">Remuneración </t>
  </si>
  <si>
    <t>Unitario (US$)</t>
  </si>
  <si>
    <t>Total (US$)</t>
  </si>
  <si>
    <t>Docentes</t>
  </si>
  <si>
    <t xml:space="preserve">  Invierno I</t>
  </si>
  <si>
    <t xml:space="preserve">    Matemáticas</t>
  </si>
  <si>
    <t xml:space="preserve">    Física </t>
  </si>
  <si>
    <t xml:space="preserve">    Química</t>
  </si>
  <si>
    <t xml:space="preserve">  Verano</t>
  </si>
  <si>
    <t xml:space="preserve">    Contabilidad</t>
  </si>
  <si>
    <t xml:space="preserve">    Otras</t>
  </si>
  <si>
    <t xml:space="preserve">  Invierno II</t>
  </si>
  <si>
    <t xml:space="preserve">*A los docentes se les pagará por hora tomando aproximadamente </t>
  </si>
  <si>
    <t>BALANCE DE OBRAS FÍSICAS</t>
  </si>
  <si>
    <t>Obra</t>
  </si>
  <si>
    <t>Número de Obras</t>
  </si>
  <si>
    <t>Costo Unitario</t>
  </si>
  <si>
    <t>Costo Total</t>
  </si>
  <si>
    <t>Implementación de Pizarras</t>
  </si>
  <si>
    <t xml:space="preserve">Pintar Aulas </t>
  </si>
  <si>
    <t>Pintar Oficinas</t>
  </si>
  <si>
    <t>Pintar Baños</t>
  </si>
  <si>
    <t>Costo Total Obras Físicas</t>
  </si>
  <si>
    <t>1. Medios y costos de transporte</t>
  </si>
  <si>
    <t>2. Disponibilidad y costo de mano de obra</t>
  </si>
  <si>
    <t>3. Cercanía de las fuentes de abastecimiento</t>
  </si>
  <si>
    <t>4. Factores ambientales</t>
  </si>
  <si>
    <t>5. Cercanía del mercado</t>
  </si>
  <si>
    <t>6. Costo y disponibilidad de terrenos</t>
  </si>
  <si>
    <t>7. Topografía de suelos</t>
  </si>
  <si>
    <t>8. Estructura impositiva y legal</t>
  </si>
  <si>
    <t>9. Disponibilidad de agua, energía y otros suministros</t>
  </si>
  <si>
    <t>10. Comunicaciones</t>
  </si>
  <si>
    <t>11. Posibilidad de desprenderse de desechos</t>
  </si>
  <si>
    <t>Método Cualitativo por puntos</t>
  </si>
  <si>
    <t>Zona A</t>
  </si>
  <si>
    <t>Zona B</t>
  </si>
  <si>
    <t>Zona C</t>
  </si>
  <si>
    <t>Factor</t>
  </si>
  <si>
    <t>Peso</t>
  </si>
  <si>
    <t xml:space="preserve">Calificación </t>
  </si>
  <si>
    <t>Ponderación</t>
  </si>
  <si>
    <t>Cercanía del mercado</t>
  </si>
  <si>
    <t>Costo y disponibilidad de terrenos</t>
  </si>
  <si>
    <t>Medios transporte disponibles</t>
  </si>
  <si>
    <t>Zona A: Norte de la ciudad</t>
  </si>
  <si>
    <t>Zona B: Centro de la ciudad</t>
  </si>
  <si>
    <t>Zona C: Sur de la ciudad</t>
  </si>
  <si>
    <t>PROYECCIÓN DE LA POBLACIÓN ECUATORIANA,  POR AÑOS CALENDARIO, SEGÚN REGIONES,  PROVINCIAS  Y SEXO</t>
  </si>
  <si>
    <t>PERÍODO  2001 - 2010</t>
  </si>
  <si>
    <t>POBLACIÓN TOTAL DEL ÁREA URBANA</t>
  </si>
  <si>
    <t xml:space="preserve">REGIONES Y </t>
  </si>
  <si>
    <t>AÑOS CALENDARIO</t>
  </si>
  <si>
    <t xml:space="preserve"> PROVINCIAS</t>
  </si>
  <si>
    <t>TOTAL PAÍS</t>
  </si>
  <si>
    <t xml:space="preserve">REGIÓN SIERRA </t>
  </si>
  <si>
    <t>AZUAY</t>
  </si>
  <si>
    <t>BOLÍVAR</t>
  </si>
  <si>
    <t>CAÑAR</t>
  </si>
  <si>
    <t>CARCHI</t>
  </si>
  <si>
    <t>COTOPAXI</t>
  </si>
  <si>
    <t>CHIMBORAZO</t>
  </si>
  <si>
    <t>IMBABURA</t>
  </si>
  <si>
    <t>LOJA</t>
  </si>
  <si>
    <t>PICHINCHA</t>
  </si>
  <si>
    <t>TUNGURAHUA</t>
  </si>
  <si>
    <t>REGIÓN COSTA</t>
  </si>
  <si>
    <t>CRECIMIENTO DE LA POBLACIÓN DEL GUAYAS</t>
  </si>
  <si>
    <t>EL ORO</t>
  </si>
  <si>
    <t>ESMERALDAS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</si>
  <si>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</si>
  <si>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</si>
  <si>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</si>
  <si>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</si>
  <si>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</si>
  <si>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</si>
  <si>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</si>
  <si>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</si>
  <si>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</si>
  <si>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PROMEDIO</t>
  </si>
  <si>
    <t>GUAYAS</t>
  </si>
  <si>
    <t>LOS RÍOS</t>
  </si>
  <si>
    <t>MANABÍ</t>
  </si>
  <si>
    <t>Guayaquil</t>
  </si>
  <si>
    <t>ESTA PARTE ERA LO QUE YA ESTABA EN EL CAP 2 EN LA ESTIMACIÓN DE LA DEMANDA</t>
  </si>
  <si>
    <t>REGIÓN AMAZÓNICA</t>
  </si>
  <si>
    <t>MORONA SANTIAGO</t>
  </si>
  <si>
    <t xml:space="preserve">NAPO </t>
  </si>
  <si>
    <t>PASTAZA</t>
  </si>
  <si>
    <t>ZAMORA CHINCHIPE</t>
  </si>
  <si>
    <t>SUCUMBÍOS</t>
  </si>
  <si>
    <t>ORELLANA</t>
  </si>
  <si>
    <t>REGIÓN INSULAR</t>
  </si>
  <si>
    <t>GALÁPAGOS</t>
  </si>
  <si>
    <t>AÑO 0</t>
  </si>
  <si>
    <t>ZONAS NO DELIM.</t>
  </si>
  <si>
    <t>Fuente: www.inec.gov.ec</t>
  </si>
  <si>
    <t>BALANCE DE PERSONAL ADMINISTRATIVO</t>
  </si>
  <si>
    <t>Remuneración Anual</t>
  </si>
  <si>
    <t>Secretarias</t>
  </si>
  <si>
    <t>Personal de limpieza</t>
  </si>
  <si>
    <t>Personal Mensajería</t>
  </si>
  <si>
    <t>Director</t>
  </si>
  <si>
    <t>Número de docentes</t>
  </si>
  <si>
    <t xml:space="preserve"> Cursos Colegiales</t>
  </si>
  <si>
    <t xml:space="preserve">    Matemáticas - Junio</t>
  </si>
  <si>
    <t xml:space="preserve">    Matemáticas - Mayo</t>
  </si>
  <si>
    <t xml:space="preserve">    Matemáticas - Octubre</t>
  </si>
  <si>
    <t>Asignatura</t>
  </si>
  <si>
    <t>y considerando el Costo por Hora de $ 6</t>
  </si>
  <si>
    <t xml:space="preserve">que el profesor dicte 30 horas mensuales </t>
  </si>
  <si>
    <t>Cable eléctrico de acondicionadores de aire</t>
  </si>
  <si>
    <t>Instalación acondicionadores de aire</t>
  </si>
  <si>
    <t>Costo variable**</t>
  </si>
  <si>
    <t>Inversión***</t>
  </si>
  <si>
    <t>Resultados</t>
  </si>
  <si>
    <t>*N° de registrados programa BI</t>
  </si>
  <si>
    <t>N° de instituciones Ecuador</t>
  </si>
  <si>
    <t>**N° de instituciones Guayaquil</t>
  </si>
  <si>
    <t>% Representación Guayaquil</t>
  </si>
  <si>
    <t>N° de alumnos</t>
  </si>
  <si>
    <t>Capacidad de atención</t>
  </si>
  <si>
    <t xml:space="preserve">*http://www.ibo.org/facts/statbulletin/dpstats/documents/May2008StatisticalBulletin.pdf  </t>
  </si>
  <si>
    <t>**http://www.ibo.org/school/search/index.cfm?programmes=DIPLOMA&amp;country=EC&amp;region=&amp;find_schools=Find</t>
  </si>
  <si>
    <t>Ecomundo</t>
  </si>
  <si>
    <t>Copol</t>
  </si>
  <si>
    <t>Logos Academy</t>
  </si>
  <si>
    <t>Aleman Humbolt</t>
  </si>
  <si>
    <t>Colegio Americano</t>
  </si>
  <si>
    <t>Balandra Cruz del Sur</t>
  </si>
  <si>
    <t>SEK</t>
  </si>
  <si>
    <t>Particular</t>
  </si>
  <si>
    <t>Bachillerato</t>
  </si>
  <si>
    <t xml:space="preserve">*Necesitan el servicio 23% </t>
  </si>
  <si>
    <t>**Cuota de mercado</t>
  </si>
  <si>
    <t xml:space="preserve">*Personas encuestadas que todavía estaban en colegio </t>
  </si>
  <si>
    <t>** Cuota mercado 20%</t>
  </si>
  <si>
    <t>Crystal Ball Report - Full</t>
  </si>
  <si>
    <t>Simulation started on 9/17/2009 at 2:56:25</t>
  </si>
  <si>
    <t>Simulation stopped on 9/17/2009 at 3:18:41</t>
  </si>
  <si>
    <t>Run preferences:</t>
  </si>
  <si>
    <t>Number of trials run</t>
  </si>
  <si>
    <t>Extreme speed</t>
  </si>
  <si>
    <t>Monte Carlo</t>
  </si>
  <si>
    <t>Random seed</t>
  </si>
  <si>
    <t>Precision control on</t>
  </si>
  <si>
    <t xml:space="preserve">   Confidence level</t>
  </si>
  <si>
    <t>Run statistics:</t>
  </si>
  <si>
    <t>Total running time (sec)</t>
  </si>
  <si>
    <t>Trials/second (average)</t>
  </si>
  <si>
    <t>Random numbers per sec</t>
  </si>
  <si>
    <t>Crystal Ball data:</t>
  </si>
  <si>
    <t>Assumptions</t>
  </si>
  <si>
    <t xml:space="preserve">   Correlations</t>
  </si>
  <si>
    <t xml:space="preserve">   Correlated groups</t>
  </si>
  <si>
    <t>Decision variables</t>
  </si>
  <si>
    <t>Forecasts</t>
  </si>
  <si>
    <t>Worksheet: [SIMULACION.xlsx]Hoja1</t>
  </si>
  <si>
    <t>Forecast: VAN</t>
  </si>
  <si>
    <t>Cell: C39</t>
  </si>
  <si>
    <t>Summary:</t>
  </si>
  <si>
    <t>Certainty level is 76,3444%</t>
  </si>
  <si>
    <t>Certainty range is from 0,00 to Infinito</t>
  </si>
  <si>
    <t>Entire range is from -17.356,07 to 38.437,45</t>
  </si>
  <si>
    <t>Base case is 4.991,23</t>
  </si>
  <si>
    <t>After 1.000.000 trials, the std. error of the mean is 6,78</t>
  </si>
  <si>
    <t>Statistics:</t>
  </si>
  <si>
    <t>Forecast values</t>
  </si>
  <si>
    <t>Trials</t>
  </si>
  <si>
    <t>Mean</t>
  </si>
  <si>
    <t>Median</t>
  </si>
  <si>
    <t>Mode</t>
  </si>
  <si>
    <t>---</t>
  </si>
  <si>
    <t>Standard Deviation</t>
  </si>
  <si>
    <t>Variance</t>
  </si>
  <si>
    <t>Skewness</t>
  </si>
  <si>
    <t>Kurtosis</t>
  </si>
  <si>
    <t>Coeff. of Variability</t>
  </si>
  <si>
    <t>Minimum</t>
  </si>
  <si>
    <t>Maximum</t>
  </si>
  <si>
    <t>Range Width</t>
  </si>
  <si>
    <t>Mean Std. Error</t>
  </si>
  <si>
    <t>Forecast: VAN (cont'd)</t>
  </si>
  <si>
    <t>Percentiles:</t>
  </si>
  <si>
    <t>0%</t>
  </si>
  <si>
    <t>10%</t>
  </si>
  <si>
    <t>20%</t>
  </si>
  <si>
    <t>30%</t>
  </si>
  <si>
    <t>40%</t>
  </si>
  <si>
    <t>50%</t>
  </si>
  <si>
    <t>60%</t>
  </si>
  <si>
    <t>70%</t>
  </si>
  <si>
    <t>80%</t>
  </si>
  <si>
    <t>90%</t>
  </si>
  <si>
    <t>100%</t>
  </si>
  <si>
    <t>End of Forecasts</t>
  </si>
  <si>
    <t>Assumption: Contabilidad</t>
  </si>
  <si>
    <t>Cell: C15</t>
  </si>
  <si>
    <t>Lognormal distribution with parameters:</t>
  </si>
  <si>
    <t>Std. Dev.</t>
  </si>
  <si>
    <t>Assumption: Contabilidad (C29)</t>
  </si>
  <si>
    <t>Cell: C29</t>
  </si>
  <si>
    <t>Assumption: DEMANDA ANUAL</t>
  </si>
  <si>
    <t>Cell: C50</t>
  </si>
  <si>
    <t>Uniform distribution with parameters:</t>
  </si>
  <si>
    <t>Assumption: Física</t>
  </si>
  <si>
    <t>Cell: C13</t>
  </si>
  <si>
    <t>Assumption: Física – Química</t>
  </si>
  <si>
    <t>Cell: C10</t>
  </si>
  <si>
    <t>Assumption: Física – Química (C24)</t>
  </si>
  <si>
    <t>Cell: C24</t>
  </si>
  <si>
    <t>Assumption: Física (C27)</t>
  </si>
  <si>
    <t>Cell: C27</t>
  </si>
  <si>
    <t>Assumption: i</t>
  </si>
  <si>
    <t>Cell: B4</t>
  </si>
  <si>
    <t>Normal distribution with parameters:</t>
  </si>
  <si>
    <t>Assumption: Matemáticas</t>
  </si>
  <si>
    <t>Cell: C12</t>
  </si>
  <si>
    <t>Assumption: Matemáticas – Química</t>
  </si>
  <si>
    <t>Cell: C9</t>
  </si>
  <si>
    <t>Assumption: Matemáticas – Química (C23)</t>
  </si>
  <si>
    <t>Cell: C23</t>
  </si>
  <si>
    <t>Assumption: Matemáticas (C26)</t>
  </si>
  <si>
    <t>Cell: C26</t>
  </si>
  <si>
    <t>Assumption: Matemáticas (C33)</t>
  </si>
  <si>
    <t>Cell: C33</t>
  </si>
  <si>
    <t>Assumption: Matemáticas-Contabilidad</t>
  </si>
  <si>
    <t>Cell: C11</t>
  </si>
  <si>
    <t>Assumption: Matemáticas-Contabilidad (C25)</t>
  </si>
  <si>
    <t>Cell: C25</t>
  </si>
  <si>
    <t>Assumption: Matemáticas-Física</t>
  </si>
  <si>
    <t>Cell: C8</t>
  </si>
  <si>
    <t>Assumption: Matemáticas-Física (C22)</t>
  </si>
  <si>
    <t>Cell: C22</t>
  </si>
  <si>
    <t>Assumption: Matematicas-Fisica-Quimica</t>
  </si>
  <si>
    <t>Cell: C7</t>
  </si>
  <si>
    <t>Assumption: Matematicas-Fisica-Quimica (C21)</t>
  </si>
  <si>
    <t>Cell: C21</t>
  </si>
  <si>
    <t>Assumption: Otras materias</t>
  </si>
  <si>
    <t>Cell: C30</t>
  </si>
  <si>
    <t>Assumption: Química</t>
  </si>
  <si>
    <t>Cell: C14</t>
  </si>
  <si>
    <t>Assumption: Química (C28)</t>
  </si>
  <si>
    <t>Cell: C28</t>
  </si>
  <si>
    <t>End of Assumptions</t>
  </si>
</sst>
</file>

<file path=xl/styles.xml><?xml version="1.0" encoding="utf-8"?>
<styleSheet xmlns="http://schemas.openxmlformats.org/spreadsheetml/2006/main">
  <numFmts count="2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\ #,##0_);[Red]\(&quot;$&quot;\ #,##0\)"/>
    <numFmt numFmtId="166" formatCode="&quot;$&quot;\ #,##0.00_);\(&quot;$&quot;\ #,##0.00\)"/>
    <numFmt numFmtId="169" formatCode="_(&quot;$&quot;\ * #,##0.00_);_(&quot;$&quot;\ * \(#,##0.00\);_(&quot;$&quot;\ * &quot;-&quot;??_);_(@_)"/>
    <numFmt numFmtId="176" formatCode="_-* #,##0.00\ &quot;€&quot;_-;\-* #,##0.00\ &quot;€&quot;_-;_-* &quot;-&quot;??\ &quot;€&quot;_-;_-@_-"/>
    <numFmt numFmtId="177" formatCode="_-* #,##0.00\ _€_-;\-* #,##0.00\ _€_-;_-* &quot;-&quot;??\ _€_-;_-@_-"/>
    <numFmt numFmtId="178" formatCode="0.0000000"/>
    <numFmt numFmtId="179" formatCode="[$$-409]#,##0.00"/>
    <numFmt numFmtId="180" formatCode="0.00_ ;\-0.00\ "/>
    <numFmt numFmtId="181" formatCode="[$$-300A]\ #,##0.00"/>
    <numFmt numFmtId="182" formatCode="#,##0.00\ _€"/>
    <numFmt numFmtId="183" formatCode="_([$$-409]* #,##0.00_);_([$$-409]* \(#,##0.00\);_([$$-409]* &quot;-&quot;??_);_(@_)"/>
    <numFmt numFmtId="184" formatCode="0.0"/>
    <numFmt numFmtId="185" formatCode="_(* #,##0_);_(* \(#,##0\);_(* &quot;-&quot;??_);_(@_)"/>
    <numFmt numFmtId="186" formatCode="&quot;$&quot;#,##0.00"/>
    <numFmt numFmtId="187" formatCode="0.0000%"/>
    <numFmt numFmtId="188" formatCode="_-* #,##0.00_-;\-* #,##0.00_-;_-* &quot;-&quot;??_-;_-@_-"/>
    <numFmt numFmtId="189" formatCode="&quot;$&quot;\ #,##0.00;[Red]&quot;$&quot;\ \-#,##0.00"/>
    <numFmt numFmtId="190" formatCode="_(* #,##0.00_);_(* \(#,##0.00\);_(* &quot;-&quot;????_);_(@_)"/>
    <numFmt numFmtId="191" formatCode="&quot;$&quot;\ #,##0.00;[Red]&quot;$&quot;\ #,##0.00"/>
    <numFmt numFmtId="194" formatCode="&quot;$&quot;\ #,##0.00"/>
    <numFmt numFmtId="204" formatCode="_([$$-300A]\ * #,##0.00_);_([$$-300A]\ * \(#,##0.00\);_([$$-300A]\ * &quot;-&quot;??_);_(@_)"/>
    <numFmt numFmtId="208" formatCode="[$$-409]#,##0.00_);\([$$-409]#,##0.00\)"/>
    <numFmt numFmtId="209" formatCode="0.0000"/>
    <numFmt numFmtId="210" formatCode="&quot;€&quot;\ #,##0.00"/>
  </numFmts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name val="Arial"/>
      <family val="2"/>
    </font>
    <font>
      <b/>
      <i/>
      <u/>
      <sz val="11"/>
      <color indexed="30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i/>
      <sz val="8"/>
      <name val="Arial"/>
      <family val="2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1">
    <xf numFmtId="0" fontId="0" fillId="0" borderId="0"/>
    <xf numFmtId="176" fontId="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77" fontId="11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11" fillId="0" borderId="0" applyFont="0" applyFill="0" applyBorder="0" applyAlignment="0" applyProtection="0"/>
    <xf numFmtId="185" fontId="7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3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194" fontId="0" fillId="0" borderId="1" xfId="0" applyNumberFormat="1" applyBorder="1" applyAlignment="1">
      <alignment horizontal="center"/>
    </xf>
    <xf numFmtId="194" fontId="11" fillId="0" borderId="1" xfId="18" applyNumberFormat="1" applyFont="1" applyBorder="1" applyAlignment="1">
      <alignment horizontal="center"/>
    </xf>
    <xf numFmtId="194" fontId="0" fillId="0" borderId="1" xfId="0" applyNumberFormat="1" applyFill="1" applyBorder="1" applyAlignment="1">
      <alignment horizontal="center"/>
    </xf>
    <xf numFmtId="194" fontId="11" fillId="0" borderId="0" xfId="18" applyNumberFormat="1" applyFont="1" applyBorder="1" applyAlignment="1">
      <alignment horizontal="center"/>
    </xf>
    <xf numFmtId="0" fontId="6" fillId="0" borderId="0" xfId="16"/>
    <xf numFmtId="3" fontId="8" fillId="0" borderId="0" xfId="16" applyNumberFormat="1" applyFont="1" applyBorder="1" applyAlignment="1">
      <alignment vertical="center"/>
    </xf>
    <xf numFmtId="3" fontId="8" fillId="0" borderId="0" xfId="16" applyNumberFormat="1" applyFont="1" applyFill="1" applyBorder="1" applyAlignment="1">
      <alignment horizontal="left" vertical="center"/>
    </xf>
    <xf numFmtId="187" fontId="8" fillId="2" borderId="0" xfId="16" applyNumberFormat="1" applyFont="1" applyFill="1" applyBorder="1" applyAlignment="1">
      <alignment horizontal="left" vertical="center"/>
    </xf>
    <xf numFmtId="3" fontId="9" fillId="3" borderId="2" xfId="16" applyNumberFormat="1" applyFont="1" applyFill="1" applyBorder="1" applyAlignment="1">
      <alignment horizontal="left" vertical="center"/>
    </xf>
    <xf numFmtId="3" fontId="8" fillId="3" borderId="3" xfId="16" applyNumberFormat="1" applyFont="1" applyFill="1" applyBorder="1" applyAlignment="1">
      <alignment horizontal="center" vertical="center"/>
    </xf>
    <xf numFmtId="3" fontId="8" fillId="3" borderId="4" xfId="16" applyNumberFormat="1" applyFont="1" applyFill="1" applyBorder="1" applyAlignment="1">
      <alignment horizontal="center" vertical="center"/>
    </xf>
    <xf numFmtId="3" fontId="8" fillId="4" borderId="5" xfId="16" applyNumberFormat="1" applyFont="1" applyFill="1" applyBorder="1" applyAlignment="1">
      <alignment horizontal="left" vertical="center"/>
    </xf>
    <xf numFmtId="3" fontId="9" fillId="4" borderId="6" xfId="16" applyNumberFormat="1" applyFont="1" applyFill="1" applyBorder="1" applyAlignment="1">
      <alignment horizontal="center" vertical="center"/>
    </xf>
    <xf numFmtId="3" fontId="9" fillId="4" borderId="7" xfId="16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194" fontId="11" fillId="0" borderId="1" xfId="18" applyNumberFormat="1" applyFont="1" applyFill="1" applyBorder="1" applyAlignment="1">
      <alignment horizontal="center"/>
    </xf>
    <xf numFmtId="10" fontId="0" fillId="5" borderId="1" xfId="0" applyNumberFormat="1" applyFill="1" applyBorder="1"/>
    <xf numFmtId="3" fontId="8" fillId="5" borderId="8" xfId="16" applyNumberFormat="1" applyFont="1" applyFill="1" applyBorder="1" applyAlignment="1">
      <alignment horizontal="center" vertical="center"/>
    </xf>
    <xf numFmtId="4" fontId="0" fillId="6" borderId="1" xfId="0" applyNumberFormat="1" applyFill="1" applyBorder="1"/>
    <xf numFmtId="0" fontId="0" fillId="0" borderId="2" xfId="0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5" fillId="8" borderId="0" xfId="0" applyFont="1" applyFill="1"/>
    <xf numFmtId="3" fontId="21" fillId="8" borderId="0" xfId="0" applyNumberFormat="1" applyFont="1" applyFill="1" applyBorder="1" applyAlignment="1">
      <alignment horizontal="left" vertical="center"/>
    </xf>
    <xf numFmtId="3" fontId="21" fillId="8" borderId="0" xfId="0" applyNumberFormat="1" applyFont="1" applyFill="1" applyBorder="1" applyAlignment="1">
      <alignment vertical="center"/>
    </xf>
    <xf numFmtId="3" fontId="21" fillId="8" borderId="5" xfId="0" applyNumberFormat="1" applyFont="1" applyFill="1" applyBorder="1" applyAlignment="1">
      <alignment horizontal="left" vertical="center"/>
    </xf>
    <xf numFmtId="3" fontId="18" fillId="8" borderId="10" xfId="0" applyNumberFormat="1" applyFont="1" applyFill="1" applyBorder="1" applyAlignment="1">
      <alignment horizontal="center" vertical="center"/>
    </xf>
    <xf numFmtId="3" fontId="18" fillId="8" borderId="6" xfId="0" applyNumberFormat="1" applyFont="1" applyFill="1" applyBorder="1" applyAlignment="1">
      <alignment horizontal="center" vertical="center"/>
    </xf>
    <xf numFmtId="3" fontId="18" fillId="8" borderId="7" xfId="0" applyNumberFormat="1" applyFont="1" applyFill="1" applyBorder="1" applyAlignment="1">
      <alignment horizontal="center" vertical="center"/>
    </xf>
    <xf numFmtId="3" fontId="18" fillId="8" borderId="2" xfId="0" applyNumberFormat="1" applyFont="1" applyFill="1" applyBorder="1" applyAlignment="1">
      <alignment horizontal="left" vertical="center"/>
    </xf>
    <xf numFmtId="3" fontId="21" fillId="8" borderId="8" xfId="0" applyNumberFormat="1" applyFont="1" applyFill="1" applyBorder="1" applyAlignment="1">
      <alignment horizontal="center" vertical="center"/>
    </xf>
    <xf numFmtId="3" fontId="21" fillId="8" borderId="3" xfId="0" applyNumberFormat="1" applyFont="1" applyFill="1" applyBorder="1" applyAlignment="1">
      <alignment horizontal="center" vertical="center"/>
    </xf>
    <xf numFmtId="3" fontId="21" fillId="8" borderId="4" xfId="0" applyNumberFormat="1" applyFont="1" applyFill="1" applyBorder="1" applyAlignment="1">
      <alignment horizontal="center" vertical="center"/>
    </xf>
    <xf numFmtId="0" fontId="14" fillId="8" borderId="11" xfId="0" applyFont="1" applyFill="1" applyBorder="1"/>
    <xf numFmtId="0" fontId="35" fillId="8" borderId="12" xfId="0" applyFont="1" applyFill="1" applyBorder="1"/>
    <xf numFmtId="0" fontId="35" fillId="8" borderId="13" xfId="0" applyFont="1" applyFill="1" applyBorder="1"/>
    <xf numFmtId="0" fontId="35" fillId="8" borderId="14" xfId="0" applyFont="1" applyFill="1" applyBorder="1"/>
    <xf numFmtId="0" fontId="35" fillId="8" borderId="0" xfId="0" applyFont="1" applyFill="1" applyBorder="1"/>
    <xf numFmtId="0" fontId="35" fillId="8" borderId="15" xfId="0" applyFont="1" applyFill="1" applyBorder="1"/>
    <xf numFmtId="0" fontId="17" fillId="8" borderId="0" xfId="0" applyFont="1" applyFill="1"/>
    <xf numFmtId="0" fontId="35" fillId="8" borderId="1" xfId="0" applyFont="1" applyFill="1" applyBorder="1"/>
    <xf numFmtId="0" fontId="14" fillId="8" borderId="0" xfId="0" applyFont="1" applyFill="1" applyBorder="1"/>
    <xf numFmtId="0" fontId="14" fillId="8" borderId="15" xfId="0" applyFont="1" applyFill="1" applyBorder="1"/>
    <xf numFmtId="0" fontId="14" fillId="8" borderId="14" xfId="0" applyFont="1" applyFill="1" applyBorder="1"/>
    <xf numFmtId="0" fontId="35" fillId="8" borderId="16" xfId="0" applyFont="1" applyFill="1" applyBorder="1" applyAlignment="1">
      <alignment vertical="center" wrapText="1"/>
    </xf>
    <xf numFmtId="0" fontId="14" fillId="8" borderId="17" xfId="0" applyFont="1" applyFill="1" applyBorder="1"/>
    <xf numFmtId="0" fontId="14" fillId="8" borderId="18" xfId="0" applyFont="1" applyFill="1" applyBorder="1"/>
    <xf numFmtId="0" fontId="14" fillId="8" borderId="19" xfId="0" applyFont="1" applyFill="1" applyBorder="1"/>
    <xf numFmtId="10" fontId="35" fillId="8" borderId="0" xfId="0" applyNumberFormat="1" applyFont="1" applyFill="1"/>
    <xf numFmtId="4" fontId="35" fillId="8" borderId="0" xfId="0" applyNumberFormat="1" applyFont="1" applyFill="1"/>
    <xf numFmtId="0" fontId="14" fillId="8" borderId="1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/>
    </xf>
    <xf numFmtId="2" fontId="35" fillId="8" borderId="1" xfId="0" applyNumberFormat="1" applyFont="1" applyFill="1" applyBorder="1" applyAlignment="1">
      <alignment horizontal="center"/>
    </xf>
    <xf numFmtId="4" fontId="35" fillId="8" borderId="1" xfId="0" applyNumberFormat="1" applyFont="1" applyFill="1" applyBorder="1" applyAlignment="1">
      <alignment horizontal="center"/>
    </xf>
    <xf numFmtId="0" fontId="35" fillId="8" borderId="0" xfId="0" applyFont="1" applyFill="1" applyBorder="1" applyAlignment="1">
      <alignment horizontal="left"/>
    </xf>
    <xf numFmtId="4" fontId="35" fillId="8" borderId="20" xfId="0" applyNumberFormat="1" applyFont="1" applyFill="1" applyBorder="1"/>
    <xf numFmtId="0" fontId="35" fillId="8" borderId="0" xfId="0" applyFont="1" applyFill="1" applyAlignment="1">
      <alignment horizontal="right"/>
    </xf>
    <xf numFmtId="0" fontId="16" fillId="8" borderId="0" xfId="0" applyFont="1" applyFill="1"/>
    <xf numFmtId="0" fontId="14" fillId="8" borderId="0" xfId="0" applyFont="1" applyFill="1"/>
    <xf numFmtId="0" fontId="35" fillId="8" borderId="0" xfId="0" applyFont="1" applyFill="1" applyBorder="1" applyAlignment="1">
      <alignment horizontal="center"/>
    </xf>
    <xf numFmtId="0" fontId="35" fillId="8" borderId="0" xfId="0" applyFont="1" applyFill="1" applyAlignment="1">
      <alignment horizontal="center"/>
    </xf>
    <xf numFmtId="0" fontId="14" fillId="8" borderId="21" xfId="0" applyFont="1" applyFill="1" applyBorder="1"/>
    <xf numFmtId="0" fontId="14" fillId="8" borderId="22" xfId="0" applyFont="1" applyFill="1" applyBorder="1"/>
    <xf numFmtId="0" fontId="14" fillId="8" borderId="23" xfId="0" applyFont="1" applyFill="1" applyBorder="1"/>
    <xf numFmtId="0" fontId="14" fillId="8" borderId="24" xfId="0" applyFont="1" applyFill="1" applyBorder="1"/>
    <xf numFmtId="4" fontId="35" fillId="8" borderId="1" xfId="0" applyNumberFormat="1" applyFont="1" applyFill="1" applyBorder="1"/>
    <xf numFmtId="4" fontId="35" fillId="8" borderId="25" xfId="0" applyNumberFormat="1" applyFont="1" applyFill="1" applyBorder="1"/>
    <xf numFmtId="4" fontId="35" fillId="8" borderId="26" xfId="0" applyNumberFormat="1" applyFont="1" applyFill="1" applyBorder="1"/>
    <xf numFmtId="4" fontId="35" fillId="8" borderId="27" xfId="0" applyNumberFormat="1" applyFont="1" applyFill="1" applyBorder="1"/>
    <xf numFmtId="4" fontId="35" fillId="8" borderId="16" xfId="0" applyNumberFormat="1" applyFont="1" applyFill="1" applyBorder="1"/>
    <xf numFmtId="4" fontId="35" fillId="8" borderId="28" xfId="0" applyNumberFormat="1" applyFont="1" applyFill="1" applyBorder="1"/>
    <xf numFmtId="4" fontId="35" fillId="8" borderId="29" xfId="0" applyNumberFormat="1" applyFont="1" applyFill="1" applyBorder="1"/>
    <xf numFmtId="4" fontId="35" fillId="8" borderId="30" xfId="0" applyNumberFormat="1" applyFont="1" applyFill="1" applyBorder="1"/>
    <xf numFmtId="0" fontId="14" fillId="8" borderId="31" xfId="0" applyFont="1" applyFill="1" applyBorder="1"/>
    <xf numFmtId="4" fontId="14" fillId="8" borderId="3" xfId="0" applyNumberFormat="1" applyFont="1" applyFill="1" applyBorder="1"/>
    <xf numFmtId="4" fontId="14" fillId="8" borderId="4" xfId="0" applyNumberFormat="1" applyFont="1" applyFill="1" applyBorder="1"/>
    <xf numFmtId="4" fontId="14" fillId="8" borderId="0" xfId="0" applyNumberFormat="1" applyFont="1" applyFill="1" applyBorder="1"/>
    <xf numFmtId="0" fontId="36" fillId="8" borderId="32" xfId="0" applyFont="1" applyFill="1" applyBorder="1" applyAlignment="1">
      <alignment horizontal="center"/>
    </xf>
    <xf numFmtId="10" fontId="35" fillId="8" borderId="2" xfId="0" applyNumberFormat="1" applyFont="1" applyFill="1" applyBorder="1" applyAlignment="1">
      <alignment horizontal="center"/>
    </xf>
    <xf numFmtId="0" fontId="14" fillId="8" borderId="33" xfId="0" applyFont="1" applyFill="1" applyBorder="1"/>
    <xf numFmtId="4" fontId="14" fillId="8" borderId="34" xfId="0" applyNumberFormat="1" applyFont="1" applyFill="1" applyBorder="1"/>
    <xf numFmtId="9" fontId="35" fillId="8" borderId="25" xfId="0" applyNumberFormat="1" applyFont="1" applyFill="1" applyBorder="1"/>
    <xf numFmtId="0" fontId="35" fillId="8" borderId="25" xfId="0" applyFont="1" applyFill="1" applyBorder="1"/>
    <xf numFmtId="10" fontId="35" fillId="8" borderId="25" xfId="0" applyNumberFormat="1" applyFont="1" applyFill="1" applyBorder="1"/>
    <xf numFmtId="10" fontId="35" fillId="8" borderId="35" xfId="0" applyNumberFormat="1" applyFont="1" applyFill="1" applyBorder="1"/>
    <xf numFmtId="10" fontId="36" fillId="8" borderId="7" xfId="0" applyNumberFormat="1" applyFont="1" applyFill="1" applyBorder="1"/>
    <xf numFmtId="0" fontId="36" fillId="8" borderId="33" xfId="0" applyFont="1" applyFill="1" applyBorder="1"/>
    <xf numFmtId="0" fontId="35" fillId="8" borderId="20" xfId="0" applyFont="1" applyFill="1" applyBorder="1"/>
    <xf numFmtId="0" fontId="35" fillId="8" borderId="36" xfId="0" applyFont="1" applyFill="1" applyBorder="1"/>
    <xf numFmtId="0" fontId="14" fillId="8" borderId="32" xfId="0" applyFont="1" applyFill="1" applyBorder="1"/>
    <xf numFmtId="4" fontId="14" fillId="8" borderId="2" xfId="0" applyNumberFormat="1" applyFont="1" applyFill="1" applyBorder="1"/>
    <xf numFmtId="0" fontId="36" fillId="8" borderId="0" xfId="0" applyFont="1" applyFill="1"/>
    <xf numFmtId="0" fontId="14" fillId="8" borderId="11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left"/>
    </xf>
    <xf numFmtId="10" fontId="35" fillId="8" borderId="1" xfId="0" applyNumberFormat="1" applyFont="1" applyFill="1" applyBorder="1" applyAlignment="1">
      <alignment horizontal="center"/>
    </xf>
    <xf numFmtId="194" fontId="35" fillId="8" borderId="1" xfId="0" applyNumberFormat="1" applyFont="1" applyFill="1" applyBorder="1" applyAlignment="1">
      <alignment horizontal="center"/>
    </xf>
    <xf numFmtId="1" fontId="35" fillId="8" borderId="1" xfId="0" applyNumberFormat="1" applyFont="1" applyFill="1" applyBorder="1" applyAlignment="1">
      <alignment horizontal="center"/>
    </xf>
    <xf numFmtId="10" fontId="16" fillId="8" borderId="1" xfId="18" applyNumberFormat="1" applyFont="1" applyFill="1" applyBorder="1" applyAlignment="1">
      <alignment horizontal="center"/>
    </xf>
    <xf numFmtId="0" fontId="14" fillId="8" borderId="0" xfId="0" applyFont="1" applyFill="1" applyBorder="1" applyAlignment="1">
      <alignment horizontal="left"/>
    </xf>
    <xf numFmtId="10" fontId="16" fillId="8" borderId="0" xfId="18" applyNumberFormat="1" applyFont="1" applyFill="1" applyBorder="1" applyAlignment="1">
      <alignment horizontal="center"/>
    </xf>
    <xf numFmtId="194" fontId="16" fillId="8" borderId="0" xfId="18" applyNumberFormat="1" applyFont="1" applyFill="1" applyBorder="1" applyAlignment="1">
      <alignment horizontal="center"/>
    </xf>
    <xf numFmtId="1" fontId="35" fillId="8" borderId="0" xfId="0" applyNumberFormat="1" applyFont="1" applyFill="1" applyBorder="1" applyAlignment="1">
      <alignment horizontal="center"/>
    </xf>
    <xf numFmtId="194" fontId="35" fillId="8" borderId="1" xfId="0" applyNumberFormat="1" applyFont="1" applyFill="1" applyBorder="1"/>
    <xf numFmtId="1" fontId="35" fillId="8" borderId="0" xfId="0" applyNumberFormat="1" applyFont="1" applyFill="1" applyBorder="1"/>
    <xf numFmtId="194" fontId="35" fillId="8" borderId="0" xfId="0" applyNumberFormat="1" applyFont="1" applyFill="1" applyBorder="1"/>
    <xf numFmtId="0" fontId="14" fillId="8" borderId="37" xfId="0" applyFont="1" applyFill="1" applyBorder="1" applyAlignment="1">
      <alignment horizontal="center"/>
    </xf>
    <xf numFmtId="0" fontId="14" fillId="8" borderId="38" xfId="0" applyFont="1" applyFill="1" applyBorder="1" applyAlignment="1">
      <alignment horizontal="center"/>
    </xf>
    <xf numFmtId="9" fontId="16" fillId="8" borderId="1" xfId="18" applyFont="1" applyFill="1" applyBorder="1" applyAlignment="1">
      <alignment horizontal="center"/>
    </xf>
    <xf numFmtId="1" fontId="35" fillId="8" borderId="38" xfId="0" applyNumberFormat="1" applyFont="1" applyFill="1" applyBorder="1" applyAlignment="1">
      <alignment horizontal="center"/>
    </xf>
    <xf numFmtId="0" fontId="35" fillId="8" borderId="39" xfId="0" applyFont="1" applyFill="1" applyBorder="1"/>
    <xf numFmtId="1" fontId="35" fillId="8" borderId="40" xfId="0" applyNumberFormat="1" applyFont="1" applyFill="1" applyBorder="1" applyAlignment="1">
      <alignment horizontal="center"/>
    </xf>
    <xf numFmtId="9" fontId="35" fillId="8" borderId="1" xfId="0" applyNumberFormat="1" applyFont="1" applyFill="1" applyBorder="1" applyAlignment="1">
      <alignment horizontal="center"/>
    </xf>
    <xf numFmtId="0" fontId="35" fillId="8" borderId="0" xfId="0" applyFont="1" applyFill="1" applyBorder="1" applyAlignment="1">
      <alignment horizontal="center" textRotation="180" wrapText="1"/>
    </xf>
    <xf numFmtId="9" fontId="35" fillId="8" borderId="0" xfId="0" applyNumberFormat="1" applyFont="1" applyFill="1" applyBorder="1" applyAlignment="1">
      <alignment horizontal="center"/>
    </xf>
    <xf numFmtId="0" fontId="14" fillId="8" borderId="1" xfId="0" applyFont="1" applyFill="1" applyBorder="1"/>
    <xf numFmtId="194" fontId="19" fillId="8" borderId="1" xfId="0" applyNumberFormat="1" applyFont="1" applyFill="1" applyBorder="1" applyAlignment="1">
      <alignment horizontal="center"/>
    </xf>
    <xf numFmtId="1" fontId="19" fillId="8" borderId="1" xfId="0" applyNumberFormat="1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 wrapText="1"/>
    </xf>
    <xf numFmtId="1" fontId="36" fillId="8" borderId="1" xfId="0" applyNumberFormat="1" applyFont="1" applyFill="1" applyBorder="1" applyAlignment="1">
      <alignment horizontal="center"/>
    </xf>
    <xf numFmtId="1" fontId="35" fillId="8" borderId="1" xfId="0" applyNumberFormat="1" applyFont="1" applyFill="1" applyBorder="1"/>
    <xf numFmtId="0" fontId="36" fillId="8" borderId="1" xfId="0" applyFont="1" applyFill="1" applyBorder="1" applyAlignment="1">
      <alignment horizontal="center"/>
    </xf>
    <xf numFmtId="0" fontId="14" fillId="8" borderId="38" xfId="0" applyFont="1" applyFill="1" applyBorder="1"/>
    <xf numFmtId="0" fontId="35" fillId="8" borderId="40" xfId="0" applyFont="1" applyFill="1" applyBorder="1"/>
    <xf numFmtId="0" fontId="35" fillId="8" borderId="1" xfId="0" applyFont="1" applyFill="1" applyBorder="1" applyAlignment="1">
      <alignment horizontal="center" vertical="center"/>
    </xf>
    <xf numFmtId="4" fontId="35" fillId="8" borderId="1" xfId="0" applyNumberFormat="1" applyFont="1" applyFill="1" applyBorder="1" applyAlignment="1">
      <alignment horizontal="center" vertical="center"/>
    </xf>
    <xf numFmtId="2" fontId="35" fillId="8" borderId="1" xfId="0" applyNumberFormat="1" applyFont="1" applyFill="1" applyBorder="1" applyAlignment="1">
      <alignment horizontal="center" vertical="center"/>
    </xf>
    <xf numFmtId="0" fontId="14" fillId="8" borderId="2" xfId="0" applyFont="1" applyFill="1" applyBorder="1"/>
    <xf numFmtId="0" fontId="35" fillId="8" borderId="29" xfId="0" applyFont="1" applyFill="1" applyBorder="1"/>
    <xf numFmtId="0" fontId="35" fillId="8" borderId="37" xfId="0" applyFont="1" applyFill="1" applyBorder="1" applyAlignment="1">
      <alignment horizontal="center"/>
    </xf>
    <xf numFmtId="0" fontId="14" fillId="8" borderId="41" xfId="0" applyFont="1" applyFill="1" applyBorder="1"/>
    <xf numFmtId="2" fontId="14" fillId="8" borderId="2" xfId="0" applyNumberFormat="1" applyFont="1" applyFill="1" applyBorder="1"/>
    <xf numFmtId="2" fontId="35" fillId="8" borderId="0" xfId="0" applyNumberFormat="1" applyFont="1" applyFill="1"/>
    <xf numFmtId="0" fontId="35" fillId="8" borderId="32" xfId="0" applyFont="1" applyFill="1" applyBorder="1"/>
    <xf numFmtId="0" fontId="14" fillId="8" borderId="42" xfId="0" applyFont="1" applyFill="1" applyBorder="1"/>
    <xf numFmtId="4" fontId="35" fillId="8" borderId="43" xfId="0" applyNumberFormat="1" applyFont="1" applyFill="1" applyBorder="1"/>
    <xf numFmtId="4" fontId="35" fillId="8" borderId="18" xfId="0" applyNumberFormat="1" applyFont="1" applyFill="1" applyBorder="1"/>
    <xf numFmtId="0" fontId="14" fillId="8" borderId="44" xfId="0" applyFont="1" applyFill="1" applyBorder="1"/>
    <xf numFmtId="4" fontId="35" fillId="8" borderId="45" xfId="0" applyNumberFormat="1" applyFont="1" applyFill="1" applyBorder="1"/>
    <xf numFmtId="4" fontId="35" fillId="8" borderId="46" xfId="0" applyNumberFormat="1" applyFont="1" applyFill="1" applyBorder="1"/>
    <xf numFmtId="4" fontId="35" fillId="8" borderId="34" xfId="0" applyNumberFormat="1" applyFont="1" applyFill="1" applyBorder="1"/>
    <xf numFmtId="0" fontId="15" fillId="8" borderId="0" xfId="0" applyFont="1" applyFill="1"/>
    <xf numFmtId="0" fontId="14" fillId="8" borderId="0" xfId="0" applyFont="1" applyFill="1" applyBorder="1" applyAlignment="1">
      <alignment horizontal="center"/>
    </xf>
    <xf numFmtId="0" fontId="35" fillId="8" borderId="11" xfId="0" applyFont="1" applyFill="1" applyBorder="1"/>
    <xf numFmtId="10" fontId="16" fillId="8" borderId="13" xfId="18" applyNumberFormat="1" applyFont="1" applyFill="1" applyBorder="1"/>
    <xf numFmtId="10" fontId="16" fillId="8" borderId="15" xfId="18" applyNumberFormat="1" applyFont="1" applyFill="1" applyBorder="1"/>
    <xf numFmtId="0" fontId="35" fillId="8" borderId="17" xfId="0" applyFont="1" applyFill="1" applyBorder="1"/>
    <xf numFmtId="0" fontId="35" fillId="8" borderId="18" xfId="0" applyFont="1" applyFill="1" applyBorder="1"/>
    <xf numFmtId="0" fontId="35" fillId="8" borderId="19" xfId="0" applyFont="1" applyFill="1" applyBorder="1"/>
    <xf numFmtId="9" fontId="35" fillId="8" borderId="0" xfId="0" applyNumberFormat="1" applyFont="1" applyFill="1"/>
    <xf numFmtId="9" fontId="16" fillId="8" borderId="1" xfId="18" applyNumberFormat="1" applyFont="1" applyFill="1" applyBorder="1" applyAlignment="1">
      <alignment horizontal="center"/>
    </xf>
    <xf numFmtId="0" fontId="20" fillId="8" borderId="1" xfId="0" applyFont="1" applyFill="1" applyBorder="1"/>
    <xf numFmtId="0" fontId="20" fillId="8" borderId="0" xfId="0" applyFont="1" applyFill="1" applyBorder="1"/>
    <xf numFmtId="0" fontId="21" fillId="8" borderId="1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9" fontId="14" fillId="8" borderId="1" xfId="0" applyNumberFormat="1" applyFont="1" applyFill="1" applyBorder="1" applyAlignment="1">
      <alignment horizontal="center"/>
    </xf>
    <xf numFmtId="1" fontId="14" fillId="8" borderId="0" xfId="0" applyNumberFormat="1" applyFont="1" applyFill="1" applyBorder="1" applyAlignment="1">
      <alignment horizontal="center"/>
    </xf>
    <xf numFmtId="178" fontId="35" fillId="8" borderId="1" xfId="0" applyNumberFormat="1" applyFont="1" applyFill="1" applyBorder="1"/>
    <xf numFmtId="9" fontId="14" fillId="8" borderId="0" xfId="0" applyNumberFormat="1" applyFont="1" applyFill="1" applyBorder="1" applyAlignment="1">
      <alignment horizontal="center"/>
    </xf>
    <xf numFmtId="178" fontId="35" fillId="8" borderId="0" xfId="0" applyNumberFormat="1" applyFont="1" applyFill="1" applyBorder="1"/>
    <xf numFmtId="0" fontId="18" fillId="8" borderId="1" xfId="0" applyFont="1" applyFill="1" applyBorder="1" applyAlignment="1">
      <alignment horizontal="center"/>
    </xf>
    <xf numFmtId="0" fontId="21" fillId="8" borderId="1" xfId="0" applyFont="1" applyFill="1" applyBorder="1"/>
    <xf numFmtId="0" fontId="20" fillId="8" borderId="1" xfId="0" applyFont="1" applyFill="1" applyBorder="1" applyAlignment="1">
      <alignment horizontal="center"/>
    </xf>
    <xf numFmtId="0" fontId="35" fillId="8" borderId="0" xfId="0" applyFont="1" applyFill="1" applyAlignment="1"/>
    <xf numFmtId="0" fontId="14" fillId="8" borderId="0" xfId="0" applyFont="1" applyFill="1" applyBorder="1" applyAlignment="1"/>
    <xf numFmtId="0" fontId="36" fillId="8" borderId="2" xfId="0" applyFont="1" applyFill="1" applyBorder="1"/>
    <xf numFmtId="0" fontId="35" fillId="8" borderId="47" xfId="0" applyFont="1" applyFill="1" applyBorder="1"/>
    <xf numFmtId="0" fontId="35" fillId="8" borderId="48" xfId="0" applyFont="1" applyFill="1" applyBorder="1"/>
    <xf numFmtId="0" fontId="35" fillId="8" borderId="49" xfId="0" applyFont="1" applyFill="1" applyBorder="1"/>
    <xf numFmtId="204" fontId="35" fillId="8" borderId="50" xfId="11" applyNumberFormat="1" applyFont="1" applyFill="1" applyBorder="1"/>
    <xf numFmtId="0" fontId="35" fillId="8" borderId="34" xfId="0" applyFont="1" applyFill="1" applyBorder="1"/>
    <xf numFmtId="204" fontId="35" fillId="8" borderId="2" xfId="0" applyNumberFormat="1" applyFont="1" applyFill="1" applyBorder="1"/>
    <xf numFmtId="1" fontId="35" fillId="8" borderId="0" xfId="0" applyNumberFormat="1" applyFont="1" applyFill="1"/>
    <xf numFmtId="179" fontId="14" fillId="8" borderId="9" xfId="0" applyNumberFormat="1" applyFont="1" applyFill="1" applyBorder="1"/>
    <xf numFmtId="0" fontId="14" fillId="8" borderId="2" xfId="0" applyFont="1" applyFill="1" applyBorder="1" applyAlignment="1">
      <alignment horizontal="center"/>
    </xf>
    <xf numFmtId="0" fontId="35" fillId="8" borderId="17" xfId="0" applyFont="1" applyFill="1" applyBorder="1" applyAlignment="1">
      <alignment horizontal="center"/>
    </xf>
    <xf numFmtId="0" fontId="35" fillId="8" borderId="37" xfId="0" applyFont="1" applyFill="1" applyBorder="1" applyAlignment="1">
      <alignment horizontal="center" vertical="center"/>
    </xf>
    <xf numFmtId="0" fontId="35" fillId="8" borderId="38" xfId="0" applyFont="1" applyFill="1" applyBorder="1" applyAlignment="1">
      <alignment horizontal="center" vertical="center"/>
    </xf>
    <xf numFmtId="0" fontId="35" fillId="8" borderId="51" xfId="0" applyFont="1" applyFill="1" applyBorder="1"/>
    <xf numFmtId="0" fontId="35" fillId="8" borderId="38" xfId="0" applyFont="1" applyFill="1" applyBorder="1" applyAlignment="1">
      <alignment horizontal="center"/>
    </xf>
    <xf numFmtId="0" fontId="35" fillId="8" borderId="29" xfId="0" applyFont="1" applyFill="1" applyBorder="1" applyAlignment="1">
      <alignment horizontal="center" vertical="center"/>
    </xf>
    <xf numFmtId="0" fontId="35" fillId="8" borderId="52" xfId="0" applyFont="1" applyFill="1" applyBorder="1"/>
    <xf numFmtId="0" fontId="35" fillId="8" borderId="16" xfId="0" applyFont="1" applyFill="1" applyBorder="1" applyAlignment="1">
      <alignment horizontal="center" vertical="center"/>
    </xf>
    <xf numFmtId="0" fontId="35" fillId="8" borderId="53" xfId="0" applyFont="1" applyFill="1" applyBorder="1"/>
    <xf numFmtId="0" fontId="18" fillId="8" borderId="1" xfId="0" applyFont="1" applyFill="1" applyBorder="1" applyAlignment="1">
      <alignment horizontal="center" vertical="center"/>
    </xf>
    <xf numFmtId="0" fontId="14" fillId="8" borderId="40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35" fillId="8" borderId="43" xfId="0" applyFont="1" applyFill="1" applyBorder="1"/>
    <xf numFmtId="0" fontId="35" fillId="8" borderId="0" xfId="0" applyFont="1" applyFill="1" applyBorder="1" applyAlignment="1">
      <alignment vertical="center"/>
    </xf>
    <xf numFmtId="0" fontId="36" fillId="8" borderId="41" xfId="0" applyFont="1" applyFill="1" applyBorder="1"/>
    <xf numFmtId="1" fontId="36" fillId="8" borderId="9" xfId="0" applyNumberFormat="1" applyFont="1" applyFill="1" applyBorder="1" applyAlignment="1">
      <alignment horizontal="center"/>
    </xf>
    <xf numFmtId="0" fontId="35" fillId="8" borderId="54" xfId="0" applyFont="1" applyFill="1" applyBorder="1"/>
    <xf numFmtId="204" fontId="35" fillId="8" borderId="0" xfId="11" applyNumberFormat="1" applyFont="1" applyFill="1" applyBorder="1"/>
    <xf numFmtId="204" fontId="35" fillId="8" borderId="49" xfId="11" applyNumberFormat="1" applyFont="1" applyFill="1" applyBorder="1"/>
    <xf numFmtId="0" fontId="35" fillId="8" borderId="33" xfId="0" applyFont="1" applyFill="1" applyBorder="1"/>
    <xf numFmtId="204" fontId="35" fillId="8" borderId="20" xfId="11" applyNumberFormat="1" applyFont="1" applyFill="1" applyBorder="1"/>
    <xf numFmtId="204" fontId="35" fillId="8" borderId="34" xfId="11" applyNumberFormat="1" applyFont="1" applyFill="1" applyBorder="1"/>
    <xf numFmtId="179" fontId="35" fillId="8" borderId="0" xfId="0" applyNumberFormat="1" applyFont="1" applyFill="1" applyBorder="1"/>
    <xf numFmtId="179" fontId="35" fillId="8" borderId="49" xfId="0" applyNumberFormat="1" applyFont="1" applyFill="1" applyBorder="1"/>
    <xf numFmtId="179" fontId="35" fillId="8" borderId="20" xfId="0" applyNumberFormat="1" applyFont="1" applyFill="1" applyBorder="1"/>
    <xf numFmtId="179" fontId="35" fillId="8" borderId="34" xfId="0" applyNumberFormat="1" applyFont="1" applyFill="1" applyBorder="1"/>
    <xf numFmtId="204" fontId="35" fillId="8" borderId="0" xfId="0" applyNumberFormat="1" applyFont="1" applyFill="1" applyBorder="1"/>
    <xf numFmtId="204" fontId="35" fillId="8" borderId="49" xfId="0" applyNumberFormat="1" applyFont="1" applyFill="1" applyBorder="1"/>
    <xf numFmtId="204" fontId="35" fillId="8" borderId="20" xfId="0" applyNumberFormat="1" applyFont="1" applyFill="1" applyBorder="1"/>
    <xf numFmtId="204" fontId="35" fillId="8" borderId="34" xfId="0" applyNumberFormat="1" applyFont="1" applyFill="1" applyBorder="1"/>
    <xf numFmtId="0" fontId="16" fillId="8" borderId="0" xfId="0" applyFont="1" applyFill="1" applyBorder="1"/>
    <xf numFmtId="0" fontId="16" fillId="8" borderId="0" xfId="0" applyFont="1" applyFill="1" applyBorder="1" applyAlignment="1">
      <alignment horizontal="right"/>
    </xf>
    <xf numFmtId="0" fontId="14" fillId="8" borderId="0" xfId="0" applyFont="1" applyFill="1" applyBorder="1" applyAlignment="1">
      <alignment horizontal="right"/>
    </xf>
    <xf numFmtId="0" fontId="14" fillId="8" borderId="0" xfId="0" applyFont="1" applyFill="1" applyAlignment="1">
      <alignment horizontal="center"/>
    </xf>
    <xf numFmtId="0" fontId="35" fillId="8" borderId="1" xfId="0" applyFont="1" applyFill="1" applyBorder="1" applyAlignment="1">
      <alignment horizontal="left"/>
    </xf>
    <xf numFmtId="0" fontId="35" fillId="8" borderId="1" xfId="0" applyNumberFormat="1" applyFont="1" applyFill="1" applyBorder="1" applyAlignment="1">
      <alignment horizontal="center"/>
    </xf>
    <xf numFmtId="0" fontId="16" fillId="8" borderId="1" xfId="0" applyNumberFormat="1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1" xfId="19" applyNumberFormat="1" applyFont="1" applyFill="1" applyBorder="1" applyAlignment="1">
      <alignment horizontal="center"/>
    </xf>
    <xf numFmtId="0" fontId="14" fillId="8" borderId="1" xfId="0" applyNumberFormat="1" applyFont="1" applyFill="1" applyBorder="1" applyAlignment="1">
      <alignment horizontal="center"/>
    </xf>
    <xf numFmtId="0" fontId="14" fillId="8" borderId="1" xfId="0" applyNumberFormat="1" applyFont="1" applyFill="1" applyBorder="1" applyAlignment="1">
      <alignment horizontal="center" vertical="center"/>
    </xf>
    <xf numFmtId="0" fontId="14" fillId="8" borderId="1" xfId="0" applyNumberFormat="1" applyFont="1" applyFill="1" applyBorder="1" applyAlignment="1">
      <alignment horizontal="center" vertical="center" wrapText="1"/>
    </xf>
    <xf numFmtId="10" fontId="14" fillId="8" borderId="0" xfId="0" applyNumberFormat="1" applyFont="1" applyFill="1" applyBorder="1" applyAlignment="1">
      <alignment horizontal="center" vertical="center" wrapText="1"/>
    </xf>
    <xf numFmtId="2" fontId="35" fillId="8" borderId="0" xfId="0" applyNumberFormat="1" applyFont="1" applyFill="1" applyBorder="1" applyAlignment="1">
      <alignment horizontal="center"/>
    </xf>
    <xf numFmtId="10" fontId="35" fillId="8" borderId="0" xfId="0" applyNumberFormat="1" applyFont="1" applyFill="1" applyBorder="1" applyAlignment="1">
      <alignment horizontal="center"/>
    </xf>
    <xf numFmtId="183" fontId="16" fillId="8" borderId="2" xfId="12" applyNumberFormat="1" applyFont="1" applyFill="1" applyBorder="1" applyAlignment="1">
      <alignment horizontal="center"/>
    </xf>
    <xf numFmtId="183" fontId="16" fillId="8" borderId="41" xfId="12" applyNumberFormat="1" applyFont="1" applyFill="1" applyBorder="1" applyAlignment="1">
      <alignment horizontal="center"/>
    </xf>
    <xf numFmtId="10" fontId="16" fillId="8" borderId="0" xfId="19" applyNumberFormat="1" applyFont="1" applyFill="1" applyBorder="1" applyAlignment="1">
      <alignment horizontal="center"/>
    </xf>
    <xf numFmtId="0" fontId="14" fillId="8" borderId="0" xfId="0" applyFont="1" applyFill="1" applyBorder="1" applyAlignment="1">
      <alignment vertical="center"/>
    </xf>
    <xf numFmtId="0" fontId="16" fillId="8" borderId="0" xfId="19" applyNumberFormat="1" applyFont="1" applyFill="1" applyBorder="1" applyAlignment="1">
      <alignment horizontal="center"/>
    </xf>
    <xf numFmtId="0" fontId="16" fillId="8" borderId="0" xfId="19" applyNumberFormat="1" applyFont="1" applyFill="1" applyBorder="1"/>
    <xf numFmtId="0" fontId="14" fillId="8" borderId="0" xfId="19" applyNumberFormat="1" applyFont="1" applyFill="1" applyBorder="1" applyAlignment="1">
      <alignment horizontal="center"/>
    </xf>
    <xf numFmtId="9" fontId="16" fillId="8" borderId="0" xfId="19" applyFont="1" applyFill="1" applyBorder="1" applyAlignment="1">
      <alignment horizontal="center"/>
    </xf>
    <xf numFmtId="9" fontId="16" fillId="8" borderId="0" xfId="19" applyNumberFormat="1" applyFont="1" applyFill="1" applyBorder="1" applyAlignment="1">
      <alignment horizontal="center"/>
    </xf>
    <xf numFmtId="2" fontId="35" fillId="8" borderId="0" xfId="0" applyNumberFormat="1" applyFont="1" applyFill="1" applyBorder="1"/>
    <xf numFmtId="0" fontId="16" fillId="8" borderId="0" xfId="0" applyFont="1" applyFill="1" applyBorder="1" applyAlignment="1">
      <alignment horizontal="center"/>
    </xf>
    <xf numFmtId="184" fontId="35" fillId="8" borderId="0" xfId="0" applyNumberFormat="1" applyFont="1" applyFill="1" applyBorder="1" applyAlignment="1">
      <alignment horizontal="center"/>
    </xf>
    <xf numFmtId="0" fontId="16" fillId="8" borderId="0" xfId="0" applyFont="1" applyFill="1" applyBorder="1" applyAlignment="1">
      <alignment horizontal="justify"/>
    </xf>
    <xf numFmtId="0" fontId="14" fillId="8" borderId="0" xfId="0" applyFont="1" applyFill="1" applyBorder="1" applyAlignment="1">
      <alignment horizontal="center" vertical="center" wrapText="1"/>
    </xf>
    <xf numFmtId="0" fontId="21" fillId="8" borderId="0" xfId="15" applyFont="1" applyFill="1"/>
    <xf numFmtId="0" fontId="18" fillId="8" borderId="21" xfId="15" applyFont="1" applyFill="1" applyBorder="1" applyAlignment="1">
      <alignment horizontal="center" wrapText="1"/>
    </xf>
    <xf numFmtId="181" fontId="18" fillId="8" borderId="22" xfId="15" applyNumberFormat="1" applyFont="1" applyFill="1" applyBorder="1" applyAlignment="1">
      <alignment horizontal="center"/>
    </xf>
    <xf numFmtId="181" fontId="18" fillId="8" borderId="55" xfId="15" applyNumberFormat="1" applyFont="1" applyFill="1" applyBorder="1" applyAlignment="1">
      <alignment horizontal="center"/>
    </xf>
    <xf numFmtId="0" fontId="18" fillId="8" borderId="2" xfId="15" applyFont="1" applyFill="1" applyBorder="1" applyAlignment="1">
      <alignment horizontal="center"/>
    </xf>
    <xf numFmtId="0" fontId="21" fillId="8" borderId="56" xfId="15" applyFont="1" applyFill="1" applyBorder="1"/>
    <xf numFmtId="181" fontId="21" fillId="8" borderId="37" xfId="15" applyNumberFormat="1" applyFont="1" applyFill="1" applyBorder="1" applyAlignment="1">
      <alignment wrapText="1"/>
    </xf>
    <xf numFmtId="181" fontId="21" fillId="8" borderId="50" xfId="15" applyNumberFormat="1" applyFont="1" applyFill="1" applyBorder="1" applyAlignment="1">
      <alignment wrapText="1"/>
    </xf>
    <xf numFmtId="4" fontId="18" fillId="8" borderId="10" xfId="15" applyNumberFormat="1" applyFont="1" applyFill="1" applyBorder="1" applyAlignment="1">
      <alignment wrapText="1"/>
    </xf>
    <xf numFmtId="181" fontId="18" fillId="8" borderId="6" xfId="15" applyNumberFormat="1" applyFont="1" applyFill="1" applyBorder="1" applyAlignment="1">
      <alignment wrapText="1"/>
    </xf>
    <xf numFmtId="181" fontId="18" fillId="8" borderId="7" xfId="15" applyNumberFormat="1" applyFont="1" applyFill="1" applyBorder="1" applyAlignment="1">
      <alignment wrapText="1"/>
    </xf>
    <xf numFmtId="181" fontId="18" fillId="8" borderId="9" xfId="15" applyNumberFormat="1" applyFont="1" applyFill="1" applyBorder="1" applyAlignment="1">
      <alignment wrapText="1"/>
    </xf>
    <xf numFmtId="4" fontId="18" fillId="8" borderId="57" xfId="15" applyNumberFormat="1" applyFont="1" applyFill="1" applyBorder="1" applyAlignment="1">
      <alignment wrapText="1"/>
    </xf>
    <xf numFmtId="181" fontId="18" fillId="8" borderId="16" xfId="15" applyNumberFormat="1" applyFont="1" applyFill="1" applyBorder="1" applyAlignment="1">
      <alignment horizontal="center"/>
    </xf>
    <xf numFmtId="182" fontId="21" fillId="8" borderId="24" xfId="15" applyNumberFormat="1" applyFont="1" applyFill="1" applyBorder="1" applyAlignment="1">
      <alignment wrapText="1"/>
    </xf>
    <xf numFmtId="181" fontId="21" fillId="8" borderId="1" xfId="15" applyNumberFormat="1" applyFont="1" applyFill="1" applyBorder="1" applyAlignment="1">
      <alignment wrapText="1"/>
    </xf>
    <xf numFmtId="180" fontId="21" fillId="8" borderId="56" xfId="15" applyNumberFormat="1" applyFont="1" applyFill="1" applyBorder="1"/>
    <xf numFmtId="181" fontId="21" fillId="8" borderId="0" xfId="15" applyNumberFormat="1" applyFont="1" applyFill="1" applyBorder="1"/>
    <xf numFmtId="182" fontId="18" fillId="8" borderId="10" xfId="15" applyNumberFormat="1" applyFont="1" applyFill="1" applyBorder="1" applyAlignment="1">
      <alignment wrapText="1"/>
    </xf>
    <xf numFmtId="181" fontId="18" fillId="8" borderId="6" xfId="15" applyNumberFormat="1" applyFont="1" applyFill="1" applyBorder="1" applyAlignment="1">
      <alignment horizontal="right" wrapText="1"/>
    </xf>
    <xf numFmtId="181" fontId="18" fillId="8" borderId="7" xfId="15" applyNumberFormat="1" applyFont="1" applyFill="1" applyBorder="1" applyAlignment="1">
      <alignment horizontal="right" wrapText="1"/>
    </xf>
    <xf numFmtId="182" fontId="18" fillId="8" borderId="58" xfId="15" applyNumberFormat="1" applyFont="1" applyFill="1" applyBorder="1" applyAlignment="1">
      <alignment wrapText="1"/>
    </xf>
    <xf numFmtId="181" fontId="21" fillId="8" borderId="29" xfId="15" applyNumberFormat="1" applyFont="1" applyFill="1" applyBorder="1" applyAlignment="1">
      <alignment wrapText="1"/>
    </xf>
    <xf numFmtId="181" fontId="18" fillId="8" borderId="36" xfId="15" applyNumberFormat="1" applyFont="1" applyFill="1" applyBorder="1" applyAlignment="1">
      <alignment wrapText="1"/>
    </xf>
    <xf numFmtId="182" fontId="21" fillId="8" borderId="0" xfId="15" applyNumberFormat="1" applyFont="1" applyFill="1" applyBorder="1"/>
    <xf numFmtId="182" fontId="21" fillId="8" borderId="0" xfId="15" applyNumberFormat="1" applyFont="1" applyFill="1"/>
    <xf numFmtId="182" fontId="18" fillId="8" borderId="0" xfId="15" applyNumberFormat="1" applyFont="1" applyFill="1" applyBorder="1" applyAlignment="1">
      <alignment wrapText="1"/>
    </xf>
    <xf numFmtId="181" fontId="18" fillId="8" borderId="0" xfId="15" applyNumberFormat="1" applyFont="1" applyFill="1" applyBorder="1" applyAlignment="1">
      <alignment wrapText="1"/>
    </xf>
    <xf numFmtId="0" fontId="14" fillId="8" borderId="51" xfId="0" applyFont="1" applyFill="1" applyBorder="1"/>
    <xf numFmtId="0" fontId="14" fillId="8" borderId="18" xfId="0" applyFont="1" applyFill="1" applyBorder="1" applyAlignment="1">
      <alignment horizontal="center"/>
    </xf>
    <xf numFmtId="0" fontId="14" fillId="8" borderId="51" xfId="0" applyFont="1" applyFill="1" applyBorder="1" applyAlignment="1">
      <alignment horizontal="center"/>
    </xf>
    <xf numFmtId="0" fontId="14" fillId="8" borderId="59" xfId="0" applyFont="1" applyFill="1" applyBorder="1" applyAlignment="1">
      <alignment horizontal="center"/>
    </xf>
    <xf numFmtId="0" fontId="15" fillId="8" borderId="54" xfId="0" applyFont="1" applyFill="1" applyBorder="1"/>
    <xf numFmtId="4" fontId="35" fillId="8" borderId="49" xfId="0" applyNumberFormat="1" applyFont="1" applyFill="1" applyBorder="1"/>
    <xf numFmtId="4" fontId="35" fillId="8" borderId="0" xfId="0" applyNumberFormat="1" applyFont="1" applyFill="1" applyBorder="1"/>
    <xf numFmtId="4" fontId="35" fillId="8" borderId="50" xfId="0" applyNumberFormat="1" applyFont="1" applyFill="1" applyBorder="1"/>
    <xf numFmtId="4" fontId="35" fillId="8" borderId="2" xfId="0" applyNumberFormat="1" applyFont="1" applyFill="1" applyBorder="1"/>
    <xf numFmtId="4" fontId="35" fillId="8" borderId="41" xfId="0" applyNumberFormat="1" applyFont="1" applyFill="1" applyBorder="1"/>
    <xf numFmtId="4" fontId="35" fillId="8" borderId="9" xfId="0" applyNumberFormat="1" applyFont="1" applyFill="1" applyBorder="1"/>
    <xf numFmtId="0" fontId="14" fillId="8" borderId="54" xfId="0" applyFont="1" applyFill="1" applyBorder="1"/>
    <xf numFmtId="10" fontId="16" fillId="8" borderId="0" xfId="18" applyNumberFormat="1" applyFont="1" applyFill="1"/>
    <xf numFmtId="4" fontId="14" fillId="8" borderId="45" xfId="0" applyNumberFormat="1" applyFont="1" applyFill="1" applyBorder="1"/>
    <xf numFmtId="4" fontId="14" fillId="8" borderId="46" xfId="0" applyNumberFormat="1" applyFont="1" applyFill="1" applyBorder="1"/>
    <xf numFmtId="4" fontId="14" fillId="8" borderId="60" xfId="0" applyNumberFormat="1" applyFont="1" applyFill="1" applyBorder="1"/>
    <xf numFmtId="10" fontId="35" fillId="8" borderId="2" xfId="0" applyNumberFormat="1" applyFont="1" applyFill="1" applyBorder="1"/>
    <xf numFmtId="10" fontId="35" fillId="8" borderId="34" xfId="0" applyNumberFormat="1" applyFont="1" applyFill="1" applyBorder="1"/>
    <xf numFmtId="0" fontId="18" fillId="8" borderId="57" xfId="15" applyFont="1" applyFill="1" applyBorder="1" applyAlignment="1">
      <alignment horizontal="center" vertical="center" wrapText="1"/>
    </xf>
    <xf numFmtId="0" fontId="18" fillId="8" borderId="16" xfId="15" applyFont="1" applyFill="1" applyBorder="1" applyAlignment="1">
      <alignment horizontal="center" vertical="center" wrapText="1"/>
    </xf>
    <xf numFmtId="0" fontId="18" fillId="8" borderId="17" xfId="15" applyFont="1" applyFill="1" applyBorder="1" applyAlignment="1">
      <alignment horizontal="center" vertical="center" wrapText="1"/>
    </xf>
    <xf numFmtId="0" fontId="18" fillId="8" borderId="28" xfId="15" applyFont="1" applyFill="1" applyBorder="1" applyAlignment="1">
      <alignment horizontal="center" vertical="center" wrapText="1"/>
    </xf>
    <xf numFmtId="0" fontId="21" fillId="8" borderId="24" xfId="15" applyFont="1" applyFill="1" applyBorder="1" applyAlignment="1"/>
    <xf numFmtId="1" fontId="21" fillId="8" borderId="1" xfId="11" applyNumberFormat="1" applyFont="1" applyFill="1" applyBorder="1" applyAlignment="1"/>
    <xf numFmtId="44" fontId="21" fillId="8" borderId="1" xfId="11" applyNumberFormat="1" applyFont="1" applyFill="1" applyBorder="1" applyAlignment="1"/>
    <xf numFmtId="44" fontId="21" fillId="8" borderId="38" xfId="11" applyNumberFormat="1" applyFont="1" applyFill="1" applyBorder="1" applyAlignment="1"/>
    <xf numFmtId="2" fontId="21" fillId="8" borderId="25" xfId="11" applyNumberFormat="1" applyFont="1" applyFill="1" applyBorder="1" applyAlignment="1"/>
    <xf numFmtId="185" fontId="21" fillId="8" borderId="1" xfId="7" applyNumberFormat="1" applyFont="1" applyFill="1" applyBorder="1" applyAlignment="1"/>
    <xf numFmtId="0" fontId="21" fillId="8" borderId="1" xfId="15" applyFont="1" applyFill="1" applyBorder="1" applyAlignment="1"/>
    <xf numFmtId="185" fontId="21" fillId="8" borderId="38" xfId="15" applyNumberFormat="1" applyFont="1" applyFill="1" applyBorder="1" applyAlignment="1"/>
    <xf numFmtId="1" fontId="21" fillId="8" borderId="25" xfId="7" applyNumberFormat="1" applyFont="1" applyFill="1" applyBorder="1" applyAlignment="1"/>
    <xf numFmtId="43" fontId="21" fillId="8" borderId="1" xfId="7" applyNumberFormat="1" applyFont="1" applyFill="1" applyBorder="1" applyAlignment="1"/>
    <xf numFmtId="0" fontId="21" fillId="8" borderId="56" xfId="15" applyFont="1" applyFill="1" applyBorder="1" applyAlignment="1"/>
    <xf numFmtId="185" fontId="21" fillId="8" borderId="37" xfId="7" applyNumberFormat="1" applyFont="1" applyFill="1" applyBorder="1" applyAlignment="1"/>
    <xf numFmtId="43" fontId="21" fillId="8" borderId="37" xfId="7" applyNumberFormat="1" applyFont="1" applyFill="1" applyBorder="1" applyAlignment="1"/>
    <xf numFmtId="0" fontId="21" fillId="8" borderId="37" xfId="15" applyFont="1" applyFill="1" applyBorder="1" applyAlignment="1"/>
    <xf numFmtId="185" fontId="21" fillId="8" borderId="11" xfId="15" applyNumberFormat="1" applyFont="1" applyFill="1" applyBorder="1" applyAlignment="1"/>
    <xf numFmtId="1" fontId="21" fillId="8" borderId="35" xfId="7" applyNumberFormat="1" applyFont="1" applyFill="1" applyBorder="1" applyAlignment="1"/>
    <xf numFmtId="44" fontId="18" fillId="8" borderId="2" xfId="11" applyNumberFormat="1" applyFont="1" applyFill="1" applyBorder="1"/>
    <xf numFmtId="0" fontId="18" fillId="8" borderId="2" xfId="15" applyFont="1" applyFill="1" applyBorder="1"/>
    <xf numFmtId="186" fontId="18" fillId="8" borderId="2" xfId="11" applyNumberFormat="1" applyFont="1" applyFill="1" applyBorder="1"/>
    <xf numFmtId="0" fontId="21" fillId="8" borderId="32" xfId="15" applyFont="1" applyFill="1" applyBorder="1" applyAlignment="1"/>
    <xf numFmtId="44" fontId="35" fillId="8" borderId="2" xfId="0" applyNumberFormat="1" applyFont="1" applyFill="1" applyBorder="1"/>
    <xf numFmtId="169" fontId="35" fillId="8" borderId="0" xfId="0" applyNumberFormat="1" applyFont="1" applyFill="1"/>
    <xf numFmtId="0" fontId="21" fillId="8" borderId="54" xfId="15" applyFont="1" applyFill="1" applyBorder="1" applyAlignment="1"/>
    <xf numFmtId="0" fontId="35" fillId="8" borderId="2" xfId="0" applyFont="1" applyFill="1" applyBorder="1"/>
    <xf numFmtId="0" fontId="35" fillId="8" borderId="2" xfId="0" applyFont="1" applyFill="1" applyBorder="1" applyAlignment="1">
      <alignment horizontal="center"/>
    </xf>
    <xf numFmtId="0" fontId="18" fillId="8" borderId="33" xfId="15" applyFont="1" applyFill="1" applyBorder="1" applyAlignment="1"/>
    <xf numFmtId="44" fontId="36" fillId="8" borderId="34" xfId="0" applyNumberFormat="1" applyFont="1" applyFill="1" applyBorder="1"/>
    <xf numFmtId="0" fontId="2" fillId="8" borderId="0" xfId="0" applyFont="1" applyFill="1"/>
    <xf numFmtId="0" fontId="0" fillId="8" borderId="0" xfId="0" applyFont="1" applyFill="1"/>
    <xf numFmtId="187" fontId="1" fillId="8" borderId="0" xfId="18" applyNumberFormat="1" applyFont="1" applyFill="1"/>
    <xf numFmtId="0" fontId="22" fillId="8" borderId="54" xfId="0" applyFont="1" applyFill="1" applyBorder="1"/>
    <xf numFmtId="0" fontId="22" fillId="8" borderId="0" xfId="0" applyFont="1" applyFill="1" applyBorder="1"/>
    <xf numFmtId="0" fontId="0" fillId="8" borderId="0" xfId="0" applyFont="1" applyFill="1" applyBorder="1"/>
    <xf numFmtId="0" fontId="0" fillId="8" borderId="50" xfId="0" applyFont="1" applyFill="1" applyBorder="1"/>
    <xf numFmtId="0" fontId="18" fillId="8" borderId="54" xfId="0" applyFont="1" applyFill="1" applyBorder="1"/>
    <xf numFmtId="0" fontId="18" fillId="8" borderId="0" xfId="0" applyFont="1" applyFill="1" applyBorder="1"/>
    <xf numFmtId="188" fontId="21" fillId="8" borderId="0" xfId="6" applyNumberFormat="1" applyFont="1" applyFill="1" applyBorder="1"/>
    <xf numFmtId="189" fontId="0" fillId="8" borderId="0" xfId="0" applyNumberFormat="1" applyFont="1" applyFill="1" applyBorder="1"/>
    <xf numFmtId="0" fontId="18" fillId="8" borderId="33" xfId="0" applyFont="1" applyFill="1" applyBorder="1"/>
    <xf numFmtId="0" fontId="18" fillId="8" borderId="20" xfId="0" applyFont="1" applyFill="1" applyBorder="1"/>
    <xf numFmtId="10" fontId="21" fillId="8" borderId="20" xfId="18" applyNumberFormat="1" applyFont="1" applyFill="1" applyBorder="1"/>
    <xf numFmtId="0" fontId="0" fillId="8" borderId="20" xfId="0" applyFont="1" applyFill="1" applyBorder="1"/>
    <xf numFmtId="0" fontId="0" fillId="8" borderId="36" xfId="0" applyFont="1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NumberFormat="1" applyFont="1" applyFill="1" applyBorder="1" applyAlignment="1">
      <alignment horizontal="center"/>
    </xf>
    <xf numFmtId="190" fontId="0" fillId="8" borderId="1" xfId="0" applyNumberFormat="1" applyFont="1" applyFill="1" applyBorder="1"/>
    <xf numFmtId="191" fontId="0" fillId="8" borderId="1" xfId="0" applyNumberFormat="1" applyFont="1" applyFill="1" applyBorder="1"/>
    <xf numFmtId="189" fontId="0" fillId="8" borderId="1" xfId="0" applyNumberFormat="1" applyFont="1" applyFill="1" applyBorder="1"/>
    <xf numFmtId="43" fontId="0" fillId="8" borderId="1" xfId="0" applyNumberFormat="1" applyFont="1" applyFill="1" applyBorder="1"/>
    <xf numFmtId="190" fontId="0" fillId="8" borderId="0" xfId="0" applyNumberFormat="1" applyFont="1" applyFill="1"/>
    <xf numFmtId="191" fontId="0" fillId="8" borderId="0" xfId="0" applyNumberFormat="1" applyFont="1" applyFill="1"/>
    <xf numFmtId="17" fontId="0" fillId="8" borderId="0" xfId="0" applyNumberFormat="1" applyFont="1" applyFill="1"/>
    <xf numFmtId="187" fontId="0" fillId="8" borderId="0" xfId="0" applyNumberFormat="1" applyFont="1" applyFill="1"/>
    <xf numFmtId="189" fontId="0" fillId="8" borderId="0" xfId="0" applyNumberFormat="1" applyFont="1" applyFill="1"/>
    <xf numFmtId="43" fontId="0" fillId="8" borderId="0" xfId="0" applyNumberFormat="1" applyFont="1" applyFill="1"/>
    <xf numFmtId="0" fontId="21" fillId="8" borderId="0" xfId="0" applyFont="1" applyFill="1" applyAlignment="1"/>
    <xf numFmtId="0" fontId="21" fillId="8" borderId="0" xfId="0" applyFont="1" applyFill="1"/>
    <xf numFmtId="0" fontId="24" fillId="8" borderId="15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18" fillId="8" borderId="61" xfId="0" applyFont="1" applyFill="1" applyBorder="1"/>
    <xf numFmtId="0" fontId="21" fillId="8" borderId="62" xfId="0" applyFont="1" applyFill="1" applyBorder="1"/>
    <xf numFmtId="0" fontId="21" fillId="8" borderId="63" xfId="0" applyFont="1" applyFill="1" applyBorder="1"/>
    <xf numFmtId="0" fontId="21" fillId="8" borderId="64" xfId="0" applyFont="1" applyFill="1" applyBorder="1"/>
    <xf numFmtId="0" fontId="21" fillId="8" borderId="61" xfId="0" applyFont="1" applyFill="1" applyBorder="1" applyAlignment="1">
      <alignment horizontal="left" indent="2"/>
    </xf>
    <xf numFmtId="0" fontId="21" fillId="8" borderId="62" xfId="0" applyFont="1" applyFill="1" applyBorder="1" applyAlignment="1">
      <alignment horizontal="left" indent="1"/>
    </xf>
    <xf numFmtId="0" fontId="21" fillId="8" borderId="63" xfId="0" applyFont="1" applyFill="1" applyBorder="1" applyAlignment="1">
      <alignment horizontal="left"/>
    </xf>
    <xf numFmtId="10" fontId="25" fillId="8" borderId="63" xfId="0" applyNumberFormat="1" applyFont="1" applyFill="1" applyBorder="1" applyAlignment="1">
      <alignment horizontal="right"/>
    </xf>
    <xf numFmtId="4" fontId="25" fillId="8" borderId="63" xfId="0" applyNumberFormat="1" applyFont="1" applyFill="1" applyBorder="1" applyAlignment="1">
      <alignment horizontal="right"/>
    </xf>
    <xf numFmtId="4" fontId="25" fillId="8" borderId="64" xfId="0" applyNumberFormat="1" applyFont="1" applyFill="1" applyBorder="1" applyAlignment="1">
      <alignment horizontal="right"/>
    </xf>
    <xf numFmtId="4" fontId="25" fillId="8" borderId="65" xfId="0" applyNumberFormat="1" applyFont="1" applyFill="1" applyBorder="1" applyAlignment="1">
      <alignment horizontal="right"/>
    </xf>
    <xf numFmtId="4" fontId="25" fillId="8" borderId="66" xfId="0" applyNumberFormat="1" applyFont="1" applyFill="1" applyBorder="1" applyAlignment="1">
      <alignment horizontal="right"/>
    </xf>
    <xf numFmtId="4" fontId="25" fillId="8" borderId="67" xfId="0" applyNumberFormat="1" applyFont="1" applyFill="1" applyBorder="1" applyAlignment="1">
      <alignment horizontal="right"/>
    </xf>
    <xf numFmtId="4" fontId="25" fillId="8" borderId="68" xfId="0" applyNumberFormat="1" applyFont="1" applyFill="1" applyBorder="1" applyAlignment="1">
      <alignment horizontal="right"/>
    </xf>
    <xf numFmtId="0" fontId="21" fillId="8" borderId="69" xfId="0" applyFont="1" applyFill="1" applyBorder="1"/>
    <xf numFmtId="0" fontId="21" fillId="8" borderId="70" xfId="0" applyFont="1" applyFill="1" applyBorder="1"/>
    <xf numFmtId="0" fontId="25" fillId="8" borderId="63" xfId="0" applyFont="1" applyFill="1" applyBorder="1" applyAlignment="1">
      <alignment horizontal="right"/>
    </xf>
    <xf numFmtId="0" fontId="21" fillId="8" borderId="61" xfId="0" applyFont="1" applyFill="1" applyBorder="1"/>
    <xf numFmtId="0" fontId="25" fillId="8" borderId="64" xfId="0" applyFont="1" applyFill="1" applyBorder="1" applyAlignment="1">
      <alignment horizontal="right"/>
    </xf>
    <xf numFmtId="0" fontId="25" fillId="8" borderId="65" xfId="0" applyFont="1" applyFill="1" applyBorder="1" applyAlignment="1">
      <alignment horizontal="right"/>
    </xf>
    <xf numFmtId="0" fontId="25" fillId="8" borderId="66" xfId="0" applyFont="1" applyFill="1" applyBorder="1" applyAlignment="1">
      <alignment horizontal="right"/>
    </xf>
    <xf numFmtId="0" fontId="25" fillId="8" borderId="63" xfId="0" applyFont="1" applyFill="1" applyBorder="1"/>
    <xf numFmtId="0" fontId="25" fillId="8" borderId="71" xfId="0" applyFont="1" applyFill="1" applyBorder="1"/>
    <xf numFmtId="0" fontId="25" fillId="8" borderId="72" xfId="0" applyFont="1" applyFill="1" applyBorder="1"/>
    <xf numFmtId="0" fontId="25" fillId="8" borderId="71" xfId="0" applyFont="1" applyFill="1" applyBorder="1" applyAlignment="1">
      <alignment horizontal="right"/>
    </xf>
    <xf numFmtId="0" fontId="25" fillId="8" borderId="72" xfId="0" applyFont="1" applyFill="1" applyBorder="1" applyAlignment="1">
      <alignment horizontal="right"/>
    </xf>
    <xf numFmtId="0" fontId="25" fillId="8" borderId="67" xfId="0" applyFont="1" applyFill="1" applyBorder="1" applyAlignment="1">
      <alignment horizontal="right"/>
    </xf>
    <xf numFmtId="0" fontId="25" fillId="8" borderId="68" xfId="0" applyFont="1" applyFill="1" applyBorder="1" applyAlignment="1">
      <alignment horizontal="right"/>
    </xf>
    <xf numFmtId="0" fontId="21" fillId="8" borderId="73" xfId="0" applyFont="1" applyFill="1" applyBorder="1" applyAlignment="1">
      <alignment horizontal="left" indent="2"/>
    </xf>
    <xf numFmtId="0" fontId="21" fillId="8" borderId="18" xfId="0" applyFont="1" applyFill="1" applyBorder="1" applyAlignment="1">
      <alignment horizontal="left" indent="1"/>
    </xf>
    <xf numFmtId="0" fontId="21" fillId="8" borderId="74" xfId="0" applyFont="1" applyFill="1" applyBorder="1"/>
    <xf numFmtId="10" fontId="25" fillId="8" borderId="74" xfId="0" applyNumberFormat="1" applyFont="1" applyFill="1" applyBorder="1" applyAlignment="1">
      <alignment horizontal="right"/>
    </xf>
    <xf numFmtId="0" fontId="25" fillId="8" borderId="74" xfId="0" applyFont="1" applyFill="1" applyBorder="1" applyAlignment="1">
      <alignment horizontal="right"/>
    </xf>
    <xf numFmtId="0" fontId="25" fillId="8" borderId="19" xfId="0" applyFont="1" applyFill="1" applyBorder="1" applyAlignment="1">
      <alignment horizontal="right"/>
    </xf>
    <xf numFmtId="0" fontId="14" fillId="9" borderId="2" xfId="0" applyNumberFormat="1" applyFont="1" applyFill="1" applyBorder="1" applyAlignment="1">
      <alignment horizontal="center"/>
    </xf>
    <xf numFmtId="166" fontId="35" fillId="9" borderId="41" xfId="0" applyNumberFormat="1" applyFont="1" applyFill="1" applyBorder="1" applyAlignment="1">
      <alignment horizontal="center"/>
    </xf>
    <xf numFmtId="166" fontId="35" fillId="9" borderId="2" xfId="0" applyNumberFormat="1" applyFont="1" applyFill="1" applyBorder="1" applyAlignment="1">
      <alignment horizontal="center"/>
    </xf>
    <xf numFmtId="166" fontId="14" fillId="8" borderId="2" xfId="0" applyNumberFormat="1" applyFont="1" applyFill="1" applyBorder="1" applyAlignment="1">
      <alignment horizontal="center"/>
    </xf>
    <xf numFmtId="166" fontId="14" fillId="8" borderId="41" xfId="0" applyNumberFormat="1" applyFont="1" applyFill="1" applyBorder="1" applyAlignment="1">
      <alignment horizontal="center"/>
    </xf>
    <xf numFmtId="0" fontId="14" fillId="8" borderId="43" xfId="0" applyNumberFormat="1" applyFont="1" applyFill="1" applyBorder="1" applyAlignment="1">
      <alignment horizontal="center"/>
    </xf>
    <xf numFmtId="166" fontId="35" fillId="8" borderId="18" xfId="0" applyNumberFormat="1" applyFont="1" applyFill="1" applyBorder="1" applyAlignment="1">
      <alignment horizontal="center"/>
    </xf>
    <xf numFmtId="166" fontId="35" fillId="8" borderId="43" xfId="0" applyNumberFormat="1" applyFont="1" applyFill="1" applyBorder="1" applyAlignment="1">
      <alignment horizontal="center"/>
    </xf>
    <xf numFmtId="0" fontId="14" fillId="8" borderId="52" xfId="0" applyNumberFormat="1" applyFont="1" applyFill="1" applyBorder="1" applyAlignment="1">
      <alignment horizontal="center"/>
    </xf>
    <xf numFmtId="166" fontId="35" fillId="8" borderId="39" xfId="0" applyNumberFormat="1" applyFont="1" applyFill="1" applyBorder="1" applyAlignment="1">
      <alignment horizontal="center"/>
    </xf>
    <xf numFmtId="166" fontId="35" fillId="8" borderId="52" xfId="0" applyNumberFormat="1" applyFont="1" applyFill="1" applyBorder="1" applyAlignment="1">
      <alignment horizontal="center"/>
    </xf>
    <xf numFmtId="0" fontId="14" fillId="8" borderId="53" xfId="0" applyNumberFormat="1" applyFont="1" applyFill="1" applyBorder="1" applyAlignment="1">
      <alignment horizontal="center"/>
    </xf>
    <xf numFmtId="166" fontId="35" fillId="8" borderId="12" xfId="0" applyNumberFormat="1" applyFont="1" applyFill="1" applyBorder="1" applyAlignment="1">
      <alignment horizontal="center"/>
    </xf>
    <xf numFmtId="166" fontId="35" fillId="8" borderId="53" xfId="0" applyNumberFormat="1" applyFont="1" applyFill="1" applyBorder="1" applyAlignment="1">
      <alignment horizontal="center"/>
    </xf>
    <xf numFmtId="3" fontId="8" fillId="0" borderId="0" xfId="17" applyNumberFormat="1" applyFont="1" applyBorder="1" applyAlignment="1">
      <alignment vertical="center"/>
    </xf>
    <xf numFmtId="3" fontId="27" fillId="7" borderId="37" xfId="17" applyNumberFormat="1" applyFont="1" applyFill="1" applyBorder="1" applyAlignment="1">
      <alignment horizontal="center" vertical="center"/>
    </xf>
    <xf numFmtId="3" fontId="27" fillId="7" borderId="16" xfId="17" applyNumberFormat="1" applyFont="1" applyFill="1" applyBorder="1" applyAlignment="1">
      <alignment horizontal="center" vertical="center"/>
    </xf>
    <xf numFmtId="3" fontId="27" fillId="7" borderId="1" xfId="17" applyNumberFormat="1" applyFont="1" applyFill="1" applyBorder="1" applyAlignment="1">
      <alignment horizontal="center" vertical="center"/>
    </xf>
    <xf numFmtId="3" fontId="30" fillId="0" borderId="37" xfId="17" applyNumberFormat="1" applyFont="1" applyFill="1" applyBorder="1" applyAlignment="1">
      <alignment horizontal="center" vertical="center"/>
    </xf>
    <xf numFmtId="3" fontId="8" fillId="0" borderId="37" xfId="17" applyNumberFormat="1" applyFont="1" applyBorder="1" applyAlignment="1">
      <alignment vertical="center"/>
    </xf>
    <xf numFmtId="3" fontId="9" fillId="7" borderId="29" xfId="17" applyNumberFormat="1" applyFont="1" applyFill="1" applyBorder="1" applyAlignment="1">
      <alignment vertical="center"/>
    </xf>
    <xf numFmtId="3" fontId="9" fillId="0" borderId="29" xfId="17" applyNumberFormat="1" applyFont="1" applyFill="1" applyBorder="1" applyAlignment="1">
      <alignment vertical="center"/>
    </xf>
    <xf numFmtId="3" fontId="8" fillId="0" borderId="29" xfId="17" applyNumberFormat="1" applyFont="1" applyBorder="1" applyAlignment="1">
      <alignment vertical="center"/>
    </xf>
    <xf numFmtId="3" fontId="9" fillId="0" borderId="0" xfId="17" applyNumberFormat="1" applyFont="1" applyFill="1" applyBorder="1" applyAlignment="1">
      <alignment vertical="center"/>
    </xf>
    <xf numFmtId="187" fontId="8" fillId="0" borderId="0" xfId="17" applyNumberFormat="1" applyFont="1" applyFill="1" applyBorder="1" applyAlignment="1">
      <alignment horizontal="left" vertical="center"/>
    </xf>
    <xf numFmtId="3" fontId="8" fillId="0" borderId="29" xfId="17" applyNumberFormat="1" applyFont="1" applyFill="1" applyBorder="1" applyAlignment="1">
      <alignment horizontal="left" vertical="center"/>
    </xf>
    <xf numFmtId="3" fontId="8" fillId="0" borderId="0" xfId="17" applyNumberFormat="1" applyFont="1" applyFill="1" applyBorder="1" applyAlignment="1">
      <alignment horizontal="left" vertical="center"/>
    </xf>
    <xf numFmtId="3" fontId="9" fillId="7" borderId="29" xfId="17" applyNumberFormat="1" applyFont="1" applyFill="1" applyBorder="1" applyAlignment="1">
      <alignment horizontal="left" vertical="center"/>
    </xf>
    <xf numFmtId="3" fontId="9" fillId="0" borderId="0" xfId="17" applyNumberFormat="1" applyFont="1" applyFill="1" applyBorder="1" applyAlignment="1">
      <alignment horizontal="left" vertical="center"/>
    </xf>
    <xf numFmtId="3" fontId="9" fillId="0" borderId="21" xfId="17" applyNumberFormat="1" applyFont="1" applyFill="1" applyBorder="1" applyAlignment="1">
      <alignment horizontal="center" vertical="center"/>
    </xf>
    <xf numFmtId="3" fontId="9" fillId="0" borderId="22" xfId="17" applyNumberFormat="1" applyFont="1" applyBorder="1" applyAlignment="1">
      <alignment horizontal="center" vertical="center"/>
    </xf>
    <xf numFmtId="3" fontId="9" fillId="0" borderId="23" xfId="17" applyNumberFormat="1" applyFont="1" applyBorder="1" applyAlignment="1">
      <alignment horizontal="center" vertical="center"/>
    </xf>
    <xf numFmtId="3" fontId="9" fillId="10" borderId="9" xfId="17" applyNumberFormat="1" applyFont="1" applyFill="1" applyBorder="1" applyAlignment="1">
      <alignment horizontal="center" vertical="center"/>
    </xf>
    <xf numFmtId="3" fontId="8" fillId="10" borderId="29" xfId="17" applyNumberFormat="1" applyFont="1" applyFill="1" applyBorder="1" applyAlignment="1">
      <alignment horizontal="left" vertical="center"/>
    </xf>
    <xf numFmtId="3" fontId="8" fillId="10" borderId="29" xfId="17" applyNumberFormat="1" applyFont="1" applyFill="1" applyBorder="1" applyAlignment="1">
      <alignment vertical="center"/>
    </xf>
    <xf numFmtId="187" fontId="8" fillId="0" borderId="31" xfId="17" applyNumberFormat="1" applyFont="1" applyFill="1" applyBorder="1" applyAlignment="1">
      <alignment horizontal="center" vertical="center"/>
    </xf>
    <xf numFmtId="187" fontId="8" fillId="0" borderId="26" xfId="17" applyNumberFormat="1" applyFont="1" applyFill="1" applyBorder="1" applyAlignment="1">
      <alignment horizontal="center" vertical="center"/>
    </xf>
    <xf numFmtId="187" fontId="8" fillId="0" borderId="27" xfId="17" applyNumberFormat="1" applyFont="1" applyFill="1" applyBorder="1" applyAlignment="1">
      <alignment horizontal="center" vertical="center"/>
    </xf>
    <xf numFmtId="187" fontId="9" fillId="10" borderId="36" xfId="17" applyNumberFormat="1" applyFont="1" applyFill="1" applyBorder="1" applyAlignment="1">
      <alignment horizontal="center" vertical="center"/>
    </xf>
    <xf numFmtId="9" fontId="8" fillId="0" borderId="0" xfId="20" applyFont="1" applyBorder="1" applyAlignment="1">
      <alignment vertical="center"/>
    </xf>
    <xf numFmtId="187" fontId="8" fillId="10" borderId="0" xfId="17" applyNumberFormat="1" applyFont="1" applyFill="1" applyBorder="1" applyAlignment="1">
      <alignment horizontal="left" vertical="center"/>
    </xf>
    <xf numFmtId="3" fontId="8" fillId="11" borderId="5" xfId="17" applyNumberFormat="1" applyFont="1" applyFill="1" applyBorder="1" applyAlignment="1">
      <alignment horizontal="left" vertical="center"/>
    </xf>
    <xf numFmtId="3" fontId="9" fillId="11" borderId="10" xfId="17" applyNumberFormat="1" applyFont="1" applyFill="1" applyBorder="1" applyAlignment="1">
      <alignment horizontal="center" vertical="center"/>
    </xf>
    <xf numFmtId="3" fontId="9" fillId="11" borderId="6" xfId="17" applyNumberFormat="1" applyFont="1" applyFill="1" applyBorder="1" applyAlignment="1">
      <alignment horizontal="center" vertical="center"/>
    </xf>
    <xf numFmtId="3" fontId="9" fillId="11" borderId="7" xfId="17" applyNumberFormat="1" applyFont="1" applyFill="1" applyBorder="1" applyAlignment="1">
      <alignment horizontal="center" vertical="center"/>
    </xf>
    <xf numFmtId="3" fontId="9" fillId="12" borderId="2" xfId="17" applyNumberFormat="1" applyFont="1" applyFill="1" applyBorder="1" applyAlignment="1">
      <alignment horizontal="left" vertical="center"/>
    </xf>
    <xf numFmtId="3" fontId="8" fillId="12" borderId="8" xfId="17" applyNumberFormat="1" applyFont="1" applyFill="1" applyBorder="1" applyAlignment="1">
      <alignment horizontal="center" vertical="center"/>
    </xf>
    <xf numFmtId="3" fontId="8" fillId="12" borderId="3" xfId="17" applyNumberFormat="1" applyFont="1" applyFill="1" applyBorder="1" applyAlignment="1">
      <alignment horizontal="center" vertical="center"/>
    </xf>
    <xf numFmtId="3" fontId="8" fillId="12" borderId="4" xfId="17" applyNumberFormat="1" applyFont="1" applyFill="1" applyBorder="1" applyAlignment="1">
      <alignment horizontal="center" vertical="center"/>
    </xf>
    <xf numFmtId="3" fontId="31" fillId="0" borderId="0" xfId="17" applyNumberFormat="1" applyFont="1" applyFill="1" applyBorder="1" applyAlignment="1">
      <alignment horizontal="left" vertical="center"/>
    </xf>
    <xf numFmtId="3" fontId="8" fillId="0" borderId="16" xfId="17" applyNumberFormat="1" applyFont="1" applyBorder="1" applyAlignment="1">
      <alignment vertical="center"/>
    </xf>
    <xf numFmtId="0" fontId="26" fillId="8" borderId="0" xfId="17" applyFill="1"/>
    <xf numFmtId="0" fontId="18" fillId="8" borderId="2" xfId="17" applyFont="1" applyFill="1" applyBorder="1" applyAlignment="1">
      <alignment horizontal="center" vertical="center" wrapText="1"/>
    </xf>
    <xf numFmtId="0" fontId="18" fillId="8" borderId="75" xfId="17" applyFont="1" applyFill="1" applyBorder="1" applyAlignment="1">
      <alignment horizontal="center" vertical="center" wrapText="1"/>
    </xf>
    <xf numFmtId="0" fontId="18" fillId="8" borderId="6" xfId="17" applyFont="1" applyFill="1" applyBorder="1" applyAlignment="1">
      <alignment horizontal="center" vertical="center" wrapText="1"/>
    </xf>
    <xf numFmtId="0" fontId="18" fillId="8" borderId="7" xfId="17" applyFont="1" applyFill="1" applyBorder="1" applyAlignment="1">
      <alignment horizontal="center" vertical="center" wrapText="1"/>
    </xf>
    <xf numFmtId="0" fontId="21" fillId="8" borderId="57" xfId="17" applyFont="1" applyFill="1" applyBorder="1"/>
    <xf numFmtId="185" fontId="21" fillId="8" borderId="16" xfId="10" applyNumberFormat="1" applyFont="1" applyFill="1" applyBorder="1"/>
    <xf numFmtId="0" fontId="21" fillId="8" borderId="16" xfId="17" applyFont="1" applyFill="1" applyBorder="1" applyAlignment="1">
      <alignment horizontal="center"/>
    </xf>
    <xf numFmtId="37" fontId="21" fillId="8" borderId="28" xfId="10" applyNumberFormat="1" applyFont="1" applyFill="1" applyBorder="1"/>
    <xf numFmtId="43" fontId="26" fillId="8" borderId="0" xfId="17" applyNumberFormat="1" applyFill="1"/>
    <xf numFmtId="0" fontId="21" fillId="8" borderId="24" xfId="17" applyFont="1" applyFill="1" applyBorder="1"/>
    <xf numFmtId="185" fontId="21" fillId="8" borderId="1" xfId="10" applyNumberFormat="1" applyFont="1" applyFill="1" applyBorder="1"/>
    <xf numFmtId="0" fontId="21" fillId="8" borderId="1" xfId="17" applyFont="1" applyFill="1" applyBorder="1" applyAlignment="1">
      <alignment horizontal="center"/>
    </xf>
    <xf numFmtId="37" fontId="21" fillId="8" borderId="25" xfId="10" applyNumberFormat="1" applyFont="1" applyFill="1" applyBorder="1"/>
    <xf numFmtId="43" fontId="21" fillId="8" borderId="1" xfId="10" applyNumberFormat="1" applyFont="1" applyFill="1" applyBorder="1"/>
    <xf numFmtId="43" fontId="26" fillId="8" borderId="0" xfId="17" applyNumberFormat="1" applyFill="1" applyBorder="1"/>
    <xf numFmtId="185" fontId="21" fillId="8" borderId="37" xfId="8" applyNumberFormat="1" applyFont="1" applyFill="1" applyBorder="1" applyAlignment="1">
      <alignment horizontal="center"/>
    </xf>
    <xf numFmtId="43" fontId="21" fillId="8" borderId="37" xfId="8" applyNumberFormat="1" applyFont="1" applyFill="1" applyBorder="1" applyAlignment="1">
      <alignment horizontal="center"/>
    </xf>
    <xf numFmtId="0" fontId="21" fillId="8" borderId="37" xfId="15" applyFont="1" applyFill="1" applyBorder="1" applyAlignment="1">
      <alignment horizontal="center"/>
    </xf>
    <xf numFmtId="185" fontId="6" fillId="8" borderId="0" xfId="15" applyNumberFormat="1" applyFill="1" applyBorder="1" applyAlignment="1"/>
    <xf numFmtId="1" fontId="6" fillId="8" borderId="0" xfId="8" applyNumberFormat="1" applyFill="1" applyBorder="1" applyAlignment="1"/>
    <xf numFmtId="0" fontId="21" fillId="8" borderId="56" xfId="17" applyFont="1" applyFill="1" applyBorder="1"/>
    <xf numFmtId="185" fontId="21" fillId="8" borderId="37" xfId="10" applyNumberFormat="1" applyFont="1" applyFill="1" applyBorder="1"/>
    <xf numFmtId="37" fontId="21" fillId="8" borderId="35" xfId="10" applyNumberFormat="1" applyFont="1" applyFill="1" applyBorder="1"/>
    <xf numFmtId="183" fontId="18" fillId="8" borderId="2" xfId="14" applyNumberFormat="1" applyFont="1" applyFill="1" applyBorder="1" applyAlignment="1">
      <alignment horizontal="right"/>
    </xf>
    <xf numFmtId="185" fontId="21" fillId="8" borderId="46" xfId="10" applyNumberFormat="1" applyFont="1" applyFill="1" applyBorder="1"/>
    <xf numFmtId="208" fontId="18" fillId="8" borderId="2" xfId="14" applyNumberFormat="1" applyFont="1" applyFill="1" applyBorder="1"/>
    <xf numFmtId="0" fontId="29" fillId="8" borderId="0" xfId="17" applyFont="1" applyFill="1" applyAlignment="1">
      <alignment horizontal="left" indent="3"/>
    </xf>
    <xf numFmtId="0" fontId="6" fillId="8" borderId="24" xfId="17" applyFont="1" applyFill="1" applyBorder="1"/>
    <xf numFmtId="0" fontId="18" fillId="8" borderId="10" xfId="17" applyFont="1" applyFill="1" applyBorder="1" applyAlignment="1">
      <alignment horizontal="center" vertical="center" wrapText="1"/>
    </xf>
    <xf numFmtId="4" fontId="21" fillId="8" borderId="16" xfId="10" applyNumberFormat="1" applyFont="1" applyFill="1" applyBorder="1"/>
    <xf numFmtId="4" fontId="21" fillId="8" borderId="16" xfId="10" applyNumberFormat="1" applyFont="1" applyFill="1" applyBorder="1" applyAlignment="1">
      <alignment horizontal="center"/>
    </xf>
    <xf numFmtId="4" fontId="21" fillId="8" borderId="28" xfId="10" applyNumberFormat="1" applyFont="1" applyFill="1" applyBorder="1"/>
    <xf numFmtId="4" fontId="21" fillId="8" borderId="1" xfId="10" applyNumberFormat="1" applyFont="1" applyFill="1" applyBorder="1"/>
    <xf numFmtId="4" fontId="21" fillId="8" borderId="1" xfId="10" applyNumberFormat="1" applyFont="1" applyFill="1" applyBorder="1" applyAlignment="1">
      <alignment horizontal="center"/>
    </xf>
    <xf numFmtId="4" fontId="21" fillId="8" borderId="25" xfId="10" applyNumberFormat="1" applyFont="1" applyFill="1" applyBorder="1"/>
    <xf numFmtId="4" fontId="21" fillId="8" borderId="37" xfId="10" applyNumberFormat="1" applyFont="1" applyFill="1" applyBorder="1"/>
    <xf numFmtId="4" fontId="21" fillId="8" borderId="37" xfId="10" applyNumberFormat="1" applyFont="1" applyFill="1" applyBorder="1" applyAlignment="1">
      <alignment horizontal="center"/>
    </xf>
    <xf numFmtId="4" fontId="21" fillId="8" borderId="35" xfId="10" applyNumberFormat="1" applyFont="1" applyFill="1" applyBorder="1"/>
    <xf numFmtId="0" fontId="18" fillId="8" borderId="2" xfId="17" applyFont="1" applyFill="1" applyBorder="1" applyAlignment="1">
      <alignment horizontal="center"/>
    </xf>
    <xf numFmtId="208" fontId="21" fillId="8" borderId="75" xfId="2" applyNumberFormat="1" applyFont="1" applyFill="1" applyBorder="1"/>
    <xf numFmtId="208" fontId="21" fillId="8" borderId="9" xfId="2" applyNumberFormat="1" applyFont="1" applyFill="1" applyBorder="1"/>
    <xf numFmtId="6" fontId="26" fillId="8" borderId="0" xfId="17" applyNumberFormat="1" applyFill="1"/>
    <xf numFmtId="0" fontId="27" fillId="8" borderId="2" xfId="17" applyFont="1" applyFill="1" applyBorder="1" applyAlignment="1">
      <alignment horizontal="center" vertical="center" wrapText="1"/>
    </xf>
    <xf numFmtId="0" fontId="26" fillId="8" borderId="24" xfId="17" applyFill="1" applyBorder="1"/>
    <xf numFmtId="0" fontId="6" fillId="8" borderId="1" xfId="17" applyFont="1" applyFill="1" applyBorder="1" applyAlignment="1">
      <alignment horizontal="center"/>
    </xf>
    <xf numFmtId="44" fontId="6" fillId="8" borderId="25" xfId="14" applyFont="1" applyFill="1" applyBorder="1" applyAlignment="1">
      <alignment horizontal="right"/>
    </xf>
    <xf numFmtId="0" fontId="6" fillId="8" borderId="0" xfId="17" applyFont="1" applyFill="1"/>
    <xf numFmtId="44" fontId="26" fillId="8" borderId="25" xfId="14" applyFill="1" applyBorder="1" applyAlignment="1">
      <alignment horizontal="right" vertical="center"/>
    </xf>
    <xf numFmtId="0" fontId="6" fillId="8" borderId="24" xfId="17" applyFont="1" applyFill="1" applyBorder="1" applyAlignment="1">
      <alignment horizontal="left"/>
    </xf>
    <xf numFmtId="183" fontId="6" fillId="8" borderId="25" xfId="17" applyNumberFormat="1" applyFont="1" applyFill="1" applyBorder="1" applyAlignment="1">
      <alignment horizontal="left"/>
    </xf>
    <xf numFmtId="208" fontId="27" fillId="8" borderId="34" xfId="3" applyNumberFormat="1" applyFont="1" applyFill="1" applyBorder="1" applyAlignment="1">
      <alignment horizontal="right"/>
    </xf>
    <xf numFmtId="208" fontId="26" fillId="8" borderId="0" xfId="17" applyNumberFormat="1" applyFill="1"/>
    <xf numFmtId="0" fontId="6" fillId="8" borderId="54" xfId="17" applyFont="1" applyFill="1" applyBorder="1"/>
    <xf numFmtId="0" fontId="26" fillId="8" borderId="0" xfId="17" applyFill="1" applyBorder="1"/>
    <xf numFmtId="0" fontId="26" fillId="8" borderId="50" xfId="17" applyFill="1" applyBorder="1"/>
    <xf numFmtId="0" fontId="6" fillId="8" borderId="33" xfId="17" applyFont="1" applyFill="1" applyBorder="1"/>
    <xf numFmtId="0" fontId="26" fillId="8" borderId="20" xfId="17" applyFill="1" applyBorder="1"/>
    <xf numFmtId="0" fontId="26" fillId="8" borderId="36" xfId="17" applyFill="1" applyBorder="1"/>
    <xf numFmtId="4" fontId="14" fillId="10" borderId="34" xfId="0" applyNumberFormat="1" applyFont="1" applyFill="1" applyBorder="1"/>
    <xf numFmtId="0" fontId="14" fillId="10" borderId="33" xfId="0" applyFont="1" applyFill="1" applyBorder="1"/>
    <xf numFmtId="0" fontId="21" fillId="8" borderId="2" xfId="17" applyFont="1" applyFill="1" applyBorder="1" applyAlignment="1">
      <alignment horizontal="center" vertical="center" wrapText="1"/>
    </xf>
    <xf numFmtId="0" fontId="21" fillId="8" borderId="43" xfId="17" applyFont="1" applyFill="1" applyBorder="1"/>
    <xf numFmtId="0" fontId="21" fillId="8" borderId="43" xfId="17" applyFont="1" applyFill="1" applyBorder="1" applyAlignment="1">
      <alignment horizontal="center"/>
    </xf>
    <xf numFmtId="185" fontId="21" fillId="8" borderId="43" xfId="10" applyNumberFormat="1" applyFont="1" applyFill="1" applyBorder="1"/>
    <xf numFmtId="0" fontId="21" fillId="8" borderId="52" xfId="17" applyFont="1" applyFill="1" applyBorder="1"/>
    <xf numFmtId="0" fontId="21" fillId="8" borderId="52" xfId="17" applyFont="1" applyFill="1" applyBorder="1" applyAlignment="1">
      <alignment horizontal="center"/>
    </xf>
    <xf numFmtId="185" fontId="21" fillId="8" borderId="52" xfId="10" applyNumberFormat="1" applyFont="1" applyFill="1" applyBorder="1"/>
    <xf numFmtId="208" fontId="18" fillId="8" borderId="2" xfId="4" applyNumberFormat="1" applyFont="1" applyFill="1" applyBorder="1" applyAlignment="1">
      <alignment horizontal="right"/>
    </xf>
    <xf numFmtId="0" fontId="18" fillId="8" borderId="32" xfId="17" applyFont="1" applyFill="1" applyBorder="1" applyAlignment="1">
      <alignment horizontal="center"/>
    </xf>
    <xf numFmtId="0" fontId="18" fillId="8" borderId="41" xfId="17" applyFont="1" applyFill="1" applyBorder="1" applyAlignment="1">
      <alignment horizontal="center"/>
    </xf>
    <xf numFmtId="0" fontId="36" fillId="8" borderId="32" xfId="0" applyFont="1" applyFill="1" applyBorder="1" applyAlignment="1">
      <alignment horizontal="center"/>
    </xf>
    <xf numFmtId="0" fontId="36" fillId="8" borderId="41" xfId="0" applyFont="1" applyFill="1" applyBorder="1" applyAlignment="1">
      <alignment horizontal="center"/>
    </xf>
    <xf numFmtId="0" fontId="35" fillId="8" borderId="18" xfId="0" applyFont="1" applyFill="1" applyBorder="1" applyAlignment="1">
      <alignment horizontal="center"/>
    </xf>
    <xf numFmtId="0" fontId="0" fillId="8" borderId="0" xfId="0" applyFill="1"/>
    <xf numFmtId="0" fontId="34" fillId="8" borderId="1" xfId="0" applyFont="1" applyFill="1" applyBorder="1" applyAlignment="1">
      <alignment horizontal="center" wrapText="1"/>
    </xf>
    <xf numFmtId="0" fontId="34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9" fontId="33" fillId="8" borderId="1" xfId="18" applyFont="1" applyFill="1" applyBorder="1" applyAlignment="1">
      <alignment horizontal="center"/>
    </xf>
    <xf numFmtId="0" fontId="0" fillId="8" borderId="1" xfId="0" applyFill="1" applyBorder="1"/>
    <xf numFmtId="0" fontId="34" fillId="8" borderId="1" xfId="0" applyFont="1" applyFill="1" applyBorder="1"/>
    <xf numFmtId="0" fontId="37" fillId="8" borderId="86" xfId="0" applyFont="1" applyFill="1" applyBorder="1" applyAlignment="1">
      <alignment horizontal="center" vertical="top" wrapText="1"/>
    </xf>
    <xf numFmtId="0" fontId="37" fillId="8" borderId="87" xfId="0" applyFont="1" applyFill="1" applyBorder="1" applyAlignment="1">
      <alignment horizontal="center" vertical="top" wrapText="1"/>
    </xf>
    <xf numFmtId="0" fontId="37" fillId="8" borderId="88" xfId="0" applyFont="1" applyFill="1" applyBorder="1" applyAlignment="1">
      <alignment horizontal="center" vertical="top" wrapText="1"/>
    </xf>
    <xf numFmtId="0" fontId="34" fillId="8" borderId="0" xfId="0" applyFont="1" applyFill="1"/>
    <xf numFmtId="0" fontId="36" fillId="8" borderId="2" xfId="0" applyFont="1" applyFill="1" applyBorder="1" applyAlignment="1">
      <alignment horizontal="center"/>
    </xf>
    <xf numFmtId="9" fontId="35" fillId="8" borderId="18" xfId="0" applyNumberFormat="1" applyFont="1" applyFill="1" applyBorder="1" applyAlignment="1">
      <alignment horizontal="center"/>
    </xf>
    <xf numFmtId="0" fontId="35" fillId="8" borderId="42" xfId="0" applyFont="1" applyFill="1" applyBorder="1" applyAlignment="1">
      <alignment horizontal="center"/>
    </xf>
    <xf numFmtId="0" fontId="35" fillId="8" borderId="43" xfId="0" applyFont="1" applyFill="1" applyBorder="1" applyAlignment="1">
      <alignment horizontal="center"/>
    </xf>
    <xf numFmtId="9" fontId="35" fillId="8" borderId="39" xfId="0" applyNumberFormat="1" applyFont="1" applyFill="1" applyBorder="1" applyAlignment="1">
      <alignment horizontal="center"/>
    </xf>
    <xf numFmtId="0" fontId="35" fillId="8" borderId="76" xfId="0" applyFont="1" applyFill="1" applyBorder="1" applyAlignment="1">
      <alignment horizontal="center"/>
    </xf>
    <xf numFmtId="0" fontId="35" fillId="8" borderId="52" xfId="0" applyFont="1" applyFill="1" applyBorder="1" applyAlignment="1">
      <alignment horizontal="center"/>
    </xf>
    <xf numFmtId="0" fontId="35" fillId="8" borderId="39" xfId="0" applyFont="1" applyFill="1" applyBorder="1" applyAlignment="1">
      <alignment horizontal="center"/>
    </xf>
    <xf numFmtId="0" fontId="35" fillId="8" borderId="45" xfId="0" applyFont="1" applyFill="1" applyBorder="1"/>
    <xf numFmtId="9" fontId="35" fillId="8" borderId="12" xfId="0" applyNumberFormat="1" applyFont="1" applyFill="1" applyBorder="1" applyAlignment="1">
      <alignment horizontal="center"/>
    </xf>
    <xf numFmtId="0" fontId="35" fillId="8" borderId="44" xfId="0" applyFont="1" applyFill="1" applyBorder="1" applyAlignment="1">
      <alignment horizontal="center"/>
    </xf>
    <xf numFmtId="0" fontId="35" fillId="8" borderId="45" xfId="0" applyFont="1" applyFill="1" applyBorder="1" applyAlignment="1">
      <alignment horizontal="center"/>
    </xf>
    <xf numFmtId="0" fontId="35" fillId="8" borderId="12" xfId="0" applyFont="1" applyFill="1" applyBorder="1" applyAlignment="1">
      <alignment horizontal="center"/>
    </xf>
    <xf numFmtId="0" fontId="21" fillId="8" borderId="54" xfId="17" applyFont="1" applyFill="1" applyBorder="1"/>
    <xf numFmtId="0" fontId="21" fillId="8" borderId="49" xfId="17" applyFont="1" applyFill="1" applyBorder="1" applyAlignment="1">
      <alignment horizontal="center"/>
    </xf>
    <xf numFmtId="183" fontId="21" fillId="8" borderId="0" xfId="17" applyNumberFormat="1" applyFont="1" applyFill="1" applyBorder="1" applyAlignment="1">
      <alignment horizontal="center"/>
    </xf>
    <xf numFmtId="183" fontId="21" fillId="8" borderId="49" xfId="17" applyNumberFormat="1" applyFont="1" applyFill="1" applyBorder="1" applyAlignment="1">
      <alignment horizontal="center"/>
    </xf>
    <xf numFmtId="44" fontId="18" fillId="8" borderId="2" xfId="14" applyFont="1" applyFill="1" applyBorder="1"/>
    <xf numFmtId="44" fontId="26" fillId="8" borderId="0" xfId="17" applyNumberFormat="1" applyFill="1"/>
    <xf numFmtId="7" fontId="0" fillId="8" borderId="0" xfId="0" applyNumberFormat="1" applyFill="1"/>
    <xf numFmtId="0" fontId="32" fillId="8" borderId="0" xfId="0" applyFont="1" applyFill="1" applyAlignment="1">
      <alignment horizontal="center"/>
    </xf>
    <xf numFmtId="0" fontId="0" fillId="8" borderId="0" xfId="0" applyFill="1" applyAlignment="1">
      <alignment horizontal="right" vertical="top"/>
    </xf>
    <xf numFmtId="0" fontId="0" fillId="8" borderId="0" xfId="0" applyFill="1" applyAlignment="1">
      <alignment horizontal="center"/>
    </xf>
    <xf numFmtId="3" fontId="0" fillId="8" borderId="0" xfId="0" applyNumberFormat="1" applyFill="1"/>
    <xf numFmtId="10" fontId="0" fillId="8" borderId="0" xfId="0" applyNumberFormat="1" applyFill="1"/>
    <xf numFmtId="2" fontId="0" fillId="8" borderId="0" xfId="0" applyNumberFormat="1" applyFill="1"/>
    <xf numFmtId="0" fontId="32" fillId="8" borderId="0" xfId="0" applyFont="1" applyFill="1"/>
    <xf numFmtId="0" fontId="32" fillId="8" borderId="0" xfId="0" applyFont="1" applyFill="1" applyAlignment="1">
      <alignment horizontal="right" vertical="top"/>
    </xf>
    <xf numFmtId="0" fontId="0" fillId="8" borderId="0" xfId="0" applyFill="1" applyAlignment="1">
      <alignment horizontal="right"/>
    </xf>
    <xf numFmtId="4" fontId="0" fillId="8" borderId="0" xfId="0" applyNumberFormat="1" applyFill="1"/>
    <xf numFmtId="4" fontId="0" fillId="8" borderId="0" xfId="0" applyNumberFormat="1" applyFill="1" applyAlignment="1">
      <alignment horizontal="right"/>
    </xf>
    <xf numFmtId="209" fontId="0" fillId="8" borderId="0" xfId="0" applyNumberFormat="1" applyFill="1"/>
    <xf numFmtId="210" fontId="0" fillId="8" borderId="0" xfId="0" applyNumberFormat="1" applyFill="1" applyAlignment="1">
      <alignment horizontal="right"/>
    </xf>
    <xf numFmtId="3" fontId="0" fillId="8" borderId="0" xfId="0" applyNumberFormat="1" applyFill="1" applyAlignment="1">
      <alignment horizontal="right"/>
    </xf>
    <xf numFmtId="10" fontId="0" fillId="8" borderId="0" xfId="0" applyNumberFormat="1" applyFill="1" applyAlignment="1">
      <alignment horizontal="right"/>
    </xf>
    <xf numFmtId="3" fontId="27" fillId="0" borderId="0" xfId="17" applyNumberFormat="1" applyFont="1" applyBorder="1" applyAlignment="1">
      <alignment horizontal="center" vertical="center"/>
    </xf>
    <xf numFmtId="3" fontId="28" fillId="0" borderId="0" xfId="17" applyNumberFormat="1" applyFont="1" applyBorder="1" applyAlignment="1">
      <alignment horizontal="center" vertical="center"/>
    </xf>
    <xf numFmtId="3" fontId="27" fillId="7" borderId="38" xfId="17" applyNumberFormat="1" applyFont="1" applyFill="1" applyBorder="1" applyAlignment="1">
      <alignment horizontal="center" vertical="center"/>
    </xf>
    <xf numFmtId="3" fontId="27" fillId="7" borderId="39" xfId="17" applyNumberFormat="1" applyFont="1" applyFill="1" applyBorder="1" applyAlignment="1">
      <alignment horizontal="center" vertical="center"/>
    </xf>
    <xf numFmtId="3" fontId="27" fillId="7" borderId="40" xfId="17" applyNumberFormat="1" applyFont="1" applyFill="1" applyBorder="1" applyAlignment="1">
      <alignment horizontal="center" vertical="center"/>
    </xf>
    <xf numFmtId="3" fontId="8" fillId="0" borderId="5" xfId="17" applyNumberFormat="1" applyFont="1" applyBorder="1" applyAlignment="1">
      <alignment horizontal="center" vertical="center" wrapText="1"/>
    </xf>
    <xf numFmtId="3" fontId="8" fillId="0" borderId="48" xfId="17" applyNumberFormat="1" applyFont="1" applyBorder="1" applyAlignment="1">
      <alignment horizontal="center" vertical="center" wrapText="1"/>
    </xf>
    <xf numFmtId="3" fontId="8" fillId="0" borderId="54" xfId="17" applyNumberFormat="1" applyFont="1" applyBorder="1" applyAlignment="1">
      <alignment horizontal="center" vertical="center" wrapText="1"/>
    </xf>
    <xf numFmtId="3" fontId="8" fillId="0" borderId="50" xfId="17" applyNumberFormat="1" applyFont="1" applyBorder="1" applyAlignment="1">
      <alignment horizontal="center" vertical="center" wrapText="1"/>
    </xf>
    <xf numFmtId="3" fontId="8" fillId="0" borderId="33" xfId="17" applyNumberFormat="1" applyFont="1" applyBorder="1" applyAlignment="1">
      <alignment horizontal="center" vertical="center" wrapText="1"/>
    </xf>
    <xf numFmtId="3" fontId="8" fillId="0" borderId="36" xfId="17" applyNumberFormat="1" applyFont="1" applyBorder="1" applyAlignment="1">
      <alignment horizontal="center" vertical="center" wrapText="1"/>
    </xf>
    <xf numFmtId="3" fontId="9" fillId="10" borderId="32" xfId="17" applyNumberFormat="1" applyFont="1" applyFill="1" applyBorder="1" applyAlignment="1">
      <alignment horizontal="center" vertical="center"/>
    </xf>
    <xf numFmtId="3" fontId="9" fillId="10" borderId="41" xfId="17" applyNumberFormat="1" applyFont="1" applyFill="1" applyBorder="1" applyAlignment="1">
      <alignment horizontal="center" vertical="center"/>
    </xf>
    <xf numFmtId="3" fontId="9" fillId="10" borderId="9" xfId="17" applyNumberFormat="1" applyFont="1" applyFill="1" applyBorder="1" applyAlignment="1">
      <alignment horizontal="center" vertical="center"/>
    </xf>
    <xf numFmtId="0" fontId="36" fillId="8" borderId="10" xfId="0" applyFont="1" applyFill="1" applyBorder="1" applyAlignment="1">
      <alignment horizontal="center"/>
    </xf>
    <xf numFmtId="0" fontId="36" fillId="8" borderId="7" xfId="0" applyFont="1" applyFill="1" applyBorder="1" applyAlignment="1">
      <alignment horizontal="center"/>
    </xf>
    <xf numFmtId="0" fontId="36" fillId="8" borderId="77" xfId="0" applyFont="1" applyFill="1" applyBorder="1" applyAlignment="1">
      <alignment horizontal="center"/>
    </xf>
    <xf numFmtId="0" fontId="36" fillId="8" borderId="78" xfId="0" applyFont="1" applyFill="1" applyBorder="1" applyAlignment="1">
      <alignment horizontal="center"/>
    </xf>
    <xf numFmtId="0" fontId="36" fillId="8" borderId="32" xfId="0" applyFont="1" applyFill="1" applyBorder="1" applyAlignment="1">
      <alignment horizontal="center"/>
    </xf>
    <xf numFmtId="0" fontId="36" fillId="8" borderId="41" xfId="0" applyFont="1" applyFill="1" applyBorder="1" applyAlignment="1">
      <alignment horizontal="center"/>
    </xf>
    <xf numFmtId="0" fontId="36" fillId="8" borderId="9" xfId="0" applyFont="1" applyFill="1" applyBorder="1" applyAlignment="1">
      <alignment horizontal="center"/>
    </xf>
    <xf numFmtId="0" fontId="35" fillId="8" borderId="5" xfId="0" applyFont="1" applyFill="1" applyBorder="1" applyAlignment="1">
      <alignment horizontal="center"/>
    </xf>
    <xf numFmtId="0" fontId="35" fillId="8" borderId="79" xfId="0" applyFont="1" applyFill="1" applyBorder="1" applyAlignment="1">
      <alignment horizontal="center"/>
    </xf>
    <xf numFmtId="0" fontId="18" fillId="8" borderId="32" xfId="17" applyFont="1" applyFill="1" applyBorder="1" applyAlignment="1">
      <alignment horizontal="center"/>
    </xf>
    <xf numFmtId="0" fontId="18" fillId="8" borderId="41" xfId="17" applyFont="1" applyFill="1" applyBorder="1" applyAlignment="1">
      <alignment horizontal="center"/>
    </xf>
    <xf numFmtId="0" fontId="18" fillId="8" borderId="9" xfId="17" applyFont="1" applyFill="1" applyBorder="1" applyAlignment="1">
      <alignment horizontal="center"/>
    </xf>
    <xf numFmtId="0" fontId="28" fillId="8" borderId="10" xfId="17" applyFont="1" applyFill="1" applyBorder="1" applyAlignment="1">
      <alignment horizontal="center"/>
    </xf>
    <xf numFmtId="0" fontId="28" fillId="8" borderId="6" xfId="17" applyFont="1" applyFill="1" applyBorder="1" applyAlignment="1">
      <alignment horizontal="center"/>
    </xf>
    <xf numFmtId="0" fontId="28" fillId="8" borderId="7" xfId="17" applyFont="1" applyFill="1" applyBorder="1" applyAlignment="1">
      <alignment horizontal="center"/>
    </xf>
    <xf numFmtId="0" fontId="27" fillId="8" borderId="47" xfId="17" applyFont="1" applyFill="1" applyBorder="1" applyAlignment="1">
      <alignment horizontal="center" vertical="center" wrapText="1"/>
    </xf>
    <xf numFmtId="0" fontId="27" fillId="8" borderId="34" xfId="17" applyFont="1" applyFill="1" applyBorder="1" applyAlignment="1">
      <alignment horizontal="center" vertical="center" wrapText="1"/>
    </xf>
    <xf numFmtId="0" fontId="27" fillId="8" borderId="51" xfId="17" applyFont="1" applyFill="1" applyBorder="1" applyAlignment="1">
      <alignment horizontal="center" vertical="center" wrapText="1"/>
    </xf>
    <xf numFmtId="0" fontId="27" fillId="8" borderId="45" xfId="17" applyFont="1" applyFill="1" applyBorder="1" applyAlignment="1">
      <alignment horizontal="center" vertical="center" wrapText="1"/>
    </xf>
    <xf numFmtId="0" fontId="27" fillId="8" borderId="10" xfId="17" applyFont="1" applyFill="1" applyBorder="1" applyAlignment="1">
      <alignment horizontal="center"/>
    </xf>
    <xf numFmtId="0" fontId="27" fillId="8" borderId="7" xfId="17" applyFont="1" applyFill="1" applyBorder="1" applyAlignment="1">
      <alignment horizontal="center"/>
    </xf>
    <xf numFmtId="0" fontId="27" fillId="8" borderId="81" xfId="17" applyFont="1" applyFill="1" applyBorder="1" applyAlignment="1">
      <alignment horizontal="center"/>
    </xf>
    <xf numFmtId="0" fontId="27" fillId="8" borderId="82" xfId="17" applyFont="1" applyFill="1" applyBorder="1" applyAlignment="1">
      <alignment horizontal="center"/>
    </xf>
    <xf numFmtId="0" fontId="27" fillId="8" borderId="83" xfId="17" applyFont="1" applyFill="1" applyBorder="1" applyAlignment="1">
      <alignment horizontal="center"/>
    </xf>
    <xf numFmtId="0" fontId="27" fillId="8" borderId="76" xfId="17" applyFont="1" applyFill="1" applyBorder="1" applyAlignment="1">
      <alignment horizontal="left"/>
    </xf>
    <xf numFmtId="0" fontId="27" fillId="8" borderId="39" xfId="17" applyFont="1" applyFill="1" applyBorder="1" applyAlignment="1">
      <alignment horizontal="left"/>
    </xf>
    <xf numFmtId="0" fontId="27" fillId="8" borderId="80" xfId="17" applyFont="1" applyFill="1" applyBorder="1" applyAlignment="1">
      <alignment horizontal="left"/>
    </xf>
    <xf numFmtId="0" fontId="27" fillId="8" borderId="24" xfId="17" applyFont="1" applyFill="1" applyBorder="1" applyAlignment="1">
      <alignment horizontal="left"/>
    </xf>
    <xf numFmtId="0" fontId="27" fillId="8" borderId="1" xfId="17" applyFont="1" applyFill="1" applyBorder="1" applyAlignment="1">
      <alignment horizontal="left"/>
    </xf>
    <xf numFmtId="0" fontId="27" fillId="8" borderId="25" xfId="17" applyFont="1" applyFill="1" applyBorder="1" applyAlignment="1">
      <alignment horizontal="left"/>
    </xf>
    <xf numFmtId="0" fontId="27" fillId="8" borderId="33" xfId="17" applyFont="1" applyFill="1" applyBorder="1" applyAlignment="1">
      <alignment horizontal="center"/>
    </xf>
    <xf numFmtId="0" fontId="27" fillId="8" borderId="20" xfId="17" applyFont="1" applyFill="1" applyBorder="1" applyAlignment="1">
      <alignment horizontal="center"/>
    </xf>
    <xf numFmtId="0" fontId="18" fillId="8" borderId="10" xfId="17" applyFont="1" applyFill="1" applyBorder="1" applyAlignment="1">
      <alignment horizontal="center"/>
    </xf>
    <xf numFmtId="0" fontId="18" fillId="8" borderId="6" xfId="17" applyFont="1" applyFill="1" applyBorder="1" applyAlignment="1">
      <alignment horizontal="center"/>
    </xf>
    <xf numFmtId="0" fontId="18" fillId="8" borderId="7" xfId="17" applyFont="1" applyFill="1" applyBorder="1" applyAlignment="1">
      <alignment horizontal="center"/>
    </xf>
    <xf numFmtId="0" fontId="21" fillId="8" borderId="47" xfId="17" applyFont="1" applyFill="1" applyBorder="1" applyAlignment="1">
      <alignment horizontal="center" vertical="center" wrapText="1"/>
    </xf>
    <xf numFmtId="0" fontId="21" fillId="8" borderId="34" xfId="17" applyFont="1" applyFill="1" applyBorder="1" applyAlignment="1">
      <alignment horizontal="center" vertical="center" wrapText="1"/>
    </xf>
    <xf numFmtId="0" fontId="21" fillId="8" borderId="51" xfId="17" applyFont="1" applyFill="1" applyBorder="1" applyAlignment="1">
      <alignment horizontal="center" vertical="center" wrapText="1"/>
    </xf>
    <xf numFmtId="0" fontId="21" fillId="8" borderId="45" xfId="17" applyFont="1" applyFill="1" applyBorder="1" applyAlignment="1">
      <alignment horizontal="center" vertical="center" wrapText="1"/>
    </xf>
    <xf numFmtId="0" fontId="21" fillId="8" borderId="10" xfId="17" applyFont="1" applyFill="1" applyBorder="1" applyAlignment="1">
      <alignment horizontal="center"/>
    </xf>
    <xf numFmtId="0" fontId="21" fillId="8" borderId="7" xfId="17" applyFont="1" applyFill="1" applyBorder="1" applyAlignment="1">
      <alignment horizontal="center"/>
    </xf>
    <xf numFmtId="204" fontId="35" fillId="8" borderId="48" xfId="0" applyNumberFormat="1" applyFont="1" applyFill="1" applyBorder="1" applyAlignment="1">
      <alignment horizontal="center" vertical="center"/>
    </xf>
    <xf numFmtId="204" fontId="35" fillId="8" borderId="50" xfId="0" applyNumberFormat="1" applyFont="1" applyFill="1" applyBorder="1" applyAlignment="1">
      <alignment horizontal="center" vertical="center"/>
    </xf>
    <xf numFmtId="204" fontId="35" fillId="8" borderId="36" xfId="0" applyNumberFormat="1" applyFont="1" applyFill="1" applyBorder="1" applyAlignment="1">
      <alignment horizontal="center" vertical="center"/>
    </xf>
    <xf numFmtId="1" fontId="35" fillId="8" borderId="48" xfId="0" applyNumberFormat="1" applyFont="1" applyFill="1" applyBorder="1" applyAlignment="1">
      <alignment horizontal="center" vertical="center"/>
    </xf>
    <xf numFmtId="1" fontId="35" fillId="8" borderId="50" xfId="0" applyNumberFormat="1" applyFont="1" applyFill="1" applyBorder="1" applyAlignment="1">
      <alignment horizontal="center" vertical="center"/>
    </xf>
    <xf numFmtId="1" fontId="35" fillId="8" borderId="36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14" fillId="8" borderId="40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1" fontId="14" fillId="8" borderId="37" xfId="0" applyNumberFormat="1" applyFont="1" applyFill="1" applyBorder="1" applyAlignment="1">
      <alignment horizontal="center" vertical="center"/>
    </xf>
    <xf numFmtId="1" fontId="14" fillId="8" borderId="19" xfId="0" applyNumberFormat="1" applyFont="1" applyFill="1" applyBorder="1" applyAlignment="1">
      <alignment horizontal="center" vertical="center"/>
    </xf>
    <xf numFmtId="0" fontId="18" fillId="8" borderId="84" xfId="17" applyFont="1" applyFill="1" applyBorder="1" applyAlignment="1">
      <alignment horizontal="center"/>
    </xf>
    <xf numFmtId="0" fontId="18" fillId="8" borderId="54" xfId="5" applyFont="1" applyFill="1" applyBorder="1" applyAlignment="1" applyProtection="1">
      <alignment horizontal="left"/>
    </xf>
    <xf numFmtId="0" fontId="18" fillId="8" borderId="0" xfId="5" applyFont="1" applyFill="1" applyBorder="1" applyAlignment="1" applyProtection="1">
      <alignment horizontal="left"/>
    </xf>
    <xf numFmtId="0" fontId="18" fillId="8" borderId="50" xfId="5" applyFont="1" applyFill="1" applyBorder="1" applyAlignment="1" applyProtection="1">
      <alignment horizontal="left"/>
    </xf>
    <xf numFmtId="0" fontId="14" fillId="8" borderId="56" xfId="0" applyFont="1" applyFill="1" applyBorder="1" applyAlignment="1">
      <alignment horizontal="left"/>
    </xf>
    <xf numFmtId="0" fontId="14" fillId="8" borderId="37" xfId="0" applyFont="1" applyFill="1" applyBorder="1" applyAlignment="1">
      <alignment horizontal="left"/>
    </xf>
    <xf numFmtId="0" fontId="36" fillId="8" borderId="10" xfId="0" applyFont="1" applyFill="1" applyBorder="1" applyAlignment="1">
      <alignment horizontal="left"/>
    </xf>
    <xf numFmtId="0" fontId="36" fillId="8" borderId="6" xfId="0" applyFont="1" applyFill="1" applyBorder="1" applyAlignment="1">
      <alignment horizontal="left"/>
    </xf>
    <xf numFmtId="0" fontId="18" fillId="8" borderId="54" xfId="0" applyFont="1" applyFill="1" applyBorder="1" applyAlignment="1">
      <alignment horizontal="left" wrapText="1"/>
    </xf>
    <xf numFmtId="0" fontId="18" fillId="8" borderId="0" xfId="0" applyFont="1" applyFill="1" applyBorder="1" applyAlignment="1">
      <alignment horizontal="left" wrapText="1"/>
    </xf>
    <xf numFmtId="0" fontId="18" fillId="8" borderId="50" xfId="0" applyFont="1" applyFill="1" applyBorder="1" applyAlignment="1">
      <alignment horizontal="left" wrapText="1"/>
    </xf>
    <xf numFmtId="0" fontId="35" fillId="8" borderId="24" xfId="0" applyFont="1" applyFill="1" applyBorder="1" applyAlignment="1">
      <alignment horizontal="left" vertical="center" wrapText="1"/>
    </xf>
    <xf numFmtId="0" fontId="35" fillId="8" borderId="1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left"/>
    </xf>
    <xf numFmtId="0" fontId="35" fillId="8" borderId="24" xfId="0" applyFont="1" applyFill="1" applyBorder="1" applyAlignment="1">
      <alignment horizontal="left"/>
    </xf>
    <xf numFmtId="0" fontId="35" fillId="8" borderId="1" xfId="0" applyFont="1" applyFill="1" applyBorder="1" applyAlignment="1">
      <alignment horizontal="left"/>
    </xf>
    <xf numFmtId="0" fontId="14" fillId="8" borderId="32" xfId="0" applyFont="1" applyFill="1" applyBorder="1" applyAlignment="1">
      <alignment horizontal="center"/>
    </xf>
    <xf numFmtId="0" fontId="14" fillId="8" borderId="41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36" fillId="8" borderId="21" xfId="0" applyFont="1" applyFill="1" applyBorder="1" applyAlignment="1">
      <alignment horizontal="center"/>
    </xf>
    <xf numFmtId="0" fontId="36" fillId="8" borderId="22" xfId="0" applyFont="1" applyFill="1" applyBorder="1" applyAlignment="1">
      <alignment horizontal="center"/>
    </xf>
    <xf numFmtId="0" fontId="36" fillId="8" borderId="23" xfId="0" applyFont="1" applyFill="1" applyBorder="1" applyAlignment="1">
      <alignment horizontal="center"/>
    </xf>
    <xf numFmtId="3" fontId="18" fillId="8" borderId="32" xfId="0" applyNumberFormat="1" applyFont="1" applyFill="1" applyBorder="1" applyAlignment="1">
      <alignment horizontal="center" vertical="center"/>
    </xf>
    <xf numFmtId="3" fontId="18" fillId="8" borderId="41" xfId="0" applyNumberFormat="1" applyFont="1" applyFill="1" applyBorder="1" applyAlignment="1">
      <alignment horizontal="center" vertical="center"/>
    </xf>
    <xf numFmtId="3" fontId="18" fillId="8" borderId="9" xfId="0" applyNumberFormat="1" applyFont="1" applyFill="1" applyBorder="1" applyAlignment="1">
      <alignment horizontal="center" vertical="center"/>
    </xf>
    <xf numFmtId="0" fontId="35" fillId="8" borderId="18" xfId="0" applyFont="1" applyFill="1" applyBorder="1" applyAlignment="1">
      <alignment horizontal="center"/>
    </xf>
    <xf numFmtId="0" fontId="35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/>
    </xf>
    <xf numFmtId="0" fontId="35" fillId="8" borderId="37" xfId="0" applyFont="1" applyFill="1" applyBorder="1" applyAlignment="1">
      <alignment horizontal="center" vertical="center" textRotation="90" wrapText="1"/>
    </xf>
    <xf numFmtId="0" fontId="35" fillId="8" borderId="29" xfId="0" applyFont="1" applyFill="1" applyBorder="1" applyAlignment="1">
      <alignment horizontal="center" vertical="center" textRotation="90" wrapText="1"/>
    </xf>
    <xf numFmtId="0" fontId="35" fillId="8" borderId="16" xfId="0" applyFont="1" applyFill="1" applyBorder="1" applyAlignment="1">
      <alignment horizontal="center" vertical="center" textRotation="90" wrapText="1"/>
    </xf>
    <xf numFmtId="0" fontId="14" fillId="8" borderId="29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/>
    </xf>
    <xf numFmtId="0" fontId="14" fillId="8" borderId="39" xfId="0" applyFont="1" applyFill="1" applyBorder="1" applyAlignment="1">
      <alignment horizontal="center"/>
    </xf>
    <xf numFmtId="0" fontId="14" fillId="8" borderId="40" xfId="0" applyFont="1" applyFill="1" applyBorder="1" applyAlignment="1">
      <alignment horizontal="center"/>
    </xf>
    <xf numFmtId="1" fontId="14" fillId="8" borderId="1" xfId="0" applyNumberFormat="1" applyFont="1" applyFill="1" applyBorder="1" applyAlignment="1">
      <alignment horizontal="center"/>
    </xf>
    <xf numFmtId="1" fontId="19" fillId="8" borderId="38" xfId="0" applyNumberFormat="1" applyFont="1" applyFill="1" applyBorder="1" applyAlignment="1">
      <alignment horizontal="center"/>
    </xf>
    <xf numFmtId="1" fontId="19" fillId="8" borderId="40" xfId="0" applyNumberFormat="1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/>
    </xf>
    <xf numFmtId="0" fontId="15" fillId="8" borderId="9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 wrapText="1"/>
    </xf>
    <xf numFmtId="0" fontId="35" fillId="8" borderId="0" xfId="0" applyFont="1" applyFill="1" applyBorder="1" applyAlignment="1">
      <alignment horizontal="center"/>
    </xf>
    <xf numFmtId="180" fontId="18" fillId="8" borderId="5" xfId="15" applyNumberFormat="1" applyFont="1" applyFill="1" applyBorder="1" applyAlignment="1">
      <alignment horizontal="center" vertical="center"/>
    </xf>
    <xf numFmtId="180" fontId="18" fillId="8" borderId="79" xfId="15" applyNumberFormat="1" applyFont="1" applyFill="1" applyBorder="1" applyAlignment="1">
      <alignment horizontal="center" vertical="center"/>
    </xf>
    <xf numFmtId="180" fontId="18" fillId="8" borderId="48" xfId="15" applyNumberFormat="1" applyFont="1" applyFill="1" applyBorder="1" applyAlignment="1">
      <alignment horizontal="center" vertical="center"/>
    </xf>
    <xf numFmtId="180" fontId="18" fillId="8" borderId="33" xfId="15" applyNumberFormat="1" applyFont="1" applyFill="1" applyBorder="1" applyAlignment="1">
      <alignment horizontal="center" vertical="center"/>
    </xf>
    <xf numFmtId="180" fontId="18" fillId="8" borderId="20" xfId="15" applyNumberFormat="1" applyFont="1" applyFill="1" applyBorder="1" applyAlignment="1">
      <alignment horizontal="center" vertical="center"/>
    </xf>
    <xf numFmtId="180" fontId="18" fillId="8" borderId="36" xfId="15" applyNumberFormat="1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79" xfId="0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0" fontId="14" fillId="8" borderId="3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/>
    </xf>
    <xf numFmtId="0" fontId="18" fillId="8" borderId="10" xfId="15" applyFont="1" applyFill="1" applyBorder="1" applyAlignment="1">
      <alignment horizontal="center"/>
    </xf>
    <xf numFmtId="0" fontId="18" fillId="8" borderId="6" xfId="15" applyFont="1" applyFill="1" applyBorder="1" applyAlignment="1">
      <alignment horizontal="center"/>
    </xf>
    <xf numFmtId="0" fontId="18" fillId="8" borderId="85" xfId="15" applyFont="1" applyFill="1" applyBorder="1" applyAlignment="1">
      <alignment horizontal="center"/>
    </xf>
    <xf numFmtId="0" fontId="18" fillId="8" borderId="7" xfId="15" applyFont="1" applyFill="1" applyBorder="1" applyAlignment="1">
      <alignment horizontal="center"/>
    </xf>
    <xf numFmtId="0" fontId="18" fillId="8" borderId="32" xfId="15" applyFont="1" applyFill="1" applyBorder="1" applyAlignment="1">
      <alignment horizontal="center"/>
    </xf>
    <xf numFmtId="0" fontId="18" fillId="8" borderId="41" xfId="15" applyFont="1" applyFill="1" applyBorder="1" applyAlignment="1">
      <alignment horizontal="center"/>
    </xf>
    <xf numFmtId="0" fontId="18" fillId="8" borderId="9" xfId="15" applyFont="1" applyFill="1" applyBorder="1" applyAlignment="1">
      <alignment horizontal="center"/>
    </xf>
    <xf numFmtId="0" fontId="23" fillId="8" borderId="18" xfId="0" applyFont="1" applyFill="1" applyBorder="1" applyAlignment="1">
      <alignment horizontal="center"/>
    </xf>
    <xf numFmtId="0" fontId="21" fillId="8" borderId="12" xfId="0" applyFont="1" applyFill="1" applyBorder="1" applyAlignment="1">
      <alignment horizontal="left" vertical="top"/>
    </xf>
    <xf numFmtId="0" fontId="21" fillId="8" borderId="0" xfId="0" applyFont="1" applyFill="1"/>
    <xf numFmtId="0" fontId="21" fillId="8" borderId="14" xfId="0" applyFont="1" applyFill="1" applyBorder="1"/>
    <xf numFmtId="0" fontId="18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4" fillId="8" borderId="37" xfId="0" applyFont="1" applyFill="1" applyBorder="1" applyAlignment="1">
      <alignment horizontal="center" vertical="center" wrapText="1"/>
    </xf>
    <xf numFmtId="0" fontId="24" fillId="8" borderId="29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38" xfId="0" applyFont="1" applyFill="1" applyBorder="1" applyAlignment="1">
      <alignment horizontal="center" vertical="center"/>
    </xf>
    <xf numFmtId="0" fontId="24" fillId="8" borderId="40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/>
    </xf>
    <xf numFmtId="0" fontId="18" fillId="8" borderId="79" xfId="0" applyFont="1" applyFill="1" applyBorder="1" applyAlignment="1">
      <alignment horizontal="center"/>
    </xf>
    <xf numFmtId="0" fontId="18" fillId="8" borderId="48" xfId="0" applyFont="1" applyFill="1" applyBorder="1" applyAlignment="1">
      <alignment horizontal="center"/>
    </xf>
    <xf numFmtId="0" fontId="18" fillId="8" borderId="54" xfId="0" applyFont="1" applyFill="1" applyBorder="1" applyAlignment="1">
      <alignment horizontal="center"/>
    </xf>
    <xf numFmtId="0" fontId="18" fillId="8" borderId="50" xfId="0" applyFont="1" applyFill="1" applyBorder="1" applyAlignment="1">
      <alignment horizontal="center"/>
    </xf>
    <xf numFmtId="0" fontId="21" fillId="8" borderId="0" xfId="0" applyFont="1" applyFill="1" applyAlignment="1">
      <alignment horizontal="center" vertical="center" wrapText="1"/>
    </xf>
    <xf numFmtId="0" fontId="18" fillId="8" borderId="37" xfId="0" applyFont="1" applyFill="1" applyBorder="1" applyAlignment="1">
      <alignment horizontal="center" vertical="center" wrapText="1"/>
    </xf>
    <xf numFmtId="0" fontId="18" fillId="8" borderId="29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21" fillId="8" borderId="15" xfId="0" applyFont="1" applyFill="1" applyBorder="1"/>
    <xf numFmtId="0" fontId="0" fillId="0" borderId="37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3" fontId="9" fillId="2" borderId="32" xfId="16" applyNumberFormat="1" applyFont="1" applyFill="1" applyBorder="1" applyAlignment="1">
      <alignment horizontal="center" vertical="center"/>
    </xf>
    <xf numFmtId="3" fontId="9" fillId="2" borderId="41" xfId="16" applyNumberFormat="1" applyFont="1" applyFill="1" applyBorder="1" applyAlignment="1">
      <alignment horizontal="center" vertical="center"/>
    </xf>
    <xf numFmtId="3" fontId="9" fillId="2" borderId="9" xfId="16" applyNumberFormat="1" applyFont="1" applyFill="1" applyBorder="1" applyAlignment="1">
      <alignment horizontal="center" vertical="center"/>
    </xf>
  </cellXfs>
  <cellStyles count="21">
    <cellStyle name="Euro" xfId="1"/>
    <cellStyle name="Euro 2" xfId="2"/>
    <cellStyle name="Euro 3" xfId="3"/>
    <cellStyle name="Euro 4" xfId="4"/>
    <cellStyle name="Hipervínculo" xfId="5" builtinId="8"/>
    <cellStyle name="Millares" xfId="6" builtinId="3"/>
    <cellStyle name="Millares 2" xfId="7"/>
    <cellStyle name="Millares 2 2" xfId="8"/>
    <cellStyle name="Millares 3" xfId="9"/>
    <cellStyle name="Millares 4" xfId="10"/>
    <cellStyle name="Moneda" xfId="11" builtinId="4"/>
    <cellStyle name="Moneda 2" xfId="12"/>
    <cellStyle name="Moneda 3" xfId="13"/>
    <cellStyle name="Moneda 4" xfId="14"/>
    <cellStyle name="Normal" xfId="0" builtinId="0"/>
    <cellStyle name="Normal 2" xfId="15"/>
    <cellStyle name="Normal 3" xfId="16"/>
    <cellStyle name="Normal 4" xfId="17"/>
    <cellStyle name="Porcentual" xfId="18" builtinId="5"/>
    <cellStyle name="Porcentual 2" xfId="19"/>
    <cellStyle name="Porcentual 4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590550</xdr:colOff>
      <xdr:row>27</xdr:row>
      <xdr:rowOff>123825</xdr:rowOff>
    </xdr:from>
    <xdr:to>
      <xdr:col>17</xdr:col>
      <xdr:colOff>638175</xdr:colOff>
      <xdr:row>33</xdr:row>
      <xdr:rowOff>133350</xdr:rowOff>
    </xdr:to>
    <xdr:sp macro="" textlink="">
      <xdr:nvSpPr>
        <xdr:cNvPr id="2" name="1 Cerrar llave"/>
        <xdr:cNvSpPr/>
      </xdr:nvSpPr>
      <xdr:spPr>
        <a:xfrm>
          <a:off x="12430125" y="4333875"/>
          <a:ext cx="47625" cy="876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33</xdr:row>
      <xdr:rowOff>104775</xdr:rowOff>
    </xdr:from>
    <xdr:to>
      <xdr:col>6</xdr:col>
      <xdr:colOff>581025</xdr:colOff>
      <xdr:row>33</xdr:row>
      <xdr:rowOff>106363</xdr:rowOff>
    </xdr:to>
    <xdr:cxnSp macro="">
      <xdr:nvCxnSpPr>
        <xdr:cNvPr id="2" name="1 Conector recto de flecha"/>
        <xdr:cNvCxnSpPr/>
      </xdr:nvCxnSpPr>
      <xdr:spPr>
        <a:xfrm>
          <a:off x="5638800" y="6438900"/>
          <a:ext cx="5048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34</xdr:row>
      <xdr:rowOff>104775</xdr:rowOff>
    </xdr:from>
    <xdr:to>
      <xdr:col>6</xdr:col>
      <xdr:colOff>590550</xdr:colOff>
      <xdr:row>34</xdr:row>
      <xdr:rowOff>106363</xdr:rowOff>
    </xdr:to>
    <xdr:cxnSp macro="">
      <xdr:nvCxnSpPr>
        <xdr:cNvPr id="3" name="2 Conector recto de flecha"/>
        <xdr:cNvCxnSpPr/>
      </xdr:nvCxnSpPr>
      <xdr:spPr>
        <a:xfrm>
          <a:off x="5648325" y="6629400"/>
          <a:ext cx="5048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38</xdr:row>
      <xdr:rowOff>152400</xdr:rowOff>
    </xdr:from>
    <xdr:to>
      <xdr:col>8</xdr:col>
      <xdr:colOff>257175</xdr:colOff>
      <xdr:row>53</xdr:row>
      <xdr:rowOff>114300</xdr:rowOff>
    </xdr:to>
    <xdr:pic>
      <xdr:nvPicPr>
        <xdr:cNvPr id="17432" name="1 Imagen" descr="tmp11.tmp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7391400"/>
          <a:ext cx="4838700" cy="281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733425</xdr:colOff>
      <xdr:row>99</xdr:row>
      <xdr:rowOff>57150</xdr:rowOff>
    </xdr:to>
    <xdr:pic>
      <xdr:nvPicPr>
        <xdr:cNvPr id="17433" name="2 Imagen" descr="tmp11.tmp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43550" y="1790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103</xdr:row>
      <xdr:rowOff>161925</xdr:rowOff>
    </xdr:from>
    <xdr:to>
      <xdr:col>8</xdr:col>
      <xdr:colOff>733425</xdr:colOff>
      <xdr:row>109</xdr:row>
      <xdr:rowOff>47625</xdr:rowOff>
    </xdr:to>
    <xdr:pic>
      <xdr:nvPicPr>
        <xdr:cNvPr id="17434" name="3 Imagen" descr="tmp11.tmp"/>
        <xdr:cNvPicPr>
          <a:picLocks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43550" y="1978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733425</xdr:colOff>
      <xdr:row>119</xdr:row>
      <xdr:rowOff>57150</xdr:rowOff>
    </xdr:to>
    <xdr:pic>
      <xdr:nvPicPr>
        <xdr:cNvPr id="17435" name="4 Imagen" descr="tmp11.tmp"/>
        <xdr:cNvPicPr>
          <a:picLocks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543550" y="2171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123</xdr:row>
      <xdr:rowOff>161925</xdr:rowOff>
    </xdr:from>
    <xdr:to>
      <xdr:col>8</xdr:col>
      <xdr:colOff>733425</xdr:colOff>
      <xdr:row>129</xdr:row>
      <xdr:rowOff>47625</xdr:rowOff>
    </xdr:to>
    <xdr:pic>
      <xdr:nvPicPr>
        <xdr:cNvPr id="17436" name="5 Imagen" descr="tmp11.tmp"/>
        <xdr:cNvPicPr>
          <a:picLocks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543550" y="2359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134</xdr:row>
      <xdr:rowOff>0</xdr:rowOff>
    </xdr:from>
    <xdr:to>
      <xdr:col>8</xdr:col>
      <xdr:colOff>733425</xdr:colOff>
      <xdr:row>139</xdr:row>
      <xdr:rowOff>57150</xdr:rowOff>
    </xdr:to>
    <xdr:pic>
      <xdr:nvPicPr>
        <xdr:cNvPr id="17437" name="6 Imagen" descr="tmp11.tmp"/>
        <xdr:cNvPicPr>
          <a:picLocks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543550" y="2552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143</xdr:row>
      <xdr:rowOff>161925</xdr:rowOff>
    </xdr:from>
    <xdr:to>
      <xdr:col>8</xdr:col>
      <xdr:colOff>733425</xdr:colOff>
      <xdr:row>149</xdr:row>
      <xdr:rowOff>47625</xdr:rowOff>
    </xdr:to>
    <xdr:pic>
      <xdr:nvPicPr>
        <xdr:cNvPr id="17438" name="7 Imagen" descr="tmp11.tmp"/>
        <xdr:cNvPicPr>
          <a:picLocks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543550" y="2740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733425</xdr:colOff>
      <xdr:row>159</xdr:row>
      <xdr:rowOff>57150</xdr:rowOff>
    </xdr:to>
    <xdr:pic>
      <xdr:nvPicPr>
        <xdr:cNvPr id="17439" name="8 Imagen" descr="tmp11.tmp"/>
        <xdr:cNvPicPr>
          <a:picLocks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543550" y="2933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163</xdr:row>
      <xdr:rowOff>161925</xdr:rowOff>
    </xdr:from>
    <xdr:to>
      <xdr:col>8</xdr:col>
      <xdr:colOff>733425</xdr:colOff>
      <xdr:row>169</xdr:row>
      <xdr:rowOff>47625</xdr:rowOff>
    </xdr:to>
    <xdr:pic>
      <xdr:nvPicPr>
        <xdr:cNvPr id="17440" name="9 Imagen" descr="tmp11.tmp"/>
        <xdr:cNvPicPr>
          <a:picLocks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543550" y="3121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733425</xdr:colOff>
      <xdr:row>179</xdr:row>
      <xdr:rowOff>57150</xdr:rowOff>
    </xdr:to>
    <xdr:pic>
      <xdr:nvPicPr>
        <xdr:cNvPr id="17441" name="10 Imagen" descr="tmp11.tmp"/>
        <xdr:cNvPicPr>
          <a:picLocks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543550" y="3314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183</xdr:row>
      <xdr:rowOff>161925</xdr:rowOff>
    </xdr:from>
    <xdr:to>
      <xdr:col>8</xdr:col>
      <xdr:colOff>733425</xdr:colOff>
      <xdr:row>189</xdr:row>
      <xdr:rowOff>47625</xdr:rowOff>
    </xdr:to>
    <xdr:pic>
      <xdr:nvPicPr>
        <xdr:cNvPr id="17442" name="11 Imagen" descr="tmp11.tmp"/>
        <xdr:cNvPicPr>
          <a:picLocks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543550" y="3502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194</xdr:row>
      <xdr:rowOff>0</xdr:rowOff>
    </xdr:from>
    <xdr:to>
      <xdr:col>8</xdr:col>
      <xdr:colOff>733425</xdr:colOff>
      <xdr:row>199</xdr:row>
      <xdr:rowOff>57150</xdr:rowOff>
    </xdr:to>
    <xdr:pic>
      <xdr:nvPicPr>
        <xdr:cNvPr id="17443" name="12 Imagen" descr="tmp11.tmp"/>
        <xdr:cNvPicPr>
          <a:picLocks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5543550" y="3695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203</xdr:row>
      <xdr:rowOff>161925</xdr:rowOff>
    </xdr:from>
    <xdr:to>
      <xdr:col>8</xdr:col>
      <xdr:colOff>733425</xdr:colOff>
      <xdr:row>209</xdr:row>
      <xdr:rowOff>47625</xdr:rowOff>
    </xdr:to>
    <xdr:pic>
      <xdr:nvPicPr>
        <xdr:cNvPr id="17444" name="13 Imagen" descr="tmp11.tmp"/>
        <xdr:cNvPicPr>
          <a:picLocks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5543550" y="3883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733425</xdr:colOff>
      <xdr:row>219</xdr:row>
      <xdr:rowOff>57150</xdr:rowOff>
    </xdr:to>
    <xdr:pic>
      <xdr:nvPicPr>
        <xdr:cNvPr id="17445" name="14 Imagen" descr="tmp11.tmp"/>
        <xdr:cNvPicPr>
          <a:picLocks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5543550" y="4076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223</xdr:row>
      <xdr:rowOff>161925</xdr:rowOff>
    </xdr:from>
    <xdr:to>
      <xdr:col>8</xdr:col>
      <xdr:colOff>733425</xdr:colOff>
      <xdr:row>229</xdr:row>
      <xdr:rowOff>47625</xdr:rowOff>
    </xdr:to>
    <xdr:pic>
      <xdr:nvPicPr>
        <xdr:cNvPr id="17446" name="15 Imagen" descr="tmp11.tmp"/>
        <xdr:cNvPicPr>
          <a:picLocks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543550" y="4264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733425</xdr:colOff>
      <xdr:row>239</xdr:row>
      <xdr:rowOff>57150</xdr:rowOff>
    </xdr:to>
    <xdr:pic>
      <xdr:nvPicPr>
        <xdr:cNvPr id="17447" name="16 Imagen" descr="tmp11.tmp"/>
        <xdr:cNvPicPr>
          <a:picLocks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5543550" y="4457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243</xdr:row>
      <xdr:rowOff>161925</xdr:rowOff>
    </xdr:from>
    <xdr:to>
      <xdr:col>8</xdr:col>
      <xdr:colOff>733425</xdr:colOff>
      <xdr:row>249</xdr:row>
      <xdr:rowOff>47625</xdr:rowOff>
    </xdr:to>
    <xdr:pic>
      <xdr:nvPicPr>
        <xdr:cNvPr id="17448" name="17 Imagen" descr="tmp11.tmp"/>
        <xdr:cNvPicPr>
          <a:picLocks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5543550" y="4645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733425</xdr:colOff>
      <xdr:row>259</xdr:row>
      <xdr:rowOff>57150</xdr:rowOff>
    </xdr:to>
    <xdr:pic>
      <xdr:nvPicPr>
        <xdr:cNvPr id="17449" name="18 Imagen" descr="tmp11.tmp"/>
        <xdr:cNvPicPr>
          <a:picLocks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5543550" y="4838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263</xdr:row>
      <xdr:rowOff>161925</xdr:rowOff>
    </xdr:from>
    <xdr:to>
      <xdr:col>8</xdr:col>
      <xdr:colOff>733425</xdr:colOff>
      <xdr:row>269</xdr:row>
      <xdr:rowOff>47625</xdr:rowOff>
    </xdr:to>
    <xdr:pic>
      <xdr:nvPicPr>
        <xdr:cNvPr id="17450" name="19 Imagen" descr="tmp11.tmp"/>
        <xdr:cNvPicPr>
          <a:picLocks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5543550" y="5026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274</xdr:row>
      <xdr:rowOff>0</xdr:rowOff>
    </xdr:from>
    <xdr:to>
      <xdr:col>8</xdr:col>
      <xdr:colOff>733425</xdr:colOff>
      <xdr:row>279</xdr:row>
      <xdr:rowOff>57150</xdr:rowOff>
    </xdr:to>
    <xdr:pic>
      <xdr:nvPicPr>
        <xdr:cNvPr id="17451" name="20 Imagen" descr="tmp11.tmp"/>
        <xdr:cNvPicPr>
          <a:picLocks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5543550" y="5219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283</xdr:row>
      <xdr:rowOff>161925</xdr:rowOff>
    </xdr:from>
    <xdr:to>
      <xdr:col>8</xdr:col>
      <xdr:colOff>733425</xdr:colOff>
      <xdr:row>289</xdr:row>
      <xdr:rowOff>47625</xdr:rowOff>
    </xdr:to>
    <xdr:pic>
      <xdr:nvPicPr>
        <xdr:cNvPr id="17452" name="21 Imagen" descr="tmp11.tmp"/>
        <xdr:cNvPicPr>
          <a:picLocks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5543550" y="5407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733425</xdr:colOff>
      <xdr:row>299</xdr:row>
      <xdr:rowOff>57150</xdr:rowOff>
    </xdr:to>
    <xdr:pic>
      <xdr:nvPicPr>
        <xdr:cNvPr id="17453" name="22 Imagen" descr="tmp11.tmp"/>
        <xdr:cNvPicPr>
          <a:picLocks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5543550" y="56007000"/>
          <a:ext cx="1495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303</xdr:row>
      <xdr:rowOff>161925</xdr:rowOff>
    </xdr:from>
    <xdr:to>
      <xdr:col>8</xdr:col>
      <xdr:colOff>733425</xdr:colOff>
      <xdr:row>309</xdr:row>
      <xdr:rowOff>47625</xdr:rowOff>
    </xdr:to>
    <xdr:pic>
      <xdr:nvPicPr>
        <xdr:cNvPr id="17454" name="23 Imagen" descr="tmp11.tmp"/>
        <xdr:cNvPicPr>
          <a:picLocks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5543550" y="578834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fredo/Mis%20documentos/Pichon/u/2009-I/Proyecto%20Aplicado/CAPITULO%205/VARIOS/cap%205%20sabado/Capital%20de%20trabaj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dor\Escritorio\PROYECTO%20DE%20GRADUACION%20CARLOS%20GONZALEZ-%20NO%20TOCAR\PROYECTO%20APLICADO\CAPITULO%205\SECCION%205\ESTUDIO.FINANCIER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p_Trab"/>
      <sheetName val="INGRESOS"/>
      <sheetName val="COSTOS VARIABLES"/>
      <sheetName val="COSTOS FIJOS ADMINISTRATIVOS"/>
      <sheetName val="OTROS COSTOS FIJOS  "/>
      <sheetName val="FLUJO CAJA"/>
      <sheetName val="VALOR DE DESECHO E II"/>
      <sheetName val="PRESTAMO"/>
      <sheetName val="PAY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6">
          <cell r="H16">
            <v>0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q.xCont. (2)"/>
      <sheetName val="Dim.Maquina"/>
      <sheetName val="Maq.xCont."/>
      <sheetName val="EQUIPOS"/>
      <sheetName val="PERSONAL"/>
      <sheetName val="Tamaño Bodega"/>
      <sheetName val="Localiz.Bodega"/>
      <sheetName val="Inver.inicial"/>
      <sheetName val="Equipamiento"/>
      <sheetName val="Sueldos"/>
      <sheetName val="Gstosoper"/>
      <sheetName val="Alquiler"/>
      <sheetName val="Publi"/>
      <sheetName val="Depr"/>
      <sheetName val="Demanda real"/>
      <sheetName val="Dem.Maq.Mens."/>
      <sheetName val="Cap_Trab"/>
      <sheetName val="Dem.NP2"/>
      <sheetName val="Dem.NP"/>
      <sheetName val="Demproy"/>
      <sheetName val="Dem.Maq.Anual"/>
      <sheetName val="FLUJO CAJA"/>
      <sheetName val="Payback"/>
      <sheetName val="CB"/>
      <sheetName val="REPORTC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5">
          <cell r="B5">
            <v>70</v>
          </cell>
        </row>
        <row r="6">
          <cell r="B6">
            <v>2790</v>
          </cell>
        </row>
        <row r="7">
          <cell r="B7">
            <v>2200</v>
          </cell>
        </row>
        <row r="8">
          <cell r="B8">
            <v>100</v>
          </cell>
        </row>
        <row r="9">
          <cell r="B9">
            <v>1731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amodar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4"/>
  <sheetViews>
    <sheetView tabSelected="1" workbookViewId="0">
      <selection activeCell="E13" sqref="E13"/>
    </sheetView>
  </sheetViews>
  <sheetFormatPr baseColWidth="10" defaultRowHeight="15"/>
  <cols>
    <col min="1" max="16384" width="11.42578125" style="518"/>
  </cols>
  <sheetData>
    <row r="3" spans="2:7" ht="60">
      <c r="B3" s="519" t="s">
        <v>472</v>
      </c>
      <c r="C3" s="519" t="s">
        <v>473</v>
      </c>
      <c r="D3" s="519" t="s">
        <v>474</v>
      </c>
      <c r="E3" s="519" t="s">
        <v>475</v>
      </c>
      <c r="F3" s="520" t="s">
        <v>476</v>
      </c>
      <c r="G3" s="519" t="s">
        <v>477</v>
      </c>
    </row>
    <row r="4" spans="2:7">
      <c r="B4" s="521">
        <v>360</v>
      </c>
      <c r="C4" s="521">
        <v>35</v>
      </c>
      <c r="D4" s="521">
        <v>7</v>
      </c>
      <c r="E4" s="522">
        <f>D4/C4</f>
        <v>0.2</v>
      </c>
      <c r="F4" s="521">
        <f>E4*B4</f>
        <v>72</v>
      </c>
      <c r="G4" s="521">
        <v>60</v>
      </c>
    </row>
    <row r="6" spans="2:7">
      <c r="B6" s="518" t="s">
        <v>478</v>
      </c>
    </row>
    <row r="7" spans="2:7">
      <c r="B7" s="518" t="s">
        <v>479</v>
      </c>
    </row>
    <row r="8" spans="2:7" ht="15.75" thickBot="1"/>
    <row r="9" spans="2:7" ht="15.75" thickBot="1">
      <c r="B9" s="525" t="s">
        <v>480</v>
      </c>
    </row>
    <row r="10" spans="2:7" ht="15.75" thickBot="1">
      <c r="B10" s="526" t="s">
        <v>481</v>
      </c>
    </row>
    <row r="11" spans="2:7" ht="24.75" thickBot="1">
      <c r="B11" s="526" t="s">
        <v>482</v>
      </c>
    </row>
    <row r="12" spans="2:7" ht="24.75" thickBot="1">
      <c r="B12" s="526" t="s">
        <v>483</v>
      </c>
    </row>
    <row r="13" spans="2:7" ht="24.75" thickBot="1">
      <c r="B13" s="526" t="s">
        <v>484</v>
      </c>
    </row>
    <row r="14" spans="2:7" ht="24.75" thickBot="1">
      <c r="B14" s="526" t="s">
        <v>485</v>
      </c>
    </row>
    <row r="15" spans="2:7" ht="15.75" thickBot="1">
      <c r="B15" s="527" t="s">
        <v>486</v>
      </c>
    </row>
    <row r="17" spans="2:4">
      <c r="B17" s="523"/>
      <c r="C17" s="520" t="s">
        <v>487</v>
      </c>
    </row>
    <row r="18" spans="2:4">
      <c r="B18" s="524" t="s">
        <v>488</v>
      </c>
      <c r="C18" s="521">
        <v>1755</v>
      </c>
    </row>
    <row r="20" spans="2:4" ht="45">
      <c r="B20" s="519" t="s">
        <v>489</v>
      </c>
      <c r="C20" s="519" t="s">
        <v>490</v>
      </c>
      <c r="D20" s="519" t="s">
        <v>477</v>
      </c>
    </row>
    <row r="21" spans="2:4">
      <c r="B21" s="521">
        <f>C18*23%</f>
        <v>403.65000000000003</v>
      </c>
      <c r="C21" s="521">
        <f>20%*B21</f>
        <v>80.730000000000018</v>
      </c>
      <c r="D21" s="521">
        <v>60</v>
      </c>
    </row>
    <row r="23" spans="2:4">
      <c r="B23" s="518" t="s">
        <v>491</v>
      </c>
    </row>
    <row r="24" spans="2:4">
      <c r="B24" s="518" t="s">
        <v>492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H85"/>
  <sheetViews>
    <sheetView workbookViewId="0">
      <selection activeCell="E14" sqref="E14"/>
    </sheetView>
  </sheetViews>
  <sheetFormatPr baseColWidth="10" defaultRowHeight="14.25"/>
  <cols>
    <col min="1" max="1" width="11.42578125" style="30"/>
    <col min="2" max="2" width="25.42578125" style="30" customWidth="1"/>
    <col min="3" max="3" width="15.7109375" style="30" bestFit="1" customWidth="1"/>
    <col min="4" max="4" width="15.28515625" style="30" bestFit="1" customWidth="1"/>
    <col min="5" max="5" width="14" style="30" customWidth="1"/>
    <col min="6" max="6" width="11.42578125" style="30"/>
    <col min="7" max="7" width="11.5703125" style="30" bestFit="1" customWidth="1"/>
    <col min="8" max="8" width="13.85546875" style="30" bestFit="1" customWidth="1"/>
    <col min="9" max="9" width="14.7109375" style="30" customWidth="1"/>
    <col min="10" max="10" width="13.42578125" style="30" customWidth="1"/>
    <col min="11" max="16384" width="11.42578125" style="30"/>
  </cols>
  <sheetData>
    <row r="2" spans="1:34" ht="15">
      <c r="E2" s="662" t="s">
        <v>17</v>
      </c>
      <c r="F2" s="662"/>
      <c r="G2" s="662"/>
      <c r="H2" s="662" t="s">
        <v>17</v>
      </c>
      <c r="I2" s="662"/>
      <c r="J2" s="662"/>
      <c r="K2" s="662" t="s">
        <v>18</v>
      </c>
      <c r="L2" s="662"/>
      <c r="M2" s="662"/>
      <c r="N2" s="662" t="s">
        <v>18</v>
      </c>
      <c r="O2" s="662"/>
      <c r="P2" s="662"/>
      <c r="Q2" s="662" t="s">
        <v>19</v>
      </c>
      <c r="R2" s="662"/>
      <c r="S2" s="662"/>
      <c r="T2" s="662" t="s">
        <v>19</v>
      </c>
      <c r="U2" s="662"/>
      <c r="V2" s="662"/>
      <c r="W2" s="662" t="s">
        <v>20</v>
      </c>
      <c r="X2" s="662"/>
      <c r="Y2" s="662"/>
      <c r="Z2" s="662" t="s">
        <v>20</v>
      </c>
      <c r="AA2" s="662"/>
      <c r="AB2" s="662"/>
      <c r="AC2" s="662" t="s">
        <v>21</v>
      </c>
      <c r="AD2" s="662"/>
      <c r="AE2" s="662"/>
      <c r="AF2" s="662" t="s">
        <v>21</v>
      </c>
      <c r="AG2" s="662"/>
      <c r="AH2" s="662"/>
    </row>
    <row r="3" spans="1:34" ht="15">
      <c r="E3" s="100" t="s">
        <v>23</v>
      </c>
      <c r="F3" s="101" t="s">
        <v>13</v>
      </c>
      <c r="G3" s="102" t="s">
        <v>22</v>
      </c>
      <c r="H3" s="100" t="s">
        <v>23</v>
      </c>
      <c r="I3" s="101" t="s">
        <v>13</v>
      </c>
      <c r="J3" s="102" t="s">
        <v>22</v>
      </c>
      <c r="K3" s="100" t="s">
        <v>23</v>
      </c>
      <c r="L3" s="101" t="s">
        <v>13</v>
      </c>
      <c r="M3" s="102" t="s">
        <v>22</v>
      </c>
      <c r="N3" s="100" t="s">
        <v>23</v>
      </c>
      <c r="O3" s="101" t="s">
        <v>13</v>
      </c>
      <c r="P3" s="102" t="s">
        <v>22</v>
      </c>
      <c r="Q3" s="100" t="s">
        <v>23</v>
      </c>
      <c r="R3" s="101" t="s">
        <v>13</v>
      </c>
      <c r="S3" s="102" t="s">
        <v>22</v>
      </c>
      <c r="T3" s="100" t="s">
        <v>23</v>
      </c>
      <c r="U3" s="101" t="s">
        <v>13</v>
      </c>
      <c r="V3" s="102" t="s">
        <v>22</v>
      </c>
      <c r="W3" s="100" t="s">
        <v>23</v>
      </c>
      <c r="X3" s="101" t="s">
        <v>13</v>
      </c>
      <c r="Y3" s="102" t="s">
        <v>22</v>
      </c>
      <c r="Z3" s="103" t="s">
        <v>23</v>
      </c>
      <c r="AA3" s="103" t="s">
        <v>13</v>
      </c>
      <c r="AB3" s="103" t="s">
        <v>22</v>
      </c>
      <c r="AC3" s="100" t="s">
        <v>23</v>
      </c>
      <c r="AD3" s="101" t="s">
        <v>13</v>
      </c>
      <c r="AE3" s="102" t="s">
        <v>22</v>
      </c>
      <c r="AF3" s="103" t="s">
        <v>23</v>
      </c>
      <c r="AG3" s="103" t="s">
        <v>13</v>
      </c>
      <c r="AH3" s="103" t="s">
        <v>22</v>
      </c>
    </row>
    <row r="4" spans="1:34" ht="15">
      <c r="A4" s="663" t="s">
        <v>202</v>
      </c>
      <c r="B4" s="48"/>
      <c r="C4" s="104" t="s">
        <v>0</v>
      </c>
      <c r="D4" s="103" t="s">
        <v>203</v>
      </c>
      <c r="E4" s="105">
        <f>E34</f>
        <v>82.306954727793695</v>
      </c>
      <c r="F4" s="105">
        <f>E35</f>
        <v>82.319302005730663</v>
      </c>
      <c r="G4" s="105">
        <f>E36</f>
        <v>82.319302005730663</v>
      </c>
      <c r="H4" s="670" t="s">
        <v>204</v>
      </c>
      <c r="I4" s="670"/>
      <c r="J4" s="670"/>
      <c r="K4" s="105">
        <f>F34</f>
        <v>83.399658398361396</v>
      </c>
      <c r="L4" s="105">
        <f>F35</f>
        <v>83.412169598241135</v>
      </c>
      <c r="M4" s="105">
        <f>F36</f>
        <v>82.412169598241135</v>
      </c>
      <c r="N4" s="670" t="s">
        <v>204</v>
      </c>
      <c r="O4" s="670"/>
      <c r="P4" s="670"/>
      <c r="Q4" s="105">
        <f>G34</f>
        <v>84.506868756919459</v>
      </c>
      <c r="R4" s="105">
        <f>G35</f>
        <v>84.519546054962802</v>
      </c>
      <c r="S4" s="105">
        <f>G36</f>
        <v>83.519546054962802</v>
      </c>
      <c r="T4" s="670" t="s">
        <v>204</v>
      </c>
      <c r="U4" s="670"/>
      <c r="V4" s="670"/>
      <c r="W4" s="105">
        <f>H34</f>
        <v>85.628778393647721</v>
      </c>
      <c r="X4" s="105">
        <f>H35</f>
        <v>85.641623994966892</v>
      </c>
      <c r="Y4" s="105">
        <f>H36</f>
        <v>84.641623994966892</v>
      </c>
      <c r="Z4" s="670" t="s">
        <v>204</v>
      </c>
      <c r="AA4" s="670"/>
      <c r="AB4" s="670"/>
      <c r="AC4" s="105">
        <f>I34</f>
        <v>86.765582455545186</v>
      </c>
      <c r="AD4" s="105">
        <f>I35</f>
        <v>86.778598594527409</v>
      </c>
      <c r="AE4" s="105">
        <f>I36</f>
        <v>85.778598594527409</v>
      </c>
      <c r="AF4" s="670" t="s">
        <v>204</v>
      </c>
      <c r="AG4" s="670"/>
      <c r="AH4" s="670"/>
    </row>
    <row r="5" spans="1:34" ht="15">
      <c r="A5" s="664"/>
      <c r="B5" s="106" t="s">
        <v>1</v>
      </c>
      <c r="C5" s="107">
        <v>0.36</v>
      </c>
      <c r="D5" s="108">
        <f>SENSIBILIDAD!C7</f>
        <v>150</v>
      </c>
      <c r="E5" s="109">
        <f>C5*$E$4</f>
        <v>29.630503702005729</v>
      </c>
      <c r="F5" s="109">
        <f>C5*$F$4</f>
        <v>29.634948722063037</v>
      </c>
      <c r="G5" s="109">
        <f>$G$4*C5</f>
        <v>29.634948722063037</v>
      </c>
      <c r="H5" s="108">
        <f>D5*E5</f>
        <v>4444.5755553008594</v>
      </c>
      <c r="I5" s="108">
        <f>D5*F5</f>
        <v>4445.2423083094554</v>
      </c>
      <c r="J5" s="108">
        <f>D5*G5</f>
        <v>4445.2423083094554</v>
      </c>
      <c r="K5" s="109">
        <f>C5*$K$4</f>
        <v>30.023877023410101</v>
      </c>
      <c r="L5" s="109">
        <f>C5*$L$4</f>
        <v>30.028381055366808</v>
      </c>
      <c r="M5" s="109">
        <f>C5*$M$4</f>
        <v>29.668381055366808</v>
      </c>
      <c r="N5" s="108">
        <f>D5*K5</f>
        <v>4503.5815535115153</v>
      </c>
      <c r="O5" s="108">
        <f>D5*L5</f>
        <v>4504.2571583050212</v>
      </c>
      <c r="P5" s="108">
        <f>D5*M5</f>
        <v>4450.2571583050212</v>
      </c>
      <c r="Q5" s="109">
        <f>$C5*$Q$4</f>
        <v>30.422472752491004</v>
      </c>
      <c r="R5" s="109">
        <f>$C5*$R$4</f>
        <v>30.427036579786609</v>
      </c>
      <c r="S5" s="109">
        <f>$C5*$S$4</f>
        <v>30.067036579786606</v>
      </c>
      <c r="T5" s="108">
        <f>D5*Q5</f>
        <v>4563.3709128736509</v>
      </c>
      <c r="U5" s="108">
        <f>D5*R5</f>
        <v>4564.0554869679918</v>
      </c>
      <c r="V5" s="108">
        <f>D5*S5</f>
        <v>4510.0554869679909</v>
      </c>
      <c r="W5" s="109">
        <f>$C5*$W$4</f>
        <v>30.826360221713177</v>
      </c>
      <c r="X5" s="109">
        <f>$C5*$X$4</f>
        <v>30.830984638188081</v>
      </c>
      <c r="Y5" s="109">
        <f>$C5*$Y$4</f>
        <v>30.470984638188082</v>
      </c>
      <c r="Z5" s="108">
        <f>W5*D5</f>
        <v>4623.9540332569768</v>
      </c>
      <c r="AA5" s="108">
        <f>X5*D5</f>
        <v>4624.6476957282121</v>
      </c>
      <c r="AB5" s="108">
        <f>D5*Y5</f>
        <v>4570.6476957282121</v>
      </c>
      <c r="AC5" s="109">
        <f>$C5*$AC$4</f>
        <v>31.235609683996266</v>
      </c>
      <c r="AD5" s="109">
        <f>$C5*$AD$4</f>
        <v>31.240295494029866</v>
      </c>
      <c r="AE5" s="109">
        <f>$C5*$AE$4</f>
        <v>30.880295494029866</v>
      </c>
      <c r="AF5" s="108">
        <f>AC5*D5</f>
        <v>4685.3414525994403</v>
      </c>
      <c r="AG5" s="108">
        <f>AD5*D5</f>
        <v>4686.0443241044795</v>
      </c>
      <c r="AH5" s="108">
        <f>D5*AE5</f>
        <v>4632.0443241044795</v>
      </c>
    </row>
    <row r="6" spans="1:34" ht="15">
      <c r="A6" s="664"/>
      <c r="B6" s="106" t="s">
        <v>2</v>
      </c>
      <c r="C6" s="107">
        <v>0.24761904761904799</v>
      </c>
      <c r="D6" s="108">
        <f>SENSIBILIDAD!C8</f>
        <v>140</v>
      </c>
      <c r="E6" s="109">
        <f t="shared" ref="E6:E13" si="0">C6*$E$4</f>
        <v>20.380769742120375</v>
      </c>
      <c r="F6" s="109">
        <f t="shared" ref="F6:F13" si="1">C6*$F$4</f>
        <v>20.383827163323815</v>
      </c>
      <c r="G6" s="109">
        <f t="shared" ref="G6:G13" si="2">$G$4*C6</f>
        <v>20.383827163323815</v>
      </c>
      <c r="H6" s="108">
        <f t="shared" ref="H6:H13" si="3">D6*E6</f>
        <v>2853.3077638968525</v>
      </c>
      <c r="I6" s="108">
        <f t="shared" ref="I6:I13" si="4">D6*F6</f>
        <v>2853.7358028653343</v>
      </c>
      <c r="J6" s="108">
        <f t="shared" ref="J6:J13" si="5">D6*G6</f>
        <v>2853.7358028653343</v>
      </c>
      <c r="K6" s="109">
        <f t="shared" ref="K6:K13" si="6">C6*$K$4</f>
        <v>20.651343984356185</v>
      </c>
      <c r="L6" s="109">
        <f t="shared" ref="L6:L13" si="7">C6*$L$4</f>
        <v>20.654441995754979</v>
      </c>
      <c r="M6" s="109">
        <f t="shared" ref="M6:M13" si="8">C6*$M$4</f>
        <v>20.406822948135929</v>
      </c>
      <c r="N6" s="108">
        <f t="shared" ref="N6:N13" si="9">D6*K6</f>
        <v>2891.188157809866</v>
      </c>
      <c r="O6" s="108">
        <f t="shared" ref="O6:O13" si="10">D6*L6</f>
        <v>2891.6218794056972</v>
      </c>
      <c r="P6" s="108">
        <f t="shared" ref="P6:P13" si="11">D6*M6</f>
        <v>2856.9552127390302</v>
      </c>
      <c r="Q6" s="109">
        <f t="shared" ref="Q6:Q13" si="12">$C6*$Q$4</f>
        <v>20.925510358856279</v>
      </c>
      <c r="R6" s="109">
        <f t="shared" ref="R6:R13" si="13">$C6*$R$4</f>
        <v>20.928649499324155</v>
      </c>
      <c r="S6" s="109">
        <f t="shared" ref="S6:S13" si="14">$C6*$S$4</f>
        <v>20.681030451705105</v>
      </c>
      <c r="T6" s="108">
        <f t="shared" ref="T6:T13" si="15">D6*Q6</f>
        <v>2929.5714502398791</v>
      </c>
      <c r="U6" s="108">
        <f t="shared" ref="U6:U13" si="16">D6*R6</f>
        <v>2930.0109299053815</v>
      </c>
      <c r="V6" s="108">
        <f t="shared" ref="V6:V13" si="17">D6*S6</f>
        <v>2895.3442632387146</v>
      </c>
      <c r="W6" s="109">
        <f t="shared" ref="W6:W13" si="18">$C6*$W$4</f>
        <v>21.203316554617562</v>
      </c>
      <c r="X6" s="109">
        <f t="shared" ref="X6:X13" si="19">$C6*$X$4</f>
        <v>21.206497370182309</v>
      </c>
      <c r="Y6" s="109">
        <f t="shared" ref="Y6:Y13" si="20">$C6*$Y$4</f>
        <v>20.958878322563262</v>
      </c>
      <c r="Z6" s="108">
        <f>W6*D6</f>
        <v>2968.4643176464588</v>
      </c>
      <c r="AA6" s="108">
        <f t="shared" ref="AA6:AA13" si="21">X6*D6</f>
        <v>2968.9096318255233</v>
      </c>
      <c r="AB6" s="108">
        <f t="shared" ref="AB6:AB13" si="22">D6*Y6</f>
        <v>2934.2429651588568</v>
      </c>
      <c r="AC6" s="109">
        <f t="shared" ref="AC6:AC13" si="23">$C6*$AC$4</f>
        <v>21.484810893754076</v>
      </c>
      <c r="AD6" s="109">
        <f t="shared" ref="AD6:AD13" si="24">$C6*$AD$4</f>
        <v>21.488033937692535</v>
      </c>
      <c r="AE6" s="109">
        <f t="shared" ref="AE6:AE13" si="25">$C6*$AE$4</f>
        <v>21.240414890073485</v>
      </c>
      <c r="AF6" s="108">
        <f t="shared" ref="AF6:AF13" si="26">AC6*D6</f>
        <v>3007.8735251255707</v>
      </c>
      <c r="AG6" s="108">
        <f t="shared" ref="AG6:AG13" si="27">AD6*D6</f>
        <v>3008.3247512769549</v>
      </c>
      <c r="AH6" s="108">
        <f t="shared" ref="AH6:AH13" si="28">D6*AE6</f>
        <v>2973.6580846102879</v>
      </c>
    </row>
    <row r="7" spans="1:34" ht="15">
      <c r="A7" s="664"/>
      <c r="B7" s="106" t="s">
        <v>3</v>
      </c>
      <c r="C7" s="110">
        <v>0.02</v>
      </c>
      <c r="D7" s="108">
        <f>SENSIBILIDAD!C9</f>
        <v>130</v>
      </c>
      <c r="E7" s="109">
        <f t="shared" si="0"/>
        <v>1.646139094555874</v>
      </c>
      <c r="F7" s="109">
        <f t="shared" si="1"/>
        <v>1.6463860401146133</v>
      </c>
      <c r="G7" s="109">
        <f t="shared" si="2"/>
        <v>1.6463860401146133</v>
      </c>
      <c r="H7" s="108">
        <f t="shared" si="3"/>
        <v>213.99808229226363</v>
      </c>
      <c r="I7" s="108">
        <f t="shared" si="4"/>
        <v>214.03018521489972</v>
      </c>
      <c r="J7" s="108">
        <f t="shared" si="5"/>
        <v>214.03018521489972</v>
      </c>
      <c r="K7" s="109">
        <f t="shared" si="6"/>
        <v>1.667993167967228</v>
      </c>
      <c r="L7" s="109">
        <f t="shared" si="7"/>
        <v>1.6682433919648227</v>
      </c>
      <c r="M7" s="109">
        <f t="shared" si="8"/>
        <v>1.6482433919648227</v>
      </c>
      <c r="N7" s="108">
        <f t="shared" si="9"/>
        <v>216.83911183573963</v>
      </c>
      <c r="O7" s="108">
        <f t="shared" si="10"/>
        <v>216.87164095542695</v>
      </c>
      <c r="P7" s="108">
        <f t="shared" si="11"/>
        <v>214.27164095542696</v>
      </c>
      <c r="Q7" s="109">
        <f t="shared" si="12"/>
        <v>1.6901373751383892</v>
      </c>
      <c r="R7" s="109">
        <f t="shared" si="13"/>
        <v>1.690390921099256</v>
      </c>
      <c r="S7" s="109">
        <f t="shared" si="14"/>
        <v>1.670390921099256</v>
      </c>
      <c r="T7" s="108">
        <f t="shared" si="15"/>
        <v>219.71785876799061</v>
      </c>
      <c r="U7" s="108">
        <f t="shared" si="16"/>
        <v>219.75081974290327</v>
      </c>
      <c r="V7" s="108">
        <f t="shared" si="17"/>
        <v>217.15081974290328</v>
      </c>
      <c r="W7" s="109">
        <f>$C7*$W$4</f>
        <v>1.7125755678729544</v>
      </c>
      <c r="X7" s="109">
        <f t="shared" si="19"/>
        <v>1.712832479899338</v>
      </c>
      <c r="Y7" s="109">
        <f t="shared" si="20"/>
        <v>1.6928324798993379</v>
      </c>
      <c r="Z7" s="108">
        <f t="shared" ref="Z7:Z13" si="29">W7*D7</f>
        <v>222.63482382348408</v>
      </c>
      <c r="AA7" s="108">
        <f t="shared" si="21"/>
        <v>222.66822238691392</v>
      </c>
      <c r="AB7" s="108">
        <f t="shared" si="22"/>
        <v>220.06822238691393</v>
      </c>
      <c r="AC7" s="109">
        <f t="shared" si="23"/>
        <v>1.7353116491109037</v>
      </c>
      <c r="AD7" s="109">
        <f t="shared" si="24"/>
        <v>1.7355719718905482</v>
      </c>
      <c r="AE7" s="109">
        <f t="shared" si="25"/>
        <v>1.7155719718905482</v>
      </c>
      <c r="AF7" s="108">
        <f t="shared" si="26"/>
        <v>225.59051438441747</v>
      </c>
      <c r="AG7" s="108">
        <f t="shared" si="27"/>
        <v>225.62435634577128</v>
      </c>
      <c r="AH7" s="108">
        <f t="shared" si="28"/>
        <v>223.02435634577128</v>
      </c>
    </row>
    <row r="8" spans="1:34" ht="15">
      <c r="A8" s="664"/>
      <c r="B8" s="106" t="s">
        <v>4</v>
      </c>
      <c r="C8" s="110">
        <v>3.8095238095238099E-2</v>
      </c>
      <c r="D8" s="108">
        <f>SENSIBILIDAD!C10</f>
        <v>120</v>
      </c>
      <c r="E8" s="109">
        <f t="shared" si="0"/>
        <v>3.135503037249284</v>
      </c>
      <c r="F8" s="109">
        <f t="shared" si="1"/>
        <v>3.1359734097421206</v>
      </c>
      <c r="G8" s="109">
        <f t="shared" si="2"/>
        <v>3.1359734097421206</v>
      </c>
      <c r="H8" s="108">
        <f t="shared" si="3"/>
        <v>376.26036446991407</v>
      </c>
      <c r="I8" s="108">
        <f t="shared" si="4"/>
        <v>376.31680916905447</v>
      </c>
      <c r="J8" s="108">
        <f t="shared" si="5"/>
        <v>376.31680916905447</v>
      </c>
      <c r="K8" s="109">
        <f t="shared" si="6"/>
        <v>3.1771298437471009</v>
      </c>
      <c r="L8" s="109">
        <f t="shared" si="7"/>
        <v>3.1776064608853769</v>
      </c>
      <c r="M8" s="109">
        <f t="shared" si="8"/>
        <v>3.1395112227901389</v>
      </c>
      <c r="N8" s="108">
        <f t="shared" si="9"/>
        <v>381.2555812496521</v>
      </c>
      <c r="O8" s="108">
        <f t="shared" si="10"/>
        <v>381.31277530624521</v>
      </c>
      <c r="P8" s="108">
        <f t="shared" si="11"/>
        <v>376.74134673481666</v>
      </c>
      <c r="Q8" s="109">
        <f t="shared" si="12"/>
        <v>3.2193092859778845</v>
      </c>
      <c r="R8" s="109">
        <f t="shared" si="13"/>
        <v>3.21979223066525</v>
      </c>
      <c r="S8" s="109">
        <f t="shared" si="14"/>
        <v>3.1816969925700116</v>
      </c>
      <c r="T8" s="108">
        <f t="shared" si="15"/>
        <v>386.31711431734612</v>
      </c>
      <c r="U8" s="108">
        <f t="shared" si="16"/>
        <v>386.37506767983001</v>
      </c>
      <c r="V8" s="108">
        <f t="shared" si="17"/>
        <v>381.8036391084014</v>
      </c>
      <c r="W8" s="109">
        <f t="shared" si="18"/>
        <v>3.2620487007103898</v>
      </c>
      <c r="X8" s="109">
        <f t="shared" si="19"/>
        <v>3.26253805695112</v>
      </c>
      <c r="Y8" s="109">
        <f t="shared" si="20"/>
        <v>3.224442818855882</v>
      </c>
      <c r="Z8" s="108">
        <f>W8*D8</f>
        <v>391.44584408524679</v>
      </c>
      <c r="AA8" s="108">
        <f t="shared" si="21"/>
        <v>391.50456683413438</v>
      </c>
      <c r="AB8" s="108">
        <f t="shared" si="22"/>
        <v>386.93313826270582</v>
      </c>
      <c r="AC8" s="109">
        <f t="shared" si="23"/>
        <v>3.3053555221160074</v>
      </c>
      <c r="AD8" s="109">
        <f t="shared" si="24"/>
        <v>3.3058513750296159</v>
      </c>
      <c r="AE8" s="109">
        <f t="shared" si="25"/>
        <v>3.2677561369343779</v>
      </c>
      <c r="AF8" s="108">
        <f t="shared" si="26"/>
        <v>396.64266265392087</v>
      </c>
      <c r="AG8" s="108">
        <f t="shared" si="27"/>
        <v>396.70216500355389</v>
      </c>
      <c r="AH8" s="108">
        <f t="shared" si="28"/>
        <v>392.13073643212533</v>
      </c>
    </row>
    <row r="9" spans="1:34" ht="15">
      <c r="A9" s="664"/>
      <c r="B9" s="106" t="s">
        <v>5</v>
      </c>
      <c r="C9" s="110">
        <v>0.02</v>
      </c>
      <c r="D9" s="108">
        <f>SENSIBILIDAD!C11</f>
        <v>130</v>
      </c>
      <c r="E9" s="109">
        <f t="shared" si="0"/>
        <v>1.646139094555874</v>
      </c>
      <c r="F9" s="109">
        <f t="shared" si="1"/>
        <v>1.6463860401146133</v>
      </c>
      <c r="G9" s="109">
        <f t="shared" si="2"/>
        <v>1.6463860401146133</v>
      </c>
      <c r="H9" s="108">
        <f t="shared" si="3"/>
        <v>213.99808229226363</v>
      </c>
      <c r="I9" s="108">
        <f t="shared" si="4"/>
        <v>214.03018521489972</v>
      </c>
      <c r="J9" s="108">
        <f t="shared" si="5"/>
        <v>214.03018521489972</v>
      </c>
      <c r="K9" s="109">
        <f t="shared" si="6"/>
        <v>1.667993167967228</v>
      </c>
      <c r="L9" s="109">
        <f t="shared" si="7"/>
        <v>1.6682433919648227</v>
      </c>
      <c r="M9" s="109">
        <f t="shared" si="8"/>
        <v>1.6482433919648227</v>
      </c>
      <c r="N9" s="108">
        <f t="shared" si="9"/>
        <v>216.83911183573963</v>
      </c>
      <c r="O9" s="108">
        <f t="shared" si="10"/>
        <v>216.87164095542695</v>
      </c>
      <c r="P9" s="108">
        <f t="shared" si="11"/>
        <v>214.27164095542696</v>
      </c>
      <c r="Q9" s="109">
        <f t="shared" si="12"/>
        <v>1.6901373751383892</v>
      </c>
      <c r="R9" s="109">
        <f t="shared" si="13"/>
        <v>1.690390921099256</v>
      </c>
      <c r="S9" s="109">
        <f t="shared" si="14"/>
        <v>1.670390921099256</v>
      </c>
      <c r="T9" s="108">
        <f t="shared" si="15"/>
        <v>219.71785876799061</v>
      </c>
      <c r="U9" s="108">
        <f t="shared" si="16"/>
        <v>219.75081974290327</v>
      </c>
      <c r="V9" s="108">
        <f t="shared" si="17"/>
        <v>217.15081974290328</v>
      </c>
      <c r="W9" s="109">
        <f t="shared" si="18"/>
        <v>1.7125755678729544</v>
      </c>
      <c r="X9" s="109">
        <f t="shared" si="19"/>
        <v>1.712832479899338</v>
      </c>
      <c r="Y9" s="109">
        <f t="shared" si="20"/>
        <v>1.6928324798993379</v>
      </c>
      <c r="Z9" s="108">
        <f t="shared" si="29"/>
        <v>222.63482382348408</v>
      </c>
      <c r="AA9" s="108">
        <f t="shared" si="21"/>
        <v>222.66822238691392</v>
      </c>
      <c r="AB9" s="108">
        <f t="shared" si="22"/>
        <v>220.06822238691393</v>
      </c>
      <c r="AC9" s="109">
        <f t="shared" si="23"/>
        <v>1.7353116491109037</v>
      </c>
      <c r="AD9" s="109">
        <f t="shared" si="24"/>
        <v>1.7355719718905482</v>
      </c>
      <c r="AE9" s="109">
        <f t="shared" si="25"/>
        <v>1.7155719718905482</v>
      </c>
      <c r="AF9" s="108">
        <f t="shared" si="26"/>
        <v>225.59051438441747</v>
      </c>
      <c r="AG9" s="108">
        <f t="shared" si="27"/>
        <v>225.62435634577128</v>
      </c>
      <c r="AH9" s="108">
        <f t="shared" si="28"/>
        <v>223.02435634577128</v>
      </c>
    </row>
    <row r="10" spans="1:34" ht="15">
      <c r="A10" s="664"/>
      <c r="B10" s="106" t="s">
        <v>6</v>
      </c>
      <c r="C10" s="107">
        <v>0.266666666666667</v>
      </c>
      <c r="D10" s="108">
        <f>SENSIBILIDAD!C12</f>
        <v>100</v>
      </c>
      <c r="E10" s="109">
        <f t="shared" si="0"/>
        <v>21.948521260745011</v>
      </c>
      <c r="F10" s="109">
        <f t="shared" si="1"/>
        <v>21.951813868194872</v>
      </c>
      <c r="G10" s="109">
        <f t="shared" si="2"/>
        <v>21.951813868194872</v>
      </c>
      <c r="H10" s="108">
        <f t="shared" si="3"/>
        <v>2194.852126074501</v>
      </c>
      <c r="I10" s="108">
        <f t="shared" si="4"/>
        <v>2195.1813868194872</v>
      </c>
      <c r="J10" s="108">
        <f t="shared" si="5"/>
        <v>2195.1813868194872</v>
      </c>
      <c r="K10" s="109">
        <f t="shared" si="6"/>
        <v>22.239908906229733</v>
      </c>
      <c r="L10" s="109">
        <f t="shared" si="7"/>
        <v>22.243245226197665</v>
      </c>
      <c r="M10" s="109">
        <f t="shared" si="8"/>
        <v>21.976578559530996</v>
      </c>
      <c r="N10" s="108">
        <f t="shared" si="9"/>
        <v>2223.9908906229734</v>
      </c>
      <c r="O10" s="108">
        <f t="shared" si="10"/>
        <v>2224.3245226197664</v>
      </c>
      <c r="P10" s="108">
        <f t="shared" si="11"/>
        <v>2197.6578559530994</v>
      </c>
      <c r="Q10" s="109">
        <f t="shared" si="12"/>
        <v>22.535165001845218</v>
      </c>
      <c r="R10" s="109">
        <f>$C10*$R$4</f>
        <v>22.538545614656776</v>
      </c>
      <c r="S10" s="109">
        <f t="shared" si="14"/>
        <v>22.271878947990107</v>
      </c>
      <c r="T10" s="108">
        <f t="shared" si="15"/>
        <v>2253.5165001845216</v>
      </c>
      <c r="U10" s="108">
        <f t="shared" si="16"/>
        <v>2253.8545614656778</v>
      </c>
      <c r="V10" s="108">
        <f t="shared" si="17"/>
        <v>2227.1878947990108</v>
      </c>
      <c r="W10" s="109">
        <f t="shared" si="18"/>
        <v>22.834340904972755</v>
      </c>
      <c r="X10" s="109">
        <f t="shared" si="19"/>
        <v>22.837766398657866</v>
      </c>
      <c r="Y10" s="109">
        <f t="shared" si="20"/>
        <v>22.5710997319912</v>
      </c>
      <c r="Z10" s="108">
        <f t="shared" si="29"/>
        <v>2283.4340904972755</v>
      </c>
      <c r="AA10" s="108">
        <f t="shared" si="21"/>
        <v>2283.7766398657868</v>
      </c>
      <c r="AB10" s="108">
        <f t="shared" si="22"/>
        <v>2257.1099731991198</v>
      </c>
      <c r="AC10" s="109">
        <f t="shared" si="23"/>
        <v>23.137488654812078</v>
      </c>
      <c r="AD10" s="109">
        <f t="shared" si="24"/>
        <v>23.140959625207337</v>
      </c>
      <c r="AE10" s="109">
        <f t="shared" si="25"/>
        <v>22.874292958540671</v>
      </c>
      <c r="AF10" s="108">
        <f t="shared" si="26"/>
        <v>2313.7488654812078</v>
      </c>
      <c r="AG10" s="108">
        <f t="shared" si="27"/>
        <v>2314.0959625207338</v>
      </c>
      <c r="AH10" s="108">
        <f t="shared" si="28"/>
        <v>2287.4292958540673</v>
      </c>
    </row>
    <row r="11" spans="1:34" ht="15">
      <c r="A11" s="664"/>
      <c r="B11" s="106" t="s">
        <v>7</v>
      </c>
      <c r="C11" s="107">
        <v>0.02</v>
      </c>
      <c r="D11" s="108">
        <f>SENSIBILIDAD!C13</f>
        <v>80</v>
      </c>
      <c r="E11" s="109">
        <f t="shared" si="0"/>
        <v>1.646139094555874</v>
      </c>
      <c r="F11" s="109">
        <f t="shared" si="1"/>
        <v>1.6463860401146133</v>
      </c>
      <c r="G11" s="109">
        <f t="shared" si="2"/>
        <v>1.6463860401146133</v>
      </c>
      <c r="H11" s="108">
        <f t="shared" si="3"/>
        <v>131.69112756446992</v>
      </c>
      <c r="I11" s="108">
        <f t="shared" si="4"/>
        <v>131.71088320916905</v>
      </c>
      <c r="J11" s="108">
        <f t="shared" si="5"/>
        <v>131.71088320916905</v>
      </c>
      <c r="K11" s="109">
        <f t="shared" si="6"/>
        <v>1.667993167967228</v>
      </c>
      <c r="L11" s="109">
        <f t="shared" si="7"/>
        <v>1.6682433919648227</v>
      </c>
      <c r="M11" s="109">
        <f t="shared" si="8"/>
        <v>1.6482433919648227</v>
      </c>
      <c r="N11" s="108">
        <f t="shared" si="9"/>
        <v>133.43945343737823</v>
      </c>
      <c r="O11" s="108">
        <f t="shared" si="10"/>
        <v>133.45947135718581</v>
      </c>
      <c r="P11" s="108">
        <f t="shared" si="11"/>
        <v>131.85947135718581</v>
      </c>
      <c r="Q11" s="109">
        <f t="shared" si="12"/>
        <v>1.6901373751383892</v>
      </c>
      <c r="R11" s="109">
        <f t="shared" si="13"/>
        <v>1.690390921099256</v>
      </c>
      <c r="S11" s="109">
        <f t="shared" si="14"/>
        <v>1.670390921099256</v>
      </c>
      <c r="T11" s="108">
        <f t="shared" si="15"/>
        <v>135.21099001107115</v>
      </c>
      <c r="U11" s="108">
        <f t="shared" si="16"/>
        <v>135.23127368794047</v>
      </c>
      <c r="V11" s="108">
        <f t="shared" si="17"/>
        <v>133.63127368794048</v>
      </c>
      <c r="W11" s="109">
        <f t="shared" si="18"/>
        <v>1.7125755678729544</v>
      </c>
      <c r="X11" s="109">
        <f t="shared" si="19"/>
        <v>1.712832479899338</v>
      </c>
      <c r="Y11" s="109">
        <f t="shared" si="20"/>
        <v>1.6928324798993379</v>
      </c>
      <c r="Z11" s="108">
        <f t="shared" si="29"/>
        <v>137.00604542983635</v>
      </c>
      <c r="AA11" s="108">
        <f t="shared" si="21"/>
        <v>137.02659839194703</v>
      </c>
      <c r="AB11" s="108">
        <f t="shared" si="22"/>
        <v>135.42659839194704</v>
      </c>
      <c r="AC11" s="109">
        <f t="shared" si="23"/>
        <v>1.7353116491109037</v>
      </c>
      <c r="AD11" s="109">
        <f t="shared" si="24"/>
        <v>1.7355719718905482</v>
      </c>
      <c r="AE11" s="109">
        <f t="shared" si="25"/>
        <v>1.7155719718905482</v>
      </c>
      <c r="AF11" s="108">
        <f t="shared" si="26"/>
        <v>138.8249319288723</v>
      </c>
      <c r="AG11" s="108">
        <f t="shared" si="27"/>
        <v>138.84575775124387</v>
      </c>
      <c r="AH11" s="108">
        <f t="shared" si="28"/>
        <v>137.24575775124384</v>
      </c>
    </row>
    <row r="12" spans="1:34" ht="15">
      <c r="A12" s="664"/>
      <c r="B12" s="106" t="s">
        <v>8</v>
      </c>
      <c r="C12" s="107">
        <v>0.02</v>
      </c>
      <c r="D12" s="108">
        <f>SENSIBILIDAD!C14</f>
        <v>50</v>
      </c>
      <c r="E12" s="109">
        <f t="shared" si="0"/>
        <v>1.646139094555874</v>
      </c>
      <c r="F12" s="109">
        <f t="shared" si="1"/>
        <v>1.6463860401146133</v>
      </c>
      <c r="G12" s="109">
        <f t="shared" si="2"/>
        <v>1.6463860401146133</v>
      </c>
      <c r="H12" s="108">
        <f t="shared" si="3"/>
        <v>82.306954727793709</v>
      </c>
      <c r="I12" s="108">
        <f t="shared" si="4"/>
        <v>82.319302005730663</v>
      </c>
      <c r="J12" s="108">
        <f t="shared" si="5"/>
        <v>82.319302005730663</v>
      </c>
      <c r="K12" s="109">
        <f t="shared" si="6"/>
        <v>1.667993167967228</v>
      </c>
      <c r="L12" s="109">
        <f t="shared" si="7"/>
        <v>1.6682433919648227</v>
      </c>
      <c r="M12" s="109">
        <f t="shared" si="8"/>
        <v>1.6482433919648227</v>
      </c>
      <c r="N12" s="108">
        <f t="shared" si="9"/>
        <v>83.399658398361396</v>
      </c>
      <c r="O12" s="108">
        <f t="shared" si="10"/>
        <v>83.412169598241135</v>
      </c>
      <c r="P12" s="108">
        <f t="shared" si="11"/>
        <v>82.412169598241135</v>
      </c>
      <c r="Q12" s="109">
        <f t="shared" si="12"/>
        <v>1.6901373751383892</v>
      </c>
      <c r="R12" s="109">
        <f t="shared" si="13"/>
        <v>1.690390921099256</v>
      </c>
      <c r="S12" s="109">
        <f t="shared" si="14"/>
        <v>1.670390921099256</v>
      </c>
      <c r="T12" s="108">
        <f t="shared" si="15"/>
        <v>84.506868756919459</v>
      </c>
      <c r="U12" s="108">
        <f t="shared" si="16"/>
        <v>84.519546054962802</v>
      </c>
      <c r="V12" s="108">
        <f t="shared" si="17"/>
        <v>83.519546054962802</v>
      </c>
      <c r="W12" s="109">
        <f t="shared" si="18"/>
        <v>1.7125755678729544</v>
      </c>
      <c r="X12" s="109">
        <f t="shared" si="19"/>
        <v>1.712832479899338</v>
      </c>
      <c r="Y12" s="109">
        <f t="shared" si="20"/>
        <v>1.6928324798993379</v>
      </c>
      <c r="Z12" s="108">
        <f t="shared" si="29"/>
        <v>85.628778393647721</v>
      </c>
      <c r="AA12" s="108">
        <f t="shared" si="21"/>
        <v>85.641623994966892</v>
      </c>
      <c r="AB12" s="108">
        <f t="shared" si="22"/>
        <v>84.641623994966892</v>
      </c>
      <c r="AC12" s="109">
        <f t="shared" si="23"/>
        <v>1.7353116491109037</v>
      </c>
      <c r="AD12" s="109">
        <f t="shared" si="24"/>
        <v>1.7355719718905482</v>
      </c>
      <c r="AE12" s="109">
        <f t="shared" si="25"/>
        <v>1.7155719718905482</v>
      </c>
      <c r="AF12" s="108">
        <f t="shared" si="26"/>
        <v>86.765582455545186</v>
      </c>
      <c r="AG12" s="108">
        <f t="shared" si="27"/>
        <v>86.778598594527409</v>
      </c>
      <c r="AH12" s="108">
        <f t="shared" si="28"/>
        <v>85.778598594527409</v>
      </c>
    </row>
    <row r="13" spans="1:34" ht="15">
      <c r="A13" s="665"/>
      <c r="B13" s="106" t="s">
        <v>9</v>
      </c>
      <c r="C13" s="110">
        <v>9.5238095238095247E-3</v>
      </c>
      <c r="D13" s="108">
        <f>SENSIBILIDAD!C15</f>
        <v>50</v>
      </c>
      <c r="E13" s="109">
        <f t="shared" si="0"/>
        <v>0.78387575931232101</v>
      </c>
      <c r="F13" s="109">
        <f t="shared" si="1"/>
        <v>0.78399335243553014</v>
      </c>
      <c r="G13" s="109">
        <f t="shared" si="2"/>
        <v>0.78399335243553014</v>
      </c>
      <c r="H13" s="108">
        <f t="shared" si="3"/>
        <v>39.193787965616053</v>
      </c>
      <c r="I13" s="108">
        <f t="shared" si="4"/>
        <v>39.199667621776506</v>
      </c>
      <c r="J13" s="108">
        <f t="shared" si="5"/>
        <v>39.199667621776506</v>
      </c>
      <c r="K13" s="109">
        <f t="shared" si="6"/>
        <v>0.79428246093677524</v>
      </c>
      <c r="L13" s="109">
        <f t="shared" si="7"/>
        <v>0.79440161522134423</v>
      </c>
      <c r="M13" s="109">
        <f t="shared" si="8"/>
        <v>0.78487780569753474</v>
      </c>
      <c r="N13" s="108">
        <f t="shared" si="9"/>
        <v>39.714123046838765</v>
      </c>
      <c r="O13" s="108">
        <f t="shared" si="10"/>
        <v>39.720080761067209</v>
      </c>
      <c r="P13" s="108">
        <f t="shared" si="11"/>
        <v>39.243890284876734</v>
      </c>
      <c r="Q13" s="109">
        <f t="shared" si="12"/>
        <v>0.80482732149447112</v>
      </c>
      <c r="R13" s="109">
        <f t="shared" si="13"/>
        <v>0.8049480576663125</v>
      </c>
      <c r="S13" s="109">
        <f t="shared" si="14"/>
        <v>0.7954242481425029</v>
      </c>
      <c r="T13" s="108">
        <f t="shared" si="15"/>
        <v>40.241366074723558</v>
      </c>
      <c r="U13" s="108">
        <f t="shared" si="16"/>
        <v>40.247402883315623</v>
      </c>
      <c r="V13" s="108">
        <f t="shared" si="17"/>
        <v>39.771212407125148</v>
      </c>
      <c r="W13" s="109">
        <f t="shared" si="18"/>
        <v>0.81551217517759744</v>
      </c>
      <c r="X13" s="109">
        <f t="shared" si="19"/>
        <v>0.81563451423778</v>
      </c>
      <c r="Y13" s="109">
        <f t="shared" si="20"/>
        <v>0.80611070471397051</v>
      </c>
      <c r="Z13" s="108">
        <f t="shared" si="29"/>
        <v>40.775608758879869</v>
      </c>
      <c r="AA13" s="108">
        <f t="shared" si="21"/>
        <v>40.781725711889003</v>
      </c>
      <c r="AB13" s="108">
        <f t="shared" si="22"/>
        <v>40.305535235698528</v>
      </c>
      <c r="AC13" s="109">
        <f t="shared" si="23"/>
        <v>0.82633888052900184</v>
      </c>
      <c r="AD13" s="109">
        <f t="shared" si="24"/>
        <v>0.82646284375740398</v>
      </c>
      <c r="AE13" s="109">
        <f t="shared" si="25"/>
        <v>0.81693903423359449</v>
      </c>
      <c r="AF13" s="108">
        <f t="shared" si="26"/>
        <v>41.316944026450095</v>
      </c>
      <c r="AG13" s="108">
        <f t="shared" si="27"/>
        <v>41.323142187870197</v>
      </c>
      <c r="AH13" s="108">
        <f t="shared" si="28"/>
        <v>40.846951711679722</v>
      </c>
    </row>
    <row r="14" spans="1:34" ht="15">
      <c r="A14" s="67"/>
      <c r="B14" s="111"/>
      <c r="C14" s="112"/>
      <c r="D14" s="113"/>
      <c r="E14" s="114"/>
      <c r="F14" s="114"/>
      <c r="G14" s="114"/>
      <c r="H14" s="108">
        <f>SUM(H5:H13)</f>
        <v>10550.183844584535</v>
      </c>
      <c r="I14" s="108">
        <f>SUM(I5:I13)</f>
        <v>10551.766530429808</v>
      </c>
      <c r="J14" s="108">
        <f>SUM(J5:J13)</f>
        <v>10551.766530429808</v>
      </c>
      <c r="N14" s="115">
        <f>SUM(N5:N13)</f>
        <v>10690.247641748065</v>
      </c>
      <c r="O14" s="115">
        <f>SUM(O5:O13)</f>
        <v>10691.85133926408</v>
      </c>
      <c r="P14" s="115">
        <f>SUM(P5:P13)</f>
        <v>10563.670386883126</v>
      </c>
      <c r="T14" s="115">
        <f>SUM(T5:T13)</f>
        <v>10832.170919994096</v>
      </c>
      <c r="U14" s="115">
        <f>SUM(U5:U13)</f>
        <v>10833.795908130905</v>
      </c>
      <c r="V14" s="115">
        <f>SUM(V5:V13)</f>
        <v>10705.614955749952</v>
      </c>
      <c r="Z14" s="115">
        <f>SUM(Z5:Z13)</f>
        <v>10975.978365715291</v>
      </c>
      <c r="AA14" s="115">
        <f>SUM(AA5:AA13)</f>
        <v>10977.624927126288</v>
      </c>
      <c r="AB14" s="115">
        <f>SUM(AB5:AB13)</f>
        <v>10849.443974745334</v>
      </c>
      <c r="AF14" s="115">
        <f>SUM(AF5:AF13)</f>
        <v>11121.694993039842</v>
      </c>
      <c r="AG14" s="115">
        <f>SUM(AG5:AG13)</f>
        <v>11123.363414130905</v>
      </c>
      <c r="AH14" s="115">
        <f>SUM(AH5:AH13)</f>
        <v>10995.182461749951</v>
      </c>
    </row>
    <row r="15" spans="1:34" ht="15">
      <c r="A15" s="67"/>
      <c r="B15" s="111"/>
      <c r="C15" s="112"/>
      <c r="D15" s="113"/>
      <c r="E15" s="116"/>
      <c r="F15" s="116"/>
      <c r="G15" s="116"/>
      <c r="H15" s="117"/>
      <c r="I15" s="117"/>
      <c r="J15" s="117"/>
    </row>
    <row r="16" spans="1:34" ht="15">
      <c r="A16" s="67"/>
      <c r="B16" s="111"/>
      <c r="C16" s="112"/>
      <c r="D16" s="113"/>
      <c r="E16" s="662" t="s">
        <v>17</v>
      </c>
      <c r="F16" s="662"/>
      <c r="G16" s="662"/>
      <c r="H16" s="662" t="s">
        <v>17</v>
      </c>
      <c r="I16" s="662"/>
      <c r="J16" s="662"/>
      <c r="K16" s="662" t="s">
        <v>18</v>
      </c>
      <c r="L16" s="662"/>
      <c r="M16" s="662"/>
      <c r="N16" s="662" t="s">
        <v>18</v>
      </c>
      <c r="O16" s="662"/>
      <c r="P16" s="662"/>
      <c r="Q16" s="662" t="s">
        <v>19</v>
      </c>
      <c r="R16" s="662"/>
      <c r="S16" s="662"/>
      <c r="T16" s="662" t="s">
        <v>19</v>
      </c>
      <c r="U16" s="662"/>
      <c r="V16" s="662"/>
      <c r="W16" s="662" t="s">
        <v>20</v>
      </c>
      <c r="X16" s="662"/>
      <c r="Y16" s="662"/>
      <c r="Z16" s="662" t="s">
        <v>20</v>
      </c>
      <c r="AA16" s="662"/>
      <c r="AB16" s="662"/>
      <c r="AC16" s="662" t="s">
        <v>21</v>
      </c>
      <c r="AD16" s="662"/>
      <c r="AE16" s="662"/>
      <c r="AF16" s="662" t="s">
        <v>21</v>
      </c>
      <c r="AG16" s="662"/>
      <c r="AH16" s="662"/>
    </row>
    <row r="17" spans="1:34" ht="15">
      <c r="A17" s="67"/>
      <c r="B17" s="111"/>
      <c r="C17" s="112"/>
      <c r="D17" s="113"/>
      <c r="E17" s="103" t="s">
        <v>23</v>
      </c>
      <c r="F17" s="103" t="s">
        <v>13</v>
      </c>
      <c r="G17" s="103" t="s">
        <v>22</v>
      </c>
      <c r="H17" s="103" t="s">
        <v>23</v>
      </c>
      <c r="I17" s="103" t="s">
        <v>13</v>
      </c>
      <c r="J17" s="103" t="s">
        <v>22</v>
      </c>
      <c r="K17" s="100" t="s">
        <v>23</v>
      </c>
      <c r="L17" s="101" t="s">
        <v>13</v>
      </c>
      <c r="M17" s="102" t="s">
        <v>22</v>
      </c>
      <c r="N17" s="100" t="s">
        <v>23</v>
      </c>
      <c r="O17" s="101" t="s">
        <v>13</v>
      </c>
      <c r="P17" s="102" t="s">
        <v>22</v>
      </c>
      <c r="Q17" s="100" t="s">
        <v>23</v>
      </c>
      <c r="R17" s="101" t="s">
        <v>13</v>
      </c>
      <c r="S17" s="102" t="s">
        <v>22</v>
      </c>
      <c r="T17" s="100" t="s">
        <v>23</v>
      </c>
      <c r="U17" s="101" t="s">
        <v>13</v>
      </c>
      <c r="V17" s="102" t="s">
        <v>22</v>
      </c>
      <c r="W17" s="100" t="s">
        <v>23</v>
      </c>
      <c r="X17" s="101" t="s">
        <v>13</v>
      </c>
      <c r="Y17" s="102" t="s">
        <v>22</v>
      </c>
      <c r="Z17" s="118" t="s">
        <v>23</v>
      </c>
      <c r="AA17" s="118" t="s">
        <v>13</v>
      </c>
      <c r="AB17" s="118" t="s">
        <v>22</v>
      </c>
      <c r="AC17" s="100" t="s">
        <v>23</v>
      </c>
      <c r="AD17" s="101" t="s">
        <v>13</v>
      </c>
      <c r="AE17" s="102" t="s">
        <v>22</v>
      </c>
      <c r="AF17" s="118" t="s">
        <v>23</v>
      </c>
      <c r="AG17" s="118" t="s">
        <v>13</v>
      </c>
      <c r="AH17" s="118" t="s">
        <v>22</v>
      </c>
    </row>
    <row r="18" spans="1:34" ht="15">
      <c r="C18" s="104" t="s">
        <v>0</v>
      </c>
      <c r="D18" s="119" t="s">
        <v>203</v>
      </c>
      <c r="E18" s="105">
        <f>E40</f>
        <v>85.676245272206287</v>
      </c>
      <c r="F18" s="103"/>
      <c r="G18" s="105">
        <f>E39</f>
        <v>171.37819598853866</v>
      </c>
      <c r="H18" s="667" t="s">
        <v>204</v>
      </c>
      <c r="I18" s="668"/>
      <c r="J18" s="669"/>
      <c r="K18" s="105">
        <f>F40</f>
        <v>86.813679502387885</v>
      </c>
      <c r="L18" s="103"/>
      <c r="M18" s="105">
        <f>F39</f>
        <v>173.65340571329733</v>
      </c>
      <c r="N18" s="667" t="s">
        <v>204</v>
      </c>
      <c r="O18" s="668"/>
      <c r="P18" s="669"/>
      <c r="Q18" s="105">
        <f>G40</f>
        <v>87.966214261588675</v>
      </c>
      <c r="R18" s="103"/>
      <c r="S18" s="105">
        <f>G39</f>
        <v>175.95882102670618</v>
      </c>
      <c r="T18" s="667" t="s">
        <v>204</v>
      </c>
      <c r="U18" s="668"/>
      <c r="V18" s="669"/>
      <c r="W18" s="105">
        <f>H40</f>
        <v>89.134050023797045</v>
      </c>
      <c r="X18" s="103"/>
      <c r="Y18" s="105">
        <f>H39</f>
        <v>178.29484293689015</v>
      </c>
      <c r="Z18" s="667" t="s">
        <v>204</v>
      </c>
      <c r="AA18" s="668"/>
      <c r="AB18" s="669"/>
      <c r="AC18" s="105">
        <f>I40</f>
        <v>90.317389924485639</v>
      </c>
      <c r="AD18" s="103"/>
      <c r="AE18" s="105">
        <f>I39</f>
        <v>180.66187777574129</v>
      </c>
      <c r="AF18" s="667" t="s">
        <v>204</v>
      </c>
      <c r="AG18" s="668"/>
      <c r="AH18" s="669"/>
    </row>
    <row r="19" spans="1:34" ht="15">
      <c r="A19" s="663" t="s">
        <v>32</v>
      </c>
      <c r="B19" s="106" t="s">
        <v>1</v>
      </c>
      <c r="C19" s="120">
        <v>0.152</v>
      </c>
      <c r="D19" s="108">
        <f>SENSIBILIDAD!C21</f>
        <v>150</v>
      </c>
      <c r="E19" s="109">
        <f>C19*$E$18</f>
        <v>13.022789281375355</v>
      </c>
      <c r="F19" s="59"/>
      <c r="G19" s="109">
        <f>C19*$G$18</f>
        <v>26.049485790257876</v>
      </c>
      <c r="H19" s="109">
        <f>D19*E19</f>
        <v>1953.4183922063032</v>
      </c>
      <c r="I19" s="59"/>
      <c r="J19" s="109">
        <f>D19*G19</f>
        <v>3907.4228685386815</v>
      </c>
      <c r="K19" s="109">
        <f>$C19*$K$18</f>
        <v>13.195679284362958</v>
      </c>
      <c r="L19" s="59"/>
      <c r="M19" s="109">
        <f>C19*$M$18</f>
        <v>26.395317668421193</v>
      </c>
      <c r="N19" s="115">
        <f>D19*K19</f>
        <v>1979.3518926544436</v>
      </c>
      <c r="O19" s="48"/>
      <c r="P19" s="115">
        <f>D19*M19</f>
        <v>3959.2976502631791</v>
      </c>
      <c r="Q19" s="109">
        <f>C19*$Q$18</f>
        <v>13.370864567761478</v>
      </c>
      <c r="R19" s="48"/>
      <c r="S19" s="121">
        <f>$S$18*C19</f>
        <v>26.745740796059337</v>
      </c>
      <c r="T19" s="115">
        <f>D19*Q19</f>
        <v>2005.6296851642217</v>
      </c>
      <c r="U19" s="122"/>
      <c r="V19" s="115">
        <f>S19*D19</f>
        <v>4011.8611194089008</v>
      </c>
      <c r="W19" s="123">
        <f>$W$18*C19</f>
        <v>13.548375603617151</v>
      </c>
      <c r="X19" s="48"/>
      <c r="Y19" s="121">
        <f>$Y$18*C19</f>
        <v>27.100816126407302</v>
      </c>
      <c r="Z19" s="115">
        <f>D19*W19</f>
        <v>2032.2563405425726</v>
      </c>
      <c r="AA19" s="48"/>
      <c r="AB19" s="115">
        <f>Y19*D19</f>
        <v>4065.1224189610953</v>
      </c>
      <c r="AC19" s="123">
        <f>$AC$18*C19</f>
        <v>13.728243268521817</v>
      </c>
      <c r="AD19" s="59"/>
      <c r="AE19" s="109">
        <f>$AE$18*C19</f>
        <v>27.460605421912675</v>
      </c>
      <c r="AF19" s="115">
        <f>AC19*D19</f>
        <v>2059.2364902782724</v>
      </c>
      <c r="AG19" s="48"/>
      <c r="AH19" s="115">
        <f>AE19*D19</f>
        <v>4119.0908132869008</v>
      </c>
    </row>
    <row r="20" spans="1:34" ht="15">
      <c r="A20" s="664"/>
      <c r="B20" s="106" t="s">
        <v>2</v>
      </c>
      <c r="C20" s="120">
        <v>4.8000000000000001E-2</v>
      </c>
      <c r="D20" s="108">
        <f>SENSIBILIDAD!C22</f>
        <v>140</v>
      </c>
      <c r="E20" s="109">
        <f>C20*$E$18</f>
        <v>4.1124597730659023</v>
      </c>
      <c r="F20" s="59"/>
      <c r="G20" s="109">
        <f t="shared" ref="G20:G28" si="30">C20*$G$18</f>
        <v>8.2261534074498552</v>
      </c>
      <c r="H20" s="109">
        <f t="shared" ref="H20:H28" si="31">D20*E20</f>
        <v>575.74436822922632</v>
      </c>
      <c r="I20" s="59"/>
      <c r="J20" s="109">
        <f t="shared" ref="J20:J28" si="32">D20*G20</f>
        <v>1151.6614770429796</v>
      </c>
      <c r="K20" s="109">
        <f t="shared" ref="K20:K28" si="33">$C20*$K$18</f>
        <v>4.1670566161146185</v>
      </c>
      <c r="L20" s="59"/>
      <c r="M20" s="109">
        <f t="shared" ref="M20:M28" si="34">C20*$M$18</f>
        <v>8.3353634742382727</v>
      </c>
      <c r="N20" s="115">
        <f>D20*K20</f>
        <v>583.38792625604663</v>
      </c>
      <c r="O20" s="48"/>
      <c r="P20" s="115">
        <f t="shared" ref="P20:P28" si="35">D20*M20</f>
        <v>1166.9508863933581</v>
      </c>
      <c r="Q20" s="109">
        <f t="shared" ref="Q20:Q28" si="36">C20*$Q$18</f>
        <v>4.2223782845562567</v>
      </c>
      <c r="R20" s="48"/>
      <c r="S20" s="121">
        <f t="shared" ref="S20:S27" si="37">$S$18*C20</f>
        <v>8.4460234092818958</v>
      </c>
      <c r="T20" s="115">
        <f t="shared" ref="T20:T28" si="38">D20*Q20</f>
        <v>591.13295983787589</v>
      </c>
      <c r="U20" s="122"/>
      <c r="V20" s="115">
        <f t="shared" ref="V20:V28" si="39">S20*D20</f>
        <v>1182.4432772994653</v>
      </c>
      <c r="W20" s="123">
        <f t="shared" ref="W20:W28" si="40">$W$18*C20</f>
        <v>4.2784344011422579</v>
      </c>
      <c r="X20" s="48"/>
      <c r="Y20" s="121">
        <f t="shared" ref="Y20:Y28" si="41">$Y$18*C20</f>
        <v>8.558152460970728</v>
      </c>
      <c r="Z20" s="115">
        <f t="shared" ref="Z20:Z28" si="42">D20*W20</f>
        <v>598.98081615991612</v>
      </c>
      <c r="AA20" s="48"/>
      <c r="AB20" s="115">
        <f t="shared" ref="AB20:AB28" si="43">Y20*D20</f>
        <v>1198.1413445359019</v>
      </c>
      <c r="AC20" s="123">
        <f t="shared" ref="AC20:AC28" si="44">$AC$18*C20</f>
        <v>4.3352347163753109</v>
      </c>
      <c r="AD20" s="59"/>
      <c r="AE20" s="109">
        <f t="shared" ref="AE20:AE28" si="45">$AE$18*C20</f>
        <v>8.6717701332355812</v>
      </c>
      <c r="AF20" s="115">
        <f t="shared" ref="AF20:AF28" si="46">AC20*D20</f>
        <v>606.93286029254352</v>
      </c>
      <c r="AG20" s="48"/>
      <c r="AH20" s="115">
        <f t="shared" ref="AH20:AH28" si="47">AE20*D20</f>
        <v>1214.0478186529813</v>
      </c>
    </row>
    <row r="21" spans="1:34" ht="15">
      <c r="A21" s="664"/>
      <c r="B21" s="106" t="s">
        <v>3</v>
      </c>
      <c r="C21" s="120">
        <v>0</v>
      </c>
      <c r="D21" s="108">
        <f>SENSIBILIDAD!C23</f>
        <v>130</v>
      </c>
      <c r="E21" s="109">
        <f t="shared" ref="E21:E28" si="48">C21*$E$18</f>
        <v>0</v>
      </c>
      <c r="F21" s="59"/>
      <c r="G21" s="109">
        <f t="shared" si="30"/>
        <v>0</v>
      </c>
      <c r="H21" s="109">
        <f t="shared" si="31"/>
        <v>0</v>
      </c>
      <c r="I21" s="59"/>
      <c r="J21" s="109">
        <f t="shared" si="32"/>
        <v>0</v>
      </c>
      <c r="K21" s="109">
        <f t="shared" si="33"/>
        <v>0</v>
      </c>
      <c r="L21" s="59"/>
      <c r="M21" s="109">
        <f t="shared" si="34"/>
        <v>0</v>
      </c>
      <c r="N21" s="115">
        <f t="shared" ref="N21:N28" si="49">D21*K21</f>
        <v>0</v>
      </c>
      <c r="O21" s="48"/>
      <c r="P21" s="115">
        <f t="shared" si="35"/>
        <v>0</v>
      </c>
      <c r="Q21" s="109">
        <f t="shared" si="36"/>
        <v>0</v>
      </c>
      <c r="R21" s="48"/>
      <c r="S21" s="121">
        <f t="shared" si="37"/>
        <v>0</v>
      </c>
      <c r="T21" s="115">
        <f t="shared" si="38"/>
        <v>0</v>
      </c>
      <c r="U21" s="122"/>
      <c r="V21" s="115">
        <f t="shared" si="39"/>
        <v>0</v>
      </c>
      <c r="W21" s="123">
        <f t="shared" si="40"/>
        <v>0</v>
      </c>
      <c r="X21" s="48"/>
      <c r="Y21" s="121">
        <f t="shared" si="41"/>
        <v>0</v>
      </c>
      <c r="Z21" s="115">
        <f t="shared" si="42"/>
        <v>0</v>
      </c>
      <c r="AA21" s="48"/>
      <c r="AB21" s="115">
        <f t="shared" si="43"/>
        <v>0</v>
      </c>
      <c r="AC21" s="123">
        <f t="shared" si="44"/>
        <v>0</v>
      </c>
      <c r="AD21" s="59"/>
      <c r="AE21" s="109">
        <f t="shared" si="45"/>
        <v>0</v>
      </c>
      <c r="AF21" s="115">
        <f t="shared" si="46"/>
        <v>0</v>
      </c>
      <c r="AG21" s="48"/>
      <c r="AH21" s="115">
        <f t="shared" si="47"/>
        <v>0</v>
      </c>
    </row>
    <row r="22" spans="1:34" ht="15">
      <c r="A22" s="664"/>
      <c r="B22" s="106" t="s">
        <v>4</v>
      </c>
      <c r="C22" s="120">
        <v>0</v>
      </c>
      <c r="D22" s="108">
        <f>SENSIBILIDAD!C24</f>
        <v>120</v>
      </c>
      <c r="E22" s="109">
        <f t="shared" si="48"/>
        <v>0</v>
      </c>
      <c r="F22" s="59"/>
      <c r="G22" s="109">
        <f t="shared" si="30"/>
        <v>0</v>
      </c>
      <c r="H22" s="109">
        <f t="shared" si="31"/>
        <v>0</v>
      </c>
      <c r="I22" s="59"/>
      <c r="J22" s="109">
        <f t="shared" si="32"/>
        <v>0</v>
      </c>
      <c r="K22" s="109">
        <f t="shared" si="33"/>
        <v>0</v>
      </c>
      <c r="L22" s="59"/>
      <c r="M22" s="109">
        <f t="shared" si="34"/>
        <v>0</v>
      </c>
      <c r="N22" s="115">
        <f t="shared" si="49"/>
        <v>0</v>
      </c>
      <c r="O22" s="48"/>
      <c r="P22" s="115">
        <f t="shared" si="35"/>
        <v>0</v>
      </c>
      <c r="Q22" s="109">
        <f>C22*$Q$18</f>
        <v>0</v>
      </c>
      <c r="R22" s="48"/>
      <c r="S22" s="121">
        <f t="shared" si="37"/>
        <v>0</v>
      </c>
      <c r="T22" s="115">
        <f t="shared" si="38"/>
        <v>0</v>
      </c>
      <c r="U22" s="122"/>
      <c r="V22" s="115">
        <f t="shared" si="39"/>
        <v>0</v>
      </c>
      <c r="W22" s="123">
        <f t="shared" si="40"/>
        <v>0</v>
      </c>
      <c r="X22" s="48"/>
      <c r="Y22" s="121">
        <f t="shared" si="41"/>
        <v>0</v>
      </c>
      <c r="Z22" s="115">
        <f t="shared" si="42"/>
        <v>0</v>
      </c>
      <c r="AA22" s="48"/>
      <c r="AB22" s="115">
        <f t="shared" si="43"/>
        <v>0</v>
      </c>
      <c r="AC22" s="123">
        <f t="shared" si="44"/>
        <v>0</v>
      </c>
      <c r="AD22" s="59"/>
      <c r="AE22" s="109">
        <f t="shared" si="45"/>
        <v>0</v>
      </c>
      <c r="AF22" s="115">
        <f t="shared" si="46"/>
        <v>0</v>
      </c>
      <c r="AG22" s="48"/>
      <c r="AH22" s="115">
        <f t="shared" si="47"/>
        <v>0</v>
      </c>
    </row>
    <row r="23" spans="1:34" ht="15">
      <c r="A23" s="664"/>
      <c r="B23" s="106" t="s">
        <v>5</v>
      </c>
      <c r="C23" s="120">
        <v>0.248</v>
      </c>
      <c r="D23" s="108">
        <f>SENSIBILIDAD!C25</f>
        <v>130</v>
      </c>
      <c r="E23" s="109">
        <f t="shared" si="48"/>
        <v>21.247708827507161</v>
      </c>
      <c r="F23" s="59"/>
      <c r="G23" s="109">
        <f t="shared" si="30"/>
        <v>42.50179260515759</v>
      </c>
      <c r="H23" s="109">
        <f t="shared" si="31"/>
        <v>2762.2021475759311</v>
      </c>
      <c r="I23" s="59"/>
      <c r="J23" s="109">
        <f t="shared" si="32"/>
        <v>5525.2330386704871</v>
      </c>
      <c r="K23" s="109">
        <f t="shared" si="33"/>
        <v>21.529792516592195</v>
      </c>
      <c r="L23" s="59"/>
      <c r="M23" s="109">
        <f t="shared" si="34"/>
        <v>43.066044616897734</v>
      </c>
      <c r="N23" s="115">
        <f t="shared" si="49"/>
        <v>2798.8730271569852</v>
      </c>
      <c r="O23" s="48"/>
      <c r="P23" s="115">
        <f t="shared" si="35"/>
        <v>5598.5858001967053</v>
      </c>
      <c r="Q23" s="109">
        <f t="shared" si="36"/>
        <v>21.81562113687399</v>
      </c>
      <c r="R23" s="48"/>
      <c r="S23" s="121">
        <f t="shared" si="37"/>
        <v>43.637787614623129</v>
      </c>
      <c r="T23" s="115">
        <f t="shared" si="38"/>
        <v>2836.0307477936185</v>
      </c>
      <c r="U23" s="122"/>
      <c r="V23" s="115">
        <f t="shared" si="39"/>
        <v>5672.9123899010065</v>
      </c>
      <c r="W23" s="123">
        <f t="shared" si="40"/>
        <v>22.105244405901669</v>
      </c>
      <c r="X23" s="48"/>
      <c r="Y23" s="121">
        <f t="shared" si="41"/>
        <v>44.217121048348758</v>
      </c>
      <c r="Z23" s="115">
        <f t="shared" si="42"/>
        <v>2873.6817727672169</v>
      </c>
      <c r="AA23" s="48"/>
      <c r="AB23" s="115">
        <f t="shared" si="43"/>
        <v>5748.2257362853388</v>
      </c>
      <c r="AC23" s="123">
        <f t="shared" si="44"/>
        <v>22.398712701272437</v>
      </c>
      <c r="AD23" s="59"/>
      <c r="AE23" s="109">
        <f t="shared" si="45"/>
        <v>44.804145688383841</v>
      </c>
      <c r="AF23" s="115">
        <f t="shared" si="46"/>
        <v>2911.8326511654168</v>
      </c>
      <c r="AG23" s="48"/>
      <c r="AH23" s="115">
        <f t="shared" si="47"/>
        <v>5824.5389394898993</v>
      </c>
    </row>
    <row r="24" spans="1:34" ht="15">
      <c r="A24" s="664"/>
      <c r="B24" s="106" t="s">
        <v>6</v>
      </c>
      <c r="C24" s="120">
        <v>0.13600000000000001</v>
      </c>
      <c r="D24" s="108">
        <f>SENSIBILIDAD!C26</f>
        <v>100</v>
      </c>
      <c r="E24" s="109">
        <f t="shared" si="48"/>
        <v>11.651969357020056</v>
      </c>
      <c r="F24" s="59"/>
      <c r="G24" s="109">
        <f t="shared" si="30"/>
        <v>23.307434654441259</v>
      </c>
      <c r="H24" s="109">
        <f t="shared" si="31"/>
        <v>1165.1969357020055</v>
      </c>
      <c r="I24" s="59"/>
      <c r="J24" s="109">
        <f t="shared" si="32"/>
        <v>2330.7434654441258</v>
      </c>
      <c r="K24" s="109">
        <f t="shared" si="33"/>
        <v>11.806660412324753</v>
      </c>
      <c r="L24" s="59"/>
      <c r="M24" s="109">
        <f t="shared" si="34"/>
        <v>23.61686317700844</v>
      </c>
      <c r="N24" s="115">
        <f t="shared" si="49"/>
        <v>1180.6660412324752</v>
      </c>
      <c r="O24" s="48"/>
      <c r="P24" s="115">
        <f t="shared" si="35"/>
        <v>2361.686317700844</v>
      </c>
      <c r="Q24" s="109">
        <f t="shared" si="36"/>
        <v>11.963405139576061</v>
      </c>
      <c r="R24" s="48"/>
      <c r="S24" s="121">
        <f t="shared" si="37"/>
        <v>23.930399659632041</v>
      </c>
      <c r="T24" s="115">
        <f t="shared" si="38"/>
        <v>1196.3405139576062</v>
      </c>
      <c r="U24" s="122"/>
      <c r="V24" s="115">
        <f t="shared" si="39"/>
        <v>2393.0399659632039</v>
      </c>
      <c r="W24" s="123">
        <f t="shared" si="40"/>
        <v>12.122230803236398</v>
      </c>
      <c r="X24" s="48"/>
      <c r="Y24" s="121">
        <f t="shared" si="41"/>
        <v>24.248098639417062</v>
      </c>
      <c r="Z24" s="115">
        <f t="shared" si="42"/>
        <v>1212.2230803236398</v>
      </c>
      <c r="AA24" s="48"/>
      <c r="AB24" s="115">
        <f t="shared" si="43"/>
        <v>2424.8098639417062</v>
      </c>
      <c r="AC24" s="123">
        <f t="shared" si="44"/>
        <v>12.283165029730048</v>
      </c>
      <c r="AD24" s="59"/>
      <c r="AE24" s="109">
        <f t="shared" si="45"/>
        <v>24.570015377500816</v>
      </c>
      <c r="AF24" s="115">
        <f t="shared" si="46"/>
        <v>1228.3165029730048</v>
      </c>
      <c r="AG24" s="48"/>
      <c r="AH24" s="115">
        <f t="shared" si="47"/>
        <v>2457.0015377500818</v>
      </c>
    </row>
    <row r="25" spans="1:34" ht="15">
      <c r="A25" s="664"/>
      <c r="B25" s="106" t="s">
        <v>7</v>
      </c>
      <c r="C25" s="120">
        <v>0</v>
      </c>
      <c r="D25" s="108">
        <f>SENSIBILIDAD!C27</f>
        <v>80</v>
      </c>
      <c r="E25" s="109">
        <f t="shared" si="48"/>
        <v>0</v>
      </c>
      <c r="F25" s="59"/>
      <c r="G25" s="109">
        <f t="shared" si="30"/>
        <v>0</v>
      </c>
      <c r="H25" s="109">
        <f t="shared" si="31"/>
        <v>0</v>
      </c>
      <c r="I25" s="59"/>
      <c r="J25" s="109">
        <f t="shared" si="32"/>
        <v>0</v>
      </c>
      <c r="K25" s="109">
        <f t="shared" si="33"/>
        <v>0</v>
      </c>
      <c r="L25" s="59"/>
      <c r="M25" s="109">
        <f t="shared" si="34"/>
        <v>0</v>
      </c>
      <c r="N25" s="115">
        <f t="shared" si="49"/>
        <v>0</v>
      </c>
      <c r="O25" s="48"/>
      <c r="P25" s="115">
        <f t="shared" si="35"/>
        <v>0</v>
      </c>
      <c r="Q25" s="109">
        <f t="shared" si="36"/>
        <v>0</v>
      </c>
      <c r="R25" s="48"/>
      <c r="S25" s="121">
        <f t="shared" si="37"/>
        <v>0</v>
      </c>
      <c r="T25" s="115">
        <f t="shared" si="38"/>
        <v>0</v>
      </c>
      <c r="U25" s="122"/>
      <c r="V25" s="115">
        <f t="shared" si="39"/>
        <v>0</v>
      </c>
      <c r="W25" s="123">
        <f t="shared" si="40"/>
        <v>0</v>
      </c>
      <c r="X25" s="48"/>
      <c r="Y25" s="121">
        <f t="shared" si="41"/>
        <v>0</v>
      </c>
      <c r="Z25" s="115">
        <f t="shared" si="42"/>
        <v>0</v>
      </c>
      <c r="AA25" s="48"/>
      <c r="AB25" s="115">
        <f t="shared" si="43"/>
        <v>0</v>
      </c>
      <c r="AC25" s="123">
        <f t="shared" si="44"/>
        <v>0</v>
      </c>
      <c r="AD25" s="59"/>
      <c r="AE25" s="109">
        <f t="shared" si="45"/>
        <v>0</v>
      </c>
      <c r="AF25" s="115">
        <f t="shared" si="46"/>
        <v>0</v>
      </c>
      <c r="AG25" s="48"/>
      <c r="AH25" s="115">
        <f t="shared" si="47"/>
        <v>0</v>
      </c>
    </row>
    <row r="26" spans="1:34" ht="15">
      <c r="A26" s="664"/>
      <c r="B26" s="106" t="s">
        <v>8</v>
      </c>
      <c r="C26" s="120">
        <v>0</v>
      </c>
      <c r="D26" s="108">
        <f>SENSIBILIDAD!C28</f>
        <v>50</v>
      </c>
      <c r="E26" s="109">
        <f t="shared" si="48"/>
        <v>0</v>
      </c>
      <c r="F26" s="59"/>
      <c r="G26" s="109">
        <f t="shared" si="30"/>
        <v>0</v>
      </c>
      <c r="H26" s="109">
        <f t="shared" si="31"/>
        <v>0</v>
      </c>
      <c r="I26" s="59"/>
      <c r="J26" s="109">
        <f t="shared" si="32"/>
        <v>0</v>
      </c>
      <c r="K26" s="109">
        <f t="shared" si="33"/>
        <v>0</v>
      </c>
      <c r="L26" s="59"/>
      <c r="M26" s="109">
        <f t="shared" si="34"/>
        <v>0</v>
      </c>
      <c r="N26" s="115">
        <f t="shared" si="49"/>
        <v>0</v>
      </c>
      <c r="O26" s="48"/>
      <c r="P26" s="115">
        <f t="shared" si="35"/>
        <v>0</v>
      </c>
      <c r="Q26" s="109">
        <f t="shared" si="36"/>
        <v>0</v>
      </c>
      <c r="R26" s="48"/>
      <c r="S26" s="121">
        <f t="shared" si="37"/>
        <v>0</v>
      </c>
      <c r="T26" s="115">
        <f t="shared" si="38"/>
        <v>0</v>
      </c>
      <c r="U26" s="122"/>
      <c r="V26" s="115">
        <f t="shared" si="39"/>
        <v>0</v>
      </c>
      <c r="W26" s="123">
        <f t="shared" si="40"/>
        <v>0</v>
      </c>
      <c r="X26" s="48"/>
      <c r="Y26" s="121">
        <f t="shared" si="41"/>
        <v>0</v>
      </c>
      <c r="Z26" s="115">
        <f t="shared" si="42"/>
        <v>0</v>
      </c>
      <c r="AA26" s="48"/>
      <c r="AB26" s="115">
        <f t="shared" si="43"/>
        <v>0</v>
      </c>
      <c r="AC26" s="123">
        <f t="shared" si="44"/>
        <v>0</v>
      </c>
      <c r="AD26" s="59"/>
      <c r="AE26" s="109">
        <f t="shared" si="45"/>
        <v>0</v>
      </c>
      <c r="AF26" s="115">
        <f t="shared" si="46"/>
        <v>0</v>
      </c>
      <c r="AG26" s="48"/>
      <c r="AH26" s="115">
        <f t="shared" si="47"/>
        <v>0</v>
      </c>
    </row>
    <row r="27" spans="1:34" ht="15">
      <c r="A27" s="664"/>
      <c r="B27" s="106" t="s">
        <v>9</v>
      </c>
      <c r="C27" s="120">
        <v>6.4000000000000001E-2</v>
      </c>
      <c r="D27" s="108">
        <f>SENSIBILIDAD!C29</f>
        <v>50</v>
      </c>
      <c r="E27" s="109">
        <f t="shared" si="48"/>
        <v>5.4832796974212021</v>
      </c>
      <c r="F27" s="59"/>
      <c r="G27" s="109">
        <f t="shared" si="30"/>
        <v>10.968204543266475</v>
      </c>
      <c r="H27" s="109">
        <f t="shared" si="31"/>
        <v>274.16398487106011</v>
      </c>
      <c r="I27" s="59"/>
      <c r="J27" s="109">
        <f t="shared" si="32"/>
        <v>548.41022716332373</v>
      </c>
      <c r="K27" s="109">
        <f t="shared" si="33"/>
        <v>5.5560754881528247</v>
      </c>
      <c r="L27" s="59"/>
      <c r="M27" s="109">
        <f t="shared" si="34"/>
        <v>11.11381796565103</v>
      </c>
      <c r="N27" s="115">
        <f t="shared" si="49"/>
        <v>277.80377440764124</v>
      </c>
      <c r="O27" s="48"/>
      <c r="P27" s="115">
        <f t="shared" si="35"/>
        <v>555.69089828255153</v>
      </c>
      <c r="Q27" s="109">
        <f t="shared" si="36"/>
        <v>5.6298377127416757</v>
      </c>
      <c r="R27" s="48"/>
      <c r="S27" s="121">
        <f t="shared" si="37"/>
        <v>11.261364545709196</v>
      </c>
      <c r="T27" s="115">
        <f t="shared" si="38"/>
        <v>281.49188563708378</v>
      </c>
      <c r="U27" s="122"/>
      <c r="V27" s="115">
        <f t="shared" si="39"/>
        <v>563.06822728545978</v>
      </c>
      <c r="W27" s="123">
        <f t="shared" si="40"/>
        <v>5.7045792015230106</v>
      </c>
      <c r="X27" s="48"/>
      <c r="Y27" s="121">
        <f t="shared" si="41"/>
        <v>11.41086994796097</v>
      </c>
      <c r="Z27" s="115">
        <f t="shared" si="42"/>
        <v>285.22896007615054</v>
      </c>
      <c r="AA27" s="48"/>
      <c r="AB27" s="115">
        <f t="shared" si="43"/>
        <v>570.54349739804854</v>
      </c>
      <c r="AC27" s="123">
        <f t="shared" si="44"/>
        <v>5.7803129551670809</v>
      </c>
      <c r="AD27" s="59"/>
      <c r="AE27" s="109">
        <f t="shared" si="45"/>
        <v>11.562360177647443</v>
      </c>
      <c r="AF27" s="115">
        <f t="shared" si="46"/>
        <v>289.01564775835402</v>
      </c>
      <c r="AG27" s="48"/>
      <c r="AH27" s="115">
        <f t="shared" si="47"/>
        <v>578.11800888237212</v>
      </c>
    </row>
    <row r="28" spans="1:34" ht="15">
      <c r="A28" s="665"/>
      <c r="B28" s="106" t="s">
        <v>24</v>
      </c>
      <c r="C28" s="124">
        <f>1-SUM(C19:C27)</f>
        <v>0.35199999999999987</v>
      </c>
      <c r="D28" s="108">
        <f>SENSIBILIDAD!C30</f>
        <v>100</v>
      </c>
      <c r="E28" s="109">
        <f t="shared" si="48"/>
        <v>30.158038335816602</v>
      </c>
      <c r="F28" s="59"/>
      <c r="G28" s="109">
        <f t="shared" si="30"/>
        <v>60.325124987965587</v>
      </c>
      <c r="H28" s="109">
        <f t="shared" si="31"/>
        <v>3015.8038335816605</v>
      </c>
      <c r="I28" s="59"/>
      <c r="J28" s="109">
        <f t="shared" si="32"/>
        <v>6032.5124987965592</v>
      </c>
      <c r="K28" s="109">
        <f t="shared" si="33"/>
        <v>30.558415184840523</v>
      </c>
      <c r="L28" s="59"/>
      <c r="M28" s="109">
        <f t="shared" si="34"/>
        <v>61.125998811080635</v>
      </c>
      <c r="N28" s="115">
        <f t="shared" si="49"/>
        <v>3055.8415184840524</v>
      </c>
      <c r="O28" s="48"/>
      <c r="P28" s="115">
        <f t="shared" si="35"/>
        <v>6112.5998811080635</v>
      </c>
      <c r="Q28" s="109">
        <f t="shared" si="36"/>
        <v>30.964107420079202</v>
      </c>
      <c r="R28" s="48"/>
      <c r="S28" s="121">
        <f>$S$18*C28</f>
        <v>61.937505001400552</v>
      </c>
      <c r="T28" s="115">
        <f t="shared" si="38"/>
        <v>3096.4107420079204</v>
      </c>
      <c r="U28" s="122"/>
      <c r="V28" s="115">
        <f t="shared" si="39"/>
        <v>6193.750500140055</v>
      </c>
      <c r="W28" s="123">
        <f t="shared" si="40"/>
        <v>31.375185608376547</v>
      </c>
      <c r="X28" s="48"/>
      <c r="Y28" s="121">
        <f t="shared" si="41"/>
        <v>62.759784713785308</v>
      </c>
      <c r="Z28" s="115">
        <f t="shared" si="42"/>
        <v>3137.5185608376546</v>
      </c>
      <c r="AA28" s="48"/>
      <c r="AB28" s="115">
        <f t="shared" si="43"/>
        <v>6275.9784713785311</v>
      </c>
      <c r="AC28" s="123">
        <f t="shared" si="44"/>
        <v>31.791721253418935</v>
      </c>
      <c r="AD28" s="59"/>
      <c r="AE28" s="109">
        <f t="shared" si="45"/>
        <v>63.592980977060911</v>
      </c>
      <c r="AF28" s="115">
        <f t="shared" si="46"/>
        <v>3179.1721253418937</v>
      </c>
      <c r="AG28" s="48"/>
      <c r="AH28" s="115">
        <f t="shared" si="47"/>
        <v>6359.2980977060915</v>
      </c>
    </row>
    <row r="29" spans="1:34" ht="15">
      <c r="A29" s="125"/>
      <c r="B29" s="111"/>
      <c r="C29" s="126"/>
      <c r="D29" s="113"/>
      <c r="E29" s="114"/>
      <c r="F29" s="67"/>
      <c r="G29" s="114"/>
      <c r="H29" s="109">
        <f>SUM(H19:H28)</f>
        <v>9746.5296621661873</v>
      </c>
      <c r="I29" s="59"/>
      <c r="J29" s="109">
        <f>SUM(J19:J28)</f>
        <v>19495.983575656159</v>
      </c>
      <c r="N29" s="115">
        <f>SUM(N19:N28)</f>
        <v>9875.9241801916432</v>
      </c>
      <c r="O29" s="48"/>
      <c r="P29" s="115">
        <f>SUM(P19:P28)</f>
        <v>19754.811433944702</v>
      </c>
      <c r="T29" s="115">
        <f>SUM(T19:T28)</f>
        <v>10007.036534398327</v>
      </c>
      <c r="U29" s="48"/>
      <c r="V29" s="115">
        <f>SUM(V19:V28)</f>
        <v>20017.075479998093</v>
      </c>
      <c r="Z29" s="115">
        <f>SUM(Z19:Z28)</f>
        <v>10139.889530707151</v>
      </c>
      <c r="AA29" s="48"/>
      <c r="AB29" s="115">
        <f>SUM(AB19:AB28)</f>
        <v>20282.821332500622</v>
      </c>
      <c r="AF29" s="115">
        <f>SUM(AF19:AF28)</f>
        <v>10274.506277809485</v>
      </c>
      <c r="AG29" s="48"/>
      <c r="AH29" s="115">
        <f>SUM(AH19:AH28)</f>
        <v>20552.095215768328</v>
      </c>
    </row>
    <row r="30" spans="1:34" ht="15">
      <c r="A30" s="125"/>
      <c r="B30" s="111"/>
      <c r="C30" s="126"/>
      <c r="D30" s="113"/>
      <c r="E30" s="114"/>
      <c r="F30" s="67"/>
      <c r="G30" s="112"/>
      <c r="H30" s="114"/>
      <c r="I30" s="67"/>
      <c r="J30" s="114"/>
      <c r="N30" s="117"/>
      <c r="O30" s="45"/>
      <c r="P30" s="117"/>
      <c r="T30" s="117"/>
      <c r="U30" s="45"/>
      <c r="V30" s="117"/>
      <c r="Z30" s="117"/>
      <c r="AA30" s="45"/>
      <c r="AB30" s="117"/>
      <c r="AF30" s="117"/>
      <c r="AG30" s="45"/>
      <c r="AH30" s="117"/>
    </row>
    <row r="31" spans="1:34" ht="15">
      <c r="A31" s="125"/>
      <c r="B31" s="111"/>
      <c r="C31" s="126"/>
      <c r="D31" s="113"/>
      <c r="E31" s="114"/>
      <c r="F31" s="67"/>
      <c r="G31" s="114"/>
      <c r="H31" s="114"/>
      <c r="I31" s="67"/>
      <c r="J31" s="114"/>
      <c r="N31" s="117"/>
      <c r="O31" s="45"/>
      <c r="P31" s="117"/>
      <c r="T31" s="117"/>
      <c r="U31" s="45"/>
      <c r="V31" s="117"/>
      <c r="Z31" s="117"/>
      <c r="AA31" s="45"/>
      <c r="AB31" s="117"/>
      <c r="AF31" s="117"/>
      <c r="AG31" s="45"/>
      <c r="AH31" s="117"/>
    </row>
    <row r="33" spans="2:9" ht="15">
      <c r="B33" s="48"/>
      <c r="C33" s="48"/>
      <c r="D33" s="48"/>
      <c r="E33" s="103" t="s">
        <v>17</v>
      </c>
      <c r="F33" s="103" t="s">
        <v>18</v>
      </c>
      <c r="G33" s="103" t="s">
        <v>19</v>
      </c>
      <c r="H33" s="103" t="s">
        <v>20</v>
      </c>
      <c r="I33" s="103" t="s">
        <v>21</v>
      </c>
    </row>
    <row r="34" spans="2:9" ht="15">
      <c r="B34" s="630" t="s">
        <v>205</v>
      </c>
      <c r="C34" s="127" t="s">
        <v>76</v>
      </c>
      <c r="D34" s="48"/>
      <c r="E34" s="109">
        <f>'Calculo No. aulas'!D12</f>
        <v>82.306954727793695</v>
      </c>
      <c r="F34" s="109">
        <f>'Calculo No. aulas'!E12</f>
        <v>83.399658398361396</v>
      </c>
      <c r="G34" s="109">
        <f>'Calculo No. aulas'!F12</f>
        <v>84.506868756919459</v>
      </c>
      <c r="H34" s="109">
        <f>'Calculo No. aulas'!G12</f>
        <v>85.628778393647721</v>
      </c>
      <c r="I34" s="109">
        <f>'Calculo No. aulas'!H12</f>
        <v>86.765582455545186</v>
      </c>
    </row>
    <row r="35" spans="2:9" ht="15">
      <c r="B35" s="666"/>
      <c r="C35" s="127" t="s">
        <v>206</v>
      </c>
      <c r="D35" s="48"/>
      <c r="E35" s="109">
        <f>'Calculo No. aulas'!D13</f>
        <v>82.319302005730663</v>
      </c>
      <c r="F35" s="109">
        <f>'Calculo No. aulas'!E13</f>
        <v>83.412169598241135</v>
      </c>
      <c r="G35" s="109">
        <f>'Calculo No. aulas'!F13</f>
        <v>84.519546054962802</v>
      </c>
      <c r="H35" s="109">
        <f>'Calculo No. aulas'!G13</f>
        <v>85.641623994966892</v>
      </c>
      <c r="I35" s="109">
        <f>'Calculo No. aulas'!H13</f>
        <v>86.778598594527409</v>
      </c>
    </row>
    <row r="36" spans="2:9" ht="15">
      <c r="B36" s="631"/>
      <c r="C36" s="127" t="s">
        <v>22</v>
      </c>
      <c r="D36" s="48"/>
      <c r="E36" s="109">
        <f>'Calculo No. aulas'!D14</f>
        <v>82.319302005730663</v>
      </c>
      <c r="F36" s="109">
        <f>'Calculo No. aulas'!E14</f>
        <v>82.412169598241135</v>
      </c>
      <c r="G36" s="109">
        <f>'Calculo No. aulas'!F14</f>
        <v>83.519546054962802</v>
      </c>
      <c r="H36" s="109">
        <f>'Calculo No. aulas'!G14</f>
        <v>84.641623994966892</v>
      </c>
      <c r="I36" s="109">
        <f>'Calculo No. aulas'!H14</f>
        <v>85.778598594527409</v>
      </c>
    </row>
    <row r="37" spans="2:9" ht="15">
      <c r="B37" s="127"/>
      <c r="C37" s="127"/>
      <c r="D37" s="48"/>
      <c r="E37" s="59"/>
      <c r="F37" s="59"/>
      <c r="G37" s="59"/>
      <c r="H37" s="59"/>
      <c r="I37" s="59"/>
    </row>
    <row r="38" spans="2:9" ht="15">
      <c r="B38" s="127"/>
      <c r="C38" s="127"/>
      <c r="D38" s="48"/>
      <c r="E38" s="103" t="s">
        <v>17</v>
      </c>
      <c r="F38" s="103" t="s">
        <v>18</v>
      </c>
      <c r="G38" s="103" t="s">
        <v>19</v>
      </c>
      <c r="H38" s="103" t="s">
        <v>20</v>
      </c>
      <c r="I38" s="103" t="s">
        <v>21</v>
      </c>
    </row>
    <row r="39" spans="2:9" ht="15">
      <c r="B39" s="630" t="s">
        <v>32</v>
      </c>
      <c r="C39" s="127" t="s">
        <v>22</v>
      </c>
      <c r="D39" s="48"/>
      <c r="E39" s="109">
        <f>'Calculo No. aulas'!D39</f>
        <v>171.37819598853866</v>
      </c>
      <c r="F39" s="109">
        <f>'Calculo No. aulas'!E39</f>
        <v>173.65340571329733</v>
      </c>
      <c r="G39" s="109">
        <f>'Calculo No. aulas'!F39</f>
        <v>175.95882102670618</v>
      </c>
      <c r="H39" s="109">
        <f>'Calculo No. aulas'!G39</f>
        <v>178.29484293689015</v>
      </c>
      <c r="I39" s="109">
        <f>'Calculo No. aulas'!H39</f>
        <v>180.66187777574129</v>
      </c>
    </row>
    <row r="40" spans="2:9" ht="15">
      <c r="B40" s="631"/>
      <c r="C40" s="127" t="s">
        <v>23</v>
      </c>
      <c r="D40" s="48"/>
      <c r="E40" s="109">
        <f>'Calculo No. aulas'!D40</f>
        <v>85.676245272206287</v>
      </c>
      <c r="F40" s="109">
        <f>'Calculo No. aulas'!E40</f>
        <v>86.813679502387885</v>
      </c>
      <c r="G40" s="109">
        <f>'Calculo No. aulas'!F40</f>
        <v>87.966214261588675</v>
      </c>
      <c r="H40" s="109">
        <f>'Calculo No. aulas'!G40</f>
        <v>89.134050023797045</v>
      </c>
      <c r="I40" s="109">
        <f>'Calculo No. aulas'!H40</f>
        <v>90.317389924485639</v>
      </c>
    </row>
    <row r="42" spans="2:9" ht="15">
      <c r="D42" s="103" t="s">
        <v>202</v>
      </c>
      <c r="E42" s="103" t="s">
        <v>207</v>
      </c>
      <c r="F42" s="103" t="s">
        <v>208</v>
      </c>
    </row>
    <row r="43" spans="2:9" ht="15">
      <c r="B43" s="662" t="s">
        <v>17</v>
      </c>
      <c r="C43" s="100" t="s">
        <v>23</v>
      </c>
      <c r="D43" s="108">
        <f>H14</f>
        <v>10550.183844584535</v>
      </c>
      <c r="E43" s="109">
        <f>H29</f>
        <v>9746.5296621661873</v>
      </c>
      <c r="F43" s="48"/>
    </row>
    <row r="44" spans="2:9" ht="15">
      <c r="B44" s="662"/>
      <c r="C44" s="101" t="s">
        <v>13</v>
      </c>
      <c r="D44" s="108">
        <f>I14</f>
        <v>10551.766530429808</v>
      </c>
      <c r="E44" s="59"/>
      <c r="F44" s="48"/>
    </row>
    <row r="45" spans="2:9" ht="15">
      <c r="B45" s="662"/>
      <c r="C45" s="101" t="s">
        <v>22</v>
      </c>
      <c r="D45" s="108">
        <f>J14</f>
        <v>10551.766530429808</v>
      </c>
      <c r="E45" s="109">
        <f>J29</f>
        <v>19495.983575656159</v>
      </c>
      <c r="F45" s="115"/>
    </row>
    <row r="46" spans="2:9" ht="15">
      <c r="B46" s="103"/>
      <c r="C46" s="101" t="s">
        <v>208</v>
      </c>
      <c r="D46" s="128">
        <f>SUM(D43:D45)</f>
        <v>31653.716905444147</v>
      </c>
      <c r="E46" s="129">
        <f>SUM(E43:E45)</f>
        <v>29242.513237822346</v>
      </c>
      <c r="F46" s="108">
        <f>SUM(D46:E46)</f>
        <v>60896.230143266497</v>
      </c>
    </row>
    <row r="47" spans="2:9" ht="15">
      <c r="B47" s="662" t="s">
        <v>18</v>
      </c>
      <c r="C47" s="100" t="s">
        <v>23</v>
      </c>
      <c r="D47" s="108">
        <f>N14</f>
        <v>10690.247641748065</v>
      </c>
      <c r="E47" s="108">
        <f>N29</f>
        <v>9875.9241801916432</v>
      </c>
      <c r="F47" s="59"/>
    </row>
    <row r="48" spans="2:9" ht="15">
      <c r="B48" s="662"/>
      <c r="C48" s="101" t="s">
        <v>13</v>
      </c>
      <c r="D48" s="108">
        <f>O14</f>
        <v>10691.85133926408</v>
      </c>
      <c r="E48" s="59"/>
      <c r="F48" s="59"/>
    </row>
    <row r="49" spans="2:7" ht="15">
      <c r="B49" s="662"/>
      <c r="C49" s="101" t="s">
        <v>22</v>
      </c>
      <c r="D49" s="108">
        <f>P14</f>
        <v>10563.670386883126</v>
      </c>
      <c r="E49" s="108">
        <f>P29</f>
        <v>19754.811433944702</v>
      </c>
      <c r="F49" s="59"/>
    </row>
    <row r="50" spans="2:7" ht="15">
      <c r="B50" s="103"/>
      <c r="C50" s="101" t="s">
        <v>208</v>
      </c>
      <c r="D50" s="128">
        <f>SUM(D47:D49)</f>
        <v>31945.769367895271</v>
      </c>
      <c r="E50" s="128">
        <f>SUM(E47:E49)</f>
        <v>29630.735614136345</v>
      </c>
      <c r="F50" s="108">
        <f>SUM(D50:E50)</f>
        <v>61576.50498203162</v>
      </c>
    </row>
    <row r="51" spans="2:7" ht="15">
      <c r="B51" s="662" t="s">
        <v>19</v>
      </c>
      <c r="C51" s="100" t="s">
        <v>23</v>
      </c>
      <c r="D51" s="108">
        <f>T14</f>
        <v>10832.170919994096</v>
      </c>
      <c r="E51" s="108">
        <f>T29</f>
        <v>10007.036534398327</v>
      </c>
      <c r="F51" s="59"/>
    </row>
    <row r="52" spans="2:7" ht="15">
      <c r="B52" s="662"/>
      <c r="C52" s="101" t="s">
        <v>13</v>
      </c>
      <c r="D52" s="108">
        <f>U14</f>
        <v>10833.795908130905</v>
      </c>
      <c r="E52" s="59"/>
      <c r="F52" s="59"/>
    </row>
    <row r="53" spans="2:7" ht="15">
      <c r="B53" s="662"/>
      <c r="C53" s="101" t="s">
        <v>22</v>
      </c>
      <c r="D53" s="108">
        <f>V14</f>
        <v>10705.614955749952</v>
      </c>
      <c r="E53" s="108">
        <f>V29</f>
        <v>20017.075479998093</v>
      </c>
      <c r="F53" s="59"/>
    </row>
    <row r="54" spans="2:7" ht="15">
      <c r="B54" s="103"/>
      <c r="C54" s="101" t="s">
        <v>208</v>
      </c>
      <c r="D54" s="128">
        <f>SUM(D51:D53)</f>
        <v>32371.581783874954</v>
      </c>
      <c r="E54" s="128">
        <f>SUM(E51:E53)</f>
        <v>30024.112014396422</v>
      </c>
      <c r="F54" s="108">
        <f>SUM(D54:E54)</f>
        <v>62395.693798271372</v>
      </c>
    </row>
    <row r="55" spans="2:7" ht="15">
      <c r="B55" s="662" t="s">
        <v>20</v>
      </c>
      <c r="C55" s="100" t="s">
        <v>23</v>
      </c>
      <c r="D55" s="108">
        <f>Z14</f>
        <v>10975.978365715291</v>
      </c>
      <c r="E55" s="108">
        <f>Z29</f>
        <v>10139.889530707151</v>
      </c>
      <c r="F55" s="59"/>
    </row>
    <row r="56" spans="2:7" ht="15">
      <c r="B56" s="662"/>
      <c r="C56" s="101" t="s">
        <v>13</v>
      </c>
      <c r="D56" s="108">
        <f>AA14</f>
        <v>10977.624927126288</v>
      </c>
      <c r="E56" s="59"/>
      <c r="F56" s="59"/>
    </row>
    <row r="57" spans="2:7" ht="15">
      <c r="B57" s="662"/>
      <c r="C57" s="101" t="s">
        <v>22</v>
      </c>
      <c r="D57" s="108">
        <f>AB14</f>
        <v>10849.443974745334</v>
      </c>
      <c r="E57" s="108">
        <f>AB29</f>
        <v>20282.821332500622</v>
      </c>
      <c r="F57" s="59"/>
    </row>
    <row r="58" spans="2:7" ht="15">
      <c r="B58" s="103"/>
      <c r="C58" s="101" t="s">
        <v>208</v>
      </c>
      <c r="D58" s="128">
        <f>SUM(D55:D57)</f>
        <v>32803.047267586917</v>
      </c>
      <c r="E58" s="128">
        <f>SUM(E55:E57)</f>
        <v>30422.710863207772</v>
      </c>
      <c r="F58" s="108">
        <f>SUM(D58:E58)</f>
        <v>63225.758130794689</v>
      </c>
    </row>
    <row r="59" spans="2:7" ht="15">
      <c r="B59" s="662" t="s">
        <v>21</v>
      </c>
      <c r="C59" s="100" t="s">
        <v>23</v>
      </c>
      <c r="D59" s="108">
        <f>AF14</f>
        <v>11121.694993039842</v>
      </c>
      <c r="E59" s="108">
        <f>AF29</f>
        <v>10274.506277809485</v>
      </c>
      <c r="F59" s="59"/>
    </row>
    <row r="60" spans="2:7" ht="15">
      <c r="B60" s="662"/>
      <c r="C60" s="101" t="s">
        <v>13</v>
      </c>
      <c r="D60" s="108">
        <f>AG14</f>
        <v>11123.363414130905</v>
      </c>
      <c r="E60" s="59"/>
      <c r="F60" s="59"/>
    </row>
    <row r="61" spans="2:7" ht="15">
      <c r="B61" s="662"/>
      <c r="C61" s="103" t="s">
        <v>22</v>
      </c>
      <c r="D61" s="108">
        <f>AH14</f>
        <v>10995.182461749951</v>
      </c>
      <c r="E61" s="108">
        <f>AH29</f>
        <v>20552.095215768328</v>
      </c>
      <c r="F61" s="59"/>
    </row>
    <row r="62" spans="2:7" ht="15">
      <c r="B62" s="48"/>
      <c r="C62" s="103" t="s">
        <v>208</v>
      </c>
      <c r="D62" s="128">
        <f>SUM(D59:D61)</f>
        <v>33240.2408689207</v>
      </c>
      <c r="E62" s="128">
        <f>SUM(E59:E61)</f>
        <v>30826.601493577815</v>
      </c>
      <c r="F62" s="108">
        <f>SUM(D62:E62)</f>
        <v>64066.842362498515</v>
      </c>
    </row>
    <row r="63" spans="2:7" ht="15" thickBot="1"/>
    <row r="64" spans="2:7" ht="15.75" thickBot="1">
      <c r="F64" s="582" t="s">
        <v>345</v>
      </c>
      <c r="G64" s="584"/>
    </row>
    <row r="65" spans="2:10" ht="30">
      <c r="C65" s="48"/>
      <c r="D65" s="103" t="s">
        <v>202</v>
      </c>
      <c r="E65" s="103" t="s">
        <v>207</v>
      </c>
      <c r="F65" s="130" t="s">
        <v>342</v>
      </c>
      <c r="G65" s="131" t="s">
        <v>278</v>
      </c>
      <c r="H65" s="103" t="s">
        <v>208</v>
      </c>
      <c r="I65" s="132" t="s">
        <v>209</v>
      </c>
      <c r="J65" s="103" t="s">
        <v>210</v>
      </c>
    </row>
    <row r="66" spans="2:10" ht="15">
      <c r="B66" s="662" t="s">
        <v>17</v>
      </c>
      <c r="C66" s="100" t="s">
        <v>23</v>
      </c>
      <c r="D66" s="108">
        <f>D43</f>
        <v>10550.183844584535</v>
      </c>
      <c r="E66" s="109">
        <f>E43</f>
        <v>9746.5296621661873</v>
      </c>
      <c r="F66" s="133" t="s">
        <v>46</v>
      </c>
      <c r="G66" s="109">
        <f>'Calculo No. aulas'!$C$76</f>
        <v>1200</v>
      </c>
      <c r="H66" s="134"/>
      <c r="I66" s="115">
        <f>SUM(D66:E66)/3</f>
        <v>6765.5711689169075</v>
      </c>
      <c r="J66" s="48"/>
    </row>
    <row r="67" spans="2:10" ht="15">
      <c r="B67" s="662"/>
      <c r="C67" s="101" t="s">
        <v>13</v>
      </c>
      <c r="D67" s="108">
        <f t="shared" ref="D67:D85" si="50">D44</f>
        <v>10551.766530429808</v>
      </c>
      <c r="E67" s="59"/>
      <c r="F67" s="135" t="s">
        <v>47</v>
      </c>
      <c r="G67" s="109">
        <f>'Calculo No. aulas'!$C$76</f>
        <v>1200</v>
      </c>
      <c r="H67" s="134"/>
      <c r="I67" s="115">
        <f>D67/3</f>
        <v>3517.2555101432695</v>
      </c>
      <c r="J67" s="48"/>
    </row>
    <row r="68" spans="2:10" ht="15">
      <c r="B68" s="662"/>
      <c r="C68" s="101" t="s">
        <v>22</v>
      </c>
      <c r="D68" s="108">
        <f t="shared" si="50"/>
        <v>10551.766530429808</v>
      </c>
      <c r="E68" s="109">
        <f>E45</f>
        <v>19495.983575656159</v>
      </c>
      <c r="F68" s="133" t="s">
        <v>51</v>
      </c>
      <c r="G68" s="109">
        <f>'Calculo No. aulas'!$C$76</f>
        <v>1200</v>
      </c>
      <c r="H68" s="134"/>
      <c r="I68" s="115">
        <f>SUM(D68:E68)/3</f>
        <v>10015.916702028655</v>
      </c>
      <c r="J68" s="48"/>
    </row>
    <row r="69" spans="2:10" ht="15">
      <c r="B69" s="103"/>
      <c r="C69" s="103" t="s">
        <v>208</v>
      </c>
      <c r="D69" s="128">
        <f t="shared" si="50"/>
        <v>31653.716905444147</v>
      </c>
      <c r="E69" s="129">
        <f>E46</f>
        <v>29242.513237822346</v>
      </c>
      <c r="F69" s="671">
        <f>SUM(G66:G68)</f>
        <v>3600</v>
      </c>
      <c r="G69" s="672"/>
      <c r="H69" s="108">
        <f>D69+E69+F69</f>
        <v>64496.230143266497</v>
      </c>
      <c r="I69" s="115">
        <f>SUM(I66:I68)</f>
        <v>20298.743381088832</v>
      </c>
      <c r="J69" s="115">
        <f>H69-I68</f>
        <v>54480.313441237842</v>
      </c>
    </row>
    <row r="70" spans="2:10" ht="15">
      <c r="B70" s="662" t="s">
        <v>18</v>
      </c>
      <c r="C70" s="100" t="s">
        <v>23</v>
      </c>
      <c r="D70" s="108">
        <f t="shared" si="50"/>
        <v>10690.247641748065</v>
      </c>
      <c r="E70" s="108">
        <f>E47</f>
        <v>9875.9241801916432</v>
      </c>
      <c r="F70" s="133" t="s">
        <v>46</v>
      </c>
      <c r="G70" s="109">
        <f>'Calculo No. aulas'!$C$76</f>
        <v>1200</v>
      </c>
      <c r="H70" s="59"/>
      <c r="I70" s="115">
        <f>SUM(D70:E70)/3</f>
        <v>6855.3906073132357</v>
      </c>
      <c r="J70" s="115"/>
    </row>
    <row r="71" spans="2:10" ht="15">
      <c r="B71" s="662"/>
      <c r="C71" s="101" t="s">
        <v>13</v>
      </c>
      <c r="D71" s="108">
        <f t="shared" si="50"/>
        <v>10691.85133926408</v>
      </c>
      <c r="E71" s="59"/>
      <c r="F71" s="135" t="s">
        <v>47</v>
      </c>
      <c r="G71" s="109">
        <f>'Calculo No. aulas'!$C$76</f>
        <v>1200</v>
      </c>
      <c r="H71" s="59"/>
      <c r="I71" s="115">
        <f>D71/3</f>
        <v>3563.9504464213601</v>
      </c>
      <c r="J71" s="48"/>
    </row>
    <row r="72" spans="2:10" ht="15">
      <c r="B72" s="662"/>
      <c r="C72" s="101" t="s">
        <v>22</v>
      </c>
      <c r="D72" s="108">
        <f t="shared" si="50"/>
        <v>10563.670386883126</v>
      </c>
      <c r="E72" s="108">
        <f>E49</f>
        <v>19754.811433944702</v>
      </c>
      <c r="F72" s="133" t="s">
        <v>51</v>
      </c>
      <c r="G72" s="109">
        <f>'Calculo No. aulas'!$C$76</f>
        <v>1200</v>
      </c>
      <c r="H72" s="59"/>
      <c r="I72" s="48">
        <f>SUM(D72,E72)/3</f>
        <v>10106.160606942611</v>
      </c>
      <c r="J72" s="48"/>
    </row>
    <row r="73" spans="2:10" ht="15">
      <c r="B73" s="103"/>
      <c r="C73" s="101" t="s">
        <v>208</v>
      </c>
      <c r="D73" s="128">
        <f t="shared" si="50"/>
        <v>31945.769367895271</v>
      </c>
      <c r="E73" s="128">
        <f>E50</f>
        <v>29630.735614136345</v>
      </c>
      <c r="F73" s="671">
        <f>SUM(G70:G72)</f>
        <v>3600</v>
      </c>
      <c r="G73" s="672"/>
      <c r="H73" s="108">
        <f>D73+E73+F73</f>
        <v>65176.50498203162</v>
      </c>
      <c r="I73" s="115">
        <f>SUM(I70:I72)</f>
        <v>20525.501660677204</v>
      </c>
      <c r="J73" s="115">
        <f>H73-I72+I68</f>
        <v>65086.261077117662</v>
      </c>
    </row>
    <row r="74" spans="2:10" ht="15">
      <c r="B74" s="662" t="s">
        <v>19</v>
      </c>
      <c r="C74" s="100" t="s">
        <v>23</v>
      </c>
      <c r="D74" s="108">
        <f t="shared" si="50"/>
        <v>10832.170919994096</v>
      </c>
      <c r="E74" s="108">
        <f>E51</f>
        <v>10007.036534398327</v>
      </c>
      <c r="F74" s="133" t="s">
        <v>46</v>
      </c>
      <c r="G74" s="109">
        <f>'Calculo No. aulas'!$C$76</f>
        <v>1200</v>
      </c>
      <c r="H74" s="59"/>
      <c r="I74" s="115">
        <f>SUM(D74:E74)/3</f>
        <v>6946.4024847974752</v>
      </c>
      <c r="J74" s="48"/>
    </row>
    <row r="75" spans="2:10" ht="15">
      <c r="B75" s="662"/>
      <c r="C75" s="101" t="s">
        <v>13</v>
      </c>
      <c r="D75" s="108">
        <f t="shared" si="50"/>
        <v>10833.795908130905</v>
      </c>
      <c r="E75" s="59"/>
      <c r="F75" s="135" t="s">
        <v>47</v>
      </c>
      <c r="G75" s="109">
        <f>'Calculo No. aulas'!$C$76</f>
        <v>1200</v>
      </c>
      <c r="H75" s="59"/>
      <c r="I75" s="115">
        <f>D75/3</f>
        <v>3611.265302710302</v>
      </c>
      <c r="J75" s="48"/>
    </row>
    <row r="76" spans="2:10" ht="15">
      <c r="B76" s="662"/>
      <c r="C76" s="101" t="s">
        <v>22</v>
      </c>
      <c r="D76" s="108">
        <f t="shared" si="50"/>
        <v>10705.614955749952</v>
      </c>
      <c r="E76" s="108">
        <f>E53</f>
        <v>20017.075479998093</v>
      </c>
      <c r="F76" s="133" t="s">
        <v>51</v>
      </c>
      <c r="G76" s="109">
        <f>'Calculo No. aulas'!$C$76</f>
        <v>1200</v>
      </c>
      <c r="H76" s="59"/>
      <c r="I76" s="115">
        <f>SUM(D76,E76)/3</f>
        <v>10240.896811916014</v>
      </c>
      <c r="J76" s="48"/>
    </row>
    <row r="77" spans="2:10" ht="15">
      <c r="B77" s="103"/>
      <c r="C77" s="101" t="s">
        <v>208</v>
      </c>
      <c r="D77" s="128">
        <f t="shared" si="50"/>
        <v>32371.581783874954</v>
      </c>
      <c r="E77" s="128">
        <f>E54</f>
        <v>30024.112014396422</v>
      </c>
      <c r="F77" s="671">
        <f>SUM(G74:G76)</f>
        <v>3600</v>
      </c>
      <c r="G77" s="672"/>
      <c r="H77" s="108">
        <f>D77+E77+F77</f>
        <v>65995.693798271372</v>
      </c>
      <c r="I77" s="115">
        <f>SUM(I74:I76)</f>
        <v>20798.564599423793</v>
      </c>
      <c r="J77" s="115">
        <f>H77-I76+I72</f>
        <v>65860.957593297964</v>
      </c>
    </row>
    <row r="78" spans="2:10" ht="15">
      <c r="B78" s="662" t="s">
        <v>20</v>
      </c>
      <c r="C78" s="100" t="s">
        <v>23</v>
      </c>
      <c r="D78" s="108">
        <f t="shared" si="50"/>
        <v>10975.978365715291</v>
      </c>
      <c r="E78" s="108">
        <f>E55</f>
        <v>10139.889530707151</v>
      </c>
      <c r="F78" s="133" t="s">
        <v>46</v>
      </c>
      <c r="G78" s="109">
        <f>'Calculo No. aulas'!$C$76</f>
        <v>1200</v>
      </c>
      <c r="H78" s="59"/>
      <c r="I78" s="115">
        <f>SUM(D78:E78)/3</f>
        <v>7038.6226321408139</v>
      </c>
      <c r="J78" s="48"/>
    </row>
    <row r="79" spans="2:10" ht="15">
      <c r="B79" s="662"/>
      <c r="C79" s="101" t="s">
        <v>13</v>
      </c>
      <c r="D79" s="108">
        <f t="shared" si="50"/>
        <v>10977.624927126288</v>
      </c>
      <c r="E79" s="59"/>
      <c r="F79" s="135" t="s">
        <v>47</v>
      </c>
      <c r="G79" s="109">
        <f>'Calculo No. aulas'!$C$76</f>
        <v>1200</v>
      </c>
      <c r="H79" s="59"/>
      <c r="I79" s="115">
        <f>D79/3</f>
        <v>3659.2083090420961</v>
      </c>
      <c r="J79" s="48"/>
    </row>
    <row r="80" spans="2:10" ht="15">
      <c r="B80" s="662"/>
      <c r="C80" s="101" t="s">
        <v>22</v>
      </c>
      <c r="D80" s="108">
        <f t="shared" si="50"/>
        <v>10849.443974745334</v>
      </c>
      <c r="E80" s="108">
        <f>E57</f>
        <v>20282.821332500622</v>
      </c>
      <c r="F80" s="133" t="s">
        <v>51</v>
      </c>
      <c r="G80" s="109">
        <f>'Calculo No. aulas'!$C$76</f>
        <v>1200</v>
      </c>
      <c r="H80" s="59"/>
      <c r="I80" s="115">
        <f>SUM(D80,E80)/3</f>
        <v>10377.421769081986</v>
      </c>
      <c r="J80" s="48"/>
    </row>
    <row r="81" spans="2:10" ht="15">
      <c r="B81" s="103"/>
      <c r="C81" s="101" t="s">
        <v>208</v>
      </c>
      <c r="D81" s="128">
        <f t="shared" si="50"/>
        <v>32803.047267586917</v>
      </c>
      <c r="E81" s="128">
        <f>E58</f>
        <v>30422.710863207772</v>
      </c>
      <c r="F81" s="671">
        <f>SUM(G78:G80)</f>
        <v>3600</v>
      </c>
      <c r="G81" s="672"/>
      <c r="H81" s="108">
        <f>D81+E81+F81</f>
        <v>66825.758130794682</v>
      </c>
      <c r="I81" s="115">
        <f>SUM(I78:I80)</f>
        <v>21075.252710264896</v>
      </c>
      <c r="J81" s="115">
        <f>H81-I80+I76</f>
        <v>66689.233173628716</v>
      </c>
    </row>
    <row r="82" spans="2:10" ht="15">
      <c r="B82" s="662" t="s">
        <v>21</v>
      </c>
      <c r="C82" s="100" t="s">
        <v>23</v>
      </c>
      <c r="D82" s="108">
        <f t="shared" si="50"/>
        <v>11121.694993039842</v>
      </c>
      <c r="E82" s="108">
        <f>E59</f>
        <v>10274.506277809485</v>
      </c>
      <c r="F82" s="133" t="s">
        <v>46</v>
      </c>
      <c r="G82" s="109">
        <f>'Calculo No. aulas'!$C$76</f>
        <v>1200</v>
      </c>
      <c r="H82" s="59"/>
      <c r="I82" s="115">
        <f>SUM(D82:E82)/3</f>
        <v>7132.0670902831089</v>
      </c>
      <c r="J82" s="48"/>
    </row>
    <row r="83" spans="2:10" ht="15">
      <c r="B83" s="662"/>
      <c r="C83" s="101" t="s">
        <v>13</v>
      </c>
      <c r="D83" s="108">
        <f t="shared" si="50"/>
        <v>11123.363414130905</v>
      </c>
      <c r="E83" s="59"/>
      <c r="F83" s="135" t="s">
        <v>47</v>
      </c>
      <c r="G83" s="109">
        <f>'Calculo No. aulas'!$C$76</f>
        <v>1200</v>
      </c>
      <c r="H83" s="59"/>
      <c r="I83" s="115">
        <f>D83/3</f>
        <v>3707.7878047103018</v>
      </c>
      <c r="J83" s="48"/>
    </row>
    <row r="84" spans="2:10" ht="15">
      <c r="B84" s="662"/>
      <c r="C84" s="103" t="s">
        <v>22</v>
      </c>
      <c r="D84" s="108">
        <f t="shared" si="50"/>
        <v>10995.182461749951</v>
      </c>
      <c r="E84" s="108">
        <f>E61</f>
        <v>20552.095215768328</v>
      </c>
      <c r="F84" s="133" t="s">
        <v>51</v>
      </c>
      <c r="G84" s="109">
        <f>'Calculo No. aulas'!$C$76</f>
        <v>1200</v>
      </c>
      <c r="H84" s="59"/>
      <c r="I84" s="115">
        <f>SUM(D84,E84)/3</f>
        <v>10515.759225839427</v>
      </c>
      <c r="J84" s="48"/>
    </row>
    <row r="85" spans="2:10" ht="15">
      <c r="B85" s="48"/>
      <c r="C85" s="103" t="s">
        <v>208</v>
      </c>
      <c r="D85" s="128">
        <f t="shared" si="50"/>
        <v>33240.2408689207</v>
      </c>
      <c r="E85" s="128">
        <f>E62</f>
        <v>30826.601493577815</v>
      </c>
      <c r="F85" s="671">
        <f>SUM(G82:G84)</f>
        <v>3600</v>
      </c>
      <c r="G85" s="672"/>
      <c r="H85" s="108">
        <f>D85+E85+F85</f>
        <v>67666.842362498515</v>
      </c>
      <c r="I85" s="115">
        <f>SUM(I82:I84)</f>
        <v>21355.614120832837</v>
      </c>
      <c r="J85" s="115">
        <f>H85-I84+I80</f>
        <v>67528.50490574108</v>
      </c>
    </row>
  </sheetData>
  <mergeCells count="50">
    <mergeCell ref="F64:G64"/>
    <mergeCell ref="F69:G69"/>
    <mergeCell ref="F73:G73"/>
    <mergeCell ref="F77:G77"/>
    <mergeCell ref="F81:G81"/>
    <mergeCell ref="F85:G85"/>
    <mergeCell ref="W2:Y2"/>
    <mergeCell ref="Z2:AB2"/>
    <mergeCell ref="E2:G2"/>
    <mergeCell ref="H2:J2"/>
    <mergeCell ref="K2:M2"/>
    <mergeCell ref="N2:P2"/>
    <mergeCell ref="AC2:AE2"/>
    <mergeCell ref="AF2:AH2"/>
    <mergeCell ref="A4:A13"/>
    <mergeCell ref="H4:J4"/>
    <mergeCell ref="N4:P4"/>
    <mergeCell ref="T4:V4"/>
    <mergeCell ref="Z4:AB4"/>
    <mergeCell ref="AF4:AH4"/>
    <mergeCell ref="Q2:S2"/>
    <mergeCell ref="T2:V2"/>
    <mergeCell ref="AF18:AH18"/>
    <mergeCell ref="Q16:S16"/>
    <mergeCell ref="T16:V16"/>
    <mergeCell ref="W16:Y16"/>
    <mergeCell ref="Z16:AB16"/>
    <mergeCell ref="E16:G16"/>
    <mergeCell ref="H16:J16"/>
    <mergeCell ref="K16:M16"/>
    <mergeCell ref="N16:P16"/>
    <mergeCell ref="A19:A28"/>
    <mergeCell ref="B34:B36"/>
    <mergeCell ref="B39:B40"/>
    <mergeCell ref="B43:B45"/>
    <mergeCell ref="AC16:AE16"/>
    <mergeCell ref="AF16:AH16"/>
    <mergeCell ref="H18:J18"/>
    <mergeCell ref="N18:P18"/>
    <mergeCell ref="T18:V18"/>
    <mergeCell ref="Z18:AB18"/>
    <mergeCell ref="B47:B49"/>
    <mergeCell ref="B51:B53"/>
    <mergeCell ref="B82:B84"/>
    <mergeCell ref="B55:B57"/>
    <mergeCell ref="B59:B61"/>
    <mergeCell ref="B66:B68"/>
    <mergeCell ref="B70:B72"/>
    <mergeCell ref="B74:B76"/>
    <mergeCell ref="B78:B80"/>
  </mergeCells>
  <phoneticPr fontId="13" type="noConversion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106"/>
  <sheetViews>
    <sheetView topLeftCell="A55" workbookViewId="0">
      <selection activeCell="A21" sqref="A21"/>
    </sheetView>
  </sheetViews>
  <sheetFormatPr baseColWidth="10" defaultRowHeight="14.25"/>
  <cols>
    <col min="1" max="1" width="31.5703125" style="30" bestFit="1" customWidth="1"/>
    <col min="2" max="2" width="20.85546875" style="30" customWidth="1"/>
    <col min="3" max="3" width="19.140625" style="30" customWidth="1"/>
    <col min="4" max="4" width="18.5703125" style="30" customWidth="1"/>
    <col min="5" max="5" width="16.42578125" style="30" customWidth="1"/>
    <col min="6" max="6" width="14.140625" style="30" customWidth="1"/>
    <col min="7" max="7" width="12.85546875" style="30" customWidth="1"/>
    <col min="8" max="16384" width="11.42578125" style="30"/>
  </cols>
  <sheetData>
    <row r="2" spans="1:7" ht="15">
      <c r="A2" s="66" t="s">
        <v>78</v>
      </c>
    </row>
    <row r="4" spans="1:7" ht="15">
      <c r="A4" s="48"/>
      <c r="B4" s="103" t="s">
        <v>79</v>
      </c>
      <c r="C4" s="103" t="s">
        <v>80</v>
      </c>
    </row>
    <row r="5" spans="1:7">
      <c r="A5" s="48" t="s">
        <v>81</v>
      </c>
      <c r="B5" s="59">
        <f>C5/12</f>
        <v>600</v>
      </c>
      <c r="C5" s="59">
        <v>7200</v>
      </c>
    </row>
    <row r="6" spans="1:7">
      <c r="A6" s="48" t="s">
        <v>82</v>
      </c>
      <c r="B6" s="59">
        <f>C6/12</f>
        <v>218</v>
      </c>
      <c r="C6" s="59">
        <v>2616</v>
      </c>
    </row>
    <row r="7" spans="1:7">
      <c r="A7" s="48" t="s">
        <v>83</v>
      </c>
      <c r="B7" s="59">
        <f>C7/12</f>
        <v>218</v>
      </c>
      <c r="C7" s="59">
        <v>2616</v>
      </c>
    </row>
    <row r="8" spans="1:7">
      <c r="A8" s="48" t="s">
        <v>84</v>
      </c>
      <c r="B8" s="59">
        <f>C8/12</f>
        <v>400</v>
      </c>
      <c r="C8" s="59">
        <v>4800</v>
      </c>
    </row>
    <row r="10" spans="1:7" ht="15">
      <c r="A10" s="136" t="s">
        <v>85</v>
      </c>
      <c r="B10" s="122"/>
      <c r="C10" s="137">
        <f>SUM(C5:C8)</f>
        <v>17232</v>
      </c>
    </row>
    <row r="13" spans="1:7" ht="15">
      <c r="A13" s="66" t="s">
        <v>86</v>
      </c>
    </row>
    <row r="15" spans="1:7" ht="15">
      <c r="A15" s="66" t="s">
        <v>25</v>
      </c>
    </row>
    <row r="16" spans="1:7" ht="44.25" customHeight="1">
      <c r="A16" s="127" t="s">
        <v>87</v>
      </c>
      <c r="B16" s="58" t="s">
        <v>81</v>
      </c>
      <c r="C16" s="58" t="s">
        <v>82</v>
      </c>
      <c r="D16" s="58" t="s">
        <v>83</v>
      </c>
      <c r="E16" s="58" t="s">
        <v>84</v>
      </c>
      <c r="F16" s="58" t="s">
        <v>308</v>
      </c>
      <c r="G16" s="58" t="s">
        <v>56</v>
      </c>
    </row>
    <row r="17" spans="1:7">
      <c r="A17" s="48" t="s">
        <v>42</v>
      </c>
      <c r="B17" s="138">
        <f>$B$5</f>
        <v>600</v>
      </c>
      <c r="C17" s="138">
        <f>$B$6</f>
        <v>218</v>
      </c>
      <c r="D17" s="138">
        <f>$B$7</f>
        <v>218</v>
      </c>
      <c r="E17" s="138">
        <f>$B$8</f>
        <v>400</v>
      </c>
      <c r="F17" s="138"/>
      <c r="G17" s="139">
        <f>SUM(B17:F17)</f>
        <v>1436</v>
      </c>
    </row>
    <row r="18" spans="1:7">
      <c r="A18" s="48" t="s">
        <v>43</v>
      </c>
      <c r="B18" s="138">
        <f>B17</f>
        <v>600</v>
      </c>
      <c r="C18" s="138">
        <f>C17</f>
        <v>218</v>
      </c>
      <c r="D18" s="138">
        <f>D17</f>
        <v>218</v>
      </c>
      <c r="E18" s="138">
        <f>E17</f>
        <v>400</v>
      </c>
      <c r="F18" s="138"/>
      <c r="G18" s="139">
        <f t="shared" ref="G18:G28" si="0">SUM(B18:F18)</f>
        <v>1436</v>
      </c>
    </row>
    <row r="19" spans="1:7">
      <c r="A19" s="48" t="s">
        <v>44</v>
      </c>
      <c r="B19" s="138">
        <f t="shared" ref="B19:B27" si="1">B18</f>
        <v>600</v>
      </c>
      <c r="C19" s="138">
        <f t="shared" ref="C19:C28" si="2">C18</f>
        <v>218</v>
      </c>
      <c r="D19" s="138">
        <f t="shared" ref="D19:D28" si="3">D18</f>
        <v>218</v>
      </c>
      <c r="E19" s="138">
        <f t="shared" ref="E19:E27" si="4">E18</f>
        <v>400</v>
      </c>
      <c r="F19" s="138"/>
      <c r="G19" s="139">
        <f t="shared" si="0"/>
        <v>1436</v>
      </c>
    </row>
    <row r="20" spans="1:7">
      <c r="A20" s="48" t="s">
        <v>45</v>
      </c>
      <c r="B20" s="138">
        <f>B19</f>
        <v>600</v>
      </c>
      <c r="C20" s="138">
        <f t="shared" si="2"/>
        <v>218</v>
      </c>
      <c r="D20" s="138">
        <f t="shared" si="3"/>
        <v>218</v>
      </c>
      <c r="E20" s="138">
        <f t="shared" si="4"/>
        <v>400</v>
      </c>
      <c r="F20" s="140">
        <f>(218/12)*3*5</f>
        <v>272.5</v>
      </c>
      <c r="G20" s="139">
        <f t="shared" si="0"/>
        <v>1708.5</v>
      </c>
    </row>
    <row r="21" spans="1:7">
      <c r="A21" s="48" t="s">
        <v>46</v>
      </c>
      <c r="B21" s="138">
        <f t="shared" si="1"/>
        <v>600</v>
      </c>
      <c r="C21" s="138">
        <f t="shared" si="2"/>
        <v>218</v>
      </c>
      <c r="D21" s="138">
        <f t="shared" si="3"/>
        <v>218</v>
      </c>
      <c r="E21" s="138">
        <f t="shared" si="4"/>
        <v>400</v>
      </c>
      <c r="F21" s="138"/>
      <c r="G21" s="139">
        <f t="shared" si="0"/>
        <v>1436</v>
      </c>
    </row>
    <row r="22" spans="1:7">
      <c r="A22" s="48" t="s">
        <v>47</v>
      </c>
      <c r="B22" s="138">
        <f t="shared" si="1"/>
        <v>600</v>
      </c>
      <c r="C22" s="138">
        <f t="shared" si="2"/>
        <v>218</v>
      </c>
      <c r="D22" s="138">
        <f t="shared" si="3"/>
        <v>218</v>
      </c>
      <c r="E22" s="138">
        <f t="shared" si="4"/>
        <v>400</v>
      </c>
      <c r="F22" s="138"/>
      <c r="G22" s="139">
        <f t="shared" si="0"/>
        <v>1436</v>
      </c>
    </row>
    <row r="23" spans="1:7">
      <c r="A23" s="48" t="s">
        <v>48</v>
      </c>
      <c r="B23" s="138">
        <f t="shared" si="1"/>
        <v>600</v>
      </c>
      <c r="C23" s="138">
        <f t="shared" si="2"/>
        <v>218</v>
      </c>
      <c r="D23" s="138">
        <f t="shared" si="3"/>
        <v>218</v>
      </c>
      <c r="E23" s="138">
        <f t="shared" si="4"/>
        <v>400</v>
      </c>
      <c r="F23" s="138"/>
      <c r="G23" s="139">
        <f t="shared" si="0"/>
        <v>1436</v>
      </c>
    </row>
    <row r="24" spans="1:7">
      <c r="A24" s="48" t="s">
        <v>49</v>
      </c>
      <c r="B24" s="138">
        <f t="shared" si="1"/>
        <v>600</v>
      </c>
      <c r="C24" s="138">
        <f t="shared" si="2"/>
        <v>218</v>
      </c>
      <c r="D24" s="138">
        <f t="shared" si="3"/>
        <v>218</v>
      </c>
      <c r="E24" s="138">
        <f t="shared" si="4"/>
        <v>400</v>
      </c>
      <c r="F24" s="138"/>
      <c r="G24" s="139">
        <f t="shared" si="0"/>
        <v>1436</v>
      </c>
    </row>
    <row r="25" spans="1:7">
      <c r="A25" s="48" t="s">
        <v>50</v>
      </c>
      <c r="B25" s="138">
        <f t="shared" si="1"/>
        <v>600</v>
      </c>
      <c r="C25" s="138">
        <f t="shared" si="2"/>
        <v>218</v>
      </c>
      <c r="D25" s="138">
        <f t="shared" si="3"/>
        <v>218</v>
      </c>
      <c r="E25" s="138">
        <f t="shared" si="4"/>
        <v>400</v>
      </c>
      <c r="F25" s="138"/>
      <c r="G25" s="139">
        <f t="shared" si="0"/>
        <v>1436</v>
      </c>
    </row>
    <row r="26" spans="1:7">
      <c r="A26" s="48" t="s">
        <v>51</v>
      </c>
      <c r="B26" s="138">
        <f t="shared" si="1"/>
        <v>600</v>
      </c>
      <c r="C26" s="138">
        <f t="shared" si="2"/>
        <v>218</v>
      </c>
      <c r="D26" s="138">
        <f t="shared" si="3"/>
        <v>218</v>
      </c>
      <c r="E26" s="138">
        <f t="shared" si="4"/>
        <v>400</v>
      </c>
      <c r="F26" s="138"/>
      <c r="G26" s="139">
        <f t="shared" si="0"/>
        <v>1436</v>
      </c>
    </row>
    <row r="27" spans="1:7">
      <c r="A27" s="48" t="s">
        <v>52</v>
      </c>
      <c r="B27" s="138">
        <f t="shared" si="1"/>
        <v>600</v>
      </c>
      <c r="C27" s="138">
        <f t="shared" si="2"/>
        <v>218</v>
      </c>
      <c r="D27" s="138">
        <f t="shared" si="3"/>
        <v>218</v>
      </c>
      <c r="E27" s="138">
        <f t="shared" si="4"/>
        <v>400</v>
      </c>
      <c r="F27" s="138"/>
      <c r="G27" s="139">
        <f t="shared" si="0"/>
        <v>1436</v>
      </c>
    </row>
    <row r="28" spans="1:7">
      <c r="A28" s="48" t="s">
        <v>53</v>
      </c>
      <c r="B28" s="138">
        <f>B27</f>
        <v>600</v>
      </c>
      <c r="C28" s="138">
        <f t="shared" si="2"/>
        <v>218</v>
      </c>
      <c r="D28" s="138">
        <f t="shared" si="3"/>
        <v>218</v>
      </c>
      <c r="E28" s="138">
        <f>E27</f>
        <v>400</v>
      </c>
      <c r="F28" s="140">
        <f>(SUM(B28:E28)/12)*11</f>
        <v>1316.3333333333335</v>
      </c>
      <c r="G28" s="139">
        <f t="shared" si="0"/>
        <v>2752.3333333333335</v>
      </c>
    </row>
    <row r="30" spans="1:7" ht="15">
      <c r="A30" s="66" t="s">
        <v>26</v>
      </c>
    </row>
    <row r="31" spans="1:7" ht="30">
      <c r="A31" s="127" t="s">
        <v>87</v>
      </c>
      <c r="B31" s="58" t="s">
        <v>81</v>
      </c>
      <c r="C31" s="58" t="s">
        <v>82</v>
      </c>
      <c r="D31" s="58" t="s">
        <v>83</v>
      </c>
      <c r="E31" s="58" t="s">
        <v>84</v>
      </c>
      <c r="F31" s="58" t="s">
        <v>308</v>
      </c>
      <c r="G31" s="58" t="s">
        <v>56</v>
      </c>
    </row>
    <row r="32" spans="1:7">
      <c r="A32" s="48" t="s">
        <v>42</v>
      </c>
      <c r="B32" s="138">
        <f>B28</f>
        <v>600</v>
      </c>
      <c r="C32" s="138">
        <f>C28</f>
        <v>218</v>
      </c>
      <c r="D32" s="138">
        <f>D28</f>
        <v>218</v>
      </c>
      <c r="E32" s="138">
        <f>E28</f>
        <v>400</v>
      </c>
      <c r="F32" s="138"/>
      <c r="G32" s="139">
        <f>SUM(B32:F32)</f>
        <v>1436</v>
      </c>
    </row>
    <row r="33" spans="1:7">
      <c r="A33" s="48" t="s">
        <v>43</v>
      </c>
      <c r="B33" s="138">
        <f>B32</f>
        <v>600</v>
      </c>
      <c r="C33" s="138">
        <f>C32</f>
        <v>218</v>
      </c>
      <c r="D33" s="138">
        <f>D32</f>
        <v>218</v>
      </c>
      <c r="E33" s="138">
        <f>E32</f>
        <v>400</v>
      </c>
      <c r="F33" s="138"/>
      <c r="G33" s="139">
        <f t="shared" ref="G33:G43" si="5">SUM(B33:F33)</f>
        <v>1436</v>
      </c>
    </row>
    <row r="34" spans="1:7">
      <c r="A34" s="48" t="s">
        <v>44</v>
      </c>
      <c r="B34" s="138">
        <f t="shared" ref="B34:B43" si="6">B33</f>
        <v>600</v>
      </c>
      <c r="C34" s="138">
        <f t="shared" ref="C34:C43" si="7">C33</f>
        <v>218</v>
      </c>
      <c r="D34" s="138">
        <f t="shared" ref="D34:D43" si="8">D33</f>
        <v>218</v>
      </c>
      <c r="E34" s="138">
        <f t="shared" ref="E34:E43" si="9">E33</f>
        <v>400</v>
      </c>
      <c r="F34" s="138"/>
      <c r="G34" s="139">
        <f t="shared" si="5"/>
        <v>1436</v>
      </c>
    </row>
    <row r="35" spans="1:7">
      <c r="A35" s="48" t="s">
        <v>45</v>
      </c>
      <c r="B35" s="138">
        <f t="shared" si="6"/>
        <v>600</v>
      </c>
      <c r="C35" s="138">
        <f t="shared" si="7"/>
        <v>218</v>
      </c>
      <c r="D35" s="138">
        <f t="shared" si="8"/>
        <v>218</v>
      </c>
      <c r="E35" s="138">
        <f t="shared" si="9"/>
        <v>400</v>
      </c>
      <c r="F35" s="140">
        <f>218*5</f>
        <v>1090</v>
      </c>
      <c r="G35" s="139">
        <f t="shared" si="5"/>
        <v>2526</v>
      </c>
    </row>
    <row r="36" spans="1:7">
      <c r="A36" s="48" t="s">
        <v>46</v>
      </c>
      <c r="B36" s="138">
        <f t="shared" si="6"/>
        <v>600</v>
      </c>
      <c r="C36" s="138">
        <f t="shared" si="7"/>
        <v>218</v>
      </c>
      <c r="D36" s="138">
        <f t="shared" si="8"/>
        <v>218</v>
      </c>
      <c r="E36" s="138">
        <f t="shared" si="9"/>
        <v>400</v>
      </c>
      <c r="F36" s="138"/>
      <c r="G36" s="139">
        <f t="shared" si="5"/>
        <v>1436</v>
      </c>
    </row>
    <row r="37" spans="1:7">
      <c r="A37" s="48" t="s">
        <v>47</v>
      </c>
      <c r="B37" s="138">
        <f t="shared" si="6"/>
        <v>600</v>
      </c>
      <c r="C37" s="138">
        <f t="shared" si="7"/>
        <v>218</v>
      </c>
      <c r="D37" s="138">
        <f t="shared" si="8"/>
        <v>218</v>
      </c>
      <c r="E37" s="138">
        <f t="shared" si="9"/>
        <v>400</v>
      </c>
      <c r="F37" s="138"/>
      <c r="G37" s="139">
        <f t="shared" si="5"/>
        <v>1436</v>
      </c>
    </row>
    <row r="38" spans="1:7">
      <c r="A38" s="48" t="s">
        <v>48</v>
      </c>
      <c r="B38" s="138">
        <f t="shared" si="6"/>
        <v>600</v>
      </c>
      <c r="C38" s="138">
        <f t="shared" si="7"/>
        <v>218</v>
      </c>
      <c r="D38" s="138">
        <f t="shared" si="8"/>
        <v>218</v>
      </c>
      <c r="E38" s="138">
        <f t="shared" si="9"/>
        <v>400</v>
      </c>
      <c r="F38" s="138"/>
      <c r="G38" s="139">
        <f t="shared" si="5"/>
        <v>1436</v>
      </c>
    </row>
    <row r="39" spans="1:7">
      <c r="A39" s="48" t="s">
        <v>49</v>
      </c>
      <c r="B39" s="138">
        <f t="shared" si="6"/>
        <v>600</v>
      </c>
      <c r="C39" s="138">
        <f t="shared" si="7"/>
        <v>218</v>
      </c>
      <c r="D39" s="138">
        <f t="shared" si="8"/>
        <v>218</v>
      </c>
      <c r="E39" s="138">
        <f t="shared" si="9"/>
        <v>400</v>
      </c>
      <c r="F39" s="138"/>
      <c r="G39" s="139">
        <f t="shared" si="5"/>
        <v>1436</v>
      </c>
    </row>
    <row r="40" spans="1:7">
      <c r="A40" s="48" t="s">
        <v>50</v>
      </c>
      <c r="B40" s="138">
        <f t="shared" si="6"/>
        <v>600</v>
      </c>
      <c r="C40" s="138">
        <f t="shared" si="7"/>
        <v>218</v>
      </c>
      <c r="D40" s="138">
        <f t="shared" si="8"/>
        <v>218</v>
      </c>
      <c r="E40" s="138">
        <f t="shared" si="9"/>
        <v>400</v>
      </c>
      <c r="F40" s="138"/>
      <c r="G40" s="139">
        <f t="shared" si="5"/>
        <v>1436</v>
      </c>
    </row>
    <row r="41" spans="1:7">
      <c r="A41" s="48" t="s">
        <v>51</v>
      </c>
      <c r="B41" s="138">
        <f t="shared" si="6"/>
        <v>600</v>
      </c>
      <c r="C41" s="138">
        <f t="shared" si="7"/>
        <v>218</v>
      </c>
      <c r="D41" s="138">
        <f t="shared" si="8"/>
        <v>218</v>
      </c>
      <c r="E41" s="138">
        <f t="shared" si="9"/>
        <v>400</v>
      </c>
      <c r="F41" s="138"/>
      <c r="G41" s="139">
        <f t="shared" si="5"/>
        <v>1436</v>
      </c>
    </row>
    <row r="42" spans="1:7">
      <c r="A42" s="48" t="s">
        <v>52</v>
      </c>
      <c r="B42" s="138">
        <f t="shared" si="6"/>
        <v>600</v>
      </c>
      <c r="C42" s="138">
        <f t="shared" si="7"/>
        <v>218</v>
      </c>
      <c r="D42" s="138">
        <f t="shared" si="8"/>
        <v>218</v>
      </c>
      <c r="E42" s="138">
        <f t="shared" si="9"/>
        <v>400</v>
      </c>
      <c r="F42" s="138"/>
      <c r="G42" s="139">
        <f t="shared" si="5"/>
        <v>1436</v>
      </c>
    </row>
    <row r="43" spans="1:7">
      <c r="A43" s="48" t="s">
        <v>53</v>
      </c>
      <c r="B43" s="138">
        <f t="shared" si="6"/>
        <v>600</v>
      </c>
      <c r="C43" s="138">
        <f t="shared" si="7"/>
        <v>218</v>
      </c>
      <c r="D43" s="138">
        <f t="shared" si="8"/>
        <v>218</v>
      </c>
      <c r="E43" s="138">
        <f t="shared" si="9"/>
        <v>400</v>
      </c>
      <c r="F43" s="140">
        <f>SUM(B43:E43)</f>
        <v>1436</v>
      </c>
      <c r="G43" s="139">
        <f t="shared" si="5"/>
        <v>2872</v>
      </c>
    </row>
    <row r="45" spans="1:7" ht="15">
      <c r="A45" s="66" t="s">
        <v>27</v>
      </c>
    </row>
    <row r="46" spans="1:7" ht="30">
      <c r="A46" s="127" t="s">
        <v>87</v>
      </c>
      <c r="B46" s="58" t="s">
        <v>81</v>
      </c>
      <c r="C46" s="58" t="s">
        <v>82</v>
      </c>
      <c r="D46" s="58" t="s">
        <v>83</v>
      </c>
      <c r="E46" s="58" t="s">
        <v>84</v>
      </c>
      <c r="F46" s="58" t="s">
        <v>308</v>
      </c>
      <c r="G46" s="58" t="s">
        <v>56</v>
      </c>
    </row>
    <row r="47" spans="1:7">
      <c r="A47" s="48" t="s">
        <v>42</v>
      </c>
      <c r="B47" s="138">
        <f>$B$5</f>
        <v>600</v>
      </c>
      <c r="C47" s="138">
        <f>$B$6</f>
        <v>218</v>
      </c>
      <c r="D47" s="138">
        <f>$B$7</f>
        <v>218</v>
      </c>
      <c r="E47" s="138">
        <f>$B$8</f>
        <v>400</v>
      </c>
      <c r="F47" s="138"/>
      <c r="G47" s="139">
        <f>SUM(B47:F47)</f>
        <v>1436</v>
      </c>
    </row>
    <row r="48" spans="1:7">
      <c r="A48" s="48" t="s">
        <v>43</v>
      </c>
      <c r="B48" s="138">
        <f>B47</f>
        <v>600</v>
      </c>
      <c r="C48" s="138">
        <f>C47</f>
        <v>218</v>
      </c>
      <c r="D48" s="138">
        <f>D47</f>
        <v>218</v>
      </c>
      <c r="E48" s="138">
        <f>E47</f>
        <v>400</v>
      </c>
      <c r="F48" s="138"/>
      <c r="G48" s="139">
        <f t="shared" ref="G48:G58" si="10">SUM(B48:F48)</f>
        <v>1436</v>
      </c>
    </row>
    <row r="49" spans="1:7">
      <c r="A49" s="48" t="s">
        <v>44</v>
      </c>
      <c r="B49" s="138">
        <f t="shared" ref="B49:B58" si="11">B48</f>
        <v>600</v>
      </c>
      <c r="C49" s="138">
        <f t="shared" ref="C49:C58" si="12">C48</f>
        <v>218</v>
      </c>
      <c r="D49" s="138">
        <f t="shared" ref="D49:D58" si="13">D48</f>
        <v>218</v>
      </c>
      <c r="E49" s="138">
        <f t="shared" ref="E49:E58" si="14">E48</f>
        <v>400</v>
      </c>
      <c r="F49" s="138"/>
      <c r="G49" s="139">
        <f t="shared" si="10"/>
        <v>1436</v>
      </c>
    </row>
    <row r="50" spans="1:7">
      <c r="A50" s="48" t="s">
        <v>45</v>
      </c>
      <c r="B50" s="138">
        <f t="shared" si="11"/>
        <v>600</v>
      </c>
      <c r="C50" s="138">
        <f t="shared" si="12"/>
        <v>218</v>
      </c>
      <c r="D50" s="138">
        <f t="shared" si="13"/>
        <v>218</v>
      </c>
      <c r="E50" s="138">
        <f t="shared" si="14"/>
        <v>400</v>
      </c>
      <c r="F50" s="140">
        <f>218*5</f>
        <v>1090</v>
      </c>
      <c r="G50" s="139">
        <f t="shared" si="10"/>
        <v>2526</v>
      </c>
    </row>
    <row r="51" spans="1:7">
      <c r="A51" s="48" t="s">
        <v>46</v>
      </c>
      <c r="B51" s="138">
        <f t="shared" si="11"/>
        <v>600</v>
      </c>
      <c r="C51" s="138">
        <f t="shared" si="12"/>
        <v>218</v>
      </c>
      <c r="D51" s="138">
        <f t="shared" si="13"/>
        <v>218</v>
      </c>
      <c r="E51" s="138">
        <f t="shared" si="14"/>
        <v>400</v>
      </c>
      <c r="F51" s="138"/>
      <c r="G51" s="139">
        <f t="shared" si="10"/>
        <v>1436</v>
      </c>
    </row>
    <row r="52" spans="1:7">
      <c r="A52" s="48" t="s">
        <v>47</v>
      </c>
      <c r="B52" s="138">
        <f t="shared" si="11"/>
        <v>600</v>
      </c>
      <c r="C52" s="138">
        <f t="shared" si="12"/>
        <v>218</v>
      </c>
      <c r="D52" s="138">
        <f t="shared" si="13"/>
        <v>218</v>
      </c>
      <c r="E52" s="138">
        <f t="shared" si="14"/>
        <v>400</v>
      </c>
      <c r="F52" s="138"/>
      <c r="G52" s="139">
        <f t="shared" si="10"/>
        <v>1436</v>
      </c>
    </row>
    <row r="53" spans="1:7">
      <c r="A53" s="48" t="s">
        <v>48</v>
      </c>
      <c r="B53" s="138">
        <f t="shared" si="11"/>
        <v>600</v>
      </c>
      <c r="C53" s="138">
        <f t="shared" si="12"/>
        <v>218</v>
      </c>
      <c r="D53" s="138">
        <f t="shared" si="13"/>
        <v>218</v>
      </c>
      <c r="E53" s="138">
        <f t="shared" si="14"/>
        <v>400</v>
      </c>
      <c r="F53" s="138"/>
      <c r="G53" s="139">
        <f t="shared" si="10"/>
        <v>1436</v>
      </c>
    </row>
    <row r="54" spans="1:7">
      <c r="A54" s="48" t="s">
        <v>49</v>
      </c>
      <c r="B54" s="138">
        <f t="shared" si="11"/>
        <v>600</v>
      </c>
      <c r="C54" s="138">
        <f t="shared" si="12"/>
        <v>218</v>
      </c>
      <c r="D54" s="138">
        <f t="shared" si="13"/>
        <v>218</v>
      </c>
      <c r="E54" s="138">
        <f t="shared" si="14"/>
        <v>400</v>
      </c>
      <c r="F54" s="138"/>
      <c r="G54" s="139">
        <f t="shared" si="10"/>
        <v>1436</v>
      </c>
    </row>
    <row r="55" spans="1:7">
      <c r="A55" s="48" t="s">
        <v>50</v>
      </c>
      <c r="B55" s="138">
        <f t="shared" si="11"/>
        <v>600</v>
      </c>
      <c r="C55" s="138">
        <f t="shared" si="12"/>
        <v>218</v>
      </c>
      <c r="D55" s="138">
        <f t="shared" si="13"/>
        <v>218</v>
      </c>
      <c r="E55" s="138">
        <f t="shared" si="14"/>
        <v>400</v>
      </c>
      <c r="F55" s="138"/>
      <c r="G55" s="139">
        <f t="shared" si="10"/>
        <v>1436</v>
      </c>
    </row>
    <row r="56" spans="1:7">
      <c r="A56" s="48" t="s">
        <v>51</v>
      </c>
      <c r="B56" s="138">
        <f t="shared" si="11"/>
        <v>600</v>
      </c>
      <c r="C56" s="138">
        <f t="shared" si="12"/>
        <v>218</v>
      </c>
      <c r="D56" s="138">
        <f t="shared" si="13"/>
        <v>218</v>
      </c>
      <c r="E56" s="138">
        <f t="shared" si="14"/>
        <v>400</v>
      </c>
      <c r="F56" s="138"/>
      <c r="G56" s="139">
        <f t="shared" si="10"/>
        <v>1436</v>
      </c>
    </row>
    <row r="57" spans="1:7">
      <c r="A57" s="48" t="s">
        <v>52</v>
      </c>
      <c r="B57" s="138">
        <f t="shared" si="11"/>
        <v>600</v>
      </c>
      <c r="C57" s="138">
        <f t="shared" si="12"/>
        <v>218</v>
      </c>
      <c r="D57" s="138">
        <f t="shared" si="13"/>
        <v>218</v>
      </c>
      <c r="E57" s="138">
        <f t="shared" si="14"/>
        <v>400</v>
      </c>
      <c r="F57" s="138"/>
      <c r="G57" s="139">
        <f t="shared" si="10"/>
        <v>1436</v>
      </c>
    </row>
    <row r="58" spans="1:7">
      <c r="A58" s="48" t="s">
        <v>53</v>
      </c>
      <c r="B58" s="138">
        <f t="shared" si="11"/>
        <v>600</v>
      </c>
      <c r="C58" s="138">
        <f t="shared" si="12"/>
        <v>218</v>
      </c>
      <c r="D58" s="138">
        <f t="shared" si="13"/>
        <v>218</v>
      </c>
      <c r="E58" s="138">
        <f t="shared" si="14"/>
        <v>400</v>
      </c>
      <c r="F58" s="140">
        <f>SUM(B58:E58)</f>
        <v>1436</v>
      </c>
      <c r="G58" s="139">
        <f t="shared" si="10"/>
        <v>2872</v>
      </c>
    </row>
    <row r="60" spans="1:7" ht="15">
      <c r="A60" s="66" t="s">
        <v>28</v>
      </c>
    </row>
    <row r="61" spans="1:7" ht="30">
      <c r="A61" s="127" t="s">
        <v>87</v>
      </c>
      <c r="B61" s="58" t="s">
        <v>88</v>
      </c>
      <c r="C61" s="58" t="s">
        <v>82</v>
      </c>
      <c r="D61" s="58" t="s">
        <v>83</v>
      </c>
      <c r="E61" s="58" t="s">
        <v>84</v>
      </c>
      <c r="F61" s="58" t="s">
        <v>308</v>
      </c>
      <c r="G61" s="58" t="s">
        <v>56</v>
      </c>
    </row>
    <row r="62" spans="1:7">
      <c r="A62" s="48" t="s">
        <v>42</v>
      </c>
      <c r="B62" s="138">
        <f>$B$5</f>
        <v>600</v>
      </c>
      <c r="C62" s="138">
        <f>$B$6</f>
        <v>218</v>
      </c>
      <c r="D62" s="138">
        <f>$B$7</f>
        <v>218</v>
      </c>
      <c r="E62" s="138">
        <f>$B$8</f>
        <v>400</v>
      </c>
      <c r="F62" s="138"/>
      <c r="G62" s="139">
        <f>SUM(B62:F62)</f>
        <v>1436</v>
      </c>
    </row>
    <row r="63" spans="1:7">
      <c r="A63" s="48" t="s">
        <v>43</v>
      </c>
      <c r="B63" s="138">
        <f>B62</f>
        <v>600</v>
      </c>
      <c r="C63" s="138">
        <f>C62</f>
        <v>218</v>
      </c>
      <c r="D63" s="138">
        <f>D62</f>
        <v>218</v>
      </c>
      <c r="E63" s="138">
        <f>E62</f>
        <v>400</v>
      </c>
      <c r="F63" s="138"/>
      <c r="G63" s="139">
        <f t="shared" ref="G63:G73" si="15">SUM(B63:F63)</f>
        <v>1436</v>
      </c>
    </row>
    <row r="64" spans="1:7">
      <c r="A64" s="48" t="s">
        <v>44</v>
      </c>
      <c r="B64" s="138">
        <f t="shared" ref="B64:B73" si="16">B63</f>
        <v>600</v>
      </c>
      <c r="C64" s="138">
        <f t="shared" ref="C64:C73" si="17">C63</f>
        <v>218</v>
      </c>
      <c r="D64" s="138">
        <f t="shared" ref="D64:D73" si="18">D63</f>
        <v>218</v>
      </c>
      <c r="E64" s="138">
        <f t="shared" ref="E64:E73" si="19">E63</f>
        <v>400</v>
      </c>
      <c r="F64" s="138"/>
      <c r="G64" s="139">
        <f t="shared" si="15"/>
        <v>1436</v>
      </c>
    </row>
    <row r="65" spans="1:7">
      <c r="A65" s="48" t="s">
        <v>45</v>
      </c>
      <c r="B65" s="138">
        <f t="shared" si="16"/>
        <v>600</v>
      </c>
      <c r="C65" s="138">
        <f t="shared" si="17"/>
        <v>218</v>
      </c>
      <c r="D65" s="138">
        <f t="shared" si="18"/>
        <v>218</v>
      </c>
      <c r="E65" s="138">
        <f t="shared" si="19"/>
        <v>400</v>
      </c>
      <c r="F65" s="140">
        <f>218*5</f>
        <v>1090</v>
      </c>
      <c r="G65" s="139">
        <f t="shared" si="15"/>
        <v>2526</v>
      </c>
    </row>
    <row r="66" spans="1:7">
      <c r="A66" s="48" t="s">
        <v>46</v>
      </c>
      <c r="B66" s="138">
        <f t="shared" si="16"/>
        <v>600</v>
      </c>
      <c r="C66" s="138">
        <f t="shared" si="17"/>
        <v>218</v>
      </c>
      <c r="D66" s="138">
        <f t="shared" si="18"/>
        <v>218</v>
      </c>
      <c r="E66" s="138">
        <f t="shared" si="19"/>
        <v>400</v>
      </c>
      <c r="F66" s="138"/>
      <c r="G66" s="139">
        <f t="shared" si="15"/>
        <v>1436</v>
      </c>
    </row>
    <row r="67" spans="1:7">
      <c r="A67" s="48" t="s">
        <v>47</v>
      </c>
      <c r="B67" s="138">
        <f t="shared" si="16"/>
        <v>600</v>
      </c>
      <c r="C67" s="138">
        <f t="shared" si="17"/>
        <v>218</v>
      </c>
      <c r="D67" s="138">
        <f t="shared" si="18"/>
        <v>218</v>
      </c>
      <c r="E67" s="138">
        <f t="shared" si="19"/>
        <v>400</v>
      </c>
      <c r="F67" s="138"/>
      <c r="G67" s="139">
        <f t="shared" si="15"/>
        <v>1436</v>
      </c>
    </row>
    <row r="68" spans="1:7">
      <c r="A68" s="48" t="s">
        <v>48</v>
      </c>
      <c r="B68" s="138">
        <f t="shared" si="16"/>
        <v>600</v>
      </c>
      <c r="C68" s="138">
        <f t="shared" si="17"/>
        <v>218</v>
      </c>
      <c r="D68" s="138">
        <f t="shared" si="18"/>
        <v>218</v>
      </c>
      <c r="E68" s="138">
        <f t="shared" si="19"/>
        <v>400</v>
      </c>
      <c r="F68" s="138"/>
      <c r="G68" s="139">
        <f t="shared" si="15"/>
        <v>1436</v>
      </c>
    </row>
    <row r="69" spans="1:7">
      <c r="A69" s="48" t="s">
        <v>49</v>
      </c>
      <c r="B69" s="138">
        <f t="shared" si="16"/>
        <v>600</v>
      </c>
      <c r="C69" s="138">
        <f t="shared" si="17"/>
        <v>218</v>
      </c>
      <c r="D69" s="138">
        <f t="shared" si="18"/>
        <v>218</v>
      </c>
      <c r="E69" s="138">
        <f t="shared" si="19"/>
        <v>400</v>
      </c>
      <c r="F69" s="138"/>
      <c r="G69" s="139">
        <f t="shared" si="15"/>
        <v>1436</v>
      </c>
    </row>
    <row r="70" spans="1:7">
      <c r="A70" s="48" t="s">
        <v>50</v>
      </c>
      <c r="B70" s="138">
        <f t="shared" si="16"/>
        <v>600</v>
      </c>
      <c r="C70" s="138">
        <f t="shared" si="17"/>
        <v>218</v>
      </c>
      <c r="D70" s="138">
        <f t="shared" si="18"/>
        <v>218</v>
      </c>
      <c r="E70" s="138">
        <f t="shared" si="19"/>
        <v>400</v>
      </c>
      <c r="F70" s="138"/>
      <c r="G70" s="139">
        <f t="shared" si="15"/>
        <v>1436</v>
      </c>
    </row>
    <row r="71" spans="1:7">
      <c r="A71" s="48" t="s">
        <v>51</v>
      </c>
      <c r="B71" s="138">
        <f t="shared" si="16"/>
        <v>600</v>
      </c>
      <c r="C71" s="138">
        <f t="shared" si="17"/>
        <v>218</v>
      </c>
      <c r="D71" s="138">
        <f t="shared" si="18"/>
        <v>218</v>
      </c>
      <c r="E71" s="138">
        <f t="shared" si="19"/>
        <v>400</v>
      </c>
      <c r="F71" s="138"/>
      <c r="G71" s="139">
        <f t="shared" si="15"/>
        <v>1436</v>
      </c>
    </row>
    <row r="72" spans="1:7">
      <c r="A72" s="48" t="s">
        <v>52</v>
      </c>
      <c r="B72" s="138">
        <f t="shared" si="16"/>
        <v>600</v>
      </c>
      <c r="C72" s="138">
        <f t="shared" si="17"/>
        <v>218</v>
      </c>
      <c r="D72" s="138">
        <f t="shared" si="18"/>
        <v>218</v>
      </c>
      <c r="E72" s="138">
        <f t="shared" si="19"/>
        <v>400</v>
      </c>
      <c r="F72" s="138"/>
      <c r="G72" s="139">
        <f t="shared" si="15"/>
        <v>1436</v>
      </c>
    </row>
    <row r="73" spans="1:7">
      <c r="A73" s="48" t="s">
        <v>53</v>
      </c>
      <c r="B73" s="138">
        <f t="shared" si="16"/>
        <v>600</v>
      </c>
      <c r="C73" s="138">
        <f t="shared" si="17"/>
        <v>218</v>
      </c>
      <c r="D73" s="138">
        <f t="shared" si="18"/>
        <v>218</v>
      </c>
      <c r="E73" s="138">
        <f t="shared" si="19"/>
        <v>400</v>
      </c>
      <c r="F73" s="140">
        <f>SUM(B73:E73)</f>
        <v>1436</v>
      </c>
      <c r="G73" s="139">
        <f t="shared" si="15"/>
        <v>2872</v>
      </c>
    </row>
    <row r="75" spans="1:7" ht="15">
      <c r="A75" s="66" t="s">
        <v>29</v>
      </c>
    </row>
    <row r="76" spans="1:7" ht="30">
      <c r="A76" s="127" t="s">
        <v>87</v>
      </c>
      <c r="B76" s="58" t="s">
        <v>88</v>
      </c>
      <c r="C76" s="58" t="s">
        <v>82</v>
      </c>
      <c r="D76" s="58" t="s">
        <v>83</v>
      </c>
      <c r="E76" s="58" t="s">
        <v>84</v>
      </c>
      <c r="F76" s="58" t="s">
        <v>308</v>
      </c>
      <c r="G76" s="58" t="s">
        <v>56</v>
      </c>
    </row>
    <row r="77" spans="1:7">
      <c r="A77" s="48" t="s">
        <v>42</v>
      </c>
      <c r="B77" s="138">
        <f>$B$5</f>
        <v>600</v>
      </c>
      <c r="C77" s="138">
        <f>$B$6</f>
        <v>218</v>
      </c>
      <c r="D77" s="138">
        <f>$B$7</f>
        <v>218</v>
      </c>
      <c r="E77" s="138">
        <f>$B$8</f>
        <v>400</v>
      </c>
      <c r="F77" s="138"/>
      <c r="G77" s="139">
        <f>SUM(B77:F77)</f>
        <v>1436</v>
      </c>
    </row>
    <row r="78" spans="1:7">
      <c r="A78" s="48" t="s">
        <v>43</v>
      </c>
      <c r="B78" s="138">
        <f>B77</f>
        <v>600</v>
      </c>
      <c r="C78" s="138">
        <f>C77</f>
        <v>218</v>
      </c>
      <c r="D78" s="138">
        <f>D77</f>
        <v>218</v>
      </c>
      <c r="E78" s="138">
        <f>E77</f>
        <v>400</v>
      </c>
      <c r="F78" s="138"/>
      <c r="G78" s="139">
        <f t="shared" ref="G78:G87" si="20">SUM(B78:F78)</f>
        <v>1436</v>
      </c>
    </row>
    <row r="79" spans="1:7">
      <c r="A79" s="48" t="s">
        <v>44</v>
      </c>
      <c r="B79" s="138">
        <f t="shared" ref="B79:B88" si="21">B78</f>
        <v>600</v>
      </c>
      <c r="C79" s="138">
        <f t="shared" ref="C79:C88" si="22">C78</f>
        <v>218</v>
      </c>
      <c r="D79" s="138">
        <f t="shared" ref="D79:D88" si="23">D78</f>
        <v>218</v>
      </c>
      <c r="E79" s="138">
        <f t="shared" ref="E79:E88" si="24">E78</f>
        <v>400</v>
      </c>
      <c r="F79" s="138"/>
      <c r="G79" s="139">
        <f t="shared" si="20"/>
        <v>1436</v>
      </c>
    </row>
    <row r="80" spans="1:7">
      <c r="A80" s="48" t="s">
        <v>45</v>
      </c>
      <c r="B80" s="138">
        <f t="shared" si="21"/>
        <v>600</v>
      </c>
      <c r="C80" s="138">
        <f t="shared" si="22"/>
        <v>218</v>
      </c>
      <c r="D80" s="138">
        <f t="shared" si="23"/>
        <v>218</v>
      </c>
      <c r="E80" s="138">
        <f t="shared" si="24"/>
        <v>400</v>
      </c>
      <c r="F80" s="140">
        <f>218*5</f>
        <v>1090</v>
      </c>
      <c r="G80" s="139">
        <f>SUM(B80:F80)</f>
        <v>2526</v>
      </c>
    </row>
    <row r="81" spans="1:7">
      <c r="A81" s="48" t="s">
        <v>46</v>
      </c>
      <c r="B81" s="138">
        <f t="shared" si="21"/>
        <v>600</v>
      </c>
      <c r="C81" s="138">
        <f t="shared" si="22"/>
        <v>218</v>
      </c>
      <c r="D81" s="138">
        <f t="shared" si="23"/>
        <v>218</v>
      </c>
      <c r="E81" s="138">
        <f t="shared" si="24"/>
        <v>400</v>
      </c>
      <c r="F81" s="138"/>
      <c r="G81" s="139">
        <f t="shared" si="20"/>
        <v>1436</v>
      </c>
    </row>
    <row r="82" spans="1:7">
      <c r="A82" s="48" t="s">
        <v>47</v>
      </c>
      <c r="B82" s="138">
        <f t="shared" si="21"/>
        <v>600</v>
      </c>
      <c r="C82" s="138">
        <f t="shared" si="22"/>
        <v>218</v>
      </c>
      <c r="D82" s="138">
        <f t="shared" si="23"/>
        <v>218</v>
      </c>
      <c r="E82" s="138">
        <f t="shared" si="24"/>
        <v>400</v>
      </c>
      <c r="F82" s="138"/>
      <c r="G82" s="139">
        <f t="shared" si="20"/>
        <v>1436</v>
      </c>
    </row>
    <row r="83" spans="1:7">
      <c r="A83" s="48" t="s">
        <v>48</v>
      </c>
      <c r="B83" s="138">
        <f t="shared" si="21"/>
        <v>600</v>
      </c>
      <c r="C83" s="138">
        <f t="shared" si="22"/>
        <v>218</v>
      </c>
      <c r="D83" s="138">
        <f t="shared" si="23"/>
        <v>218</v>
      </c>
      <c r="E83" s="138">
        <f t="shared" si="24"/>
        <v>400</v>
      </c>
      <c r="F83" s="138"/>
      <c r="G83" s="139">
        <f>SUM(B83:F83)</f>
        <v>1436</v>
      </c>
    </row>
    <row r="84" spans="1:7">
      <c r="A84" s="48" t="s">
        <v>49</v>
      </c>
      <c r="B84" s="138">
        <f t="shared" si="21"/>
        <v>600</v>
      </c>
      <c r="C84" s="138">
        <f t="shared" si="22"/>
        <v>218</v>
      </c>
      <c r="D84" s="138">
        <f t="shared" si="23"/>
        <v>218</v>
      </c>
      <c r="E84" s="138">
        <f t="shared" si="24"/>
        <v>400</v>
      </c>
      <c r="F84" s="138"/>
      <c r="G84" s="139">
        <f t="shared" si="20"/>
        <v>1436</v>
      </c>
    </row>
    <row r="85" spans="1:7">
      <c r="A85" s="48" t="s">
        <v>50</v>
      </c>
      <c r="B85" s="138">
        <f t="shared" si="21"/>
        <v>600</v>
      </c>
      <c r="C85" s="138">
        <f t="shared" si="22"/>
        <v>218</v>
      </c>
      <c r="D85" s="138">
        <f t="shared" si="23"/>
        <v>218</v>
      </c>
      <c r="E85" s="138">
        <f t="shared" si="24"/>
        <v>400</v>
      </c>
      <c r="F85" s="138"/>
      <c r="G85" s="139">
        <f t="shared" si="20"/>
        <v>1436</v>
      </c>
    </row>
    <row r="86" spans="1:7">
      <c r="A86" s="48" t="s">
        <v>51</v>
      </c>
      <c r="B86" s="138">
        <f t="shared" si="21"/>
        <v>600</v>
      </c>
      <c r="C86" s="138">
        <f t="shared" si="22"/>
        <v>218</v>
      </c>
      <c r="D86" s="138">
        <f t="shared" si="23"/>
        <v>218</v>
      </c>
      <c r="E86" s="138">
        <f t="shared" si="24"/>
        <v>400</v>
      </c>
      <c r="F86" s="138"/>
      <c r="G86" s="139">
        <f t="shared" si="20"/>
        <v>1436</v>
      </c>
    </row>
    <row r="87" spans="1:7">
      <c r="A87" s="48" t="s">
        <v>52</v>
      </c>
      <c r="B87" s="138">
        <f t="shared" si="21"/>
        <v>600</v>
      </c>
      <c r="C87" s="138">
        <f t="shared" si="22"/>
        <v>218</v>
      </c>
      <c r="D87" s="138">
        <f t="shared" si="23"/>
        <v>218</v>
      </c>
      <c r="E87" s="138">
        <f t="shared" si="24"/>
        <v>400</v>
      </c>
      <c r="F87" s="138"/>
      <c r="G87" s="139">
        <f t="shared" si="20"/>
        <v>1436</v>
      </c>
    </row>
    <row r="88" spans="1:7">
      <c r="A88" s="48" t="s">
        <v>53</v>
      </c>
      <c r="B88" s="138">
        <f t="shared" si="21"/>
        <v>600</v>
      </c>
      <c r="C88" s="138">
        <f t="shared" si="22"/>
        <v>218</v>
      </c>
      <c r="D88" s="138">
        <f t="shared" si="23"/>
        <v>218</v>
      </c>
      <c r="E88" s="138">
        <f t="shared" si="24"/>
        <v>400</v>
      </c>
      <c r="F88" s="140">
        <f>SUM(B88:E88)</f>
        <v>1436</v>
      </c>
      <c r="G88" s="139">
        <f>SUM(B88:F88)</f>
        <v>2872</v>
      </c>
    </row>
    <row r="90" spans="1:7" ht="15">
      <c r="A90" s="138"/>
      <c r="B90" s="104" t="s">
        <v>25</v>
      </c>
      <c r="C90" s="104" t="s">
        <v>26</v>
      </c>
      <c r="D90" s="104" t="s">
        <v>27</v>
      </c>
      <c r="E90" s="104" t="s">
        <v>28</v>
      </c>
      <c r="F90" s="104" t="s">
        <v>29</v>
      </c>
    </row>
    <row r="91" spans="1:7" ht="15">
      <c r="A91" s="104" t="s">
        <v>89</v>
      </c>
      <c r="B91" s="139">
        <f>SUM(G17:G28)</f>
        <v>18820.833333333332</v>
      </c>
      <c r="C91" s="139">
        <f>SUM(G32:G43)</f>
        <v>19758</v>
      </c>
      <c r="D91" s="139">
        <f>SUM(G47:G58)</f>
        <v>19758</v>
      </c>
      <c r="E91" s="139">
        <f>SUM(G62:G73)</f>
        <v>19758</v>
      </c>
      <c r="F91" s="139">
        <f>SUM(G77:G88)</f>
        <v>19758</v>
      </c>
    </row>
    <row r="106" ht="15.75" customHeight="1"/>
  </sheetData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97"/>
  <sheetViews>
    <sheetView workbookViewId="0">
      <selection sqref="A1:IV65536"/>
    </sheetView>
  </sheetViews>
  <sheetFormatPr baseColWidth="10" defaultRowHeight="14.25"/>
  <cols>
    <col min="1" max="1" width="38.7109375" style="30" bestFit="1" customWidth="1"/>
    <col min="2" max="2" width="18" style="30" customWidth="1"/>
    <col min="3" max="3" width="19.85546875" style="30" customWidth="1"/>
    <col min="4" max="4" width="17.85546875" style="30" customWidth="1"/>
    <col min="5" max="5" width="18.7109375" style="30" customWidth="1"/>
    <col min="6" max="6" width="18" style="30" customWidth="1"/>
    <col min="7" max="7" width="19" style="30" customWidth="1"/>
    <col min="8" max="8" width="18.7109375" style="30" customWidth="1"/>
    <col min="9" max="9" width="18.140625" style="30" customWidth="1"/>
    <col min="10" max="16384" width="11.42578125" style="30"/>
  </cols>
  <sheetData>
    <row r="1" spans="1:5" ht="15" thickBot="1"/>
    <row r="2" spans="1:5" ht="15.75" thickBot="1">
      <c r="A2" s="141" t="s">
        <v>90</v>
      </c>
    </row>
    <row r="3" spans="1:5" ht="15">
      <c r="A3" s="66"/>
    </row>
    <row r="4" spans="1:5" ht="15">
      <c r="A4" s="48"/>
      <c r="B4" s="103" t="s">
        <v>79</v>
      </c>
      <c r="C4" s="103" t="s">
        <v>80</v>
      </c>
      <c r="E4" s="66"/>
    </row>
    <row r="5" spans="1:5">
      <c r="A5" s="48" t="s">
        <v>91</v>
      </c>
      <c r="B5" s="59">
        <v>600</v>
      </c>
      <c r="C5" s="59">
        <f>B5*12</f>
        <v>7200</v>
      </c>
    </row>
    <row r="6" spans="1:5">
      <c r="A6" s="48" t="s">
        <v>92</v>
      </c>
      <c r="B6" s="59">
        <v>150</v>
      </c>
      <c r="C6" s="59">
        <f>B6*12</f>
        <v>1800</v>
      </c>
    </row>
    <row r="7" spans="1:5">
      <c r="A7" s="48" t="s">
        <v>93</v>
      </c>
      <c r="B7" s="59">
        <v>20</v>
      </c>
      <c r="C7" s="59">
        <f>B7*12</f>
        <v>240</v>
      </c>
    </row>
    <row r="8" spans="1:5">
      <c r="A8" s="48" t="s">
        <v>94</v>
      </c>
      <c r="B8" s="60">
        <f>29.9*(1.12)</f>
        <v>33.488</v>
      </c>
      <c r="C8" s="60">
        <f>B8*12</f>
        <v>401.85599999999999</v>
      </c>
    </row>
    <row r="9" spans="1:5">
      <c r="A9" s="48" t="s">
        <v>95</v>
      </c>
      <c r="B9" s="59" t="s">
        <v>96</v>
      </c>
      <c r="C9" s="60">
        <f>120*(1.12)</f>
        <v>134.4</v>
      </c>
    </row>
    <row r="10" spans="1:5">
      <c r="A10" s="48" t="s">
        <v>97</v>
      </c>
      <c r="B10" s="59">
        <v>10</v>
      </c>
      <c r="C10" s="59">
        <f>12*B10</f>
        <v>120</v>
      </c>
    </row>
    <row r="11" spans="1:5">
      <c r="A11" s="48" t="s">
        <v>98</v>
      </c>
      <c r="B11" s="59">
        <v>10</v>
      </c>
      <c r="C11" s="59">
        <f>12*B11</f>
        <v>120</v>
      </c>
    </row>
    <row r="12" spans="1:5" ht="15" thickBot="1">
      <c r="A12" s="142" t="s">
        <v>99</v>
      </c>
      <c r="B12" s="143">
        <v>388</v>
      </c>
      <c r="C12" s="143">
        <f>B12*12</f>
        <v>4656</v>
      </c>
    </row>
    <row r="13" spans="1:5" ht="15.75" thickBot="1">
      <c r="A13" s="97" t="s">
        <v>100</v>
      </c>
      <c r="B13" s="144"/>
      <c r="C13" s="145">
        <f>SUM(C5:C12)</f>
        <v>14672.255999999999</v>
      </c>
    </row>
    <row r="14" spans="1:5">
      <c r="A14" s="45" t="s">
        <v>101</v>
      </c>
      <c r="C14" s="146">
        <f>C13-C12</f>
        <v>10016.255999999999</v>
      </c>
    </row>
    <row r="16" spans="1:5" ht="15">
      <c r="A16" s="66" t="s">
        <v>102</v>
      </c>
    </row>
    <row r="18" spans="1:10" ht="15">
      <c r="A18" s="66" t="s">
        <v>25</v>
      </c>
    </row>
    <row r="19" spans="1:10" ht="59.25" customHeight="1">
      <c r="A19" s="127" t="s">
        <v>87</v>
      </c>
      <c r="B19" s="58" t="s">
        <v>91</v>
      </c>
      <c r="C19" s="58" t="s">
        <v>92</v>
      </c>
      <c r="D19" s="58" t="s">
        <v>93</v>
      </c>
      <c r="E19" s="58" t="s">
        <v>94</v>
      </c>
      <c r="F19" s="58" t="s">
        <v>95</v>
      </c>
      <c r="G19" s="58" t="s">
        <v>97</v>
      </c>
      <c r="H19" s="58" t="s">
        <v>103</v>
      </c>
      <c r="I19" s="58" t="s">
        <v>99</v>
      </c>
      <c r="J19" s="58" t="s">
        <v>56</v>
      </c>
    </row>
    <row r="20" spans="1:10">
      <c r="A20" s="48" t="s">
        <v>42</v>
      </c>
      <c r="B20" s="59">
        <f>$B$5</f>
        <v>600</v>
      </c>
      <c r="C20" s="59">
        <f>$B$6</f>
        <v>150</v>
      </c>
      <c r="D20" s="59">
        <f>$B$7</f>
        <v>20</v>
      </c>
      <c r="E20" s="60">
        <f>$B$8</f>
        <v>33.488</v>
      </c>
      <c r="F20" s="60">
        <f>$C$9</f>
        <v>134.4</v>
      </c>
      <c r="G20" s="59">
        <f>$B$10</f>
        <v>10</v>
      </c>
      <c r="H20" s="59">
        <f>$B$11</f>
        <v>10</v>
      </c>
      <c r="I20" s="59">
        <f>$B$12</f>
        <v>388</v>
      </c>
      <c r="J20" s="140">
        <f>SUM(B20:I20)</f>
        <v>1345.8879999999999</v>
      </c>
    </row>
    <row r="21" spans="1:10">
      <c r="A21" s="48" t="s">
        <v>43</v>
      </c>
      <c r="B21" s="59">
        <f>B20</f>
        <v>600</v>
      </c>
      <c r="C21" s="59">
        <f>C20</f>
        <v>150</v>
      </c>
      <c r="D21" s="59">
        <f>D20</f>
        <v>20</v>
      </c>
      <c r="E21" s="60">
        <f>E20</f>
        <v>33.488</v>
      </c>
      <c r="F21" s="59"/>
      <c r="G21" s="59">
        <f>G20</f>
        <v>10</v>
      </c>
      <c r="H21" s="59">
        <f>H20</f>
        <v>10</v>
      </c>
      <c r="I21" s="59">
        <f>I20</f>
        <v>388</v>
      </c>
      <c r="J21" s="140">
        <f>SUM(B21:I21)</f>
        <v>1211.4880000000001</v>
      </c>
    </row>
    <row r="22" spans="1:10">
      <c r="A22" s="48" t="s">
        <v>44</v>
      </c>
      <c r="B22" s="59">
        <f t="shared" ref="B22:B31" si="0">B21</f>
        <v>600</v>
      </c>
      <c r="C22" s="59">
        <f t="shared" ref="C22:C31" si="1">C21</f>
        <v>150</v>
      </c>
      <c r="D22" s="59">
        <f t="shared" ref="D22:D31" si="2">D21</f>
        <v>20</v>
      </c>
      <c r="E22" s="60">
        <f t="shared" ref="E22:E31" si="3">E21</f>
        <v>33.488</v>
      </c>
      <c r="F22" s="59"/>
      <c r="G22" s="59">
        <f t="shared" ref="G22:G31" si="4">G21</f>
        <v>10</v>
      </c>
      <c r="H22" s="59">
        <f t="shared" ref="H22:H31" si="5">H21</f>
        <v>10</v>
      </c>
      <c r="I22" s="59">
        <f t="shared" ref="I22:I31" si="6">I21</f>
        <v>388</v>
      </c>
      <c r="J22" s="140">
        <f t="shared" ref="J22:J31" si="7">SUM(B22:I22)</f>
        <v>1211.4880000000001</v>
      </c>
    </row>
    <row r="23" spans="1:10">
      <c r="A23" s="48" t="s">
        <v>45</v>
      </c>
      <c r="B23" s="59">
        <f t="shared" si="0"/>
        <v>600</v>
      </c>
      <c r="C23" s="59">
        <f t="shared" si="1"/>
        <v>150</v>
      </c>
      <c r="D23" s="59">
        <f t="shared" si="2"/>
        <v>20</v>
      </c>
      <c r="E23" s="60">
        <f t="shared" si="3"/>
        <v>33.488</v>
      </c>
      <c r="F23" s="59"/>
      <c r="G23" s="59">
        <f t="shared" si="4"/>
        <v>10</v>
      </c>
      <c r="H23" s="59">
        <f t="shared" si="5"/>
        <v>10</v>
      </c>
      <c r="I23" s="59">
        <f t="shared" si="6"/>
        <v>388</v>
      </c>
      <c r="J23" s="140">
        <f t="shared" si="7"/>
        <v>1211.4880000000001</v>
      </c>
    </row>
    <row r="24" spans="1:10">
      <c r="A24" s="48" t="s">
        <v>46</v>
      </c>
      <c r="B24" s="59">
        <f t="shared" si="0"/>
        <v>600</v>
      </c>
      <c r="C24" s="59">
        <f t="shared" si="1"/>
        <v>150</v>
      </c>
      <c r="D24" s="59">
        <f t="shared" si="2"/>
        <v>20</v>
      </c>
      <c r="E24" s="60">
        <f t="shared" si="3"/>
        <v>33.488</v>
      </c>
      <c r="F24" s="59"/>
      <c r="G24" s="59">
        <f t="shared" si="4"/>
        <v>10</v>
      </c>
      <c r="H24" s="59">
        <f t="shared" si="5"/>
        <v>10</v>
      </c>
      <c r="I24" s="59">
        <f t="shared" si="6"/>
        <v>388</v>
      </c>
      <c r="J24" s="140">
        <f t="shared" si="7"/>
        <v>1211.4880000000001</v>
      </c>
    </row>
    <row r="25" spans="1:10">
      <c r="A25" s="48" t="s">
        <v>47</v>
      </c>
      <c r="B25" s="59">
        <f t="shared" si="0"/>
        <v>600</v>
      </c>
      <c r="C25" s="59">
        <f t="shared" si="1"/>
        <v>150</v>
      </c>
      <c r="D25" s="59">
        <f t="shared" si="2"/>
        <v>20</v>
      </c>
      <c r="E25" s="60">
        <f t="shared" si="3"/>
        <v>33.488</v>
      </c>
      <c r="F25" s="59"/>
      <c r="G25" s="59">
        <f t="shared" si="4"/>
        <v>10</v>
      </c>
      <c r="H25" s="59">
        <f t="shared" si="5"/>
        <v>10</v>
      </c>
      <c r="I25" s="59">
        <f t="shared" si="6"/>
        <v>388</v>
      </c>
      <c r="J25" s="140">
        <f t="shared" si="7"/>
        <v>1211.4880000000001</v>
      </c>
    </row>
    <row r="26" spans="1:10">
      <c r="A26" s="48" t="s">
        <v>48</v>
      </c>
      <c r="B26" s="59">
        <f t="shared" si="0"/>
        <v>600</v>
      </c>
      <c r="C26" s="59">
        <f t="shared" si="1"/>
        <v>150</v>
      </c>
      <c r="D26" s="59">
        <f t="shared" si="2"/>
        <v>20</v>
      </c>
      <c r="E26" s="60">
        <f t="shared" si="3"/>
        <v>33.488</v>
      </c>
      <c r="F26" s="59"/>
      <c r="G26" s="59">
        <f t="shared" si="4"/>
        <v>10</v>
      </c>
      <c r="H26" s="59">
        <f t="shared" si="5"/>
        <v>10</v>
      </c>
      <c r="I26" s="59">
        <f t="shared" si="6"/>
        <v>388</v>
      </c>
      <c r="J26" s="140">
        <f t="shared" si="7"/>
        <v>1211.4880000000001</v>
      </c>
    </row>
    <row r="27" spans="1:10">
      <c r="A27" s="48" t="s">
        <v>49</v>
      </c>
      <c r="B27" s="59">
        <f t="shared" si="0"/>
        <v>600</v>
      </c>
      <c r="C27" s="59">
        <f t="shared" si="1"/>
        <v>150</v>
      </c>
      <c r="D27" s="59">
        <f t="shared" si="2"/>
        <v>20</v>
      </c>
      <c r="E27" s="60">
        <f t="shared" si="3"/>
        <v>33.488</v>
      </c>
      <c r="F27" s="59"/>
      <c r="G27" s="59">
        <f t="shared" si="4"/>
        <v>10</v>
      </c>
      <c r="H27" s="59">
        <f t="shared" si="5"/>
        <v>10</v>
      </c>
      <c r="I27" s="59">
        <f t="shared" si="6"/>
        <v>388</v>
      </c>
      <c r="J27" s="140">
        <f t="shared" si="7"/>
        <v>1211.4880000000001</v>
      </c>
    </row>
    <row r="28" spans="1:10">
      <c r="A28" s="48" t="s">
        <v>50</v>
      </c>
      <c r="B28" s="59">
        <f t="shared" si="0"/>
        <v>600</v>
      </c>
      <c r="C28" s="59">
        <f t="shared" si="1"/>
        <v>150</v>
      </c>
      <c r="D28" s="59">
        <f t="shared" si="2"/>
        <v>20</v>
      </c>
      <c r="E28" s="60">
        <f t="shared" si="3"/>
        <v>33.488</v>
      </c>
      <c r="F28" s="59"/>
      <c r="G28" s="59">
        <f t="shared" si="4"/>
        <v>10</v>
      </c>
      <c r="H28" s="59">
        <f t="shared" si="5"/>
        <v>10</v>
      </c>
      <c r="I28" s="59">
        <f t="shared" si="6"/>
        <v>388</v>
      </c>
      <c r="J28" s="140">
        <f t="shared" si="7"/>
        <v>1211.4880000000001</v>
      </c>
    </row>
    <row r="29" spans="1:10">
      <c r="A29" s="48" t="s">
        <v>51</v>
      </c>
      <c r="B29" s="59">
        <f t="shared" si="0"/>
        <v>600</v>
      </c>
      <c r="C29" s="59">
        <f t="shared" si="1"/>
        <v>150</v>
      </c>
      <c r="D29" s="59">
        <f t="shared" si="2"/>
        <v>20</v>
      </c>
      <c r="E29" s="60">
        <f t="shared" si="3"/>
        <v>33.488</v>
      </c>
      <c r="F29" s="59"/>
      <c r="G29" s="59">
        <f t="shared" si="4"/>
        <v>10</v>
      </c>
      <c r="H29" s="59">
        <f t="shared" si="5"/>
        <v>10</v>
      </c>
      <c r="I29" s="59">
        <f t="shared" si="6"/>
        <v>388</v>
      </c>
      <c r="J29" s="140">
        <f t="shared" si="7"/>
        <v>1211.4880000000001</v>
      </c>
    </row>
    <row r="30" spans="1:10">
      <c r="A30" s="48" t="s">
        <v>52</v>
      </c>
      <c r="B30" s="59">
        <f t="shared" si="0"/>
        <v>600</v>
      </c>
      <c r="C30" s="59">
        <f t="shared" si="1"/>
        <v>150</v>
      </c>
      <c r="D30" s="59">
        <f t="shared" si="2"/>
        <v>20</v>
      </c>
      <c r="E30" s="60">
        <f t="shared" si="3"/>
        <v>33.488</v>
      </c>
      <c r="F30" s="59"/>
      <c r="G30" s="59">
        <f t="shared" si="4"/>
        <v>10</v>
      </c>
      <c r="H30" s="59">
        <f t="shared" si="5"/>
        <v>10</v>
      </c>
      <c r="I30" s="59">
        <f t="shared" si="6"/>
        <v>388</v>
      </c>
      <c r="J30" s="140">
        <f t="shared" si="7"/>
        <v>1211.4880000000001</v>
      </c>
    </row>
    <row r="31" spans="1:10">
      <c r="A31" s="48" t="s">
        <v>53</v>
      </c>
      <c r="B31" s="59">
        <f t="shared" si="0"/>
        <v>600</v>
      </c>
      <c r="C31" s="59">
        <f t="shared" si="1"/>
        <v>150</v>
      </c>
      <c r="D31" s="59">
        <f t="shared" si="2"/>
        <v>20</v>
      </c>
      <c r="E31" s="60">
        <f t="shared" si="3"/>
        <v>33.488</v>
      </c>
      <c r="F31" s="59"/>
      <c r="G31" s="59">
        <f t="shared" si="4"/>
        <v>10</v>
      </c>
      <c r="H31" s="59">
        <f t="shared" si="5"/>
        <v>10</v>
      </c>
      <c r="I31" s="59">
        <f t="shared" si="6"/>
        <v>388</v>
      </c>
      <c r="J31" s="140">
        <f t="shared" si="7"/>
        <v>1211.4880000000001</v>
      </c>
    </row>
    <row r="33" spans="1:10" ht="15">
      <c r="A33" s="66" t="s">
        <v>26</v>
      </c>
    </row>
    <row r="34" spans="1:10" ht="45">
      <c r="A34" s="127" t="s">
        <v>87</v>
      </c>
      <c r="B34" s="58" t="s">
        <v>91</v>
      </c>
      <c r="C34" s="58" t="s">
        <v>92</v>
      </c>
      <c r="D34" s="58" t="s">
        <v>93</v>
      </c>
      <c r="E34" s="58" t="s">
        <v>94</v>
      </c>
      <c r="F34" s="58" t="s">
        <v>95</v>
      </c>
      <c r="G34" s="58" t="s">
        <v>97</v>
      </c>
      <c r="H34" s="58" t="s">
        <v>104</v>
      </c>
      <c r="I34" s="58" t="s">
        <v>99</v>
      </c>
      <c r="J34" s="104" t="s">
        <v>56</v>
      </c>
    </row>
    <row r="35" spans="1:10">
      <c r="A35" s="48" t="s">
        <v>42</v>
      </c>
      <c r="B35" s="59">
        <f>$B$5</f>
        <v>600</v>
      </c>
      <c r="C35" s="59">
        <f>$B$6</f>
        <v>150</v>
      </c>
      <c r="D35" s="59">
        <f>$B$7</f>
        <v>20</v>
      </c>
      <c r="E35" s="60">
        <f>$B$8</f>
        <v>33.488</v>
      </c>
      <c r="F35" s="60">
        <f>$C$9</f>
        <v>134.4</v>
      </c>
      <c r="G35" s="59">
        <f>$B$10</f>
        <v>10</v>
      </c>
      <c r="H35" s="59">
        <f>$B$11</f>
        <v>10</v>
      </c>
      <c r="I35" s="59">
        <f>$B$12</f>
        <v>388</v>
      </c>
      <c r="J35" s="140">
        <f>SUM(B35:I35)</f>
        <v>1345.8879999999999</v>
      </c>
    </row>
    <row r="36" spans="1:10">
      <c r="A36" s="48" t="s">
        <v>43</v>
      </c>
      <c r="B36" s="59">
        <f>B35</f>
        <v>600</v>
      </c>
      <c r="C36" s="59">
        <f>C35</f>
        <v>150</v>
      </c>
      <c r="D36" s="59">
        <f>D35</f>
        <v>20</v>
      </c>
      <c r="E36" s="60">
        <f>E35</f>
        <v>33.488</v>
      </c>
      <c r="F36" s="59"/>
      <c r="G36" s="59">
        <f>G35</f>
        <v>10</v>
      </c>
      <c r="H36" s="59">
        <f>H35</f>
        <v>10</v>
      </c>
      <c r="I36" s="59">
        <f>I35</f>
        <v>388</v>
      </c>
      <c r="J36" s="140">
        <f>SUM(B36:I36)</f>
        <v>1211.4880000000001</v>
      </c>
    </row>
    <row r="37" spans="1:10">
      <c r="A37" s="48" t="s">
        <v>44</v>
      </c>
      <c r="B37" s="59">
        <f t="shared" ref="B37:B46" si="8">B36</f>
        <v>600</v>
      </c>
      <c r="C37" s="59">
        <f t="shared" ref="C37:C46" si="9">C36</f>
        <v>150</v>
      </c>
      <c r="D37" s="59">
        <f t="shared" ref="D37:D46" si="10">D36</f>
        <v>20</v>
      </c>
      <c r="E37" s="60">
        <f t="shared" ref="E37:E46" si="11">E36</f>
        <v>33.488</v>
      </c>
      <c r="F37" s="59"/>
      <c r="G37" s="59">
        <f t="shared" ref="G37:G46" si="12">G36</f>
        <v>10</v>
      </c>
      <c r="H37" s="59">
        <f t="shared" ref="H37:H46" si="13">H36</f>
        <v>10</v>
      </c>
      <c r="I37" s="59">
        <f t="shared" ref="I37:I46" si="14">I36</f>
        <v>388</v>
      </c>
      <c r="J37" s="140">
        <f t="shared" ref="J37:J46" si="15">SUM(B37:I37)</f>
        <v>1211.4880000000001</v>
      </c>
    </row>
    <row r="38" spans="1:10">
      <c r="A38" s="48" t="s">
        <v>45</v>
      </c>
      <c r="B38" s="59">
        <f t="shared" si="8"/>
        <v>600</v>
      </c>
      <c r="C38" s="59">
        <f t="shared" si="9"/>
        <v>150</v>
      </c>
      <c r="D38" s="59">
        <f t="shared" si="10"/>
        <v>20</v>
      </c>
      <c r="E38" s="60">
        <f t="shared" si="11"/>
        <v>33.488</v>
      </c>
      <c r="F38" s="59"/>
      <c r="G38" s="59">
        <f t="shared" si="12"/>
        <v>10</v>
      </c>
      <c r="H38" s="59">
        <f t="shared" si="13"/>
        <v>10</v>
      </c>
      <c r="I38" s="59">
        <f t="shared" si="14"/>
        <v>388</v>
      </c>
      <c r="J38" s="140">
        <f t="shared" si="15"/>
        <v>1211.4880000000001</v>
      </c>
    </row>
    <row r="39" spans="1:10">
      <c r="A39" s="48" t="s">
        <v>46</v>
      </c>
      <c r="B39" s="59">
        <f t="shared" si="8"/>
        <v>600</v>
      </c>
      <c r="C39" s="59">
        <f t="shared" si="9"/>
        <v>150</v>
      </c>
      <c r="D39" s="59">
        <f t="shared" si="10"/>
        <v>20</v>
      </c>
      <c r="E39" s="60">
        <f t="shared" si="11"/>
        <v>33.488</v>
      </c>
      <c r="F39" s="59"/>
      <c r="G39" s="59">
        <f t="shared" si="12"/>
        <v>10</v>
      </c>
      <c r="H39" s="59">
        <f t="shared" si="13"/>
        <v>10</v>
      </c>
      <c r="I39" s="59">
        <f t="shared" si="14"/>
        <v>388</v>
      </c>
      <c r="J39" s="140">
        <f t="shared" si="15"/>
        <v>1211.4880000000001</v>
      </c>
    </row>
    <row r="40" spans="1:10">
      <c r="A40" s="48" t="s">
        <v>47</v>
      </c>
      <c r="B40" s="59">
        <f t="shared" si="8"/>
        <v>600</v>
      </c>
      <c r="C40" s="59">
        <f t="shared" si="9"/>
        <v>150</v>
      </c>
      <c r="D40" s="59">
        <f t="shared" si="10"/>
        <v>20</v>
      </c>
      <c r="E40" s="60">
        <f t="shared" si="11"/>
        <v>33.488</v>
      </c>
      <c r="F40" s="59"/>
      <c r="G40" s="59">
        <f t="shared" si="12"/>
        <v>10</v>
      </c>
      <c r="H40" s="59">
        <f t="shared" si="13"/>
        <v>10</v>
      </c>
      <c r="I40" s="59">
        <f t="shared" si="14"/>
        <v>388</v>
      </c>
      <c r="J40" s="140">
        <f t="shared" si="15"/>
        <v>1211.4880000000001</v>
      </c>
    </row>
    <row r="41" spans="1:10">
      <c r="A41" s="48" t="s">
        <v>48</v>
      </c>
      <c r="B41" s="59">
        <f t="shared" si="8"/>
        <v>600</v>
      </c>
      <c r="C41" s="59">
        <f t="shared" si="9"/>
        <v>150</v>
      </c>
      <c r="D41" s="59">
        <f t="shared" si="10"/>
        <v>20</v>
      </c>
      <c r="E41" s="60">
        <f t="shared" si="11"/>
        <v>33.488</v>
      </c>
      <c r="F41" s="59"/>
      <c r="G41" s="59">
        <f t="shared" si="12"/>
        <v>10</v>
      </c>
      <c r="H41" s="59">
        <f t="shared" si="13"/>
        <v>10</v>
      </c>
      <c r="I41" s="59">
        <f t="shared" si="14"/>
        <v>388</v>
      </c>
      <c r="J41" s="140">
        <f t="shared" si="15"/>
        <v>1211.4880000000001</v>
      </c>
    </row>
    <row r="42" spans="1:10">
      <c r="A42" s="48" t="s">
        <v>49</v>
      </c>
      <c r="B42" s="59">
        <f t="shared" si="8"/>
        <v>600</v>
      </c>
      <c r="C42" s="59">
        <f t="shared" si="9"/>
        <v>150</v>
      </c>
      <c r="D42" s="59">
        <f t="shared" si="10"/>
        <v>20</v>
      </c>
      <c r="E42" s="60">
        <f t="shared" si="11"/>
        <v>33.488</v>
      </c>
      <c r="F42" s="59"/>
      <c r="G42" s="59">
        <f t="shared" si="12"/>
        <v>10</v>
      </c>
      <c r="H42" s="59">
        <f t="shared" si="13"/>
        <v>10</v>
      </c>
      <c r="I42" s="59">
        <f t="shared" si="14"/>
        <v>388</v>
      </c>
      <c r="J42" s="140">
        <f t="shared" si="15"/>
        <v>1211.4880000000001</v>
      </c>
    </row>
    <row r="43" spans="1:10">
      <c r="A43" s="48" t="s">
        <v>50</v>
      </c>
      <c r="B43" s="59">
        <f t="shared" si="8"/>
        <v>600</v>
      </c>
      <c r="C43" s="59">
        <f t="shared" si="9"/>
        <v>150</v>
      </c>
      <c r="D43" s="59">
        <f t="shared" si="10"/>
        <v>20</v>
      </c>
      <c r="E43" s="60">
        <f t="shared" si="11"/>
        <v>33.488</v>
      </c>
      <c r="F43" s="59"/>
      <c r="G43" s="59">
        <f t="shared" si="12"/>
        <v>10</v>
      </c>
      <c r="H43" s="59">
        <f t="shared" si="13"/>
        <v>10</v>
      </c>
      <c r="I43" s="59">
        <f t="shared" si="14"/>
        <v>388</v>
      </c>
      <c r="J43" s="140">
        <f t="shared" si="15"/>
        <v>1211.4880000000001</v>
      </c>
    </row>
    <row r="44" spans="1:10">
      <c r="A44" s="48" t="s">
        <v>51</v>
      </c>
      <c r="B44" s="59">
        <f t="shared" si="8"/>
        <v>600</v>
      </c>
      <c r="C44" s="59">
        <f t="shared" si="9"/>
        <v>150</v>
      </c>
      <c r="D44" s="59">
        <f t="shared" si="10"/>
        <v>20</v>
      </c>
      <c r="E44" s="60">
        <f t="shared" si="11"/>
        <v>33.488</v>
      </c>
      <c r="F44" s="59"/>
      <c r="G44" s="59">
        <f t="shared" si="12"/>
        <v>10</v>
      </c>
      <c r="H44" s="59">
        <f t="shared" si="13"/>
        <v>10</v>
      </c>
      <c r="I44" s="59">
        <f t="shared" si="14"/>
        <v>388</v>
      </c>
      <c r="J44" s="140">
        <f t="shared" si="15"/>
        <v>1211.4880000000001</v>
      </c>
    </row>
    <row r="45" spans="1:10">
      <c r="A45" s="48" t="s">
        <v>52</v>
      </c>
      <c r="B45" s="59">
        <f t="shared" si="8"/>
        <v>600</v>
      </c>
      <c r="C45" s="59">
        <f t="shared" si="9"/>
        <v>150</v>
      </c>
      <c r="D45" s="59">
        <f t="shared" si="10"/>
        <v>20</v>
      </c>
      <c r="E45" s="60">
        <f t="shared" si="11"/>
        <v>33.488</v>
      </c>
      <c r="F45" s="59"/>
      <c r="G45" s="59">
        <f t="shared" si="12"/>
        <v>10</v>
      </c>
      <c r="H45" s="59">
        <f t="shared" si="13"/>
        <v>10</v>
      </c>
      <c r="I45" s="59">
        <f t="shared" si="14"/>
        <v>388</v>
      </c>
      <c r="J45" s="140">
        <f t="shared" si="15"/>
        <v>1211.4880000000001</v>
      </c>
    </row>
    <row r="46" spans="1:10">
      <c r="A46" s="48" t="s">
        <v>53</v>
      </c>
      <c r="B46" s="59">
        <f t="shared" si="8"/>
        <v>600</v>
      </c>
      <c r="C46" s="59">
        <f t="shared" si="9"/>
        <v>150</v>
      </c>
      <c r="D46" s="59">
        <f t="shared" si="10"/>
        <v>20</v>
      </c>
      <c r="E46" s="60">
        <f t="shared" si="11"/>
        <v>33.488</v>
      </c>
      <c r="F46" s="59"/>
      <c r="G46" s="59">
        <f t="shared" si="12"/>
        <v>10</v>
      </c>
      <c r="H46" s="59">
        <f t="shared" si="13"/>
        <v>10</v>
      </c>
      <c r="I46" s="59">
        <f t="shared" si="14"/>
        <v>388</v>
      </c>
      <c r="J46" s="140">
        <f t="shared" si="15"/>
        <v>1211.4880000000001</v>
      </c>
    </row>
    <row r="48" spans="1:10" ht="15">
      <c r="A48" s="66" t="s">
        <v>27</v>
      </c>
    </row>
    <row r="49" spans="1:10" ht="45">
      <c r="A49" s="127" t="s">
        <v>87</v>
      </c>
      <c r="B49" s="58" t="s">
        <v>91</v>
      </c>
      <c r="C49" s="58" t="s">
        <v>92</v>
      </c>
      <c r="D49" s="58" t="s">
        <v>93</v>
      </c>
      <c r="E49" s="58" t="s">
        <v>94</v>
      </c>
      <c r="F49" s="58" t="s">
        <v>95</v>
      </c>
      <c r="G49" s="58" t="s">
        <v>97</v>
      </c>
      <c r="H49" s="58" t="s">
        <v>104</v>
      </c>
      <c r="I49" s="58" t="s">
        <v>99</v>
      </c>
      <c r="J49" s="104" t="s">
        <v>56</v>
      </c>
    </row>
    <row r="50" spans="1:10">
      <c r="A50" s="48" t="s">
        <v>42</v>
      </c>
      <c r="B50" s="59">
        <f>$B$5</f>
        <v>600</v>
      </c>
      <c r="C50" s="59">
        <f>$B$6</f>
        <v>150</v>
      </c>
      <c r="D50" s="59">
        <f>$B$7</f>
        <v>20</v>
      </c>
      <c r="E50" s="60">
        <f>$B$8</f>
        <v>33.488</v>
      </c>
      <c r="F50" s="60">
        <f>$C$9</f>
        <v>134.4</v>
      </c>
      <c r="G50" s="59">
        <f>$B$10</f>
        <v>10</v>
      </c>
      <c r="H50" s="59">
        <f>$B$11</f>
        <v>10</v>
      </c>
      <c r="I50" s="59">
        <f>$B$12</f>
        <v>388</v>
      </c>
      <c r="J50" s="140">
        <f>SUM(B50:I50)</f>
        <v>1345.8879999999999</v>
      </c>
    </row>
    <row r="51" spans="1:10">
      <c r="A51" s="48" t="s">
        <v>43</v>
      </c>
      <c r="B51" s="59">
        <f>B50</f>
        <v>600</v>
      </c>
      <c r="C51" s="59">
        <f>C50</f>
        <v>150</v>
      </c>
      <c r="D51" s="59">
        <f>D50</f>
        <v>20</v>
      </c>
      <c r="E51" s="60">
        <f>E50</f>
        <v>33.488</v>
      </c>
      <c r="F51" s="59"/>
      <c r="G51" s="59">
        <f>G50</f>
        <v>10</v>
      </c>
      <c r="H51" s="59">
        <f>H50</f>
        <v>10</v>
      </c>
      <c r="I51" s="59">
        <f>I50</f>
        <v>388</v>
      </c>
      <c r="J51" s="140">
        <f>SUM(B51:I51)</f>
        <v>1211.4880000000001</v>
      </c>
    </row>
    <row r="52" spans="1:10">
      <c r="A52" s="48" t="s">
        <v>44</v>
      </c>
      <c r="B52" s="59">
        <f t="shared" ref="B52:B61" si="16">B51</f>
        <v>600</v>
      </c>
      <c r="C52" s="59">
        <f t="shared" ref="C52:C61" si="17">C51</f>
        <v>150</v>
      </c>
      <c r="D52" s="59">
        <f t="shared" ref="D52:D61" si="18">D51</f>
        <v>20</v>
      </c>
      <c r="E52" s="60">
        <f t="shared" ref="E52:E61" si="19">E51</f>
        <v>33.488</v>
      </c>
      <c r="F52" s="59"/>
      <c r="G52" s="59">
        <f t="shared" ref="G52:G61" si="20">G51</f>
        <v>10</v>
      </c>
      <c r="H52" s="59">
        <f t="shared" ref="H52:H61" si="21">H51</f>
        <v>10</v>
      </c>
      <c r="I52" s="59">
        <f t="shared" ref="I52:I61" si="22">I51</f>
        <v>388</v>
      </c>
      <c r="J52" s="140">
        <f t="shared" ref="J52:J61" si="23">SUM(B52:I52)</f>
        <v>1211.4880000000001</v>
      </c>
    </row>
    <row r="53" spans="1:10">
      <c r="A53" s="48" t="s">
        <v>45</v>
      </c>
      <c r="B53" s="59">
        <f t="shared" si="16"/>
        <v>600</v>
      </c>
      <c r="C53" s="59">
        <f t="shared" si="17"/>
        <v>150</v>
      </c>
      <c r="D53" s="59">
        <f t="shared" si="18"/>
        <v>20</v>
      </c>
      <c r="E53" s="60">
        <f t="shared" si="19"/>
        <v>33.488</v>
      </c>
      <c r="F53" s="59"/>
      <c r="G53" s="59">
        <f t="shared" si="20"/>
        <v>10</v>
      </c>
      <c r="H53" s="59">
        <f t="shared" si="21"/>
        <v>10</v>
      </c>
      <c r="I53" s="59">
        <f t="shared" si="22"/>
        <v>388</v>
      </c>
      <c r="J53" s="140">
        <f t="shared" si="23"/>
        <v>1211.4880000000001</v>
      </c>
    </row>
    <row r="54" spans="1:10">
      <c r="A54" s="48" t="s">
        <v>46</v>
      </c>
      <c r="B54" s="59">
        <f t="shared" si="16"/>
        <v>600</v>
      </c>
      <c r="C54" s="59">
        <f t="shared" si="17"/>
        <v>150</v>
      </c>
      <c r="D54" s="59">
        <f t="shared" si="18"/>
        <v>20</v>
      </c>
      <c r="E54" s="60">
        <f t="shared" si="19"/>
        <v>33.488</v>
      </c>
      <c r="F54" s="59"/>
      <c r="G54" s="59">
        <f t="shared" si="20"/>
        <v>10</v>
      </c>
      <c r="H54" s="59">
        <f t="shared" si="21"/>
        <v>10</v>
      </c>
      <c r="I54" s="59">
        <f t="shared" si="22"/>
        <v>388</v>
      </c>
      <c r="J54" s="140">
        <f t="shared" si="23"/>
        <v>1211.4880000000001</v>
      </c>
    </row>
    <row r="55" spans="1:10">
      <c r="A55" s="48" t="s">
        <v>47</v>
      </c>
      <c r="B55" s="59">
        <f t="shared" si="16"/>
        <v>600</v>
      </c>
      <c r="C55" s="59">
        <f t="shared" si="17"/>
        <v>150</v>
      </c>
      <c r="D55" s="59">
        <f t="shared" si="18"/>
        <v>20</v>
      </c>
      <c r="E55" s="60">
        <f t="shared" si="19"/>
        <v>33.488</v>
      </c>
      <c r="F55" s="59"/>
      <c r="G55" s="59">
        <f t="shared" si="20"/>
        <v>10</v>
      </c>
      <c r="H55" s="59">
        <f t="shared" si="21"/>
        <v>10</v>
      </c>
      <c r="I55" s="59">
        <f t="shared" si="22"/>
        <v>388</v>
      </c>
      <c r="J55" s="140">
        <f t="shared" si="23"/>
        <v>1211.4880000000001</v>
      </c>
    </row>
    <row r="56" spans="1:10">
      <c r="A56" s="48" t="s">
        <v>48</v>
      </c>
      <c r="B56" s="59">
        <f t="shared" si="16"/>
        <v>600</v>
      </c>
      <c r="C56" s="59">
        <f t="shared" si="17"/>
        <v>150</v>
      </c>
      <c r="D56" s="59">
        <f t="shared" si="18"/>
        <v>20</v>
      </c>
      <c r="E56" s="60">
        <f t="shared" si="19"/>
        <v>33.488</v>
      </c>
      <c r="F56" s="59"/>
      <c r="G56" s="59">
        <f t="shared" si="20"/>
        <v>10</v>
      </c>
      <c r="H56" s="59">
        <f t="shared" si="21"/>
        <v>10</v>
      </c>
      <c r="I56" s="59">
        <f t="shared" si="22"/>
        <v>388</v>
      </c>
      <c r="J56" s="140">
        <f t="shared" si="23"/>
        <v>1211.4880000000001</v>
      </c>
    </row>
    <row r="57" spans="1:10">
      <c r="A57" s="48" t="s">
        <v>49</v>
      </c>
      <c r="B57" s="59">
        <f t="shared" si="16"/>
        <v>600</v>
      </c>
      <c r="C57" s="59">
        <f t="shared" si="17"/>
        <v>150</v>
      </c>
      <c r="D57" s="59">
        <f t="shared" si="18"/>
        <v>20</v>
      </c>
      <c r="E57" s="60">
        <f t="shared" si="19"/>
        <v>33.488</v>
      </c>
      <c r="F57" s="59"/>
      <c r="G57" s="59">
        <f t="shared" si="20"/>
        <v>10</v>
      </c>
      <c r="H57" s="59">
        <f t="shared" si="21"/>
        <v>10</v>
      </c>
      <c r="I57" s="59">
        <f t="shared" si="22"/>
        <v>388</v>
      </c>
      <c r="J57" s="140">
        <f t="shared" si="23"/>
        <v>1211.4880000000001</v>
      </c>
    </row>
    <row r="58" spans="1:10">
      <c r="A58" s="48" t="s">
        <v>50</v>
      </c>
      <c r="B58" s="59">
        <f t="shared" si="16"/>
        <v>600</v>
      </c>
      <c r="C58" s="59">
        <f t="shared" si="17"/>
        <v>150</v>
      </c>
      <c r="D58" s="59">
        <f t="shared" si="18"/>
        <v>20</v>
      </c>
      <c r="E58" s="60">
        <f t="shared" si="19"/>
        <v>33.488</v>
      </c>
      <c r="F58" s="59"/>
      <c r="G58" s="59">
        <f t="shared" si="20"/>
        <v>10</v>
      </c>
      <c r="H58" s="59">
        <f t="shared" si="21"/>
        <v>10</v>
      </c>
      <c r="I58" s="59">
        <f t="shared" si="22"/>
        <v>388</v>
      </c>
      <c r="J58" s="140">
        <f t="shared" si="23"/>
        <v>1211.4880000000001</v>
      </c>
    </row>
    <row r="59" spans="1:10">
      <c r="A59" s="48" t="s">
        <v>51</v>
      </c>
      <c r="B59" s="59">
        <f t="shared" si="16"/>
        <v>600</v>
      </c>
      <c r="C59" s="59">
        <f t="shared" si="17"/>
        <v>150</v>
      </c>
      <c r="D59" s="59">
        <f t="shared" si="18"/>
        <v>20</v>
      </c>
      <c r="E59" s="60">
        <f t="shared" si="19"/>
        <v>33.488</v>
      </c>
      <c r="F59" s="59"/>
      <c r="G59" s="59">
        <f t="shared" si="20"/>
        <v>10</v>
      </c>
      <c r="H59" s="59">
        <f t="shared" si="21"/>
        <v>10</v>
      </c>
      <c r="I59" s="59">
        <f t="shared" si="22"/>
        <v>388</v>
      </c>
      <c r="J59" s="140">
        <f t="shared" si="23"/>
        <v>1211.4880000000001</v>
      </c>
    </row>
    <row r="60" spans="1:10">
      <c r="A60" s="48" t="s">
        <v>52</v>
      </c>
      <c r="B60" s="59">
        <f t="shared" si="16"/>
        <v>600</v>
      </c>
      <c r="C60" s="59">
        <f t="shared" si="17"/>
        <v>150</v>
      </c>
      <c r="D60" s="59">
        <f t="shared" si="18"/>
        <v>20</v>
      </c>
      <c r="E60" s="60">
        <f t="shared" si="19"/>
        <v>33.488</v>
      </c>
      <c r="F60" s="59"/>
      <c r="G60" s="59">
        <f t="shared" si="20"/>
        <v>10</v>
      </c>
      <c r="H60" s="59">
        <f t="shared" si="21"/>
        <v>10</v>
      </c>
      <c r="I60" s="59">
        <f t="shared" si="22"/>
        <v>388</v>
      </c>
      <c r="J60" s="140">
        <f t="shared" si="23"/>
        <v>1211.4880000000001</v>
      </c>
    </row>
    <row r="61" spans="1:10">
      <c r="A61" s="48" t="s">
        <v>53</v>
      </c>
      <c r="B61" s="59">
        <f t="shared" si="16"/>
        <v>600</v>
      </c>
      <c r="C61" s="59">
        <f t="shared" si="17"/>
        <v>150</v>
      </c>
      <c r="D61" s="59">
        <f t="shared" si="18"/>
        <v>20</v>
      </c>
      <c r="E61" s="60">
        <f t="shared" si="19"/>
        <v>33.488</v>
      </c>
      <c r="F61" s="59"/>
      <c r="G61" s="59">
        <f t="shared" si="20"/>
        <v>10</v>
      </c>
      <c r="H61" s="59">
        <f t="shared" si="21"/>
        <v>10</v>
      </c>
      <c r="I61" s="59">
        <f t="shared" si="22"/>
        <v>388</v>
      </c>
      <c r="J61" s="140">
        <f t="shared" si="23"/>
        <v>1211.4880000000001</v>
      </c>
    </row>
    <row r="63" spans="1:10" ht="15">
      <c r="A63" s="66" t="s">
        <v>28</v>
      </c>
    </row>
    <row r="64" spans="1:10" ht="45">
      <c r="A64" s="127" t="s">
        <v>87</v>
      </c>
      <c r="B64" s="58" t="s">
        <v>91</v>
      </c>
      <c r="C64" s="58" t="s">
        <v>92</v>
      </c>
      <c r="D64" s="58" t="s">
        <v>93</v>
      </c>
      <c r="E64" s="58" t="s">
        <v>94</v>
      </c>
      <c r="F64" s="58" t="s">
        <v>95</v>
      </c>
      <c r="G64" s="58" t="s">
        <v>97</v>
      </c>
      <c r="H64" s="58" t="s">
        <v>104</v>
      </c>
      <c r="I64" s="58" t="s">
        <v>99</v>
      </c>
      <c r="J64" s="104" t="s">
        <v>56</v>
      </c>
    </row>
    <row r="65" spans="1:10">
      <c r="A65" s="48" t="s">
        <v>42</v>
      </c>
      <c r="B65" s="59">
        <f>$B$5</f>
        <v>600</v>
      </c>
      <c r="C65" s="59">
        <f>$B$6</f>
        <v>150</v>
      </c>
      <c r="D65" s="59">
        <f>$B$7</f>
        <v>20</v>
      </c>
      <c r="E65" s="60">
        <f>$B$8</f>
        <v>33.488</v>
      </c>
      <c r="F65" s="60">
        <f>$C$9</f>
        <v>134.4</v>
      </c>
      <c r="G65" s="59">
        <f>$B$10</f>
        <v>10</v>
      </c>
      <c r="H65" s="59">
        <f>$B$11</f>
        <v>10</v>
      </c>
      <c r="I65" s="59">
        <f>$B$12</f>
        <v>388</v>
      </c>
      <c r="J65" s="140">
        <f>SUM(B65:I65)</f>
        <v>1345.8879999999999</v>
      </c>
    </row>
    <row r="66" spans="1:10">
      <c r="A66" s="48" t="s">
        <v>43</v>
      </c>
      <c r="B66" s="59">
        <f>B65</f>
        <v>600</v>
      </c>
      <c r="C66" s="59">
        <f>C65</f>
        <v>150</v>
      </c>
      <c r="D66" s="59">
        <f>D65</f>
        <v>20</v>
      </c>
      <c r="E66" s="60">
        <f>E65</f>
        <v>33.488</v>
      </c>
      <c r="F66" s="59"/>
      <c r="G66" s="59">
        <f>G65</f>
        <v>10</v>
      </c>
      <c r="H66" s="59">
        <f>H65</f>
        <v>10</v>
      </c>
      <c r="I66" s="59">
        <f>I65</f>
        <v>388</v>
      </c>
      <c r="J66" s="140">
        <f>SUM(B66:I66)</f>
        <v>1211.4880000000001</v>
      </c>
    </row>
    <row r="67" spans="1:10">
      <c r="A67" s="48" t="s">
        <v>44</v>
      </c>
      <c r="B67" s="59">
        <f t="shared" ref="B67:B76" si="24">B66</f>
        <v>600</v>
      </c>
      <c r="C67" s="59">
        <f t="shared" ref="C67:C76" si="25">C66</f>
        <v>150</v>
      </c>
      <c r="D67" s="59">
        <f t="shared" ref="D67:D76" si="26">D66</f>
        <v>20</v>
      </c>
      <c r="E67" s="60">
        <f t="shared" ref="E67:E76" si="27">E66</f>
        <v>33.488</v>
      </c>
      <c r="F67" s="59"/>
      <c r="G67" s="59">
        <f t="shared" ref="G67:G76" si="28">G66</f>
        <v>10</v>
      </c>
      <c r="H67" s="59">
        <f t="shared" ref="H67:H76" si="29">H66</f>
        <v>10</v>
      </c>
      <c r="I67" s="59">
        <f t="shared" ref="I67:I76" si="30">I66</f>
        <v>388</v>
      </c>
      <c r="J67" s="140">
        <f t="shared" ref="J67:J76" si="31">SUM(B67:I67)</f>
        <v>1211.4880000000001</v>
      </c>
    </row>
    <row r="68" spans="1:10">
      <c r="A68" s="48" t="s">
        <v>45</v>
      </c>
      <c r="B68" s="59">
        <f t="shared" si="24"/>
        <v>600</v>
      </c>
      <c r="C68" s="59">
        <f t="shared" si="25"/>
        <v>150</v>
      </c>
      <c r="D68" s="59">
        <f t="shared" si="26"/>
        <v>20</v>
      </c>
      <c r="E68" s="60">
        <f t="shared" si="27"/>
        <v>33.488</v>
      </c>
      <c r="F68" s="59"/>
      <c r="G68" s="59">
        <f t="shared" si="28"/>
        <v>10</v>
      </c>
      <c r="H68" s="59">
        <f t="shared" si="29"/>
        <v>10</v>
      </c>
      <c r="I68" s="59">
        <f t="shared" si="30"/>
        <v>388</v>
      </c>
      <c r="J68" s="140">
        <f t="shared" si="31"/>
        <v>1211.4880000000001</v>
      </c>
    </row>
    <row r="69" spans="1:10">
      <c r="A69" s="48" t="s">
        <v>46</v>
      </c>
      <c r="B69" s="59">
        <f t="shared" si="24"/>
        <v>600</v>
      </c>
      <c r="C69" s="59">
        <f t="shared" si="25"/>
        <v>150</v>
      </c>
      <c r="D69" s="59">
        <f t="shared" si="26"/>
        <v>20</v>
      </c>
      <c r="E69" s="60">
        <f t="shared" si="27"/>
        <v>33.488</v>
      </c>
      <c r="F69" s="59"/>
      <c r="G69" s="59">
        <f t="shared" si="28"/>
        <v>10</v>
      </c>
      <c r="H69" s="59">
        <f t="shared" si="29"/>
        <v>10</v>
      </c>
      <c r="I69" s="59">
        <f t="shared" si="30"/>
        <v>388</v>
      </c>
      <c r="J69" s="140">
        <f t="shared" si="31"/>
        <v>1211.4880000000001</v>
      </c>
    </row>
    <row r="70" spans="1:10">
      <c r="A70" s="48" t="s">
        <v>47</v>
      </c>
      <c r="B70" s="59">
        <f t="shared" si="24"/>
        <v>600</v>
      </c>
      <c r="C70" s="59">
        <f t="shared" si="25"/>
        <v>150</v>
      </c>
      <c r="D70" s="59">
        <f t="shared" si="26"/>
        <v>20</v>
      </c>
      <c r="E70" s="60">
        <f t="shared" si="27"/>
        <v>33.488</v>
      </c>
      <c r="F70" s="59"/>
      <c r="G70" s="59">
        <f t="shared" si="28"/>
        <v>10</v>
      </c>
      <c r="H70" s="59">
        <f t="shared" si="29"/>
        <v>10</v>
      </c>
      <c r="I70" s="59">
        <f t="shared" si="30"/>
        <v>388</v>
      </c>
      <c r="J70" s="140">
        <f t="shared" si="31"/>
        <v>1211.4880000000001</v>
      </c>
    </row>
    <row r="71" spans="1:10">
      <c r="A71" s="48" t="s">
        <v>48</v>
      </c>
      <c r="B71" s="59">
        <f t="shared" si="24"/>
        <v>600</v>
      </c>
      <c r="C71" s="59">
        <f t="shared" si="25"/>
        <v>150</v>
      </c>
      <c r="D71" s="59">
        <f t="shared" si="26"/>
        <v>20</v>
      </c>
      <c r="E71" s="60">
        <f t="shared" si="27"/>
        <v>33.488</v>
      </c>
      <c r="F71" s="59"/>
      <c r="G71" s="59">
        <f t="shared" si="28"/>
        <v>10</v>
      </c>
      <c r="H71" s="59">
        <f t="shared" si="29"/>
        <v>10</v>
      </c>
      <c r="I71" s="59">
        <f t="shared" si="30"/>
        <v>388</v>
      </c>
      <c r="J71" s="140">
        <f t="shared" si="31"/>
        <v>1211.4880000000001</v>
      </c>
    </row>
    <row r="72" spans="1:10">
      <c r="A72" s="48" t="s">
        <v>49</v>
      </c>
      <c r="B72" s="59">
        <f t="shared" si="24"/>
        <v>600</v>
      </c>
      <c r="C72" s="59">
        <f t="shared" si="25"/>
        <v>150</v>
      </c>
      <c r="D72" s="59">
        <f t="shared" si="26"/>
        <v>20</v>
      </c>
      <c r="E72" s="60">
        <f t="shared" si="27"/>
        <v>33.488</v>
      </c>
      <c r="F72" s="59"/>
      <c r="G72" s="59">
        <f t="shared" si="28"/>
        <v>10</v>
      </c>
      <c r="H72" s="59">
        <f t="shared" si="29"/>
        <v>10</v>
      </c>
      <c r="I72" s="59">
        <f t="shared" si="30"/>
        <v>388</v>
      </c>
      <c r="J72" s="140">
        <f t="shared" si="31"/>
        <v>1211.4880000000001</v>
      </c>
    </row>
    <row r="73" spans="1:10">
      <c r="A73" s="48" t="s">
        <v>50</v>
      </c>
      <c r="B73" s="59">
        <f t="shared" si="24"/>
        <v>600</v>
      </c>
      <c r="C73" s="59">
        <f t="shared" si="25"/>
        <v>150</v>
      </c>
      <c r="D73" s="59">
        <f t="shared" si="26"/>
        <v>20</v>
      </c>
      <c r="E73" s="60">
        <f t="shared" si="27"/>
        <v>33.488</v>
      </c>
      <c r="F73" s="59"/>
      <c r="G73" s="59">
        <f t="shared" si="28"/>
        <v>10</v>
      </c>
      <c r="H73" s="59">
        <f t="shared" si="29"/>
        <v>10</v>
      </c>
      <c r="I73" s="59">
        <f t="shared" si="30"/>
        <v>388</v>
      </c>
      <c r="J73" s="140">
        <f t="shared" si="31"/>
        <v>1211.4880000000001</v>
      </c>
    </row>
    <row r="74" spans="1:10">
      <c r="A74" s="48" t="s">
        <v>51</v>
      </c>
      <c r="B74" s="59">
        <f t="shared" si="24"/>
        <v>600</v>
      </c>
      <c r="C74" s="59">
        <f t="shared" si="25"/>
        <v>150</v>
      </c>
      <c r="D74" s="59">
        <f t="shared" si="26"/>
        <v>20</v>
      </c>
      <c r="E74" s="60">
        <f t="shared" si="27"/>
        <v>33.488</v>
      </c>
      <c r="F74" s="59"/>
      <c r="G74" s="59">
        <f t="shared" si="28"/>
        <v>10</v>
      </c>
      <c r="H74" s="59">
        <f t="shared" si="29"/>
        <v>10</v>
      </c>
      <c r="I74" s="59">
        <f t="shared" si="30"/>
        <v>388</v>
      </c>
      <c r="J74" s="140">
        <f t="shared" si="31"/>
        <v>1211.4880000000001</v>
      </c>
    </row>
    <row r="75" spans="1:10">
      <c r="A75" s="48" t="s">
        <v>52</v>
      </c>
      <c r="B75" s="59">
        <f t="shared" si="24"/>
        <v>600</v>
      </c>
      <c r="C75" s="59">
        <f t="shared" si="25"/>
        <v>150</v>
      </c>
      <c r="D75" s="59">
        <f t="shared" si="26"/>
        <v>20</v>
      </c>
      <c r="E75" s="60">
        <f t="shared" si="27"/>
        <v>33.488</v>
      </c>
      <c r="F75" s="59"/>
      <c r="G75" s="59">
        <f t="shared" si="28"/>
        <v>10</v>
      </c>
      <c r="H75" s="59">
        <f t="shared" si="29"/>
        <v>10</v>
      </c>
      <c r="I75" s="59">
        <f t="shared" si="30"/>
        <v>388</v>
      </c>
      <c r="J75" s="140">
        <f t="shared" si="31"/>
        <v>1211.4880000000001</v>
      </c>
    </row>
    <row r="76" spans="1:10">
      <c r="A76" s="48" t="s">
        <v>53</v>
      </c>
      <c r="B76" s="59">
        <f t="shared" si="24"/>
        <v>600</v>
      </c>
      <c r="C76" s="59">
        <f t="shared" si="25"/>
        <v>150</v>
      </c>
      <c r="D76" s="59">
        <f t="shared" si="26"/>
        <v>20</v>
      </c>
      <c r="E76" s="60">
        <f t="shared" si="27"/>
        <v>33.488</v>
      </c>
      <c r="F76" s="59"/>
      <c r="G76" s="59">
        <f t="shared" si="28"/>
        <v>10</v>
      </c>
      <c r="H76" s="59">
        <f t="shared" si="29"/>
        <v>10</v>
      </c>
      <c r="I76" s="59">
        <f t="shared" si="30"/>
        <v>388</v>
      </c>
      <c r="J76" s="140">
        <f t="shared" si="31"/>
        <v>1211.4880000000001</v>
      </c>
    </row>
    <row r="78" spans="1:10" ht="15">
      <c r="A78" s="66" t="s">
        <v>29</v>
      </c>
    </row>
    <row r="79" spans="1:10" ht="45">
      <c r="A79" s="127" t="s">
        <v>87</v>
      </c>
      <c r="B79" s="58" t="s">
        <v>91</v>
      </c>
      <c r="C79" s="58" t="s">
        <v>92</v>
      </c>
      <c r="D79" s="58" t="s">
        <v>93</v>
      </c>
      <c r="E79" s="58" t="s">
        <v>94</v>
      </c>
      <c r="F79" s="58" t="s">
        <v>95</v>
      </c>
      <c r="G79" s="58" t="s">
        <v>97</v>
      </c>
      <c r="H79" s="58" t="s">
        <v>104</v>
      </c>
      <c r="I79" s="58" t="s">
        <v>99</v>
      </c>
      <c r="J79" s="104" t="s">
        <v>56</v>
      </c>
    </row>
    <row r="80" spans="1:10">
      <c r="A80" s="48" t="s">
        <v>42</v>
      </c>
      <c r="B80" s="59">
        <f>$B$5</f>
        <v>600</v>
      </c>
      <c r="C80" s="59">
        <f>$B$6</f>
        <v>150</v>
      </c>
      <c r="D80" s="59">
        <f>$B$7</f>
        <v>20</v>
      </c>
      <c r="E80" s="60">
        <f>$B$8</f>
        <v>33.488</v>
      </c>
      <c r="F80" s="60">
        <f>$C$9</f>
        <v>134.4</v>
      </c>
      <c r="G80" s="59">
        <f>$B$10</f>
        <v>10</v>
      </c>
      <c r="H80" s="59">
        <f>$B$11</f>
        <v>10</v>
      </c>
      <c r="I80" s="59">
        <f>$B$12</f>
        <v>388</v>
      </c>
      <c r="J80" s="140">
        <f>SUM(B80:I80)</f>
        <v>1345.8879999999999</v>
      </c>
    </row>
    <row r="81" spans="1:10">
      <c r="A81" s="48" t="s">
        <v>43</v>
      </c>
      <c r="B81" s="59">
        <f>B80</f>
        <v>600</v>
      </c>
      <c r="C81" s="59">
        <f>C80</f>
        <v>150</v>
      </c>
      <c r="D81" s="59">
        <f>D80</f>
        <v>20</v>
      </c>
      <c r="E81" s="60">
        <f>E80</f>
        <v>33.488</v>
      </c>
      <c r="F81" s="59"/>
      <c r="G81" s="59">
        <f>G80</f>
        <v>10</v>
      </c>
      <c r="H81" s="59">
        <f>H80</f>
        <v>10</v>
      </c>
      <c r="I81" s="59">
        <f>I80</f>
        <v>388</v>
      </c>
      <c r="J81" s="140">
        <f>SUM(B81:I81)</f>
        <v>1211.4880000000001</v>
      </c>
    </row>
    <row r="82" spans="1:10">
      <c r="A82" s="48" t="s">
        <v>44</v>
      </c>
      <c r="B82" s="59">
        <f t="shared" ref="B82:B91" si="32">B81</f>
        <v>600</v>
      </c>
      <c r="C82" s="59">
        <f t="shared" ref="C82:C91" si="33">C81</f>
        <v>150</v>
      </c>
      <c r="D82" s="59">
        <f t="shared" ref="D82:D91" si="34">D81</f>
        <v>20</v>
      </c>
      <c r="E82" s="60">
        <f t="shared" ref="E82:E91" si="35">E81</f>
        <v>33.488</v>
      </c>
      <c r="F82" s="59"/>
      <c r="G82" s="59">
        <f t="shared" ref="G82:G91" si="36">G81</f>
        <v>10</v>
      </c>
      <c r="H82" s="59">
        <f t="shared" ref="H82:H91" si="37">H81</f>
        <v>10</v>
      </c>
      <c r="I82" s="59">
        <f t="shared" ref="I82:I91" si="38">I81</f>
        <v>388</v>
      </c>
      <c r="J82" s="140">
        <f t="shared" ref="J82:J91" si="39">SUM(B82:I82)</f>
        <v>1211.4880000000001</v>
      </c>
    </row>
    <row r="83" spans="1:10">
      <c r="A83" s="48" t="s">
        <v>45</v>
      </c>
      <c r="B83" s="59">
        <f t="shared" si="32"/>
        <v>600</v>
      </c>
      <c r="C83" s="59">
        <f t="shared" si="33"/>
        <v>150</v>
      </c>
      <c r="D83" s="59">
        <f t="shared" si="34"/>
        <v>20</v>
      </c>
      <c r="E83" s="60">
        <f t="shared" si="35"/>
        <v>33.488</v>
      </c>
      <c r="F83" s="59"/>
      <c r="G83" s="59">
        <f t="shared" si="36"/>
        <v>10</v>
      </c>
      <c r="H83" s="59">
        <f t="shared" si="37"/>
        <v>10</v>
      </c>
      <c r="I83" s="59">
        <f t="shared" si="38"/>
        <v>388</v>
      </c>
      <c r="J83" s="140">
        <f t="shared" si="39"/>
        <v>1211.4880000000001</v>
      </c>
    </row>
    <row r="84" spans="1:10">
      <c r="A84" s="48" t="s">
        <v>46</v>
      </c>
      <c r="B84" s="59">
        <f t="shared" si="32"/>
        <v>600</v>
      </c>
      <c r="C84" s="59">
        <f t="shared" si="33"/>
        <v>150</v>
      </c>
      <c r="D84" s="59">
        <f t="shared" si="34"/>
        <v>20</v>
      </c>
      <c r="E84" s="60">
        <f t="shared" si="35"/>
        <v>33.488</v>
      </c>
      <c r="F84" s="59"/>
      <c r="G84" s="59">
        <f t="shared" si="36"/>
        <v>10</v>
      </c>
      <c r="H84" s="59">
        <f t="shared" si="37"/>
        <v>10</v>
      </c>
      <c r="I84" s="59">
        <f t="shared" si="38"/>
        <v>388</v>
      </c>
      <c r="J84" s="140">
        <f t="shared" si="39"/>
        <v>1211.4880000000001</v>
      </c>
    </row>
    <row r="85" spans="1:10">
      <c r="A85" s="48" t="s">
        <v>47</v>
      </c>
      <c r="B85" s="59">
        <f t="shared" si="32"/>
        <v>600</v>
      </c>
      <c r="C85" s="59">
        <f t="shared" si="33"/>
        <v>150</v>
      </c>
      <c r="D85" s="59">
        <f t="shared" si="34"/>
        <v>20</v>
      </c>
      <c r="E85" s="60">
        <f t="shared" si="35"/>
        <v>33.488</v>
      </c>
      <c r="F85" s="59"/>
      <c r="G85" s="59">
        <f t="shared" si="36"/>
        <v>10</v>
      </c>
      <c r="H85" s="59">
        <f t="shared" si="37"/>
        <v>10</v>
      </c>
      <c r="I85" s="59">
        <f t="shared" si="38"/>
        <v>388</v>
      </c>
      <c r="J85" s="140">
        <f t="shared" si="39"/>
        <v>1211.4880000000001</v>
      </c>
    </row>
    <row r="86" spans="1:10">
      <c r="A86" s="48" t="s">
        <v>48</v>
      </c>
      <c r="B86" s="59">
        <f t="shared" si="32"/>
        <v>600</v>
      </c>
      <c r="C86" s="59">
        <f t="shared" si="33"/>
        <v>150</v>
      </c>
      <c r="D86" s="59">
        <f t="shared" si="34"/>
        <v>20</v>
      </c>
      <c r="E86" s="60">
        <f t="shared" si="35"/>
        <v>33.488</v>
      </c>
      <c r="F86" s="59"/>
      <c r="G86" s="59">
        <f t="shared" si="36"/>
        <v>10</v>
      </c>
      <c r="H86" s="59">
        <f t="shared" si="37"/>
        <v>10</v>
      </c>
      <c r="I86" s="59">
        <f t="shared" si="38"/>
        <v>388</v>
      </c>
      <c r="J86" s="140">
        <f t="shared" si="39"/>
        <v>1211.4880000000001</v>
      </c>
    </row>
    <row r="87" spans="1:10">
      <c r="A87" s="48" t="s">
        <v>49</v>
      </c>
      <c r="B87" s="59">
        <f t="shared" si="32"/>
        <v>600</v>
      </c>
      <c r="C87" s="59">
        <f t="shared" si="33"/>
        <v>150</v>
      </c>
      <c r="D87" s="59">
        <f t="shared" si="34"/>
        <v>20</v>
      </c>
      <c r="E87" s="60">
        <f t="shared" si="35"/>
        <v>33.488</v>
      </c>
      <c r="F87" s="59"/>
      <c r="G87" s="59">
        <f t="shared" si="36"/>
        <v>10</v>
      </c>
      <c r="H87" s="59">
        <f t="shared" si="37"/>
        <v>10</v>
      </c>
      <c r="I87" s="59">
        <f t="shared" si="38"/>
        <v>388</v>
      </c>
      <c r="J87" s="140">
        <f t="shared" si="39"/>
        <v>1211.4880000000001</v>
      </c>
    </row>
    <row r="88" spans="1:10">
      <c r="A88" s="48" t="s">
        <v>50</v>
      </c>
      <c r="B88" s="59">
        <f t="shared" si="32"/>
        <v>600</v>
      </c>
      <c r="C88" s="59">
        <f t="shared" si="33"/>
        <v>150</v>
      </c>
      <c r="D88" s="59">
        <f t="shared" si="34"/>
        <v>20</v>
      </c>
      <c r="E88" s="60">
        <f t="shared" si="35"/>
        <v>33.488</v>
      </c>
      <c r="F88" s="59"/>
      <c r="G88" s="59">
        <f t="shared" si="36"/>
        <v>10</v>
      </c>
      <c r="H88" s="59">
        <f t="shared" si="37"/>
        <v>10</v>
      </c>
      <c r="I88" s="59">
        <f t="shared" si="38"/>
        <v>388</v>
      </c>
      <c r="J88" s="140">
        <f t="shared" si="39"/>
        <v>1211.4880000000001</v>
      </c>
    </row>
    <row r="89" spans="1:10">
      <c r="A89" s="48" t="s">
        <v>51</v>
      </c>
      <c r="B89" s="59">
        <f t="shared" si="32"/>
        <v>600</v>
      </c>
      <c r="C89" s="59">
        <f t="shared" si="33"/>
        <v>150</v>
      </c>
      <c r="D89" s="59">
        <f t="shared" si="34"/>
        <v>20</v>
      </c>
      <c r="E89" s="60">
        <f t="shared" si="35"/>
        <v>33.488</v>
      </c>
      <c r="F89" s="59"/>
      <c r="G89" s="59">
        <f t="shared" si="36"/>
        <v>10</v>
      </c>
      <c r="H89" s="59">
        <f t="shared" si="37"/>
        <v>10</v>
      </c>
      <c r="I89" s="59">
        <f t="shared" si="38"/>
        <v>388</v>
      </c>
      <c r="J89" s="140">
        <f t="shared" si="39"/>
        <v>1211.4880000000001</v>
      </c>
    </row>
    <row r="90" spans="1:10">
      <c r="A90" s="48" t="s">
        <v>52</v>
      </c>
      <c r="B90" s="59">
        <f t="shared" si="32"/>
        <v>600</v>
      </c>
      <c r="C90" s="59">
        <f t="shared" si="33"/>
        <v>150</v>
      </c>
      <c r="D90" s="59">
        <f t="shared" si="34"/>
        <v>20</v>
      </c>
      <c r="E90" s="60">
        <f t="shared" si="35"/>
        <v>33.488</v>
      </c>
      <c r="F90" s="59"/>
      <c r="G90" s="59">
        <f t="shared" si="36"/>
        <v>10</v>
      </c>
      <c r="H90" s="59">
        <f t="shared" si="37"/>
        <v>10</v>
      </c>
      <c r="I90" s="59">
        <f t="shared" si="38"/>
        <v>388</v>
      </c>
      <c r="J90" s="140">
        <f t="shared" si="39"/>
        <v>1211.4880000000001</v>
      </c>
    </row>
    <row r="91" spans="1:10">
      <c r="A91" s="48" t="s">
        <v>53</v>
      </c>
      <c r="B91" s="59">
        <f t="shared" si="32"/>
        <v>600</v>
      </c>
      <c r="C91" s="59">
        <f t="shared" si="33"/>
        <v>150</v>
      </c>
      <c r="D91" s="59">
        <f t="shared" si="34"/>
        <v>20</v>
      </c>
      <c r="E91" s="60">
        <f t="shared" si="35"/>
        <v>33.488</v>
      </c>
      <c r="F91" s="59"/>
      <c r="G91" s="59">
        <f t="shared" si="36"/>
        <v>10</v>
      </c>
      <c r="H91" s="59">
        <f t="shared" si="37"/>
        <v>10</v>
      </c>
      <c r="I91" s="59">
        <f t="shared" si="38"/>
        <v>388</v>
      </c>
      <c r="J91" s="140">
        <f t="shared" si="39"/>
        <v>1211.4880000000001</v>
      </c>
    </row>
    <row r="93" spans="1:10" ht="15" thickBot="1"/>
    <row r="94" spans="1:10" ht="15.75" thickBot="1">
      <c r="A94" s="147"/>
      <c r="B94" s="141" t="s">
        <v>25</v>
      </c>
      <c r="C94" s="144" t="s">
        <v>26</v>
      </c>
      <c r="D94" s="141" t="s">
        <v>27</v>
      </c>
      <c r="E94" s="144" t="s">
        <v>28</v>
      </c>
      <c r="F94" s="141" t="s">
        <v>29</v>
      </c>
    </row>
    <row r="95" spans="1:10" ht="15">
      <c r="A95" s="148" t="s">
        <v>89</v>
      </c>
      <c r="B95" s="149">
        <f>'Costos Fijos Administrativos'!B91</f>
        <v>18820.833333333332</v>
      </c>
      <c r="C95" s="150">
        <f>'Costos Fijos Administrativos'!C91</f>
        <v>19758</v>
      </c>
      <c r="D95" s="149">
        <f>'Costos Fijos Administrativos'!D91</f>
        <v>19758</v>
      </c>
      <c r="E95" s="150">
        <f>'Costos Fijos Administrativos'!E91</f>
        <v>19758</v>
      </c>
      <c r="F95" s="149">
        <f>'Costos Fijos Administrativos'!F91</f>
        <v>19758</v>
      </c>
    </row>
    <row r="96" spans="1:10" ht="15.75" thickBot="1">
      <c r="A96" s="151" t="s">
        <v>66</v>
      </c>
      <c r="B96" s="152">
        <f>SUM(J20:J31)</f>
        <v>14672.255999999998</v>
      </c>
      <c r="C96" s="153">
        <f>SUM(J35:J46)</f>
        <v>14672.255999999998</v>
      </c>
      <c r="D96" s="152">
        <f>SUM(J50:J61)</f>
        <v>14672.255999999998</v>
      </c>
      <c r="E96" s="153">
        <f>SUM(J65:J76)</f>
        <v>14672.255999999998</v>
      </c>
      <c r="F96" s="152">
        <f>SUM(J80:J91)</f>
        <v>14672.255999999998</v>
      </c>
    </row>
    <row r="97" spans="1:6" ht="15.75" thickBot="1">
      <c r="A97" s="87" t="s">
        <v>105</v>
      </c>
      <c r="B97" s="154">
        <f>B95+B96</f>
        <v>33493.08933333333</v>
      </c>
      <c r="C97" s="63">
        <f>C95+C96</f>
        <v>34430.255999999994</v>
      </c>
      <c r="D97" s="154">
        <f>D95+D96</f>
        <v>34430.255999999994</v>
      </c>
      <c r="E97" s="63">
        <f>E95+E96</f>
        <v>34430.255999999994</v>
      </c>
      <c r="F97" s="154">
        <f>F95+F96</f>
        <v>34430.255999999994</v>
      </c>
    </row>
  </sheetData>
  <phoneticPr fontId="13" type="noConversion"/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K76"/>
  <sheetViews>
    <sheetView topLeftCell="B61" workbookViewId="0">
      <selection activeCell="C74" sqref="C74"/>
    </sheetView>
  </sheetViews>
  <sheetFormatPr baseColWidth="10" defaultRowHeight="14.25"/>
  <cols>
    <col min="1" max="1" width="11.42578125" style="30"/>
    <col min="2" max="2" width="30.5703125" style="30" customWidth="1"/>
    <col min="3" max="3" width="16.7109375" style="30" bestFit="1" customWidth="1"/>
    <col min="4" max="4" width="12.42578125" style="30" bestFit="1" customWidth="1"/>
    <col min="5" max="6" width="12" style="30" bestFit="1" customWidth="1"/>
    <col min="7" max="8" width="12.28515625" style="30" bestFit="1" customWidth="1"/>
    <col min="9" max="9" width="12" style="30" bestFit="1" customWidth="1"/>
    <col min="10" max="10" width="16.7109375" style="30" customWidth="1"/>
    <col min="11" max="11" width="12.28515625" style="30" bestFit="1" customWidth="1"/>
    <col min="12" max="12" width="12.42578125" style="30" bestFit="1" customWidth="1"/>
    <col min="13" max="14" width="12" style="30" bestFit="1" customWidth="1"/>
    <col min="15" max="15" width="12.28515625" style="30" bestFit="1" customWidth="1"/>
    <col min="16" max="16384" width="11.42578125" style="30"/>
  </cols>
  <sheetData>
    <row r="2" spans="2:52" ht="15" thickBot="1"/>
    <row r="3" spans="2:52" ht="15" thickBot="1">
      <c r="B3" s="673" t="s">
        <v>58</v>
      </c>
      <c r="C3" s="674"/>
      <c r="D3" s="674"/>
      <c r="E3" s="674"/>
      <c r="F3" s="674"/>
      <c r="G3" s="674"/>
      <c r="H3" s="675"/>
    </row>
    <row r="4" spans="2:52" ht="15" thickBot="1">
      <c r="B4" s="155"/>
    </row>
    <row r="5" spans="2:52" ht="15.75" thickBot="1">
      <c r="B5" s="651" t="s">
        <v>326</v>
      </c>
      <c r="C5" s="652"/>
      <c r="D5" s="652"/>
      <c r="E5" s="652"/>
      <c r="F5" s="652"/>
      <c r="G5" s="652"/>
      <c r="H5" s="653"/>
    </row>
    <row r="6" spans="2:52" ht="15">
      <c r="B6" s="156"/>
      <c r="C6" s="156"/>
      <c r="D6" s="156"/>
      <c r="E6" s="156"/>
      <c r="F6" s="156"/>
      <c r="G6" s="156"/>
      <c r="H6" s="156"/>
      <c r="K6" s="157" t="s">
        <v>306</v>
      </c>
      <c r="L6" s="42">
        <v>178</v>
      </c>
      <c r="M6" s="42">
        <v>178</v>
      </c>
      <c r="N6" s="158">
        <f>M6/$M$9</f>
        <v>0.51002865329512892</v>
      </c>
    </row>
    <row r="7" spans="2:52" ht="15">
      <c r="B7" s="66" t="s">
        <v>33</v>
      </c>
      <c r="K7" s="44" t="s">
        <v>307</v>
      </c>
      <c r="L7" s="45">
        <v>27</v>
      </c>
      <c r="M7" s="45">
        <f>SUM(L7:L8)</f>
        <v>171</v>
      </c>
      <c r="N7" s="159">
        <f>M7/$M$9</f>
        <v>0.48997134670487108</v>
      </c>
    </row>
    <row r="8" spans="2:52">
      <c r="K8" s="44"/>
      <c r="L8" s="45">
        <v>144</v>
      </c>
      <c r="M8" s="45"/>
      <c r="N8" s="46"/>
    </row>
    <row r="9" spans="2:52" ht="15">
      <c r="B9" s="48"/>
      <c r="C9" s="48"/>
      <c r="D9" s="103" t="s">
        <v>17</v>
      </c>
      <c r="E9" s="103" t="s">
        <v>18</v>
      </c>
      <c r="F9" s="103" t="s">
        <v>19</v>
      </c>
      <c r="G9" s="103" t="s">
        <v>20</v>
      </c>
      <c r="H9" s="103" t="s">
        <v>21</v>
      </c>
      <c r="K9" s="160"/>
      <c r="L9" s="161"/>
      <c r="M9" s="161">
        <f>SUM(M6:M7)</f>
        <v>349</v>
      </c>
      <c r="N9" s="162"/>
      <c r="P9" s="103" t="s">
        <v>18</v>
      </c>
      <c r="AB9" s="103" t="s">
        <v>19</v>
      </c>
      <c r="AN9" s="103" t="s">
        <v>20</v>
      </c>
      <c r="AZ9" s="103" t="s">
        <v>21</v>
      </c>
    </row>
    <row r="10" spans="2:52" ht="15">
      <c r="B10" s="127" t="s">
        <v>10</v>
      </c>
      <c r="C10" s="48"/>
      <c r="D10" s="109">
        <f>SENSIBILIDAD!C50*$N$7</f>
        <v>246.94555873925503</v>
      </c>
      <c r="E10" s="109">
        <f>SENSIBILIDAD!D50*$N$7</f>
        <v>250.22399759484369</v>
      </c>
      <c r="F10" s="109">
        <f>SENSIBILIDAD!E50*$N$7</f>
        <v>253.54596086684506</v>
      </c>
      <c r="G10" s="109">
        <f>SENSIBILIDAD!F50*$N$7</f>
        <v>256.91202638358152</v>
      </c>
      <c r="H10" s="109">
        <f>SENSIBILIDAD!G50*$N$7</f>
        <v>260.32277964460002</v>
      </c>
      <c r="J10" s="66"/>
      <c r="K10" s="163"/>
      <c r="P10" s="109">
        <f t="shared" ref="P10:P15" si="0">E10</f>
        <v>250.22399759484369</v>
      </c>
      <c r="AB10" s="109">
        <f t="shared" ref="AB10:AB15" si="1">F10</f>
        <v>253.54596086684506</v>
      </c>
      <c r="AN10" s="109">
        <f t="shared" ref="AN10:AN15" si="2">G10</f>
        <v>256.91202638358152</v>
      </c>
      <c r="AZ10" s="109">
        <f t="shared" ref="AZ10:AZ15" si="3">H10</f>
        <v>260.32277964460002</v>
      </c>
    </row>
    <row r="11" spans="2:52" ht="15">
      <c r="B11" s="127" t="s">
        <v>11</v>
      </c>
      <c r="C11" s="48"/>
      <c r="D11" s="109">
        <f>D10*0.6667</f>
        <v>164.63860401146133</v>
      </c>
      <c r="E11" s="109">
        <f>E10*0.6667</f>
        <v>166.82433919648227</v>
      </c>
      <c r="F11" s="109">
        <f>F10*0.6667</f>
        <v>169.0390921099256</v>
      </c>
      <c r="G11" s="109">
        <f>G10*0.6667</f>
        <v>171.28324798993378</v>
      </c>
      <c r="H11" s="109">
        <f>H10*0.6667</f>
        <v>173.55719718905482</v>
      </c>
      <c r="P11" s="109">
        <f t="shared" si="0"/>
        <v>166.82433919648227</v>
      </c>
      <c r="AB11" s="109">
        <f t="shared" si="1"/>
        <v>169.0390921099256</v>
      </c>
      <c r="AN11" s="109">
        <f t="shared" si="2"/>
        <v>171.28324798993378</v>
      </c>
      <c r="AZ11" s="109">
        <f t="shared" si="3"/>
        <v>173.55719718905482</v>
      </c>
    </row>
    <row r="12" spans="2:52" ht="15">
      <c r="B12" s="127" t="s">
        <v>12</v>
      </c>
      <c r="C12" s="48"/>
      <c r="D12" s="109">
        <f>D10*0.3333</f>
        <v>82.306954727793695</v>
      </c>
      <c r="E12" s="109">
        <f>E10*0.3333</f>
        <v>83.399658398361396</v>
      </c>
      <c r="F12" s="109">
        <f>F10*0.3333</f>
        <v>84.506868756919459</v>
      </c>
      <c r="G12" s="109">
        <f>G10*0.3333</f>
        <v>85.628778393647721</v>
      </c>
      <c r="H12" s="109">
        <f>H10*0.3333</f>
        <v>86.765582455545186</v>
      </c>
      <c r="P12" s="109">
        <f t="shared" si="0"/>
        <v>83.399658398361396</v>
      </c>
      <c r="AB12" s="109">
        <f t="shared" si="1"/>
        <v>84.506868756919459</v>
      </c>
      <c r="AN12" s="109">
        <f t="shared" si="2"/>
        <v>85.628778393647721</v>
      </c>
      <c r="AZ12" s="109">
        <f t="shared" si="3"/>
        <v>86.765582455545186</v>
      </c>
    </row>
    <row r="13" spans="2:52" ht="15">
      <c r="B13" s="127" t="s">
        <v>14</v>
      </c>
      <c r="C13" s="48"/>
      <c r="D13" s="109">
        <f>D11*0.5</f>
        <v>82.319302005730663</v>
      </c>
      <c r="E13" s="109">
        <f>E11*0.5</f>
        <v>83.412169598241135</v>
      </c>
      <c r="F13" s="109">
        <f>F11*0.5</f>
        <v>84.519546054962802</v>
      </c>
      <c r="G13" s="109">
        <f>G11*0.5</f>
        <v>85.641623994966892</v>
      </c>
      <c r="H13" s="109">
        <f>H11*0.5</f>
        <v>86.778598594527409</v>
      </c>
      <c r="P13" s="109">
        <f t="shared" si="0"/>
        <v>83.412169598241135</v>
      </c>
      <c r="AB13" s="109">
        <f t="shared" si="1"/>
        <v>84.519546054962802</v>
      </c>
      <c r="AN13" s="109">
        <f t="shared" si="2"/>
        <v>85.641623994966892</v>
      </c>
      <c r="AZ13" s="109">
        <f t="shared" si="3"/>
        <v>86.778598594527409</v>
      </c>
    </row>
    <row r="14" spans="2:52" ht="15">
      <c r="B14" s="127" t="s">
        <v>15</v>
      </c>
      <c r="C14" s="48"/>
      <c r="D14" s="109">
        <f>D11*0.5</f>
        <v>82.319302005730663</v>
      </c>
      <c r="E14" s="109">
        <f>E11*0.5-1</f>
        <v>82.412169598241135</v>
      </c>
      <c r="F14" s="109">
        <f>F11*0.5-1</f>
        <v>83.519546054962802</v>
      </c>
      <c r="G14" s="109">
        <f>G11*0.5-1</f>
        <v>84.641623994966892</v>
      </c>
      <c r="H14" s="109">
        <f>H11*0.5-1</f>
        <v>85.778598594527409</v>
      </c>
      <c r="P14" s="109">
        <f t="shared" si="0"/>
        <v>82.412169598241135</v>
      </c>
      <c r="AB14" s="109">
        <f t="shared" si="1"/>
        <v>83.519546054962802</v>
      </c>
      <c r="AN14" s="109">
        <f t="shared" si="2"/>
        <v>84.641623994966892</v>
      </c>
      <c r="AZ14" s="109">
        <f t="shared" si="3"/>
        <v>85.778598594527409</v>
      </c>
    </row>
    <row r="15" spans="2:52" ht="15">
      <c r="B15" s="48"/>
      <c r="C15" s="48"/>
      <c r="D15" s="105">
        <f>SUM(D12:D14)</f>
        <v>246.94555873925503</v>
      </c>
      <c r="E15" s="105">
        <f>SUM(E12:E14)</f>
        <v>249.22399759484364</v>
      </c>
      <c r="F15" s="105">
        <f>SUM(F12:F14)</f>
        <v>252.54596086684506</v>
      </c>
      <c r="G15" s="105">
        <f>SUM(G12:G14)</f>
        <v>255.91202638358152</v>
      </c>
      <c r="H15" s="105">
        <f>SUM(H12:H14)</f>
        <v>259.32277964460002</v>
      </c>
      <c r="P15" s="105">
        <f t="shared" si="0"/>
        <v>249.22399759484364</v>
      </c>
      <c r="AB15" s="105">
        <f t="shared" si="1"/>
        <v>252.54596086684506</v>
      </c>
      <c r="AN15" s="105">
        <f t="shared" si="2"/>
        <v>255.91202638358152</v>
      </c>
      <c r="AZ15" s="105">
        <f t="shared" si="3"/>
        <v>259.32277964460002</v>
      </c>
    </row>
    <row r="17" spans="2:87" ht="15">
      <c r="D17" s="676" t="s">
        <v>25</v>
      </c>
      <c r="E17" s="676"/>
      <c r="F17" s="676"/>
      <c r="G17" s="676"/>
      <c r="H17" s="676"/>
      <c r="I17" s="676"/>
      <c r="J17" s="676"/>
      <c r="K17" s="676"/>
      <c r="L17" s="676"/>
      <c r="M17" s="676"/>
      <c r="N17" s="676"/>
      <c r="O17" s="676"/>
      <c r="P17" s="676" t="s">
        <v>26</v>
      </c>
      <c r="Q17" s="676"/>
      <c r="R17" s="676"/>
      <c r="S17" s="676"/>
      <c r="T17" s="676"/>
      <c r="U17" s="676"/>
      <c r="V17" s="676"/>
      <c r="W17" s="676"/>
      <c r="X17" s="676"/>
      <c r="Y17" s="676"/>
      <c r="Z17" s="676"/>
      <c r="AA17" s="676"/>
      <c r="AB17" s="676" t="s">
        <v>27</v>
      </c>
      <c r="AC17" s="676"/>
      <c r="AD17" s="676"/>
      <c r="AE17" s="676"/>
      <c r="AF17" s="676"/>
      <c r="AG17" s="676"/>
      <c r="AH17" s="676"/>
      <c r="AI17" s="676"/>
      <c r="AJ17" s="676"/>
      <c r="AK17" s="676"/>
      <c r="AL17" s="676"/>
      <c r="AM17" s="676"/>
      <c r="AN17" s="676" t="s">
        <v>28</v>
      </c>
      <c r="AO17" s="676"/>
      <c r="AP17" s="676"/>
      <c r="AQ17" s="676"/>
      <c r="AR17" s="676"/>
      <c r="AS17" s="676"/>
      <c r="AT17" s="676"/>
      <c r="AU17" s="676"/>
      <c r="AV17" s="676"/>
      <c r="AW17" s="676"/>
      <c r="AX17" s="676"/>
      <c r="AY17" s="676"/>
      <c r="AZ17" s="676" t="s">
        <v>29</v>
      </c>
      <c r="BA17" s="676"/>
      <c r="BB17" s="676"/>
      <c r="BC17" s="676"/>
      <c r="BD17" s="676"/>
      <c r="BE17" s="676"/>
      <c r="BF17" s="676"/>
      <c r="BG17" s="676"/>
      <c r="BH17" s="676"/>
      <c r="BI17" s="676"/>
      <c r="BJ17" s="676"/>
      <c r="BK17" s="676"/>
      <c r="BL17" s="678"/>
      <c r="BM17" s="678"/>
      <c r="BN17" s="678"/>
      <c r="BO17" s="678"/>
      <c r="BP17" s="678"/>
      <c r="BQ17" s="678"/>
      <c r="BR17" s="678"/>
      <c r="BS17" s="678"/>
      <c r="BT17" s="678"/>
      <c r="BU17" s="678"/>
      <c r="BV17" s="678"/>
      <c r="BW17" s="678"/>
      <c r="BX17" s="678"/>
      <c r="BY17" s="678"/>
      <c r="BZ17" s="678"/>
      <c r="CA17" s="678"/>
      <c r="CB17" s="678"/>
      <c r="CC17" s="678"/>
      <c r="CD17" s="678"/>
      <c r="CE17" s="678"/>
      <c r="CF17" s="678"/>
      <c r="CG17" s="678"/>
      <c r="CH17" s="678"/>
      <c r="CI17" s="678"/>
    </row>
    <row r="18" spans="2:87" ht="15">
      <c r="B18" s="48"/>
      <c r="C18" s="48"/>
      <c r="D18" s="662" t="s">
        <v>13</v>
      </c>
      <c r="E18" s="662"/>
      <c r="F18" s="662"/>
      <c r="G18" s="662"/>
      <c r="H18" s="662" t="s">
        <v>22</v>
      </c>
      <c r="I18" s="662"/>
      <c r="J18" s="662"/>
      <c r="K18" s="662"/>
      <c r="L18" s="662" t="s">
        <v>23</v>
      </c>
      <c r="M18" s="662"/>
      <c r="N18" s="662"/>
      <c r="O18" s="662"/>
      <c r="P18" s="662" t="s">
        <v>13</v>
      </c>
      <c r="Q18" s="662"/>
      <c r="R18" s="662"/>
      <c r="S18" s="662"/>
      <c r="T18" s="662" t="s">
        <v>22</v>
      </c>
      <c r="U18" s="662"/>
      <c r="V18" s="662"/>
      <c r="W18" s="662"/>
      <c r="X18" s="662" t="s">
        <v>23</v>
      </c>
      <c r="Y18" s="662"/>
      <c r="Z18" s="662"/>
      <c r="AA18" s="662"/>
      <c r="AB18" s="662" t="s">
        <v>13</v>
      </c>
      <c r="AC18" s="662"/>
      <c r="AD18" s="662"/>
      <c r="AE18" s="662"/>
      <c r="AF18" s="662" t="s">
        <v>22</v>
      </c>
      <c r="AG18" s="662"/>
      <c r="AH18" s="662"/>
      <c r="AI18" s="662"/>
      <c r="AJ18" s="662" t="s">
        <v>23</v>
      </c>
      <c r="AK18" s="662"/>
      <c r="AL18" s="662"/>
      <c r="AM18" s="662"/>
      <c r="AN18" s="662" t="s">
        <v>13</v>
      </c>
      <c r="AO18" s="662"/>
      <c r="AP18" s="662"/>
      <c r="AQ18" s="662"/>
      <c r="AR18" s="662" t="s">
        <v>22</v>
      </c>
      <c r="AS18" s="662"/>
      <c r="AT18" s="662"/>
      <c r="AU18" s="662"/>
      <c r="AV18" s="662" t="s">
        <v>23</v>
      </c>
      <c r="AW18" s="662"/>
      <c r="AX18" s="662"/>
      <c r="AY18" s="662"/>
      <c r="AZ18" s="662" t="s">
        <v>13</v>
      </c>
      <c r="BA18" s="662"/>
      <c r="BB18" s="662"/>
      <c r="BC18" s="662"/>
      <c r="BD18" s="662" t="s">
        <v>22</v>
      </c>
      <c r="BE18" s="662"/>
      <c r="BF18" s="662"/>
      <c r="BG18" s="662"/>
      <c r="BH18" s="662" t="s">
        <v>23</v>
      </c>
      <c r="BI18" s="662"/>
      <c r="BJ18" s="662"/>
      <c r="BK18" s="662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</row>
    <row r="19" spans="2:87" ht="15">
      <c r="B19" s="48"/>
      <c r="C19" s="104" t="s">
        <v>0</v>
      </c>
      <c r="D19" s="127" t="s">
        <v>6</v>
      </c>
      <c r="E19" s="127" t="s">
        <v>7</v>
      </c>
      <c r="F19" s="127" t="s">
        <v>16</v>
      </c>
      <c r="G19" s="127" t="s">
        <v>9</v>
      </c>
      <c r="H19" s="127" t="s">
        <v>6</v>
      </c>
      <c r="I19" s="127" t="s">
        <v>7</v>
      </c>
      <c r="J19" s="127" t="s">
        <v>16</v>
      </c>
      <c r="K19" s="127" t="s">
        <v>9</v>
      </c>
      <c r="L19" s="127" t="s">
        <v>6</v>
      </c>
      <c r="M19" s="127" t="s">
        <v>7</v>
      </c>
      <c r="N19" s="127" t="s">
        <v>16</v>
      </c>
      <c r="O19" s="127" t="s">
        <v>9</v>
      </c>
      <c r="P19" s="127" t="s">
        <v>6</v>
      </c>
      <c r="Q19" s="127" t="s">
        <v>7</v>
      </c>
      <c r="R19" s="127" t="s">
        <v>16</v>
      </c>
      <c r="S19" s="127" t="s">
        <v>9</v>
      </c>
      <c r="T19" s="127" t="s">
        <v>6</v>
      </c>
      <c r="U19" s="127" t="s">
        <v>7</v>
      </c>
      <c r="V19" s="127" t="s">
        <v>16</v>
      </c>
      <c r="W19" s="127" t="s">
        <v>9</v>
      </c>
      <c r="X19" s="127" t="s">
        <v>6</v>
      </c>
      <c r="Y19" s="127" t="s">
        <v>7</v>
      </c>
      <c r="Z19" s="127" t="s">
        <v>16</v>
      </c>
      <c r="AA19" s="127" t="s">
        <v>9</v>
      </c>
      <c r="AB19" s="127" t="s">
        <v>6</v>
      </c>
      <c r="AC19" s="127" t="s">
        <v>7</v>
      </c>
      <c r="AD19" s="127" t="s">
        <v>16</v>
      </c>
      <c r="AE19" s="127" t="s">
        <v>9</v>
      </c>
      <c r="AF19" s="127" t="s">
        <v>6</v>
      </c>
      <c r="AG19" s="127" t="s">
        <v>7</v>
      </c>
      <c r="AH19" s="127" t="s">
        <v>16</v>
      </c>
      <c r="AI19" s="127" t="s">
        <v>9</v>
      </c>
      <c r="AJ19" s="127" t="s">
        <v>6</v>
      </c>
      <c r="AK19" s="127" t="s">
        <v>7</v>
      </c>
      <c r="AL19" s="127" t="s">
        <v>16</v>
      </c>
      <c r="AM19" s="127" t="s">
        <v>9</v>
      </c>
      <c r="AN19" s="127" t="s">
        <v>6</v>
      </c>
      <c r="AO19" s="127" t="s">
        <v>7</v>
      </c>
      <c r="AP19" s="127" t="s">
        <v>16</v>
      </c>
      <c r="AQ19" s="127" t="s">
        <v>9</v>
      </c>
      <c r="AR19" s="127" t="s">
        <v>6</v>
      </c>
      <c r="AS19" s="127" t="s">
        <v>7</v>
      </c>
      <c r="AT19" s="127" t="s">
        <v>16</v>
      </c>
      <c r="AU19" s="127" t="s">
        <v>9</v>
      </c>
      <c r="AV19" s="127" t="s">
        <v>6</v>
      </c>
      <c r="AW19" s="127" t="s">
        <v>7</v>
      </c>
      <c r="AX19" s="127" t="s">
        <v>16</v>
      </c>
      <c r="AY19" s="127" t="s">
        <v>9</v>
      </c>
      <c r="AZ19" s="127" t="s">
        <v>6</v>
      </c>
      <c r="BA19" s="127" t="s">
        <v>7</v>
      </c>
      <c r="BB19" s="127" t="s">
        <v>16</v>
      </c>
      <c r="BC19" s="127" t="s">
        <v>9</v>
      </c>
      <c r="BD19" s="127" t="s">
        <v>6</v>
      </c>
      <c r="BE19" s="127" t="s">
        <v>7</v>
      </c>
      <c r="BF19" s="127" t="s">
        <v>16</v>
      </c>
      <c r="BG19" s="127" t="s">
        <v>9</v>
      </c>
      <c r="BH19" s="127" t="s">
        <v>6</v>
      </c>
      <c r="BI19" s="127" t="s">
        <v>7</v>
      </c>
      <c r="BJ19" s="127" t="s">
        <v>16</v>
      </c>
      <c r="BK19" s="127" t="s">
        <v>9</v>
      </c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</row>
    <row r="20" spans="2:87" ht="15">
      <c r="B20" s="106" t="s">
        <v>1</v>
      </c>
      <c r="C20" s="124">
        <v>0.36</v>
      </c>
      <c r="D20" s="48">
        <f>D13*$C$20</f>
        <v>29.634948722063037</v>
      </c>
      <c r="E20" s="48">
        <f>D20</f>
        <v>29.634948722063037</v>
      </c>
      <c r="F20" s="48">
        <f>E20</f>
        <v>29.634948722063037</v>
      </c>
      <c r="G20" s="48"/>
      <c r="H20" s="48">
        <f>D14*$C$20</f>
        <v>29.634948722063037</v>
      </c>
      <c r="I20" s="48">
        <f>H20</f>
        <v>29.634948722063037</v>
      </c>
      <c r="J20" s="48">
        <f>I20</f>
        <v>29.634948722063037</v>
      </c>
      <c r="K20" s="48"/>
      <c r="L20" s="48">
        <f>D12*$C$20</f>
        <v>29.630503702005729</v>
      </c>
      <c r="M20" s="48">
        <f>L20</f>
        <v>29.630503702005729</v>
      </c>
      <c r="N20" s="48">
        <f>M20</f>
        <v>29.630503702005729</v>
      </c>
      <c r="O20" s="48"/>
      <c r="P20" s="48">
        <f>P13*$C$20</f>
        <v>30.028381055366808</v>
      </c>
      <c r="Q20" s="48">
        <f>P20</f>
        <v>30.028381055366808</v>
      </c>
      <c r="R20" s="48">
        <f>Q20</f>
        <v>30.028381055366808</v>
      </c>
      <c r="S20" s="48"/>
      <c r="T20" s="48">
        <f>P14*$C$20</f>
        <v>29.668381055366808</v>
      </c>
      <c r="U20" s="48">
        <f>T20</f>
        <v>29.668381055366808</v>
      </c>
      <c r="V20" s="48">
        <f>U20</f>
        <v>29.668381055366808</v>
      </c>
      <c r="W20" s="48"/>
      <c r="X20" s="48">
        <f>P12*$C$20</f>
        <v>30.023877023410101</v>
      </c>
      <c r="Y20" s="48">
        <f>X20</f>
        <v>30.023877023410101</v>
      </c>
      <c r="Z20" s="48">
        <f>Y20</f>
        <v>30.023877023410101</v>
      </c>
      <c r="AA20" s="48"/>
      <c r="AB20" s="48">
        <f>AB13*$C$20</f>
        <v>30.427036579786609</v>
      </c>
      <c r="AC20" s="48">
        <f>AB20</f>
        <v>30.427036579786609</v>
      </c>
      <c r="AD20" s="48">
        <f>AC20</f>
        <v>30.427036579786609</v>
      </c>
      <c r="AE20" s="48"/>
      <c r="AF20" s="48">
        <f>AB14*$C$20</f>
        <v>30.067036579786606</v>
      </c>
      <c r="AG20" s="48">
        <f>AF20</f>
        <v>30.067036579786606</v>
      </c>
      <c r="AH20" s="48">
        <f>AG20</f>
        <v>30.067036579786606</v>
      </c>
      <c r="AI20" s="48"/>
      <c r="AJ20" s="48">
        <f>AB12*$C$20</f>
        <v>30.422472752491004</v>
      </c>
      <c r="AK20" s="48">
        <f>AJ20</f>
        <v>30.422472752491004</v>
      </c>
      <c r="AL20" s="48">
        <f>AK20</f>
        <v>30.422472752491004</v>
      </c>
      <c r="AM20" s="48"/>
      <c r="AN20" s="48">
        <f>AN13*$C$20</f>
        <v>30.830984638188081</v>
      </c>
      <c r="AO20" s="48">
        <f>AN20</f>
        <v>30.830984638188081</v>
      </c>
      <c r="AP20" s="48">
        <f>AO20</f>
        <v>30.830984638188081</v>
      </c>
      <c r="AQ20" s="48"/>
      <c r="AR20" s="48">
        <f>AN14*$C$20</f>
        <v>30.470984638188082</v>
      </c>
      <c r="AS20" s="48">
        <f>AR20</f>
        <v>30.470984638188082</v>
      </c>
      <c r="AT20" s="48">
        <f>AS20</f>
        <v>30.470984638188082</v>
      </c>
      <c r="AU20" s="48"/>
      <c r="AV20" s="48">
        <f>AN12*$C$20</f>
        <v>30.826360221713177</v>
      </c>
      <c r="AW20" s="48">
        <f>AV20</f>
        <v>30.826360221713177</v>
      </c>
      <c r="AX20" s="48">
        <f>AW20</f>
        <v>30.826360221713177</v>
      </c>
      <c r="AY20" s="48"/>
      <c r="AZ20" s="48">
        <f>AZ13*$C$20</f>
        <v>31.240295494029866</v>
      </c>
      <c r="BA20" s="48">
        <f>AZ20</f>
        <v>31.240295494029866</v>
      </c>
      <c r="BB20" s="48">
        <f>BA20</f>
        <v>31.240295494029866</v>
      </c>
      <c r="BC20" s="48"/>
      <c r="BD20" s="48">
        <f>AZ14*$C$20</f>
        <v>30.880295494029866</v>
      </c>
      <c r="BE20" s="48">
        <f>BD20</f>
        <v>30.880295494029866</v>
      </c>
      <c r="BF20" s="48">
        <f>BE20</f>
        <v>30.880295494029866</v>
      </c>
      <c r="BG20" s="48"/>
      <c r="BH20" s="48">
        <f>AZ12*$C$20</f>
        <v>31.235609683996266</v>
      </c>
      <c r="BI20" s="48">
        <f>BH20</f>
        <v>31.235609683996266</v>
      </c>
      <c r="BJ20" s="48">
        <f>BI20</f>
        <v>31.235609683996266</v>
      </c>
      <c r="BK20" s="48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</row>
    <row r="21" spans="2:87" ht="15">
      <c r="B21" s="106" t="s">
        <v>2</v>
      </c>
      <c r="C21" s="124">
        <v>0.24761904761904799</v>
      </c>
      <c r="D21" s="48">
        <f>D13*$C$21</f>
        <v>20.383827163323815</v>
      </c>
      <c r="E21" s="48">
        <f>D13*$C$21</f>
        <v>20.383827163323815</v>
      </c>
      <c r="F21" s="48"/>
      <c r="G21" s="48"/>
      <c r="H21" s="48">
        <f>D14*$C$21</f>
        <v>20.383827163323815</v>
      </c>
      <c r="I21" s="48">
        <f>D14*$C$21</f>
        <v>20.383827163323815</v>
      </c>
      <c r="J21" s="48"/>
      <c r="K21" s="48"/>
      <c r="L21" s="48">
        <f>D12*$C$21</f>
        <v>20.380769742120375</v>
      </c>
      <c r="M21" s="48">
        <f>D12*$C$21</f>
        <v>20.380769742120375</v>
      </c>
      <c r="N21" s="48"/>
      <c r="O21" s="48"/>
      <c r="P21" s="48">
        <f>P13*$C$21</f>
        <v>20.654441995754979</v>
      </c>
      <c r="Q21" s="48">
        <f>P13*$C$21</f>
        <v>20.654441995754979</v>
      </c>
      <c r="R21" s="48"/>
      <c r="S21" s="48"/>
      <c r="T21" s="48">
        <f>P14*$C$21</f>
        <v>20.406822948135929</v>
      </c>
      <c r="U21" s="48">
        <f>P14*$C$21</f>
        <v>20.406822948135929</v>
      </c>
      <c r="V21" s="48"/>
      <c r="W21" s="48"/>
      <c r="X21" s="48">
        <f>P12*$C$21</f>
        <v>20.651343984356185</v>
      </c>
      <c r="Y21" s="48">
        <f>P12*$C$21</f>
        <v>20.651343984356185</v>
      </c>
      <c r="Z21" s="48"/>
      <c r="AA21" s="48"/>
      <c r="AB21" s="48">
        <f>AB13*$C$21</f>
        <v>20.928649499324155</v>
      </c>
      <c r="AC21" s="48">
        <f>AB13*$C$21</f>
        <v>20.928649499324155</v>
      </c>
      <c r="AD21" s="48"/>
      <c r="AE21" s="48"/>
      <c r="AF21" s="48">
        <f>AB14*$C$21</f>
        <v>20.681030451705105</v>
      </c>
      <c r="AG21" s="48">
        <f>AB14*$C$21</f>
        <v>20.681030451705105</v>
      </c>
      <c r="AH21" s="48"/>
      <c r="AI21" s="48"/>
      <c r="AJ21" s="48">
        <f>AB12*$C$21</f>
        <v>20.925510358856279</v>
      </c>
      <c r="AK21" s="48">
        <f>AB12*$C$21</f>
        <v>20.925510358856279</v>
      </c>
      <c r="AL21" s="48"/>
      <c r="AM21" s="48"/>
      <c r="AN21" s="48">
        <f>AN13*$C$21</f>
        <v>21.206497370182309</v>
      </c>
      <c r="AO21" s="48">
        <f>AN13*$C$21</f>
        <v>21.206497370182309</v>
      </c>
      <c r="AP21" s="48"/>
      <c r="AQ21" s="48"/>
      <c r="AR21" s="48">
        <f>AN14*$C$21</f>
        <v>20.958878322563262</v>
      </c>
      <c r="AS21" s="48">
        <f>AN14*$C$21</f>
        <v>20.958878322563262</v>
      </c>
      <c r="AT21" s="48"/>
      <c r="AU21" s="48"/>
      <c r="AV21" s="48">
        <f>AN12*$C$21</f>
        <v>21.203316554617562</v>
      </c>
      <c r="AW21" s="48">
        <f>AN12*$C$21</f>
        <v>21.203316554617562</v>
      </c>
      <c r="AX21" s="48"/>
      <c r="AY21" s="48"/>
      <c r="AZ21" s="48">
        <f>AZ13*$C$21</f>
        <v>21.488033937692535</v>
      </c>
      <c r="BA21" s="48">
        <f>AZ13*$C$21</f>
        <v>21.488033937692535</v>
      </c>
      <c r="BB21" s="48"/>
      <c r="BC21" s="48"/>
      <c r="BD21" s="48">
        <f>AZ14*$C$21</f>
        <v>21.240414890073485</v>
      </c>
      <c r="BE21" s="48">
        <f>AZ14*$C$21</f>
        <v>21.240414890073485</v>
      </c>
      <c r="BF21" s="48"/>
      <c r="BG21" s="48"/>
      <c r="BH21" s="48">
        <f>AZ12*$C$21</f>
        <v>21.484810893754076</v>
      </c>
      <c r="BI21" s="48">
        <f>AZ12*$C$21</f>
        <v>21.484810893754076</v>
      </c>
      <c r="BJ21" s="48"/>
      <c r="BK21" s="48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</row>
    <row r="22" spans="2:87" ht="15">
      <c r="B22" s="106" t="s">
        <v>3</v>
      </c>
      <c r="C22" s="164">
        <v>0.02</v>
      </c>
      <c r="D22" s="48">
        <f>D13*$C$22</f>
        <v>1.6463860401146133</v>
      </c>
      <c r="E22" s="48"/>
      <c r="F22" s="48">
        <f>D13*$C$22</f>
        <v>1.6463860401146133</v>
      </c>
      <c r="G22" s="48"/>
      <c r="H22" s="48">
        <f>D14*$C$22</f>
        <v>1.6463860401146133</v>
      </c>
      <c r="I22" s="48"/>
      <c r="J22" s="48">
        <f>D13*$C$22</f>
        <v>1.6463860401146133</v>
      </c>
      <c r="K22" s="48"/>
      <c r="L22" s="48">
        <f>D12*$C$22</f>
        <v>1.646139094555874</v>
      </c>
      <c r="M22" s="48"/>
      <c r="N22" s="48">
        <f>D12*$C$22</f>
        <v>1.646139094555874</v>
      </c>
      <c r="O22" s="48"/>
      <c r="P22" s="48">
        <f>P13*$C$22</f>
        <v>1.6682433919648227</v>
      </c>
      <c r="Q22" s="48"/>
      <c r="R22" s="48">
        <f>P13*$C$22</f>
        <v>1.6682433919648227</v>
      </c>
      <c r="S22" s="48"/>
      <c r="T22" s="48">
        <f>P14*$C$22</f>
        <v>1.6482433919648227</v>
      </c>
      <c r="U22" s="48"/>
      <c r="V22" s="48">
        <f>P13*$C$22</f>
        <v>1.6682433919648227</v>
      </c>
      <c r="W22" s="48"/>
      <c r="X22" s="48">
        <f>P12*$C$22</f>
        <v>1.667993167967228</v>
      </c>
      <c r="Y22" s="48"/>
      <c r="Z22" s="48">
        <f>P12*$C$22</f>
        <v>1.667993167967228</v>
      </c>
      <c r="AA22" s="48"/>
      <c r="AB22" s="48">
        <f>AB13*$C$22</f>
        <v>1.690390921099256</v>
      </c>
      <c r="AC22" s="48"/>
      <c r="AD22" s="48">
        <f>AB13*$C$22</f>
        <v>1.690390921099256</v>
      </c>
      <c r="AE22" s="48"/>
      <c r="AF22" s="48">
        <f>AB14*$C$22</f>
        <v>1.670390921099256</v>
      </c>
      <c r="AG22" s="48"/>
      <c r="AH22" s="48">
        <f>AB13*$C$22</f>
        <v>1.690390921099256</v>
      </c>
      <c r="AI22" s="48"/>
      <c r="AJ22" s="48">
        <f>AB12*$C$22</f>
        <v>1.6901373751383892</v>
      </c>
      <c r="AK22" s="48"/>
      <c r="AL22" s="48">
        <f>AB12*$C$22</f>
        <v>1.6901373751383892</v>
      </c>
      <c r="AM22" s="48"/>
      <c r="AN22" s="48">
        <f>AN13*$C$22</f>
        <v>1.712832479899338</v>
      </c>
      <c r="AO22" s="48"/>
      <c r="AP22" s="48">
        <f>AN13*$C$22</f>
        <v>1.712832479899338</v>
      </c>
      <c r="AQ22" s="48"/>
      <c r="AR22" s="48">
        <f>AN14*$C$22</f>
        <v>1.6928324798993379</v>
      </c>
      <c r="AS22" s="48"/>
      <c r="AT22" s="48">
        <f>AN13*$C$22</f>
        <v>1.712832479899338</v>
      </c>
      <c r="AU22" s="48"/>
      <c r="AV22" s="48">
        <f>AN12*$C$22</f>
        <v>1.7125755678729544</v>
      </c>
      <c r="AW22" s="48"/>
      <c r="AX22" s="48">
        <f>AN12*$C$22</f>
        <v>1.7125755678729544</v>
      </c>
      <c r="AY22" s="48"/>
      <c r="AZ22" s="48">
        <f>AZ13*$C$22</f>
        <v>1.7355719718905482</v>
      </c>
      <c r="BA22" s="48"/>
      <c r="BB22" s="48">
        <f>AZ13*$C$22</f>
        <v>1.7355719718905482</v>
      </c>
      <c r="BC22" s="48"/>
      <c r="BD22" s="48">
        <f>AZ14*$C$22</f>
        <v>1.7155719718905482</v>
      </c>
      <c r="BE22" s="48"/>
      <c r="BF22" s="48">
        <f>AZ13*$C$22</f>
        <v>1.7355719718905482</v>
      </c>
      <c r="BG22" s="48"/>
      <c r="BH22" s="48">
        <f>AZ12*$C$22</f>
        <v>1.7353116491109037</v>
      </c>
      <c r="BI22" s="48"/>
      <c r="BJ22" s="48">
        <f>AZ12*$C$22</f>
        <v>1.7353116491109037</v>
      </c>
      <c r="BK22" s="48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</row>
    <row r="23" spans="2:87" ht="15">
      <c r="B23" s="106" t="s">
        <v>4</v>
      </c>
      <c r="C23" s="164">
        <v>3.8095238095238099E-2</v>
      </c>
      <c r="D23" s="48"/>
      <c r="E23" s="48">
        <f>D13*$C$23</f>
        <v>3.1359734097421206</v>
      </c>
      <c r="F23" s="48">
        <f>D13*$C$23</f>
        <v>3.1359734097421206</v>
      </c>
      <c r="G23" s="165"/>
      <c r="H23" s="48"/>
      <c r="I23" s="48">
        <f>D14*$C$23</f>
        <v>3.1359734097421206</v>
      </c>
      <c r="J23" s="48">
        <f>D14*$C$23</f>
        <v>3.1359734097421206</v>
      </c>
      <c r="K23" s="165"/>
      <c r="L23" s="48"/>
      <c r="M23" s="48">
        <f>D12*$C$23</f>
        <v>3.135503037249284</v>
      </c>
      <c r="N23" s="48">
        <f>D12*$C$23</f>
        <v>3.135503037249284</v>
      </c>
      <c r="O23" s="165"/>
      <c r="P23" s="48"/>
      <c r="Q23" s="48">
        <f>P13*$C$23</f>
        <v>3.1776064608853769</v>
      </c>
      <c r="R23" s="48">
        <f>P13*$C$23</f>
        <v>3.1776064608853769</v>
      </c>
      <c r="S23" s="165"/>
      <c r="T23" s="48"/>
      <c r="U23" s="48">
        <f>P14*$C$23</f>
        <v>3.1395112227901389</v>
      </c>
      <c r="V23" s="48">
        <f>P14*$C$23</f>
        <v>3.1395112227901389</v>
      </c>
      <c r="W23" s="165"/>
      <c r="X23" s="48"/>
      <c r="Y23" s="48">
        <f>P12*$C$23</f>
        <v>3.1771298437471009</v>
      </c>
      <c r="Z23" s="48">
        <f>P12*$C$23</f>
        <v>3.1771298437471009</v>
      </c>
      <c r="AA23" s="165"/>
      <c r="AB23" s="48"/>
      <c r="AC23" s="48">
        <f>AB13*$C$23</f>
        <v>3.21979223066525</v>
      </c>
      <c r="AD23" s="48">
        <f>AB13*$C$23</f>
        <v>3.21979223066525</v>
      </c>
      <c r="AE23" s="165"/>
      <c r="AF23" s="48"/>
      <c r="AG23" s="48">
        <f>AB14*$C$23</f>
        <v>3.1816969925700116</v>
      </c>
      <c r="AH23" s="48">
        <f>AB14*$C$23</f>
        <v>3.1816969925700116</v>
      </c>
      <c r="AI23" s="165"/>
      <c r="AJ23" s="48"/>
      <c r="AK23" s="48">
        <f>AB12*$C$23</f>
        <v>3.2193092859778845</v>
      </c>
      <c r="AL23" s="48">
        <f>AB12*$C$23</f>
        <v>3.2193092859778845</v>
      </c>
      <c r="AM23" s="165"/>
      <c r="AN23" s="48"/>
      <c r="AO23" s="48">
        <f>AN13*$C$23</f>
        <v>3.26253805695112</v>
      </c>
      <c r="AP23" s="48">
        <f>AN13*$C$23</f>
        <v>3.26253805695112</v>
      </c>
      <c r="AQ23" s="165"/>
      <c r="AR23" s="48"/>
      <c r="AS23" s="48">
        <f>AN14*$C$23</f>
        <v>3.224442818855882</v>
      </c>
      <c r="AT23" s="48">
        <f>AN14*$C$23</f>
        <v>3.224442818855882</v>
      </c>
      <c r="AU23" s="165"/>
      <c r="AV23" s="48"/>
      <c r="AW23" s="48">
        <f>AN12*$C$23</f>
        <v>3.2620487007103898</v>
      </c>
      <c r="AX23" s="48">
        <f>AN12*$C$23</f>
        <v>3.2620487007103898</v>
      </c>
      <c r="AY23" s="165"/>
      <c r="AZ23" s="48"/>
      <c r="BA23" s="48">
        <f>AZ13*$C$23</f>
        <v>3.3058513750296159</v>
      </c>
      <c r="BB23" s="48">
        <f>AZ13*$C$23</f>
        <v>3.3058513750296159</v>
      </c>
      <c r="BC23" s="165"/>
      <c r="BD23" s="48"/>
      <c r="BE23" s="48">
        <f>AZ14*$C$23</f>
        <v>3.2677561369343779</v>
      </c>
      <c r="BF23" s="48">
        <f>AZ14*$C$23</f>
        <v>3.2677561369343779</v>
      </c>
      <c r="BG23" s="165"/>
      <c r="BH23" s="48"/>
      <c r="BI23" s="48">
        <f>AZ12*$C$23</f>
        <v>3.3053555221160074</v>
      </c>
      <c r="BJ23" s="48">
        <f>AZ12*$C$23</f>
        <v>3.3053555221160074</v>
      </c>
      <c r="BK23" s="165"/>
      <c r="BL23" s="45"/>
      <c r="BM23" s="45"/>
      <c r="BN23" s="45"/>
      <c r="BO23" s="166"/>
      <c r="BP23" s="45"/>
      <c r="BQ23" s="45"/>
      <c r="BR23" s="45"/>
      <c r="BS23" s="166"/>
      <c r="BT23" s="45"/>
      <c r="BU23" s="45"/>
      <c r="BV23" s="45"/>
      <c r="BW23" s="166"/>
      <c r="BX23" s="45"/>
      <c r="BY23" s="45"/>
      <c r="BZ23" s="45"/>
      <c r="CA23" s="166"/>
      <c r="CB23" s="45"/>
      <c r="CC23" s="45"/>
      <c r="CD23" s="45"/>
      <c r="CE23" s="166"/>
      <c r="CF23" s="45"/>
      <c r="CG23" s="45"/>
      <c r="CH23" s="45"/>
      <c r="CI23" s="166"/>
    </row>
    <row r="24" spans="2:87" ht="15">
      <c r="B24" s="106" t="s">
        <v>5</v>
      </c>
      <c r="C24" s="164">
        <v>0.02</v>
      </c>
      <c r="D24" s="48">
        <f>D13*$C$24</f>
        <v>1.6463860401146133</v>
      </c>
      <c r="E24" s="48"/>
      <c r="F24" s="48"/>
      <c r="G24" s="167">
        <f>$C$24*D13</f>
        <v>1.6463860401146133</v>
      </c>
      <c r="H24" s="48">
        <f>D14*$C$24</f>
        <v>1.6463860401146133</v>
      </c>
      <c r="I24" s="48"/>
      <c r="J24" s="48"/>
      <c r="K24" s="167">
        <f>$C$24*D14</f>
        <v>1.6463860401146133</v>
      </c>
      <c r="L24" s="48">
        <f>D12*$C$24</f>
        <v>1.646139094555874</v>
      </c>
      <c r="M24" s="48"/>
      <c r="N24" s="48"/>
      <c r="O24" s="167">
        <f>$C$24*D12</f>
        <v>1.646139094555874</v>
      </c>
      <c r="P24" s="48">
        <f>P13*$C$24</f>
        <v>1.6682433919648227</v>
      </c>
      <c r="Q24" s="48"/>
      <c r="R24" s="48"/>
      <c r="S24" s="167">
        <f>$C$24*P13</f>
        <v>1.6682433919648227</v>
      </c>
      <c r="T24" s="48">
        <f>P14*$C$24</f>
        <v>1.6482433919648227</v>
      </c>
      <c r="U24" s="48"/>
      <c r="V24" s="48"/>
      <c r="W24" s="167">
        <f>$C$24*P14</f>
        <v>1.6482433919648227</v>
      </c>
      <c r="X24" s="48">
        <f>P12*$C$24</f>
        <v>1.667993167967228</v>
      </c>
      <c r="Y24" s="48"/>
      <c r="Z24" s="48"/>
      <c r="AA24" s="167">
        <f>$C$24*P12</f>
        <v>1.667993167967228</v>
      </c>
      <c r="AB24" s="48">
        <f>AB13*$C$24</f>
        <v>1.690390921099256</v>
      </c>
      <c r="AC24" s="48"/>
      <c r="AD24" s="48"/>
      <c r="AE24" s="167">
        <f>$C$24*AB13</f>
        <v>1.690390921099256</v>
      </c>
      <c r="AF24" s="48">
        <f>AB14*$C$24</f>
        <v>1.670390921099256</v>
      </c>
      <c r="AG24" s="48"/>
      <c r="AH24" s="48"/>
      <c r="AI24" s="167">
        <f>$C$24*AB14</f>
        <v>1.670390921099256</v>
      </c>
      <c r="AJ24" s="48">
        <f>AB12*$C$24</f>
        <v>1.6901373751383892</v>
      </c>
      <c r="AK24" s="48"/>
      <c r="AL24" s="48"/>
      <c r="AM24" s="167">
        <f>$C$24*AB12</f>
        <v>1.6901373751383892</v>
      </c>
      <c r="AN24" s="48">
        <f>AN13*$C$24</f>
        <v>1.712832479899338</v>
      </c>
      <c r="AO24" s="48"/>
      <c r="AP24" s="48"/>
      <c r="AQ24" s="167">
        <f>$C$24*AN13</f>
        <v>1.712832479899338</v>
      </c>
      <c r="AR24" s="48">
        <f>AN14*$C$24</f>
        <v>1.6928324798993379</v>
      </c>
      <c r="AS24" s="48"/>
      <c r="AT24" s="48"/>
      <c r="AU24" s="167">
        <f>$C$24*AN14</f>
        <v>1.6928324798993379</v>
      </c>
      <c r="AV24" s="48">
        <f>AN12*$C$24</f>
        <v>1.7125755678729544</v>
      </c>
      <c r="AW24" s="48"/>
      <c r="AX24" s="48"/>
      <c r="AY24" s="167">
        <f>$C$24*AN12</f>
        <v>1.7125755678729544</v>
      </c>
      <c r="AZ24" s="48">
        <f>AZ13*$C$24</f>
        <v>1.7355719718905482</v>
      </c>
      <c r="BA24" s="48"/>
      <c r="BB24" s="48"/>
      <c r="BC24" s="167">
        <f>$C$24*AZ13</f>
        <v>1.7355719718905482</v>
      </c>
      <c r="BD24" s="48">
        <f>AZ14*$C$24</f>
        <v>1.7155719718905482</v>
      </c>
      <c r="BE24" s="48"/>
      <c r="BF24" s="48"/>
      <c r="BG24" s="167">
        <f>$C$24*AZ14</f>
        <v>1.7155719718905482</v>
      </c>
      <c r="BH24" s="48">
        <f>AZ12*$C$24</f>
        <v>1.7353116491109037</v>
      </c>
      <c r="BI24" s="48"/>
      <c r="BJ24" s="48"/>
      <c r="BK24" s="167">
        <f>$C$24*AZ12</f>
        <v>1.7353116491109037</v>
      </c>
      <c r="BL24" s="45"/>
      <c r="BM24" s="45"/>
      <c r="BN24" s="45"/>
      <c r="BO24" s="168"/>
      <c r="BP24" s="45"/>
      <c r="BQ24" s="45"/>
      <c r="BR24" s="45"/>
      <c r="BS24" s="168"/>
      <c r="BT24" s="45"/>
      <c r="BU24" s="45"/>
      <c r="BV24" s="45"/>
      <c r="BW24" s="168"/>
      <c r="BX24" s="45"/>
      <c r="BY24" s="45"/>
      <c r="BZ24" s="45"/>
      <c r="CA24" s="168"/>
      <c r="CB24" s="45"/>
      <c r="CC24" s="45"/>
      <c r="CD24" s="45"/>
      <c r="CE24" s="168"/>
      <c r="CF24" s="45"/>
      <c r="CG24" s="45"/>
      <c r="CH24" s="45"/>
      <c r="CI24" s="168"/>
    </row>
    <row r="25" spans="2:87" ht="15">
      <c r="B25" s="106" t="s">
        <v>6</v>
      </c>
      <c r="C25" s="124">
        <v>0.266666666666667</v>
      </c>
      <c r="D25" s="48">
        <f>D13*$C$25</f>
        <v>21.951813868194872</v>
      </c>
      <c r="E25" s="48"/>
      <c r="F25" s="48"/>
      <c r="G25" s="165"/>
      <c r="H25" s="48">
        <f>D14*$C$25</f>
        <v>21.951813868194872</v>
      </c>
      <c r="I25" s="48"/>
      <c r="J25" s="48"/>
      <c r="K25" s="165"/>
      <c r="L25" s="48">
        <f>D12*$C$25</f>
        <v>21.948521260745011</v>
      </c>
      <c r="M25" s="48"/>
      <c r="N25" s="48"/>
      <c r="O25" s="165"/>
      <c r="P25" s="48">
        <f>P13*$C$25</f>
        <v>22.243245226197665</v>
      </c>
      <c r="Q25" s="48"/>
      <c r="R25" s="48"/>
      <c r="S25" s="165"/>
      <c r="T25" s="48">
        <f>P14*$C$25</f>
        <v>21.976578559530996</v>
      </c>
      <c r="U25" s="48"/>
      <c r="V25" s="48"/>
      <c r="W25" s="165"/>
      <c r="X25" s="48">
        <f>P12*$C$25</f>
        <v>22.239908906229733</v>
      </c>
      <c r="Y25" s="48"/>
      <c r="Z25" s="48"/>
      <c r="AA25" s="165"/>
      <c r="AB25" s="48">
        <f>AB13*$C$25</f>
        <v>22.538545614656776</v>
      </c>
      <c r="AC25" s="48"/>
      <c r="AD25" s="48"/>
      <c r="AE25" s="165"/>
      <c r="AF25" s="48">
        <f>AB14*$C$25</f>
        <v>22.271878947990107</v>
      </c>
      <c r="AG25" s="48"/>
      <c r="AH25" s="48"/>
      <c r="AI25" s="165"/>
      <c r="AJ25" s="48">
        <f>AB12*$C$25</f>
        <v>22.535165001845218</v>
      </c>
      <c r="AK25" s="48"/>
      <c r="AL25" s="48"/>
      <c r="AM25" s="165"/>
      <c r="AN25" s="48">
        <f>AN13*$C$25</f>
        <v>22.837766398657866</v>
      </c>
      <c r="AO25" s="48"/>
      <c r="AP25" s="48"/>
      <c r="AQ25" s="165"/>
      <c r="AR25" s="48">
        <f>AN14*$C$25</f>
        <v>22.5710997319912</v>
      </c>
      <c r="AS25" s="48"/>
      <c r="AT25" s="48"/>
      <c r="AU25" s="165"/>
      <c r="AV25" s="48">
        <f>AN12*$C$25</f>
        <v>22.834340904972755</v>
      </c>
      <c r="AW25" s="48"/>
      <c r="AX25" s="48"/>
      <c r="AY25" s="165"/>
      <c r="AZ25" s="48">
        <f>AZ13*$C$25</f>
        <v>23.140959625207337</v>
      </c>
      <c r="BA25" s="48"/>
      <c r="BB25" s="48"/>
      <c r="BC25" s="165"/>
      <c r="BD25" s="48">
        <f>AZ14*$C$25</f>
        <v>22.874292958540671</v>
      </c>
      <c r="BE25" s="48"/>
      <c r="BF25" s="48"/>
      <c r="BG25" s="165"/>
      <c r="BH25" s="48">
        <f>AZ12*$C$25</f>
        <v>23.137488654812078</v>
      </c>
      <c r="BI25" s="48"/>
      <c r="BJ25" s="48"/>
      <c r="BK25" s="165"/>
      <c r="BL25" s="45"/>
      <c r="BM25" s="45"/>
      <c r="BN25" s="45"/>
      <c r="BO25" s="166"/>
      <c r="BP25" s="45"/>
      <c r="BQ25" s="45"/>
      <c r="BR25" s="45"/>
      <c r="BS25" s="166"/>
      <c r="BT25" s="45"/>
      <c r="BU25" s="45"/>
      <c r="BV25" s="45"/>
      <c r="BW25" s="166"/>
      <c r="BX25" s="45"/>
      <c r="BY25" s="45"/>
      <c r="BZ25" s="45"/>
      <c r="CA25" s="166"/>
      <c r="CB25" s="45"/>
      <c r="CC25" s="45"/>
      <c r="CD25" s="45"/>
      <c r="CE25" s="166"/>
      <c r="CF25" s="45"/>
      <c r="CG25" s="45"/>
      <c r="CH25" s="45"/>
      <c r="CI25" s="166"/>
    </row>
    <row r="26" spans="2:87" ht="15">
      <c r="B26" s="106" t="s">
        <v>7</v>
      </c>
      <c r="C26" s="124">
        <v>0.02</v>
      </c>
      <c r="D26" s="48"/>
      <c r="E26" s="48">
        <f>D13*$C$26</f>
        <v>1.6463860401146133</v>
      </c>
      <c r="F26" s="48"/>
      <c r="G26" s="48"/>
      <c r="H26" s="48"/>
      <c r="I26" s="48">
        <f>D14*$C$26</f>
        <v>1.6463860401146133</v>
      </c>
      <c r="J26" s="48"/>
      <c r="K26" s="48"/>
      <c r="L26" s="48"/>
      <c r="M26" s="48">
        <f>D12*$C$26</f>
        <v>1.646139094555874</v>
      </c>
      <c r="N26" s="48"/>
      <c r="O26" s="48"/>
      <c r="P26" s="48"/>
      <c r="Q26" s="48">
        <f>P13*$C$26</f>
        <v>1.6682433919648227</v>
      </c>
      <c r="R26" s="48"/>
      <c r="S26" s="48"/>
      <c r="T26" s="48"/>
      <c r="U26" s="48">
        <f>P14*$C$26</f>
        <v>1.6482433919648227</v>
      </c>
      <c r="V26" s="48"/>
      <c r="W26" s="48"/>
      <c r="X26" s="48"/>
      <c r="Y26" s="48">
        <f>P12*$C$26</f>
        <v>1.667993167967228</v>
      </c>
      <c r="Z26" s="48"/>
      <c r="AA26" s="48"/>
      <c r="AB26" s="48"/>
      <c r="AC26" s="48">
        <f>AB13*$C$26</f>
        <v>1.690390921099256</v>
      </c>
      <c r="AD26" s="48"/>
      <c r="AE26" s="48"/>
      <c r="AF26" s="48"/>
      <c r="AG26" s="48">
        <f>AB14*$C$26</f>
        <v>1.670390921099256</v>
      </c>
      <c r="AH26" s="48"/>
      <c r="AI26" s="48"/>
      <c r="AJ26" s="48"/>
      <c r="AK26" s="48">
        <f>AB12*$C$26</f>
        <v>1.6901373751383892</v>
      </c>
      <c r="AL26" s="48"/>
      <c r="AM26" s="48"/>
      <c r="AN26" s="48"/>
      <c r="AO26" s="48">
        <f>AN13*$C$26</f>
        <v>1.712832479899338</v>
      </c>
      <c r="AP26" s="48"/>
      <c r="AQ26" s="48"/>
      <c r="AR26" s="48"/>
      <c r="AS26" s="48">
        <f>AN14*$C$26</f>
        <v>1.6928324798993379</v>
      </c>
      <c r="AT26" s="48"/>
      <c r="AU26" s="48"/>
      <c r="AV26" s="48"/>
      <c r="AW26" s="48">
        <f>AN12*$C$26</f>
        <v>1.7125755678729544</v>
      </c>
      <c r="AX26" s="48"/>
      <c r="AY26" s="48"/>
      <c r="AZ26" s="48"/>
      <c r="BA26" s="48">
        <f>AZ13*$C$26</f>
        <v>1.7355719718905482</v>
      </c>
      <c r="BB26" s="48"/>
      <c r="BC26" s="48"/>
      <c r="BD26" s="48"/>
      <c r="BE26" s="48">
        <f>AZ14*$C$26</f>
        <v>1.7155719718905482</v>
      </c>
      <c r="BF26" s="48"/>
      <c r="BG26" s="48"/>
      <c r="BH26" s="48"/>
      <c r="BI26" s="48">
        <f>AZ12*$C$26</f>
        <v>1.7353116491109037</v>
      </c>
      <c r="BJ26" s="48"/>
      <c r="BK26" s="48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</row>
    <row r="27" spans="2:87" ht="15">
      <c r="B27" s="106" t="s">
        <v>8</v>
      </c>
      <c r="C27" s="124">
        <v>0.02</v>
      </c>
      <c r="D27" s="48"/>
      <c r="E27" s="48"/>
      <c r="F27" s="48">
        <f>D13*$C$27</f>
        <v>1.6463860401146133</v>
      </c>
      <c r="G27" s="48"/>
      <c r="H27" s="48"/>
      <c r="I27" s="48"/>
      <c r="J27" s="48">
        <f>D14*$C$27</f>
        <v>1.6463860401146133</v>
      </c>
      <c r="K27" s="48"/>
      <c r="L27" s="48"/>
      <c r="M27" s="48"/>
      <c r="N27" s="48">
        <f>D12*$C$27</f>
        <v>1.646139094555874</v>
      </c>
      <c r="O27" s="48"/>
      <c r="P27" s="48"/>
      <c r="Q27" s="48"/>
      <c r="R27" s="48">
        <f>P13*$C$27</f>
        <v>1.6682433919648227</v>
      </c>
      <c r="S27" s="48"/>
      <c r="T27" s="48"/>
      <c r="U27" s="48"/>
      <c r="V27" s="48">
        <f>P14*$C$27</f>
        <v>1.6482433919648227</v>
      </c>
      <c r="W27" s="48"/>
      <c r="X27" s="48"/>
      <c r="Y27" s="48"/>
      <c r="Z27" s="48">
        <f>P12*$C$27</f>
        <v>1.667993167967228</v>
      </c>
      <c r="AA27" s="48"/>
      <c r="AB27" s="48"/>
      <c r="AC27" s="48"/>
      <c r="AD27" s="48">
        <f>AB13*$C$27</f>
        <v>1.690390921099256</v>
      </c>
      <c r="AE27" s="48"/>
      <c r="AF27" s="48"/>
      <c r="AG27" s="48"/>
      <c r="AH27" s="48">
        <f>AB14*$C$27</f>
        <v>1.670390921099256</v>
      </c>
      <c r="AI27" s="48"/>
      <c r="AJ27" s="48"/>
      <c r="AK27" s="48"/>
      <c r="AL27" s="48">
        <f>AB12*$C$27</f>
        <v>1.6901373751383892</v>
      </c>
      <c r="AM27" s="48"/>
      <c r="AN27" s="48"/>
      <c r="AO27" s="48"/>
      <c r="AP27" s="48">
        <f>AN13*$C$27</f>
        <v>1.712832479899338</v>
      </c>
      <c r="AQ27" s="48"/>
      <c r="AR27" s="48"/>
      <c r="AS27" s="48"/>
      <c r="AT27" s="48">
        <f>AN14*$C$27</f>
        <v>1.6928324798993379</v>
      </c>
      <c r="AU27" s="48"/>
      <c r="AV27" s="48"/>
      <c r="AW27" s="48"/>
      <c r="AX27" s="48">
        <f>AN12*$C$27</f>
        <v>1.7125755678729544</v>
      </c>
      <c r="AY27" s="48"/>
      <c r="AZ27" s="48"/>
      <c r="BA27" s="48"/>
      <c r="BB27" s="48">
        <f>AZ13*$C$27</f>
        <v>1.7355719718905482</v>
      </c>
      <c r="BC27" s="48"/>
      <c r="BD27" s="48"/>
      <c r="BE27" s="48"/>
      <c r="BF27" s="48">
        <f>AZ14*$C$27</f>
        <v>1.7155719718905482</v>
      </c>
      <c r="BG27" s="48"/>
      <c r="BH27" s="48"/>
      <c r="BI27" s="48"/>
      <c r="BJ27" s="48">
        <f>AZ12*$C$27</f>
        <v>1.7353116491109037</v>
      </c>
      <c r="BK27" s="48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</row>
    <row r="28" spans="2:87" ht="15">
      <c r="B28" s="106" t="s">
        <v>9</v>
      </c>
      <c r="C28" s="164">
        <v>9.5238095238095247E-3</v>
      </c>
      <c r="D28" s="48"/>
      <c r="E28" s="48"/>
      <c r="F28" s="48"/>
      <c r="G28" s="48">
        <f>D13*$C$28</f>
        <v>0.78399335243553014</v>
      </c>
      <c r="H28" s="48"/>
      <c r="I28" s="48"/>
      <c r="J28" s="48"/>
      <c r="K28" s="48">
        <f>D14*$C$28</f>
        <v>0.78399335243553014</v>
      </c>
      <c r="L28" s="48"/>
      <c r="M28" s="48"/>
      <c r="N28" s="48"/>
      <c r="O28" s="48">
        <f>D12*$C$28</f>
        <v>0.78387575931232101</v>
      </c>
      <c r="P28" s="48"/>
      <c r="Q28" s="48"/>
      <c r="R28" s="48"/>
      <c r="S28" s="48">
        <f>P13*$C$28</f>
        <v>0.79440161522134423</v>
      </c>
      <c r="T28" s="48"/>
      <c r="U28" s="48"/>
      <c r="V28" s="48"/>
      <c r="W28" s="48">
        <f>P14*$C$28</f>
        <v>0.78487780569753474</v>
      </c>
      <c r="X28" s="48"/>
      <c r="Y28" s="48"/>
      <c r="Z28" s="48"/>
      <c r="AA28" s="48">
        <f>P12*$C$28</f>
        <v>0.79428246093677524</v>
      </c>
      <c r="AB28" s="48"/>
      <c r="AC28" s="48"/>
      <c r="AD28" s="48"/>
      <c r="AE28" s="48">
        <f>AB13*$C$28</f>
        <v>0.8049480576663125</v>
      </c>
      <c r="AF28" s="48"/>
      <c r="AG28" s="48"/>
      <c r="AH28" s="48"/>
      <c r="AI28" s="48">
        <f>AB14*$C$28</f>
        <v>0.7954242481425029</v>
      </c>
      <c r="AJ28" s="48"/>
      <c r="AK28" s="48"/>
      <c r="AL28" s="48"/>
      <c r="AM28" s="48">
        <f>AB12*$C$28</f>
        <v>0.80482732149447112</v>
      </c>
      <c r="AN28" s="48"/>
      <c r="AO28" s="48"/>
      <c r="AP28" s="48"/>
      <c r="AQ28" s="48">
        <f>AN13*$C$28</f>
        <v>0.81563451423778</v>
      </c>
      <c r="AR28" s="48"/>
      <c r="AS28" s="48"/>
      <c r="AT28" s="48"/>
      <c r="AU28" s="48">
        <f>AN14*$C$28</f>
        <v>0.80611070471397051</v>
      </c>
      <c r="AV28" s="48"/>
      <c r="AW28" s="48"/>
      <c r="AX28" s="48"/>
      <c r="AY28" s="48">
        <f>AN12*$C$28</f>
        <v>0.81551217517759744</v>
      </c>
      <c r="AZ28" s="48"/>
      <c r="BA28" s="48"/>
      <c r="BB28" s="48"/>
      <c r="BC28" s="48">
        <f>AZ13*$C$28</f>
        <v>0.82646284375740398</v>
      </c>
      <c r="BD28" s="48"/>
      <c r="BE28" s="48"/>
      <c r="BF28" s="48"/>
      <c r="BG28" s="48">
        <f>AZ14*$C$28</f>
        <v>0.81693903423359449</v>
      </c>
      <c r="BH28" s="48"/>
      <c r="BI28" s="48"/>
      <c r="BJ28" s="48"/>
      <c r="BK28" s="48">
        <f>AZ12*$C$28</f>
        <v>0.82633888052900184</v>
      </c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</row>
    <row r="29" spans="2:87" ht="15">
      <c r="B29" s="106"/>
      <c r="C29" s="124">
        <f>SUM(C20:C28)</f>
        <v>1.0019047619047625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</row>
    <row r="30" spans="2:87" ht="15">
      <c r="B30" s="111"/>
      <c r="C30" s="169" t="s">
        <v>31</v>
      </c>
      <c r="D30" s="105">
        <f>SUM(D20:D29)</f>
        <v>75.263361833810947</v>
      </c>
      <c r="E30" s="105">
        <f>SUM(E20:E29)</f>
        <v>54.801135335243586</v>
      </c>
      <c r="F30" s="105">
        <f>SUM(F20:F29)</f>
        <v>36.063694212034385</v>
      </c>
      <c r="G30" s="105">
        <f>SUM(G20:G29)</f>
        <v>2.4303793925501433</v>
      </c>
      <c r="H30" s="105">
        <f t="shared" ref="H30:O30" si="4">SUM(H20:H29)</f>
        <v>75.263361833810947</v>
      </c>
      <c r="I30" s="105">
        <f t="shared" si="4"/>
        <v>54.801135335243586</v>
      </c>
      <c r="J30" s="105">
        <f t="shared" si="4"/>
        <v>36.063694212034385</v>
      </c>
      <c r="K30" s="105">
        <f t="shared" si="4"/>
        <v>2.4303793925501433</v>
      </c>
      <c r="L30" s="105">
        <f t="shared" si="4"/>
        <v>75.25207289398287</v>
      </c>
      <c r="M30" s="105">
        <f t="shared" si="4"/>
        <v>54.792915575931261</v>
      </c>
      <c r="N30" s="105">
        <f t="shared" si="4"/>
        <v>36.05828492836676</v>
      </c>
      <c r="O30" s="105">
        <f t="shared" si="4"/>
        <v>2.4300148538681952</v>
      </c>
      <c r="P30" s="105">
        <f t="shared" ref="P30:BK30" si="5">SUM(P20:P29)</f>
        <v>76.262555061249088</v>
      </c>
      <c r="Q30" s="105">
        <f t="shared" si="5"/>
        <v>55.528672903971987</v>
      </c>
      <c r="R30" s="105">
        <f t="shared" si="5"/>
        <v>36.54247430018183</v>
      </c>
      <c r="S30" s="105">
        <f t="shared" si="5"/>
        <v>2.462645007186167</v>
      </c>
      <c r="T30" s="105">
        <f t="shared" si="5"/>
        <v>75.348269346963377</v>
      </c>
      <c r="U30" s="105">
        <f t="shared" si="5"/>
        <v>54.8629586182577</v>
      </c>
      <c r="V30" s="105">
        <f t="shared" si="5"/>
        <v>36.124379062086597</v>
      </c>
      <c r="W30" s="105">
        <f t="shared" si="5"/>
        <v>2.4331211976623575</v>
      </c>
      <c r="X30" s="105">
        <f t="shared" si="5"/>
        <v>76.251116249930462</v>
      </c>
      <c r="Y30" s="105">
        <f t="shared" si="5"/>
        <v>55.520344019480611</v>
      </c>
      <c r="Z30" s="105">
        <f t="shared" si="5"/>
        <v>36.536993203091654</v>
      </c>
      <c r="AA30" s="105">
        <f t="shared" si="5"/>
        <v>2.4622756289040031</v>
      </c>
      <c r="AB30" s="105">
        <f t="shared" si="5"/>
        <v>77.275013535966053</v>
      </c>
      <c r="AC30" s="105">
        <f t="shared" si="5"/>
        <v>56.265869230875275</v>
      </c>
      <c r="AD30" s="105">
        <f t="shared" si="5"/>
        <v>37.027610652650374</v>
      </c>
      <c r="AE30" s="105">
        <f t="shared" si="5"/>
        <v>2.4953389787655684</v>
      </c>
      <c r="AF30" s="105">
        <f t="shared" si="5"/>
        <v>76.360727821680328</v>
      </c>
      <c r="AG30" s="105">
        <f t="shared" si="5"/>
        <v>55.60015494516098</v>
      </c>
      <c r="AH30" s="105">
        <f t="shared" si="5"/>
        <v>36.609515414555126</v>
      </c>
      <c r="AI30" s="105">
        <f t="shared" si="5"/>
        <v>2.4658151692417589</v>
      </c>
      <c r="AJ30" s="105">
        <f t="shared" si="5"/>
        <v>77.263422863469287</v>
      </c>
      <c r="AK30" s="105">
        <f t="shared" si="5"/>
        <v>56.25742977246356</v>
      </c>
      <c r="AL30" s="105">
        <f t="shared" si="5"/>
        <v>37.022056788745672</v>
      </c>
      <c r="AM30" s="105">
        <f t="shared" si="5"/>
        <v>2.4949646966328602</v>
      </c>
      <c r="AN30" s="105">
        <f t="shared" si="5"/>
        <v>78.300913366826933</v>
      </c>
      <c r="AO30" s="105">
        <f t="shared" si="5"/>
        <v>57.012852545220852</v>
      </c>
      <c r="AP30" s="105">
        <f t="shared" si="5"/>
        <v>37.51918765493788</v>
      </c>
      <c r="AQ30" s="105">
        <f t="shared" si="5"/>
        <v>2.5284669941371178</v>
      </c>
      <c r="AR30" s="105">
        <f t="shared" si="5"/>
        <v>77.386627652541222</v>
      </c>
      <c r="AS30" s="105">
        <f t="shared" si="5"/>
        <v>56.347138259506565</v>
      </c>
      <c r="AT30" s="105">
        <f t="shared" si="5"/>
        <v>37.10109241684264</v>
      </c>
      <c r="AU30" s="105">
        <f t="shared" si="5"/>
        <v>2.4989431846133083</v>
      </c>
      <c r="AV30" s="105">
        <f t="shared" si="5"/>
        <v>78.289168817049401</v>
      </c>
      <c r="AW30" s="105">
        <f t="shared" si="5"/>
        <v>57.004301044914079</v>
      </c>
      <c r="AX30" s="105">
        <f t="shared" si="5"/>
        <v>37.513560058169475</v>
      </c>
      <c r="AY30" s="105">
        <f t="shared" si="5"/>
        <v>2.5280877430505519</v>
      </c>
      <c r="AZ30" s="105">
        <f t="shared" si="5"/>
        <v>79.340433000710846</v>
      </c>
      <c r="BA30" s="105">
        <f t="shared" si="5"/>
        <v>57.76975277864257</v>
      </c>
      <c r="BB30" s="105">
        <f t="shared" si="5"/>
        <v>38.017290812840585</v>
      </c>
      <c r="BC30" s="105">
        <f t="shared" si="5"/>
        <v>2.5620348156479524</v>
      </c>
      <c r="BD30" s="105">
        <f t="shared" si="5"/>
        <v>78.426147286425106</v>
      </c>
      <c r="BE30" s="105">
        <f t="shared" si="5"/>
        <v>57.104038492928275</v>
      </c>
      <c r="BF30" s="105">
        <f t="shared" si="5"/>
        <v>37.599195574745345</v>
      </c>
      <c r="BG30" s="105">
        <f t="shared" si="5"/>
        <v>2.5325110061241425</v>
      </c>
      <c r="BH30" s="105">
        <f t="shared" si="5"/>
        <v>79.32853253078423</v>
      </c>
      <c r="BI30" s="105">
        <f t="shared" si="5"/>
        <v>57.761087748977261</v>
      </c>
      <c r="BJ30" s="105">
        <f t="shared" si="5"/>
        <v>38.011588504334085</v>
      </c>
      <c r="BK30" s="105">
        <f t="shared" si="5"/>
        <v>2.5616505296399055</v>
      </c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</row>
    <row r="31" spans="2:87" ht="15">
      <c r="B31" s="111"/>
      <c r="C31" s="169" t="s">
        <v>30</v>
      </c>
      <c r="D31" s="171">
        <f>D30/20</f>
        <v>3.7631680916905474</v>
      </c>
      <c r="E31" s="171">
        <f t="shared" ref="E31:BK31" si="6">E30/20</f>
        <v>2.7400567667621791</v>
      </c>
      <c r="F31" s="171">
        <f t="shared" si="6"/>
        <v>1.8031847106017191</v>
      </c>
      <c r="G31" s="171">
        <f t="shared" si="6"/>
        <v>0.12151896962750716</v>
      </c>
      <c r="H31" s="171">
        <f t="shared" si="6"/>
        <v>3.7631680916905474</v>
      </c>
      <c r="I31" s="171">
        <f t="shared" si="6"/>
        <v>2.7400567667621791</v>
      </c>
      <c r="J31" s="171">
        <f t="shared" si="6"/>
        <v>1.8031847106017191</v>
      </c>
      <c r="K31" s="171">
        <f t="shared" si="6"/>
        <v>0.12151896962750716</v>
      </c>
      <c r="L31" s="171">
        <f t="shared" si="6"/>
        <v>3.7626036446991433</v>
      </c>
      <c r="M31" s="171">
        <f t="shared" si="6"/>
        <v>2.7396457787965631</v>
      </c>
      <c r="N31" s="171">
        <f t="shared" si="6"/>
        <v>1.8029142464183381</v>
      </c>
      <c r="O31" s="171">
        <f t="shared" si="6"/>
        <v>0.12150074269340976</v>
      </c>
      <c r="P31" s="171">
        <f t="shared" si="6"/>
        <v>3.8131277530624543</v>
      </c>
      <c r="Q31" s="171">
        <f t="shared" si="6"/>
        <v>2.7764336451985994</v>
      </c>
      <c r="R31" s="171">
        <f t="shared" si="6"/>
        <v>1.8271237150090915</v>
      </c>
      <c r="S31" s="171">
        <f t="shared" si="6"/>
        <v>0.12313225035930835</v>
      </c>
      <c r="T31" s="171">
        <f t="shared" si="6"/>
        <v>3.767413467348169</v>
      </c>
      <c r="U31" s="171">
        <f t="shared" si="6"/>
        <v>2.743147930912885</v>
      </c>
      <c r="V31" s="171">
        <f t="shared" si="6"/>
        <v>1.8062189531043298</v>
      </c>
      <c r="W31" s="171">
        <f t="shared" si="6"/>
        <v>0.12165605988311787</v>
      </c>
      <c r="X31" s="171">
        <f t="shared" si="6"/>
        <v>3.8125558124965231</v>
      </c>
      <c r="Y31" s="171">
        <f t="shared" si="6"/>
        <v>2.7760172009740307</v>
      </c>
      <c r="Z31" s="171">
        <f t="shared" si="6"/>
        <v>1.8268496601545827</v>
      </c>
      <c r="AA31" s="171">
        <f t="shared" si="6"/>
        <v>0.12311378144520016</v>
      </c>
      <c r="AB31" s="171">
        <f t="shared" si="6"/>
        <v>3.8637506767983028</v>
      </c>
      <c r="AC31" s="171">
        <f t="shared" si="6"/>
        <v>2.8132934615437639</v>
      </c>
      <c r="AD31" s="171">
        <f t="shared" si="6"/>
        <v>1.8513805326325188</v>
      </c>
      <c r="AE31" s="171">
        <f t="shared" si="6"/>
        <v>0.12476694893827842</v>
      </c>
      <c r="AF31" s="171">
        <f t="shared" si="6"/>
        <v>3.8180363910840165</v>
      </c>
      <c r="AG31" s="171">
        <f t="shared" si="6"/>
        <v>2.7800077472580491</v>
      </c>
      <c r="AH31" s="171">
        <f t="shared" si="6"/>
        <v>1.8304757707277564</v>
      </c>
      <c r="AI31" s="171">
        <f t="shared" si="6"/>
        <v>0.12329075846208795</v>
      </c>
      <c r="AJ31" s="171">
        <f t="shared" si="6"/>
        <v>3.8631711431734646</v>
      </c>
      <c r="AK31" s="171">
        <f t="shared" si="6"/>
        <v>2.8128714886231778</v>
      </c>
      <c r="AL31" s="171">
        <f t="shared" si="6"/>
        <v>1.8511028394372837</v>
      </c>
      <c r="AM31" s="171">
        <f t="shared" si="6"/>
        <v>0.12474823483164302</v>
      </c>
      <c r="AN31" s="171">
        <f t="shared" si="6"/>
        <v>3.9150456683413468</v>
      </c>
      <c r="AO31" s="171">
        <f t="shared" si="6"/>
        <v>2.8506426272610428</v>
      </c>
      <c r="AP31" s="171">
        <f t="shared" si="6"/>
        <v>1.8759593827468941</v>
      </c>
      <c r="AQ31" s="171">
        <f t="shared" si="6"/>
        <v>0.1264233497068559</v>
      </c>
      <c r="AR31" s="171">
        <f t="shared" si="6"/>
        <v>3.869331382627061</v>
      </c>
      <c r="AS31" s="171">
        <f t="shared" si="6"/>
        <v>2.8173569129753284</v>
      </c>
      <c r="AT31" s="171">
        <f t="shared" si="6"/>
        <v>1.8550546208421319</v>
      </c>
      <c r="AU31" s="171">
        <f t="shared" si="6"/>
        <v>0.12494715923066542</v>
      </c>
      <c r="AV31" s="171">
        <f t="shared" si="6"/>
        <v>3.9144584408524699</v>
      </c>
      <c r="AW31" s="171">
        <f t="shared" si="6"/>
        <v>2.8502150522457042</v>
      </c>
      <c r="AX31" s="171">
        <f t="shared" si="6"/>
        <v>1.8756780029084736</v>
      </c>
      <c r="AY31" s="171">
        <f t="shared" si="6"/>
        <v>0.12640438715252761</v>
      </c>
      <c r="AZ31" s="171">
        <f t="shared" si="6"/>
        <v>3.9670216500355422</v>
      </c>
      <c r="BA31" s="171">
        <f t="shared" si="6"/>
        <v>2.8884876389321286</v>
      </c>
      <c r="BB31" s="171">
        <f t="shared" si="6"/>
        <v>1.9008645406420293</v>
      </c>
      <c r="BC31" s="171">
        <f t="shared" si="6"/>
        <v>0.12810174078239761</v>
      </c>
      <c r="BD31" s="171">
        <f t="shared" si="6"/>
        <v>3.9213073643212555</v>
      </c>
      <c r="BE31" s="171">
        <f t="shared" si="6"/>
        <v>2.8552019246464138</v>
      </c>
      <c r="BF31" s="171">
        <f t="shared" si="6"/>
        <v>1.8799597787372673</v>
      </c>
      <c r="BG31" s="171">
        <f t="shared" si="6"/>
        <v>0.12662555030620712</v>
      </c>
      <c r="BH31" s="171">
        <f t="shared" si="6"/>
        <v>3.9664266265392114</v>
      </c>
      <c r="BI31" s="171">
        <f t="shared" si="6"/>
        <v>2.8880543874488631</v>
      </c>
      <c r="BJ31" s="171">
        <f t="shared" si="6"/>
        <v>1.9005794252167043</v>
      </c>
      <c r="BK31" s="171">
        <f t="shared" si="6"/>
        <v>0.12808252648199528</v>
      </c>
    </row>
    <row r="32" spans="2:87" ht="15">
      <c r="B32" s="111"/>
      <c r="C32" s="172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</row>
    <row r="33" spans="2:63" ht="15">
      <c r="B33" s="111"/>
      <c r="C33" s="172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</row>
    <row r="34" spans="2:63" ht="15">
      <c r="B34" s="111" t="s">
        <v>32</v>
      </c>
      <c r="C34" s="172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</row>
    <row r="35" spans="2:63" ht="15">
      <c r="B35" s="111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</row>
    <row r="37" spans="2:63" ht="15">
      <c r="B37" s="48"/>
      <c r="C37" s="48"/>
      <c r="D37" s="103" t="s">
        <v>17</v>
      </c>
      <c r="E37" s="103" t="s">
        <v>18</v>
      </c>
      <c r="F37" s="103" t="s">
        <v>19</v>
      </c>
      <c r="G37" s="103" t="s">
        <v>20</v>
      </c>
      <c r="H37" s="103" t="s">
        <v>21</v>
      </c>
      <c r="N37" s="103" t="s">
        <v>18</v>
      </c>
      <c r="X37" s="103" t="s">
        <v>19</v>
      </c>
      <c r="AH37" s="103" t="s">
        <v>20</v>
      </c>
      <c r="AR37" s="103" t="s">
        <v>21</v>
      </c>
    </row>
    <row r="38" spans="2:63" ht="15">
      <c r="B38" s="127" t="s">
        <v>10</v>
      </c>
      <c r="C38" s="48"/>
      <c r="D38" s="109">
        <f>SENSIBILIDAD!C50*$N$6</f>
        <v>257.05444126074497</v>
      </c>
      <c r="E38" s="109">
        <f>SENSIBILIDAD!D50*$N$6</f>
        <v>260.46708521568524</v>
      </c>
      <c r="F38" s="109">
        <f>SENSIBILIDAD!E50*$N$6</f>
        <v>263.92503528829485</v>
      </c>
      <c r="G38" s="109">
        <f>SENSIBILIDAD!F50*$N$6</f>
        <v>267.42889296068722</v>
      </c>
      <c r="H38" s="109">
        <f>SENSIBILIDAD!G50*$N$6</f>
        <v>270.97926770022696</v>
      </c>
      <c r="N38" s="109">
        <f>E38</f>
        <v>260.46708521568524</v>
      </c>
      <c r="X38" s="109">
        <f>F38</f>
        <v>263.92503528829485</v>
      </c>
      <c r="AH38" s="109">
        <f>G38</f>
        <v>267.42889296068722</v>
      </c>
      <c r="AR38" s="109">
        <f>H38</f>
        <v>270.97926770022696</v>
      </c>
    </row>
    <row r="39" spans="2:63" ht="15">
      <c r="B39" s="127" t="s">
        <v>54</v>
      </c>
      <c r="C39" s="48"/>
      <c r="D39" s="109">
        <f>D38*0.6667</f>
        <v>171.37819598853866</v>
      </c>
      <c r="E39" s="109">
        <f>E38*0.6667</f>
        <v>173.65340571329733</v>
      </c>
      <c r="F39" s="109">
        <f>F38*0.6667</f>
        <v>175.95882102670618</v>
      </c>
      <c r="G39" s="109">
        <f>G38*0.6667</f>
        <v>178.29484293689015</v>
      </c>
      <c r="H39" s="109">
        <f>H38*0.6667</f>
        <v>180.66187777574129</v>
      </c>
      <c r="N39" s="109">
        <f>E39</f>
        <v>173.65340571329733</v>
      </c>
      <c r="X39" s="109">
        <f>F39</f>
        <v>175.95882102670618</v>
      </c>
      <c r="AH39" s="109">
        <f>G39</f>
        <v>178.29484293689015</v>
      </c>
      <c r="AR39" s="109">
        <f>H39</f>
        <v>180.66187777574129</v>
      </c>
    </row>
    <row r="40" spans="2:63" ht="15">
      <c r="B40" s="127" t="s">
        <v>12</v>
      </c>
      <c r="C40" s="48"/>
      <c r="D40" s="109">
        <f>D38*0.3333</f>
        <v>85.676245272206287</v>
      </c>
      <c r="E40" s="109">
        <f>E38*0.3333</f>
        <v>86.813679502387885</v>
      </c>
      <c r="F40" s="109">
        <f>F38*0.3333</f>
        <v>87.966214261588675</v>
      </c>
      <c r="G40" s="109">
        <f>G38*0.3333</f>
        <v>89.134050023797045</v>
      </c>
      <c r="H40" s="109">
        <f>H38*0.3333</f>
        <v>90.317389924485639</v>
      </c>
      <c r="N40" s="109">
        <f>E40</f>
        <v>86.813679502387885</v>
      </c>
      <c r="X40" s="109">
        <f>F40</f>
        <v>87.966214261588675</v>
      </c>
      <c r="AH40" s="109">
        <f>G40</f>
        <v>89.134050023797045</v>
      </c>
      <c r="AR40" s="109">
        <f>H40</f>
        <v>90.317389924485639</v>
      </c>
    </row>
    <row r="41" spans="2:63" ht="15">
      <c r="B41" s="48"/>
      <c r="C41" s="48"/>
      <c r="D41" s="105">
        <f>SUM(D39:D40)</f>
        <v>257.05444126074497</v>
      </c>
      <c r="E41" s="105">
        <f>SUM(E39:E40)</f>
        <v>260.46708521568519</v>
      </c>
      <c r="F41" s="105">
        <f>SUM(F39:F40)</f>
        <v>263.92503528829485</v>
      </c>
      <c r="G41" s="105">
        <f>SUM(G39:G40)</f>
        <v>267.42889296068722</v>
      </c>
      <c r="H41" s="105">
        <f>SUM(H39:H40)</f>
        <v>270.97926770022696</v>
      </c>
      <c r="N41" s="105">
        <f>E41</f>
        <v>260.46708521568519</v>
      </c>
      <c r="X41" s="105">
        <f>F41</f>
        <v>263.92503528829485</v>
      </c>
      <c r="AH41" s="105">
        <f>G41</f>
        <v>267.42889296068722</v>
      </c>
      <c r="AR41" s="105">
        <f>H41</f>
        <v>270.97926770022696</v>
      </c>
    </row>
    <row r="43" spans="2:63" ht="15">
      <c r="D43" s="667" t="s">
        <v>25</v>
      </c>
      <c r="E43" s="668"/>
      <c r="F43" s="668"/>
      <c r="G43" s="668"/>
      <c r="H43" s="668"/>
      <c r="I43" s="668"/>
      <c r="J43" s="668"/>
      <c r="K43" s="668"/>
      <c r="L43" s="668"/>
      <c r="M43" s="669"/>
      <c r="N43" s="667" t="s">
        <v>26</v>
      </c>
      <c r="O43" s="668"/>
      <c r="P43" s="668"/>
      <c r="Q43" s="668"/>
      <c r="R43" s="668"/>
      <c r="S43" s="668"/>
      <c r="T43" s="668"/>
      <c r="U43" s="668"/>
      <c r="V43" s="668"/>
      <c r="W43" s="669"/>
      <c r="X43" s="667" t="s">
        <v>27</v>
      </c>
      <c r="Y43" s="668"/>
      <c r="Z43" s="668"/>
      <c r="AA43" s="668"/>
      <c r="AB43" s="668"/>
      <c r="AC43" s="668"/>
      <c r="AD43" s="668"/>
      <c r="AE43" s="668"/>
      <c r="AF43" s="668"/>
      <c r="AG43" s="669"/>
      <c r="AH43" s="667" t="s">
        <v>28</v>
      </c>
      <c r="AI43" s="668"/>
      <c r="AJ43" s="668"/>
      <c r="AK43" s="668"/>
      <c r="AL43" s="668"/>
      <c r="AM43" s="668"/>
      <c r="AN43" s="668"/>
      <c r="AO43" s="668"/>
      <c r="AP43" s="668"/>
      <c r="AQ43" s="669"/>
      <c r="AR43" s="667" t="s">
        <v>29</v>
      </c>
      <c r="AS43" s="668"/>
      <c r="AT43" s="668"/>
      <c r="AU43" s="668"/>
      <c r="AV43" s="668"/>
      <c r="AW43" s="668"/>
      <c r="AX43" s="668"/>
      <c r="AY43" s="668"/>
      <c r="AZ43" s="668"/>
      <c r="BA43" s="669"/>
    </row>
    <row r="44" spans="2:63" ht="15">
      <c r="B44" s="48"/>
      <c r="C44" s="48"/>
      <c r="D44" s="667" t="s">
        <v>22</v>
      </c>
      <c r="E44" s="668"/>
      <c r="F44" s="668"/>
      <c r="G44" s="668"/>
      <c r="H44" s="669"/>
      <c r="I44" s="662" t="s">
        <v>23</v>
      </c>
      <c r="J44" s="662"/>
      <c r="K44" s="662"/>
      <c r="L44" s="662"/>
      <c r="M44" s="662"/>
      <c r="N44" s="667" t="s">
        <v>22</v>
      </c>
      <c r="O44" s="668"/>
      <c r="P44" s="668"/>
      <c r="Q44" s="668"/>
      <c r="R44" s="669"/>
      <c r="S44" s="662" t="s">
        <v>23</v>
      </c>
      <c r="T44" s="662"/>
      <c r="U44" s="662"/>
      <c r="V44" s="662"/>
      <c r="W44" s="662"/>
      <c r="X44" s="667" t="s">
        <v>22</v>
      </c>
      <c r="Y44" s="668"/>
      <c r="Z44" s="668"/>
      <c r="AA44" s="668"/>
      <c r="AB44" s="669"/>
      <c r="AC44" s="662" t="s">
        <v>23</v>
      </c>
      <c r="AD44" s="662"/>
      <c r="AE44" s="662"/>
      <c r="AF44" s="662"/>
      <c r="AG44" s="662"/>
      <c r="AH44" s="667" t="s">
        <v>22</v>
      </c>
      <c r="AI44" s="668"/>
      <c r="AJ44" s="668"/>
      <c r="AK44" s="668"/>
      <c r="AL44" s="669"/>
      <c r="AM44" s="662" t="s">
        <v>23</v>
      </c>
      <c r="AN44" s="662"/>
      <c r="AO44" s="662"/>
      <c r="AP44" s="662"/>
      <c r="AQ44" s="662"/>
      <c r="AR44" s="667" t="s">
        <v>22</v>
      </c>
      <c r="AS44" s="668"/>
      <c r="AT44" s="668"/>
      <c r="AU44" s="668"/>
      <c r="AV44" s="669"/>
      <c r="AW44" s="662" t="s">
        <v>23</v>
      </c>
      <c r="AX44" s="662"/>
      <c r="AY44" s="662"/>
      <c r="AZ44" s="662"/>
      <c r="BA44" s="662"/>
    </row>
    <row r="45" spans="2:63" ht="15">
      <c r="B45" s="48"/>
      <c r="C45" s="104" t="s">
        <v>0</v>
      </c>
      <c r="D45" s="127" t="s">
        <v>6</v>
      </c>
      <c r="E45" s="127" t="s">
        <v>7</v>
      </c>
      <c r="F45" s="127" t="s">
        <v>16</v>
      </c>
      <c r="G45" s="127" t="s">
        <v>9</v>
      </c>
      <c r="H45" s="174" t="s">
        <v>34</v>
      </c>
      <c r="I45" s="127" t="s">
        <v>6</v>
      </c>
      <c r="J45" s="127" t="s">
        <v>7</v>
      </c>
      <c r="K45" s="127" t="s">
        <v>16</v>
      </c>
      <c r="L45" s="127" t="s">
        <v>9</v>
      </c>
      <c r="M45" s="174" t="s">
        <v>34</v>
      </c>
      <c r="N45" s="127" t="s">
        <v>6</v>
      </c>
      <c r="O45" s="127" t="s">
        <v>7</v>
      </c>
      <c r="P45" s="127" t="s">
        <v>16</v>
      </c>
      <c r="Q45" s="127" t="s">
        <v>9</v>
      </c>
      <c r="R45" s="174" t="s">
        <v>34</v>
      </c>
      <c r="S45" s="127" t="s">
        <v>6</v>
      </c>
      <c r="T45" s="127" t="s">
        <v>7</v>
      </c>
      <c r="U45" s="127" t="s">
        <v>16</v>
      </c>
      <c r="V45" s="127" t="s">
        <v>9</v>
      </c>
      <c r="W45" s="174" t="s">
        <v>34</v>
      </c>
      <c r="X45" s="127" t="s">
        <v>6</v>
      </c>
      <c r="Y45" s="127" t="s">
        <v>7</v>
      </c>
      <c r="Z45" s="127" t="s">
        <v>16</v>
      </c>
      <c r="AA45" s="127" t="s">
        <v>9</v>
      </c>
      <c r="AB45" s="174" t="s">
        <v>34</v>
      </c>
      <c r="AC45" s="127" t="s">
        <v>6</v>
      </c>
      <c r="AD45" s="127" t="s">
        <v>7</v>
      </c>
      <c r="AE45" s="127" t="s">
        <v>16</v>
      </c>
      <c r="AF45" s="127" t="s">
        <v>9</v>
      </c>
      <c r="AG45" s="174" t="s">
        <v>34</v>
      </c>
      <c r="AH45" s="127" t="s">
        <v>6</v>
      </c>
      <c r="AI45" s="127" t="s">
        <v>7</v>
      </c>
      <c r="AJ45" s="127" t="s">
        <v>16</v>
      </c>
      <c r="AK45" s="127" t="s">
        <v>9</v>
      </c>
      <c r="AL45" s="174" t="s">
        <v>34</v>
      </c>
      <c r="AM45" s="127" t="s">
        <v>6</v>
      </c>
      <c r="AN45" s="127" t="s">
        <v>7</v>
      </c>
      <c r="AO45" s="127" t="s">
        <v>16</v>
      </c>
      <c r="AP45" s="127" t="s">
        <v>9</v>
      </c>
      <c r="AQ45" s="174" t="s">
        <v>34</v>
      </c>
      <c r="AR45" s="127" t="s">
        <v>6</v>
      </c>
      <c r="AS45" s="127" t="s">
        <v>7</v>
      </c>
      <c r="AT45" s="127" t="s">
        <v>16</v>
      </c>
      <c r="AU45" s="127" t="s">
        <v>9</v>
      </c>
      <c r="AV45" s="174" t="s">
        <v>34</v>
      </c>
      <c r="AW45" s="127" t="s">
        <v>6</v>
      </c>
      <c r="AX45" s="127" t="s">
        <v>7</v>
      </c>
      <c r="AY45" s="127" t="s">
        <v>16</v>
      </c>
      <c r="AZ45" s="127" t="s">
        <v>9</v>
      </c>
      <c r="BA45" s="174" t="s">
        <v>34</v>
      </c>
    </row>
    <row r="46" spans="2:63" ht="15">
      <c r="B46" s="106" t="s">
        <v>1</v>
      </c>
      <c r="C46" s="120">
        <v>0.152</v>
      </c>
      <c r="D46" s="48">
        <f>D39*$C$46</f>
        <v>26.049485790257876</v>
      </c>
      <c r="E46" s="48">
        <f>D46</f>
        <v>26.049485790257876</v>
      </c>
      <c r="F46" s="48">
        <f>E46</f>
        <v>26.049485790257876</v>
      </c>
      <c r="G46" s="48"/>
      <c r="H46" s="48"/>
      <c r="I46" s="48">
        <f>D40*$C$46</f>
        <v>13.022789281375355</v>
      </c>
      <c r="J46" s="48">
        <f>I46</f>
        <v>13.022789281375355</v>
      </c>
      <c r="K46" s="48">
        <f>J46</f>
        <v>13.022789281375355</v>
      </c>
      <c r="L46" s="48"/>
      <c r="M46" s="48"/>
      <c r="N46" s="48">
        <f>N39*$C$46</f>
        <v>26.395317668421193</v>
      </c>
      <c r="O46" s="48">
        <f>N46</f>
        <v>26.395317668421193</v>
      </c>
      <c r="P46" s="48">
        <f>O46</f>
        <v>26.395317668421193</v>
      </c>
      <c r="Q46" s="48"/>
      <c r="R46" s="48"/>
      <c r="S46" s="48">
        <f>N40*$C$46</f>
        <v>13.195679284362958</v>
      </c>
      <c r="T46" s="48">
        <f>S46</f>
        <v>13.195679284362958</v>
      </c>
      <c r="U46" s="48">
        <f>T46</f>
        <v>13.195679284362958</v>
      </c>
      <c r="V46" s="48"/>
      <c r="W46" s="48"/>
      <c r="X46" s="48">
        <f>X39*$C$46</f>
        <v>26.745740796059337</v>
      </c>
      <c r="Y46" s="48">
        <f>X46</f>
        <v>26.745740796059337</v>
      </c>
      <c r="Z46" s="48">
        <f>Y46</f>
        <v>26.745740796059337</v>
      </c>
      <c r="AA46" s="48"/>
      <c r="AB46" s="48"/>
      <c r="AC46" s="48">
        <f>X40*$C$46</f>
        <v>13.370864567761478</v>
      </c>
      <c r="AD46" s="48">
        <f>AC46</f>
        <v>13.370864567761478</v>
      </c>
      <c r="AE46" s="48">
        <f>AD46</f>
        <v>13.370864567761478</v>
      </c>
      <c r="AF46" s="48"/>
      <c r="AG46" s="48"/>
      <c r="AH46" s="48">
        <f>AH39*$C$46</f>
        <v>27.100816126407302</v>
      </c>
      <c r="AI46" s="48">
        <f>AH46</f>
        <v>27.100816126407302</v>
      </c>
      <c r="AJ46" s="48">
        <f>AI46</f>
        <v>27.100816126407302</v>
      </c>
      <c r="AK46" s="48"/>
      <c r="AL46" s="48"/>
      <c r="AM46" s="48">
        <f>AH40*$C$46</f>
        <v>13.548375603617151</v>
      </c>
      <c r="AN46" s="48">
        <f>AM46</f>
        <v>13.548375603617151</v>
      </c>
      <c r="AO46" s="48">
        <f>AN46</f>
        <v>13.548375603617151</v>
      </c>
      <c r="AP46" s="48"/>
      <c r="AQ46" s="48"/>
      <c r="AR46" s="48">
        <f>AR39*$C$46</f>
        <v>27.460605421912675</v>
      </c>
      <c r="AS46" s="48">
        <f>AR46</f>
        <v>27.460605421912675</v>
      </c>
      <c r="AT46" s="48">
        <f>AS46</f>
        <v>27.460605421912675</v>
      </c>
      <c r="AU46" s="48"/>
      <c r="AV46" s="48"/>
      <c r="AW46" s="48">
        <f>AR40*$C$46</f>
        <v>13.728243268521817</v>
      </c>
      <c r="AX46" s="48">
        <f>AW46</f>
        <v>13.728243268521817</v>
      </c>
      <c r="AY46" s="48">
        <f>AX46</f>
        <v>13.728243268521817</v>
      </c>
      <c r="AZ46" s="48"/>
      <c r="BA46" s="48"/>
    </row>
    <row r="47" spans="2:63" ht="15">
      <c r="B47" s="106" t="s">
        <v>2</v>
      </c>
      <c r="C47" s="120">
        <v>4.8000000000000001E-2</v>
      </c>
      <c r="D47" s="134">
        <f>D39*$C$47</f>
        <v>8.2261534074498552</v>
      </c>
      <c r="E47" s="134">
        <f>D47</f>
        <v>8.2261534074498552</v>
      </c>
      <c r="F47" s="48"/>
      <c r="G47" s="48"/>
      <c r="H47" s="48"/>
      <c r="I47" s="134">
        <f>D40*$C$47</f>
        <v>4.1124597730659023</v>
      </c>
      <c r="J47" s="134">
        <f>I47</f>
        <v>4.1124597730659023</v>
      </c>
      <c r="K47" s="48"/>
      <c r="L47" s="48"/>
      <c r="M47" s="48"/>
      <c r="N47" s="134">
        <f>N39*$C$47</f>
        <v>8.3353634742382727</v>
      </c>
      <c r="O47" s="134">
        <f>N47</f>
        <v>8.3353634742382727</v>
      </c>
      <c r="P47" s="48"/>
      <c r="Q47" s="48"/>
      <c r="R47" s="48"/>
      <c r="S47" s="134">
        <f>N40*$C$47</f>
        <v>4.1670566161146185</v>
      </c>
      <c r="T47" s="134">
        <f>S47</f>
        <v>4.1670566161146185</v>
      </c>
      <c r="U47" s="48"/>
      <c r="V47" s="48"/>
      <c r="W47" s="48"/>
      <c r="X47" s="134">
        <f>X39*$C$47</f>
        <v>8.4460234092818958</v>
      </c>
      <c r="Y47" s="134">
        <f>X47</f>
        <v>8.4460234092818958</v>
      </c>
      <c r="Z47" s="48"/>
      <c r="AA47" s="48"/>
      <c r="AB47" s="48"/>
      <c r="AC47" s="134">
        <f>X40*$C$47</f>
        <v>4.2223782845562567</v>
      </c>
      <c r="AD47" s="134">
        <f>AC47</f>
        <v>4.2223782845562567</v>
      </c>
      <c r="AE47" s="48"/>
      <c r="AF47" s="48"/>
      <c r="AG47" s="48"/>
      <c r="AH47" s="134">
        <f>AH39*$C$47</f>
        <v>8.558152460970728</v>
      </c>
      <c r="AI47" s="134">
        <f>AH47</f>
        <v>8.558152460970728</v>
      </c>
      <c r="AJ47" s="48"/>
      <c r="AK47" s="48"/>
      <c r="AL47" s="48"/>
      <c r="AM47" s="134">
        <f>AH40*$C$47</f>
        <v>4.2784344011422579</v>
      </c>
      <c r="AN47" s="134">
        <f>AM47</f>
        <v>4.2784344011422579</v>
      </c>
      <c r="AO47" s="48"/>
      <c r="AP47" s="48"/>
      <c r="AQ47" s="48"/>
      <c r="AR47" s="134">
        <f>AR39*$C$47</f>
        <v>8.6717701332355812</v>
      </c>
      <c r="AS47" s="134">
        <f>AR47</f>
        <v>8.6717701332355812</v>
      </c>
      <c r="AT47" s="48"/>
      <c r="AU47" s="48"/>
      <c r="AV47" s="48"/>
      <c r="AW47" s="134">
        <f>AR40*$C$47</f>
        <v>4.3352347163753109</v>
      </c>
      <c r="AX47" s="134">
        <f>AW47</f>
        <v>4.3352347163753109</v>
      </c>
      <c r="AY47" s="48"/>
      <c r="AZ47" s="48"/>
      <c r="BA47" s="48"/>
    </row>
    <row r="48" spans="2:63" ht="15">
      <c r="B48" s="106" t="s">
        <v>3</v>
      </c>
      <c r="C48" s="120">
        <v>0</v>
      </c>
      <c r="D48" s="134">
        <f>D39*$C$48</f>
        <v>0</v>
      </c>
      <c r="E48" s="48"/>
      <c r="F48" s="134">
        <f>D48</f>
        <v>0</v>
      </c>
      <c r="G48" s="48"/>
      <c r="H48" s="48"/>
      <c r="I48" s="134">
        <f>D40*$C$48</f>
        <v>0</v>
      </c>
      <c r="J48" s="48"/>
      <c r="K48" s="134">
        <f>I48</f>
        <v>0</v>
      </c>
      <c r="L48" s="48"/>
      <c r="M48" s="48"/>
      <c r="N48" s="134">
        <f>N39*$C$48</f>
        <v>0</v>
      </c>
      <c r="O48" s="48"/>
      <c r="P48" s="134">
        <f>N48</f>
        <v>0</v>
      </c>
      <c r="Q48" s="48"/>
      <c r="R48" s="48"/>
      <c r="S48" s="134">
        <f>N40*$C$48</f>
        <v>0</v>
      </c>
      <c r="T48" s="48"/>
      <c r="U48" s="134">
        <f>S48</f>
        <v>0</v>
      </c>
      <c r="V48" s="48"/>
      <c r="W48" s="48"/>
      <c r="X48" s="134">
        <f>X39*$C$48</f>
        <v>0</v>
      </c>
      <c r="Y48" s="48"/>
      <c r="Z48" s="134">
        <f>X48</f>
        <v>0</v>
      </c>
      <c r="AA48" s="48"/>
      <c r="AB48" s="48"/>
      <c r="AC48" s="134">
        <f>X40*$C$48</f>
        <v>0</v>
      </c>
      <c r="AD48" s="48"/>
      <c r="AE48" s="134">
        <f>AC48</f>
        <v>0</v>
      </c>
      <c r="AF48" s="48"/>
      <c r="AG48" s="48"/>
      <c r="AH48" s="134">
        <f>AH39*$C$48</f>
        <v>0</v>
      </c>
      <c r="AI48" s="48"/>
      <c r="AJ48" s="134">
        <f>AH48</f>
        <v>0</v>
      </c>
      <c r="AK48" s="48"/>
      <c r="AL48" s="48"/>
      <c r="AM48" s="134">
        <f>AH40*$C$48</f>
        <v>0</v>
      </c>
      <c r="AN48" s="48"/>
      <c r="AO48" s="134">
        <f>AM48</f>
        <v>0</v>
      </c>
      <c r="AP48" s="48"/>
      <c r="AQ48" s="48"/>
      <c r="AR48" s="134">
        <f>AR39*$C$48</f>
        <v>0</v>
      </c>
      <c r="AS48" s="48"/>
      <c r="AT48" s="134">
        <f>AR48</f>
        <v>0</v>
      </c>
      <c r="AU48" s="48"/>
      <c r="AV48" s="48"/>
      <c r="AW48" s="134">
        <f>AR40*$C$48</f>
        <v>0</v>
      </c>
      <c r="AX48" s="48"/>
      <c r="AY48" s="134">
        <f>AW48</f>
        <v>0</v>
      </c>
      <c r="AZ48" s="48"/>
      <c r="BA48" s="48"/>
    </row>
    <row r="49" spans="2:115" ht="15">
      <c r="B49" s="106" t="s">
        <v>4</v>
      </c>
      <c r="C49" s="120">
        <v>0</v>
      </c>
      <c r="D49" s="165"/>
      <c r="E49" s="175">
        <f>D39*$C$49</f>
        <v>0</v>
      </c>
      <c r="F49" s="175">
        <f>E49</f>
        <v>0</v>
      </c>
      <c r="G49" s="48"/>
      <c r="H49" s="48"/>
      <c r="I49" s="165"/>
      <c r="J49" s="175">
        <f>D40*$C$49</f>
        <v>0</v>
      </c>
      <c r="K49" s="175">
        <f>J49</f>
        <v>0</v>
      </c>
      <c r="L49" s="48"/>
      <c r="M49" s="48"/>
      <c r="N49" s="165"/>
      <c r="O49" s="175">
        <f>N39*$C$49</f>
        <v>0</v>
      </c>
      <c r="P49" s="175">
        <f>O49</f>
        <v>0</v>
      </c>
      <c r="Q49" s="48"/>
      <c r="R49" s="48"/>
      <c r="S49" s="165"/>
      <c r="T49" s="175">
        <f>N40*$C$49</f>
        <v>0</v>
      </c>
      <c r="U49" s="175">
        <f>T49</f>
        <v>0</v>
      </c>
      <c r="V49" s="48"/>
      <c r="W49" s="48"/>
      <c r="X49" s="165"/>
      <c r="Y49" s="175">
        <f>X39*$C$49</f>
        <v>0</v>
      </c>
      <c r="Z49" s="175">
        <f>Y49</f>
        <v>0</v>
      </c>
      <c r="AA49" s="48"/>
      <c r="AB49" s="48"/>
      <c r="AC49" s="165"/>
      <c r="AD49" s="175">
        <f>X40*$C$49</f>
        <v>0</v>
      </c>
      <c r="AE49" s="175">
        <f>AD49</f>
        <v>0</v>
      </c>
      <c r="AF49" s="48"/>
      <c r="AG49" s="48"/>
      <c r="AH49" s="165"/>
      <c r="AI49" s="175">
        <f>AH39*$C$49</f>
        <v>0</v>
      </c>
      <c r="AJ49" s="175">
        <f>AI49</f>
        <v>0</v>
      </c>
      <c r="AK49" s="48"/>
      <c r="AL49" s="48"/>
      <c r="AM49" s="165"/>
      <c r="AN49" s="175">
        <f>AH40*$C$49</f>
        <v>0</v>
      </c>
      <c r="AO49" s="175">
        <f>AN49</f>
        <v>0</v>
      </c>
      <c r="AP49" s="48"/>
      <c r="AQ49" s="48"/>
      <c r="AR49" s="165"/>
      <c r="AS49" s="175">
        <f>AR39*$C$49</f>
        <v>0</v>
      </c>
      <c r="AT49" s="175">
        <f>AS49</f>
        <v>0</v>
      </c>
      <c r="AU49" s="48"/>
      <c r="AV49" s="48"/>
      <c r="AW49" s="165"/>
      <c r="AX49" s="175">
        <f>AR40*$C$49</f>
        <v>0</v>
      </c>
      <c r="AY49" s="175">
        <f>AX49</f>
        <v>0</v>
      </c>
      <c r="AZ49" s="48"/>
      <c r="BA49" s="48"/>
    </row>
    <row r="50" spans="2:115" ht="15">
      <c r="B50" s="106" t="s">
        <v>5</v>
      </c>
      <c r="C50" s="120">
        <v>0.248</v>
      </c>
      <c r="D50" s="167">
        <f>D39*$C$50</f>
        <v>42.50179260515759</v>
      </c>
      <c r="E50" s="176"/>
      <c r="F50" s="176"/>
      <c r="G50" s="48">
        <f>D50</f>
        <v>42.50179260515759</v>
      </c>
      <c r="H50" s="48"/>
      <c r="I50" s="167">
        <f>D40*$C$50</f>
        <v>21.247708827507161</v>
      </c>
      <c r="J50" s="176"/>
      <c r="K50" s="176"/>
      <c r="L50" s="48">
        <f>I50</f>
        <v>21.247708827507161</v>
      </c>
      <c r="M50" s="48"/>
      <c r="N50" s="167">
        <f>N39*$C$50</f>
        <v>43.066044616897734</v>
      </c>
      <c r="O50" s="176"/>
      <c r="P50" s="176"/>
      <c r="Q50" s="48">
        <f>N50</f>
        <v>43.066044616897734</v>
      </c>
      <c r="R50" s="48"/>
      <c r="S50" s="167">
        <f>N40*$C$50</f>
        <v>21.529792516592195</v>
      </c>
      <c r="T50" s="176"/>
      <c r="U50" s="176"/>
      <c r="V50" s="48">
        <f>S50</f>
        <v>21.529792516592195</v>
      </c>
      <c r="W50" s="48"/>
      <c r="X50" s="167">
        <f>X39*$C$50</f>
        <v>43.637787614623129</v>
      </c>
      <c r="Y50" s="176"/>
      <c r="Z50" s="176"/>
      <c r="AA50" s="48">
        <f>X50</f>
        <v>43.637787614623129</v>
      </c>
      <c r="AB50" s="48"/>
      <c r="AC50" s="167">
        <f>X40*$C$50</f>
        <v>21.81562113687399</v>
      </c>
      <c r="AD50" s="176"/>
      <c r="AE50" s="176"/>
      <c r="AF50" s="48">
        <f>AC50</f>
        <v>21.81562113687399</v>
      </c>
      <c r="AG50" s="48"/>
      <c r="AH50" s="167">
        <f>AH39*$C$50</f>
        <v>44.217121048348758</v>
      </c>
      <c r="AI50" s="176"/>
      <c r="AJ50" s="176"/>
      <c r="AK50" s="48">
        <f>AH50</f>
        <v>44.217121048348758</v>
      </c>
      <c r="AL50" s="48"/>
      <c r="AM50" s="167">
        <f>AH40*$C$50</f>
        <v>22.105244405901669</v>
      </c>
      <c r="AN50" s="176"/>
      <c r="AO50" s="176"/>
      <c r="AP50" s="48">
        <f>AM50</f>
        <v>22.105244405901669</v>
      </c>
      <c r="AQ50" s="48"/>
      <c r="AR50" s="167">
        <f>AR39*$C$50</f>
        <v>44.804145688383841</v>
      </c>
      <c r="AS50" s="176"/>
      <c r="AT50" s="176"/>
      <c r="AU50" s="48">
        <f>AR50</f>
        <v>44.804145688383841</v>
      </c>
      <c r="AV50" s="48"/>
      <c r="AW50" s="167">
        <f>AR40*$C$50</f>
        <v>22.398712701272437</v>
      </c>
      <c r="AX50" s="176"/>
      <c r="AY50" s="176"/>
      <c r="AZ50" s="48">
        <f>AW50</f>
        <v>22.398712701272437</v>
      </c>
      <c r="BA50" s="48"/>
    </row>
    <row r="51" spans="2:115" ht="15">
      <c r="B51" s="106" t="s">
        <v>6</v>
      </c>
      <c r="C51" s="120">
        <v>0.13600000000000001</v>
      </c>
      <c r="D51" s="175">
        <f>D39*$C$51</f>
        <v>23.307434654441259</v>
      </c>
      <c r="E51" s="165"/>
      <c r="F51" s="165"/>
      <c r="G51" s="48"/>
      <c r="H51" s="48"/>
      <c r="I51" s="175">
        <f>D40*$C$51</f>
        <v>11.651969357020056</v>
      </c>
      <c r="J51" s="165"/>
      <c r="K51" s="165"/>
      <c r="L51" s="48"/>
      <c r="M51" s="48"/>
      <c r="N51" s="175">
        <f>N39*$C$51</f>
        <v>23.61686317700844</v>
      </c>
      <c r="O51" s="165"/>
      <c r="P51" s="165"/>
      <c r="Q51" s="48"/>
      <c r="R51" s="48"/>
      <c r="S51" s="175">
        <f>N40*$C$51</f>
        <v>11.806660412324753</v>
      </c>
      <c r="T51" s="165"/>
      <c r="U51" s="165"/>
      <c r="V51" s="48"/>
      <c r="W51" s="48"/>
      <c r="X51" s="175">
        <f>X39*$C$51</f>
        <v>23.930399659632041</v>
      </c>
      <c r="Y51" s="165"/>
      <c r="Z51" s="165"/>
      <c r="AA51" s="48"/>
      <c r="AB51" s="48"/>
      <c r="AC51" s="175">
        <f>X40*$C$51</f>
        <v>11.963405139576061</v>
      </c>
      <c r="AD51" s="165"/>
      <c r="AE51" s="165"/>
      <c r="AF51" s="48"/>
      <c r="AG51" s="48"/>
      <c r="AH51" s="175">
        <f>AH39*$C$51</f>
        <v>24.248098639417062</v>
      </c>
      <c r="AI51" s="165"/>
      <c r="AJ51" s="165"/>
      <c r="AK51" s="48"/>
      <c r="AL51" s="48"/>
      <c r="AM51" s="175">
        <f>AH40*$C$51</f>
        <v>12.122230803236398</v>
      </c>
      <c r="AN51" s="165"/>
      <c r="AO51" s="165"/>
      <c r="AP51" s="48"/>
      <c r="AQ51" s="48"/>
      <c r="AR51" s="175">
        <f>AR39*$C$51</f>
        <v>24.570015377500816</v>
      </c>
      <c r="AS51" s="165"/>
      <c r="AT51" s="165"/>
      <c r="AU51" s="48"/>
      <c r="AV51" s="48"/>
      <c r="AW51" s="175">
        <f>AR40*$C$51</f>
        <v>12.283165029730048</v>
      </c>
      <c r="AX51" s="165"/>
      <c r="AY51" s="165"/>
      <c r="AZ51" s="48"/>
      <c r="BA51" s="48"/>
    </row>
    <row r="52" spans="2:115" ht="15">
      <c r="B52" s="106" t="s">
        <v>7</v>
      </c>
      <c r="C52" s="120">
        <v>0</v>
      </c>
      <c r="D52" s="48"/>
      <c r="E52" s="48">
        <f>$C$52*D39</f>
        <v>0</v>
      </c>
      <c r="F52" s="48"/>
      <c r="G52" s="48"/>
      <c r="H52" s="48"/>
      <c r="I52" s="48"/>
      <c r="J52" s="48">
        <f>$C$52*D40</f>
        <v>0</v>
      </c>
      <c r="K52" s="48"/>
      <c r="L52" s="48"/>
      <c r="M52" s="48"/>
      <c r="N52" s="48"/>
      <c r="O52" s="48">
        <f>$C$52*N39</f>
        <v>0</v>
      </c>
      <c r="P52" s="48"/>
      <c r="Q52" s="48"/>
      <c r="R52" s="48"/>
      <c r="S52" s="48"/>
      <c r="T52" s="48">
        <f>$C$52*N40</f>
        <v>0</v>
      </c>
      <c r="U52" s="48"/>
      <c r="V52" s="48"/>
      <c r="W52" s="48"/>
      <c r="X52" s="48"/>
      <c r="Y52" s="48">
        <f>$C$52*X39</f>
        <v>0</v>
      </c>
      <c r="Z52" s="48"/>
      <c r="AA52" s="48"/>
      <c r="AB52" s="48"/>
      <c r="AC52" s="48"/>
      <c r="AD52" s="48">
        <f>$C$52*X40</f>
        <v>0</v>
      </c>
      <c r="AE52" s="48"/>
      <c r="AF52" s="48"/>
      <c r="AG52" s="48"/>
      <c r="AH52" s="48"/>
      <c r="AI52" s="48">
        <f>$C$52*AH39</f>
        <v>0</v>
      </c>
      <c r="AJ52" s="48"/>
      <c r="AK52" s="48"/>
      <c r="AL52" s="48"/>
      <c r="AM52" s="48"/>
      <c r="AN52" s="48">
        <f>$C$52*AH40</f>
        <v>0</v>
      </c>
      <c r="AO52" s="48"/>
      <c r="AP52" s="48"/>
      <c r="AQ52" s="48"/>
      <c r="AR52" s="48"/>
      <c r="AS52" s="48">
        <f>$C$52*AR39</f>
        <v>0</v>
      </c>
      <c r="AT52" s="48"/>
      <c r="AU52" s="48"/>
      <c r="AV52" s="48"/>
      <c r="AW52" s="48"/>
      <c r="AX52" s="48">
        <f>$C$52*AR40</f>
        <v>0</v>
      </c>
      <c r="AY52" s="48"/>
      <c r="AZ52" s="48"/>
      <c r="BA52" s="48"/>
    </row>
    <row r="53" spans="2:115" ht="15">
      <c r="B53" s="106" t="s">
        <v>8</v>
      </c>
      <c r="C53" s="120">
        <v>0</v>
      </c>
      <c r="D53" s="48"/>
      <c r="E53" s="48"/>
      <c r="F53" s="48">
        <f>C53*$D$39</f>
        <v>0</v>
      </c>
      <c r="G53" s="48"/>
      <c r="H53" s="48"/>
      <c r="I53" s="48"/>
      <c r="J53" s="48"/>
      <c r="K53" s="48">
        <f>C53*D40</f>
        <v>0</v>
      </c>
      <c r="L53" s="48"/>
      <c r="M53" s="48"/>
      <c r="N53" s="48"/>
      <c r="O53" s="48"/>
      <c r="P53" s="48">
        <f>M53*$D$39</f>
        <v>0</v>
      </c>
      <c r="Q53" s="48"/>
      <c r="R53" s="48"/>
      <c r="S53" s="48"/>
      <c r="T53" s="48"/>
      <c r="U53" s="48">
        <f>M53*N40</f>
        <v>0</v>
      </c>
      <c r="V53" s="48"/>
      <c r="W53" s="48"/>
      <c r="X53" s="48"/>
      <c r="Y53" s="48"/>
      <c r="Z53" s="48">
        <f>W53*$D$39</f>
        <v>0</v>
      </c>
      <c r="AA53" s="48"/>
      <c r="AB53" s="48"/>
      <c r="AC53" s="48"/>
      <c r="AD53" s="48"/>
      <c r="AE53" s="48">
        <f>W53*X40</f>
        <v>0</v>
      </c>
      <c r="AF53" s="48"/>
      <c r="AG53" s="48"/>
      <c r="AH53" s="48"/>
      <c r="AI53" s="48"/>
      <c r="AJ53" s="48">
        <f>AG53*$D$39</f>
        <v>0</v>
      </c>
      <c r="AK53" s="48"/>
      <c r="AL53" s="48"/>
      <c r="AM53" s="48"/>
      <c r="AN53" s="48"/>
      <c r="AO53" s="48">
        <f>AG53*AH40</f>
        <v>0</v>
      </c>
      <c r="AP53" s="48"/>
      <c r="AQ53" s="48"/>
      <c r="AR53" s="48"/>
      <c r="AS53" s="48"/>
      <c r="AT53" s="48">
        <f>AQ53*$D$39</f>
        <v>0</v>
      </c>
      <c r="AU53" s="48"/>
      <c r="AV53" s="48"/>
      <c r="AW53" s="48"/>
      <c r="AX53" s="48"/>
      <c r="AY53" s="48">
        <f>AQ53*AR40</f>
        <v>0</v>
      </c>
      <c r="AZ53" s="48"/>
      <c r="BA53" s="48"/>
    </row>
    <row r="54" spans="2:115" ht="15">
      <c r="B54" s="106" t="s">
        <v>9</v>
      </c>
      <c r="C54" s="120">
        <v>6.4000000000000001E-2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</row>
    <row r="55" spans="2:115" ht="15">
      <c r="B55" s="106" t="s">
        <v>24</v>
      </c>
      <c r="C55" s="124">
        <f>1-SUM(C46:C54)</f>
        <v>0.35199999999999987</v>
      </c>
      <c r="D55" s="48"/>
      <c r="E55" s="48"/>
      <c r="F55" s="48"/>
      <c r="G55" s="48"/>
      <c r="H55" s="48">
        <f>$C$55*D39</f>
        <v>60.325124987965587</v>
      </c>
      <c r="I55" s="48"/>
      <c r="J55" s="48"/>
      <c r="K55" s="48"/>
      <c r="L55" s="48"/>
      <c r="M55" s="48">
        <f>$C$55*D40</f>
        <v>30.158038335816602</v>
      </c>
      <c r="N55" s="48"/>
      <c r="O55" s="48"/>
      <c r="P55" s="48"/>
      <c r="Q55" s="48"/>
      <c r="R55" s="48">
        <f>$C$55*N39</f>
        <v>61.125998811080635</v>
      </c>
      <c r="S55" s="48"/>
      <c r="T55" s="48"/>
      <c r="U55" s="48"/>
      <c r="V55" s="48"/>
      <c r="W55" s="48">
        <f>$C$55*N40</f>
        <v>30.558415184840523</v>
      </c>
      <c r="X55" s="48"/>
      <c r="Y55" s="48"/>
      <c r="Z55" s="48"/>
      <c r="AA55" s="48"/>
      <c r="AB55" s="48">
        <f>$C$55*X39</f>
        <v>61.937505001400552</v>
      </c>
      <c r="AC55" s="48"/>
      <c r="AD55" s="48"/>
      <c r="AE55" s="48"/>
      <c r="AF55" s="48"/>
      <c r="AG55" s="48">
        <f>$C$55*X40</f>
        <v>30.964107420079202</v>
      </c>
      <c r="AH55" s="48"/>
      <c r="AI55" s="48"/>
      <c r="AJ55" s="48"/>
      <c r="AK55" s="48"/>
      <c r="AL55" s="48">
        <f>$C$55*AH39</f>
        <v>62.759784713785308</v>
      </c>
      <c r="AM55" s="48"/>
      <c r="AN55" s="48"/>
      <c r="AO55" s="48"/>
      <c r="AP55" s="48"/>
      <c r="AQ55" s="48">
        <f>$C$55*AH40</f>
        <v>31.375185608376547</v>
      </c>
      <c r="AR55" s="48"/>
      <c r="AS55" s="48"/>
      <c r="AT55" s="48"/>
      <c r="AU55" s="48"/>
      <c r="AV55" s="48">
        <f>$C$55*AR39</f>
        <v>63.592980977060911</v>
      </c>
      <c r="AW55" s="48"/>
      <c r="AX55" s="48"/>
      <c r="AY55" s="48"/>
      <c r="AZ55" s="48"/>
      <c r="BA55" s="48">
        <f>$C$55*AR40</f>
        <v>31.791721253418935</v>
      </c>
    </row>
    <row r="56" spans="2:115" ht="15">
      <c r="C56" s="127" t="s">
        <v>35</v>
      </c>
      <c r="D56" s="48">
        <f>SUM(D46:D55)</f>
        <v>100.08486645730659</v>
      </c>
      <c r="E56" s="48">
        <f t="shared" ref="E56:M56" si="7">SUM(E46:E55)</f>
        <v>34.275639197707733</v>
      </c>
      <c r="F56" s="48">
        <f t="shared" si="7"/>
        <v>26.049485790257876</v>
      </c>
      <c r="G56" s="48">
        <f t="shared" si="7"/>
        <v>42.50179260515759</v>
      </c>
      <c r="H56" s="48">
        <f t="shared" si="7"/>
        <v>60.325124987965587</v>
      </c>
      <c r="I56" s="48">
        <f t="shared" si="7"/>
        <v>50.034927238968471</v>
      </c>
      <c r="J56" s="48">
        <f t="shared" si="7"/>
        <v>17.135249054441257</v>
      </c>
      <c r="K56" s="48">
        <f t="shared" si="7"/>
        <v>13.022789281375355</v>
      </c>
      <c r="L56" s="48">
        <f t="shared" si="7"/>
        <v>21.247708827507161</v>
      </c>
      <c r="M56" s="48">
        <f t="shared" si="7"/>
        <v>30.158038335816602</v>
      </c>
      <c r="N56" s="48">
        <f t="shared" ref="N56:BA56" si="8">SUM(N46:N55)</f>
        <v>101.41358893656565</v>
      </c>
      <c r="O56" s="48">
        <f t="shared" si="8"/>
        <v>34.730681142659463</v>
      </c>
      <c r="P56" s="48">
        <f t="shared" si="8"/>
        <v>26.395317668421193</v>
      </c>
      <c r="Q56" s="48">
        <f t="shared" si="8"/>
        <v>43.066044616897734</v>
      </c>
      <c r="R56" s="48">
        <f t="shared" si="8"/>
        <v>61.125998811080635</v>
      </c>
      <c r="S56" s="48">
        <f t="shared" si="8"/>
        <v>50.699188829394522</v>
      </c>
      <c r="T56" s="48">
        <f t="shared" si="8"/>
        <v>17.362735900477578</v>
      </c>
      <c r="U56" s="48">
        <f t="shared" si="8"/>
        <v>13.195679284362958</v>
      </c>
      <c r="V56" s="48">
        <f t="shared" si="8"/>
        <v>21.529792516592195</v>
      </c>
      <c r="W56" s="48">
        <f t="shared" si="8"/>
        <v>30.558415184840523</v>
      </c>
      <c r="X56" s="48">
        <f t="shared" si="8"/>
        <v>102.75995147959641</v>
      </c>
      <c r="Y56" s="48">
        <f t="shared" si="8"/>
        <v>35.191764205341229</v>
      </c>
      <c r="Z56" s="48">
        <f t="shared" si="8"/>
        <v>26.745740796059337</v>
      </c>
      <c r="AA56" s="48">
        <f t="shared" si="8"/>
        <v>43.637787614623129</v>
      </c>
      <c r="AB56" s="48">
        <f t="shared" si="8"/>
        <v>61.937505001400552</v>
      </c>
      <c r="AC56" s="48">
        <f t="shared" si="8"/>
        <v>51.37226912876779</v>
      </c>
      <c r="AD56" s="48">
        <f t="shared" si="8"/>
        <v>17.593242852317736</v>
      </c>
      <c r="AE56" s="48">
        <f t="shared" si="8"/>
        <v>13.370864567761478</v>
      </c>
      <c r="AF56" s="48">
        <f t="shared" si="8"/>
        <v>21.81562113687399</v>
      </c>
      <c r="AG56" s="48">
        <f t="shared" si="8"/>
        <v>30.964107420079202</v>
      </c>
      <c r="AH56" s="48">
        <f t="shared" si="8"/>
        <v>104.12418827514385</v>
      </c>
      <c r="AI56" s="48">
        <f t="shared" si="8"/>
        <v>35.658968587378027</v>
      </c>
      <c r="AJ56" s="48">
        <f t="shared" si="8"/>
        <v>27.100816126407302</v>
      </c>
      <c r="AK56" s="48">
        <f t="shared" si="8"/>
        <v>44.217121048348758</v>
      </c>
      <c r="AL56" s="48">
        <f t="shared" si="8"/>
        <v>62.759784713785308</v>
      </c>
      <c r="AM56" s="48">
        <f t="shared" si="8"/>
        <v>52.054285213897479</v>
      </c>
      <c r="AN56" s="48">
        <f t="shared" si="8"/>
        <v>17.826810004759409</v>
      </c>
      <c r="AO56" s="48">
        <f t="shared" si="8"/>
        <v>13.548375603617151</v>
      </c>
      <c r="AP56" s="48">
        <f t="shared" si="8"/>
        <v>22.105244405901669</v>
      </c>
      <c r="AQ56" s="48">
        <f t="shared" si="8"/>
        <v>31.375185608376547</v>
      </c>
      <c r="AR56" s="48">
        <f t="shared" si="8"/>
        <v>105.50653662103292</v>
      </c>
      <c r="AS56" s="48">
        <f t="shared" si="8"/>
        <v>36.132375555148258</v>
      </c>
      <c r="AT56" s="48">
        <f t="shared" si="8"/>
        <v>27.460605421912675</v>
      </c>
      <c r="AU56" s="48">
        <f t="shared" si="8"/>
        <v>44.804145688383841</v>
      </c>
      <c r="AV56" s="48">
        <f t="shared" si="8"/>
        <v>63.592980977060911</v>
      </c>
      <c r="AW56" s="48">
        <f t="shared" si="8"/>
        <v>52.745355715899613</v>
      </c>
      <c r="AX56" s="48">
        <f t="shared" si="8"/>
        <v>18.063477984897126</v>
      </c>
      <c r="AY56" s="48">
        <f t="shared" si="8"/>
        <v>13.728243268521817</v>
      </c>
      <c r="AZ56" s="48">
        <f t="shared" si="8"/>
        <v>22.398712701272437</v>
      </c>
      <c r="BA56" s="48">
        <f t="shared" si="8"/>
        <v>31.791721253418935</v>
      </c>
    </row>
    <row r="57" spans="2:115" ht="15">
      <c r="C57" s="127" t="s">
        <v>30</v>
      </c>
      <c r="D57" s="48">
        <f>D56/20</f>
        <v>5.0042433228653298</v>
      </c>
      <c r="E57" s="48">
        <f t="shared" ref="E57:BA57" si="9">E56/20</f>
        <v>1.7137819598853867</v>
      </c>
      <c r="F57" s="48">
        <f t="shared" si="9"/>
        <v>1.3024742895128938</v>
      </c>
      <c r="G57" s="48">
        <f t="shared" si="9"/>
        <v>2.1250896302578797</v>
      </c>
      <c r="H57" s="48">
        <f t="shared" si="9"/>
        <v>3.0162562493982792</v>
      </c>
      <c r="I57" s="48">
        <f t="shared" si="9"/>
        <v>2.5017463619484235</v>
      </c>
      <c r="J57" s="48">
        <f t="shared" si="9"/>
        <v>0.85676245272206286</v>
      </c>
      <c r="K57" s="48">
        <f t="shared" si="9"/>
        <v>0.65113946406876777</v>
      </c>
      <c r="L57" s="48">
        <f t="shared" si="9"/>
        <v>1.062385441375358</v>
      </c>
      <c r="M57" s="48">
        <f t="shared" si="9"/>
        <v>1.5079019167908301</v>
      </c>
      <c r="N57" s="48">
        <f t="shared" si="9"/>
        <v>5.0706794468282821</v>
      </c>
      <c r="O57" s="48">
        <f t="shared" si="9"/>
        <v>1.7365340571329733</v>
      </c>
      <c r="P57" s="48">
        <f t="shared" si="9"/>
        <v>1.3197658834210597</v>
      </c>
      <c r="Q57" s="48">
        <f t="shared" si="9"/>
        <v>2.1533022308448868</v>
      </c>
      <c r="R57" s="48">
        <f t="shared" si="9"/>
        <v>3.0562999405540316</v>
      </c>
      <c r="S57" s="48">
        <f t="shared" si="9"/>
        <v>2.5349594414697263</v>
      </c>
      <c r="T57" s="48">
        <f t="shared" si="9"/>
        <v>0.86813679502387886</v>
      </c>
      <c r="U57" s="48">
        <f t="shared" si="9"/>
        <v>0.65978396421814789</v>
      </c>
      <c r="V57" s="48">
        <f t="shared" si="9"/>
        <v>1.0764896258296097</v>
      </c>
      <c r="W57" s="48">
        <f t="shared" si="9"/>
        <v>1.5279207592420261</v>
      </c>
      <c r="X57" s="48">
        <f t="shared" si="9"/>
        <v>5.1379975739798205</v>
      </c>
      <c r="Y57" s="48">
        <f t="shared" si="9"/>
        <v>1.7595882102670615</v>
      </c>
      <c r="Z57" s="48">
        <f t="shared" si="9"/>
        <v>1.3372870398029668</v>
      </c>
      <c r="AA57" s="48">
        <f t="shared" si="9"/>
        <v>2.1818893807311563</v>
      </c>
      <c r="AB57" s="48">
        <f t="shared" si="9"/>
        <v>3.0968752500700276</v>
      </c>
      <c r="AC57" s="48">
        <f t="shared" si="9"/>
        <v>2.5686134564383893</v>
      </c>
      <c r="AD57" s="48">
        <f t="shared" si="9"/>
        <v>0.87966214261588682</v>
      </c>
      <c r="AE57" s="48">
        <f t="shared" si="9"/>
        <v>0.6685432283880739</v>
      </c>
      <c r="AF57" s="48">
        <f t="shared" si="9"/>
        <v>1.0907810568436995</v>
      </c>
      <c r="AG57" s="48">
        <f t="shared" si="9"/>
        <v>1.5482053710039601</v>
      </c>
      <c r="AH57" s="48">
        <f t="shared" si="9"/>
        <v>5.2062094137571924</v>
      </c>
      <c r="AI57" s="48">
        <f t="shared" si="9"/>
        <v>1.7829484293689013</v>
      </c>
      <c r="AJ57" s="48">
        <f t="shared" si="9"/>
        <v>1.3550408063203652</v>
      </c>
      <c r="AK57" s="48">
        <f t="shared" si="9"/>
        <v>2.2108560524174381</v>
      </c>
      <c r="AL57" s="48">
        <f t="shared" si="9"/>
        <v>3.1379892356892656</v>
      </c>
      <c r="AM57" s="48">
        <f t="shared" si="9"/>
        <v>2.6027142606948739</v>
      </c>
      <c r="AN57" s="48">
        <f t="shared" si="9"/>
        <v>0.8913405002379704</v>
      </c>
      <c r="AO57" s="48">
        <f t="shared" si="9"/>
        <v>0.67741878018085755</v>
      </c>
      <c r="AP57" s="48">
        <f t="shared" si="9"/>
        <v>1.1052622202950835</v>
      </c>
      <c r="AQ57" s="48">
        <f t="shared" si="9"/>
        <v>1.5687592804188273</v>
      </c>
      <c r="AR57" s="48">
        <f t="shared" si="9"/>
        <v>5.2753268310516459</v>
      </c>
      <c r="AS57" s="48">
        <f t="shared" si="9"/>
        <v>1.806618777757413</v>
      </c>
      <c r="AT57" s="48">
        <f t="shared" si="9"/>
        <v>1.3730302710956337</v>
      </c>
      <c r="AU57" s="48">
        <f t="shared" si="9"/>
        <v>2.240207284419192</v>
      </c>
      <c r="AV57" s="48">
        <f t="shared" si="9"/>
        <v>3.1796490488530456</v>
      </c>
      <c r="AW57" s="48">
        <f t="shared" si="9"/>
        <v>2.6372677857949807</v>
      </c>
      <c r="AX57" s="48">
        <f t="shared" si="9"/>
        <v>0.90317389924485636</v>
      </c>
      <c r="AY57" s="48">
        <f t="shared" si="9"/>
        <v>0.6864121634260909</v>
      </c>
      <c r="AZ57" s="48">
        <f t="shared" si="9"/>
        <v>1.1199356350636218</v>
      </c>
      <c r="BA57" s="48">
        <f t="shared" si="9"/>
        <v>1.5895860626709468</v>
      </c>
    </row>
    <row r="61" spans="2:115" s="177" customFormat="1" ht="15">
      <c r="D61" s="676" t="s">
        <v>25</v>
      </c>
      <c r="E61" s="676"/>
      <c r="F61" s="676"/>
      <c r="G61" s="676"/>
      <c r="H61" s="676"/>
      <c r="I61" s="676"/>
      <c r="J61" s="676"/>
      <c r="K61" s="676"/>
      <c r="L61" s="676"/>
      <c r="M61" s="676"/>
      <c r="N61" s="676"/>
      <c r="O61" s="676"/>
      <c r="P61" s="676"/>
      <c r="Q61" s="676"/>
      <c r="R61" s="676" t="s">
        <v>26</v>
      </c>
      <c r="S61" s="676"/>
      <c r="T61" s="676"/>
      <c r="U61" s="676"/>
      <c r="V61" s="676"/>
      <c r="W61" s="676"/>
      <c r="X61" s="676"/>
      <c r="Y61" s="676"/>
      <c r="Z61" s="676"/>
      <c r="AA61" s="676"/>
      <c r="AB61" s="676"/>
      <c r="AC61" s="676"/>
      <c r="AD61" s="676"/>
      <c r="AE61" s="676"/>
      <c r="AF61" s="676" t="s">
        <v>27</v>
      </c>
      <c r="AG61" s="676"/>
      <c r="AH61" s="676"/>
      <c r="AI61" s="676"/>
      <c r="AJ61" s="676"/>
      <c r="AK61" s="676"/>
      <c r="AL61" s="676"/>
      <c r="AM61" s="676"/>
      <c r="AN61" s="676"/>
      <c r="AO61" s="676"/>
      <c r="AP61" s="676"/>
      <c r="AQ61" s="676"/>
      <c r="AR61" s="676"/>
      <c r="AS61" s="676"/>
      <c r="AT61" s="676" t="s">
        <v>28</v>
      </c>
      <c r="AU61" s="676"/>
      <c r="AV61" s="676"/>
      <c r="AW61" s="676"/>
      <c r="AX61" s="676"/>
      <c r="AY61" s="676"/>
      <c r="AZ61" s="676"/>
      <c r="BA61" s="676"/>
      <c r="BB61" s="676"/>
      <c r="BC61" s="676"/>
      <c r="BD61" s="676"/>
      <c r="BE61" s="676"/>
      <c r="BF61" s="676"/>
      <c r="BG61" s="676"/>
      <c r="BH61" s="676" t="s">
        <v>29</v>
      </c>
      <c r="BI61" s="676"/>
      <c r="BJ61" s="676"/>
      <c r="BK61" s="676"/>
      <c r="BL61" s="676"/>
      <c r="BM61" s="676"/>
      <c r="BN61" s="676"/>
      <c r="BO61" s="676"/>
      <c r="BP61" s="676"/>
      <c r="BQ61" s="676"/>
      <c r="BR61" s="676"/>
      <c r="BS61" s="676"/>
      <c r="BT61" s="676"/>
      <c r="BU61" s="676"/>
      <c r="BV61" s="678"/>
      <c r="BW61" s="678"/>
      <c r="BX61" s="678"/>
      <c r="BY61" s="678"/>
      <c r="BZ61" s="678"/>
      <c r="CA61" s="678"/>
      <c r="CB61" s="678"/>
      <c r="CC61" s="678"/>
      <c r="CD61" s="678"/>
      <c r="CE61" s="678"/>
      <c r="CF61" s="678"/>
      <c r="CG61" s="678"/>
      <c r="CH61" s="678"/>
      <c r="CI61" s="678"/>
      <c r="CJ61" s="678"/>
      <c r="CK61" s="678"/>
      <c r="CL61" s="678"/>
      <c r="CM61" s="678"/>
      <c r="CN61" s="678"/>
      <c r="CO61" s="678"/>
      <c r="CP61" s="678"/>
      <c r="CQ61" s="678"/>
      <c r="CR61" s="678"/>
      <c r="CS61" s="678"/>
      <c r="CT61" s="678"/>
      <c r="CU61" s="678"/>
      <c r="CV61" s="678"/>
      <c r="CW61" s="678"/>
      <c r="CX61" s="678"/>
      <c r="CY61" s="678"/>
      <c r="CZ61" s="678"/>
      <c r="DA61" s="678"/>
      <c r="DB61" s="678"/>
      <c r="DC61" s="678"/>
      <c r="DD61" s="678"/>
      <c r="DE61" s="678"/>
      <c r="DF61" s="678"/>
      <c r="DG61" s="678"/>
      <c r="DH61" s="678"/>
      <c r="DI61" s="678"/>
      <c r="DJ61" s="678"/>
      <c r="DK61" s="678"/>
    </row>
    <row r="62" spans="2:115" s="177" customFormat="1" ht="15">
      <c r="D62" s="662" t="s">
        <v>13</v>
      </c>
      <c r="E62" s="662"/>
      <c r="F62" s="662"/>
      <c r="G62" s="662"/>
      <c r="H62" s="662" t="s">
        <v>22</v>
      </c>
      <c r="I62" s="662"/>
      <c r="J62" s="662"/>
      <c r="K62" s="662"/>
      <c r="L62" s="662"/>
      <c r="M62" s="667" t="s">
        <v>23</v>
      </c>
      <c r="N62" s="668"/>
      <c r="O62" s="668"/>
      <c r="P62" s="668"/>
      <c r="Q62" s="669"/>
      <c r="R62" s="662" t="s">
        <v>13</v>
      </c>
      <c r="S62" s="662"/>
      <c r="T62" s="662"/>
      <c r="U62" s="662"/>
      <c r="V62" s="662" t="s">
        <v>22</v>
      </c>
      <c r="W62" s="662"/>
      <c r="X62" s="662"/>
      <c r="Y62" s="662"/>
      <c r="Z62" s="662"/>
      <c r="AA62" s="667" t="s">
        <v>23</v>
      </c>
      <c r="AB62" s="668"/>
      <c r="AC62" s="668"/>
      <c r="AD62" s="668"/>
      <c r="AE62" s="669"/>
      <c r="AF62" s="662" t="s">
        <v>13</v>
      </c>
      <c r="AG62" s="662"/>
      <c r="AH62" s="662"/>
      <c r="AI62" s="662"/>
      <c r="AJ62" s="662" t="s">
        <v>22</v>
      </c>
      <c r="AK62" s="662"/>
      <c r="AL62" s="662"/>
      <c r="AM62" s="662"/>
      <c r="AN62" s="662"/>
      <c r="AO62" s="667" t="s">
        <v>23</v>
      </c>
      <c r="AP62" s="668"/>
      <c r="AQ62" s="668"/>
      <c r="AR62" s="668"/>
      <c r="AS62" s="669"/>
      <c r="AT62" s="662" t="s">
        <v>13</v>
      </c>
      <c r="AU62" s="662"/>
      <c r="AV62" s="662"/>
      <c r="AW62" s="662"/>
      <c r="AX62" s="662" t="s">
        <v>22</v>
      </c>
      <c r="AY62" s="662"/>
      <c r="AZ62" s="662"/>
      <c r="BA62" s="662"/>
      <c r="BB62" s="662"/>
      <c r="BC62" s="667" t="s">
        <v>23</v>
      </c>
      <c r="BD62" s="668"/>
      <c r="BE62" s="668"/>
      <c r="BF62" s="668"/>
      <c r="BG62" s="669"/>
      <c r="BH62" s="662" t="s">
        <v>13</v>
      </c>
      <c r="BI62" s="662"/>
      <c r="BJ62" s="662"/>
      <c r="BK62" s="662"/>
      <c r="BL62" s="662" t="s">
        <v>22</v>
      </c>
      <c r="BM62" s="662"/>
      <c r="BN62" s="662"/>
      <c r="BO62" s="662"/>
      <c r="BP62" s="662"/>
      <c r="BQ62" s="667" t="s">
        <v>23</v>
      </c>
      <c r="BR62" s="668"/>
      <c r="BS62" s="668"/>
      <c r="BT62" s="668"/>
      <c r="BU62" s="669"/>
      <c r="BV62" s="677"/>
      <c r="BW62" s="677"/>
      <c r="BX62" s="677"/>
      <c r="BY62" s="677"/>
      <c r="BZ62" s="677"/>
      <c r="CA62" s="677"/>
      <c r="CB62" s="677"/>
      <c r="CC62" s="677"/>
      <c r="CD62" s="677"/>
      <c r="CE62" s="178"/>
      <c r="CF62" s="178"/>
      <c r="CG62" s="178"/>
      <c r="CH62" s="178"/>
      <c r="CI62" s="178"/>
      <c r="CJ62" s="677"/>
      <c r="CK62" s="677"/>
      <c r="CL62" s="677"/>
      <c r="CM62" s="677"/>
      <c r="CN62" s="677"/>
      <c r="CO62" s="677"/>
      <c r="CP62" s="677"/>
      <c r="CQ62" s="677"/>
      <c r="CR62" s="677"/>
      <c r="CS62" s="178"/>
      <c r="CT62" s="178"/>
      <c r="CU62" s="178"/>
      <c r="CV62" s="178"/>
      <c r="CW62" s="178"/>
      <c r="CX62" s="677"/>
      <c r="CY62" s="677"/>
      <c r="CZ62" s="677"/>
      <c r="DA62" s="677"/>
      <c r="DB62" s="677"/>
      <c r="DC62" s="677"/>
      <c r="DD62" s="677"/>
      <c r="DE62" s="677"/>
      <c r="DF62" s="677"/>
      <c r="DG62" s="178"/>
      <c r="DH62" s="178"/>
      <c r="DI62" s="178"/>
      <c r="DJ62" s="178"/>
      <c r="DK62" s="178"/>
    </row>
    <row r="63" spans="2:115" s="177" customFormat="1" ht="15">
      <c r="D63" s="127" t="s">
        <v>6</v>
      </c>
      <c r="E63" s="127" t="s">
        <v>7</v>
      </c>
      <c r="F63" s="127" t="s">
        <v>16</v>
      </c>
      <c r="G63" s="127" t="s">
        <v>9</v>
      </c>
      <c r="H63" s="127" t="s">
        <v>6</v>
      </c>
      <c r="I63" s="127" t="s">
        <v>7</v>
      </c>
      <c r="J63" s="127" t="s">
        <v>16</v>
      </c>
      <c r="K63" s="127" t="s">
        <v>9</v>
      </c>
      <c r="L63" s="103" t="s">
        <v>34</v>
      </c>
      <c r="M63" s="127" t="s">
        <v>6</v>
      </c>
      <c r="N63" s="127" t="s">
        <v>7</v>
      </c>
      <c r="O63" s="127" t="s">
        <v>16</v>
      </c>
      <c r="P63" s="127" t="s">
        <v>9</v>
      </c>
      <c r="Q63" s="103" t="s">
        <v>34</v>
      </c>
      <c r="R63" s="127" t="s">
        <v>6</v>
      </c>
      <c r="S63" s="127" t="s">
        <v>7</v>
      </c>
      <c r="T63" s="127" t="s">
        <v>16</v>
      </c>
      <c r="U63" s="127" t="s">
        <v>9</v>
      </c>
      <c r="V63" s="127" t="s">
        <v>6</v>
      </c>
      <c r="W63" s="127" t="s">
        <v>7</v>
      </c>
      <c r="X63" s="127" t="s">
        <v>16</v>
      </c>
      <c r="Y63" s="127" t="s">
        <v>9</v>
      </c>
      <c r="Z63" s="103" t="s">
        <v>34</v>
      </c>
      <c r="AA63" s="127" t="s">
        <v>6</v>
      </c>
      <c r="AB63" s="127" t="s">
        <v>7</v>
      </c>
      <c r="AC63" s="127" t="s">
        <v>16</v>
      </c>
      <c r="AD63" s="127" t="s">
        <v>9</v>
      </c>
      <c r="AE63" s="103" t="s">
        <v>34</v>
      </c>
      <c r="AF63" s="127" t="s">
        <v>6</v>
      </c>
      <c r="AG63" s="127" t="s">
        <v>7</v>
      </c>
      <c r="AH63" s="127" t="s">
        <v>16</v>
      </c>
      <c r="AI63" s="127" t="s">
        <v>9</v>
      </c>
      <c r="AJ63" s="127" t="s">
        <v>6</v>
      </c>
      <c r="AK63" s="127" t="s">
        <v>7</v>
      </c>
      <c r="AL63" s="127" t="s">
        <v>16</v>
      </c>
      <c r="AM63" s="127" t="s">
        <v>9</v>
      </c>
      <c r="AN63" s="103" t="s">
        <v>34</v>
      </c>
      <c r="AO63" s="127" t="s">
        <v>6</v>
      </c>
      <c r="AP63" s="127" t="s">
        <v>7</v>
      </c>
      <c r="AQ63" s="127" t="s">
        <v>16</v>
      </c>
      <c r="AR63" s="127" t="s">
        <v>9</v>
      </c>
      <c r="AS63" s="103" t="s">
        <v>34</v>
      </c>
      <c r="AT63" s="127" t="s">
        <v>6</v>
      </c>
      <c r="AU63" s="127" t="s">
        <v>7</v>
      </c>
      <c r="AV63" s="127" t="s">
        <v>16</v>
      </c>
      <c r="AW63" s="127" t="s">
        <v>9</v>
      </c>
      <c r="AX63" s="127" t="s">
        <v>6</v>
      </c>
      <c r="AY63" s="127" t="s">
        <v>7</v>
      </c>
      <c r="AZ63" s="127" t="s">
        <v>16</v>
      </c>
      <c r="BA63" s="127" t="s">
        <v>9</v>
      </c>
      <c r="BB63" s="103" t="s">
        <v>34</v>
      </c>
      <c r="BC63" s="127" t="s">
        <v>6</v>
      </c>
      <c r="BD63" s="127" t="s">
        <v>7</v>
      </c>
      <c r="BE63" s="127" t="s">
        <v>16</v>
      </c>
      <c r="BF63" s="127" t="s">
        <v>9</v>
      </c>
      <c r="BG63" s="103" t="s">
        <v>34</v>
      </c>
      <c r="BH63" s="127" t="s">
        <v>6</v>
      </c>
      <c r="BI63" s="127" t="s">
        <v>7</v>
      </c>
      <c r="BJ63" s="127" t="s">
        <v>16</v>
      </c>
      <c r="BK63" s="127" t="s">
        <v>9</v>
      </c>
      <c r="BL63" s="127" t="s">
        <v>6</v>
      </c>
      <c r="BM63" s="127" t="s">
        <v>7</v>
      </c>
      <c r="BN63" s="127" t="s">
        <v>16</v>
      </c>
      <c r="BO63" s="127" t="s">
        <v>9</v>
      </c>
      <c r="BP63" s="103" t="s">
        <v>34</v>
      </c>
      <c r="BQ63" s="127" t="s">
        <v>6</v>
      </c>
      <c r="BR63" s="127" t="s">
        <v>7</v>
      </c>
      <c r="BS63" s="127" t="s">
        <v>16</v>
      </c>
      <c r="BT63" s="127" t="s">
        <v>9</v>
      </c>
      <c r="BU63" s="103" t="s">
        <v>34</v>
      </c>
      <c r="BV63" s="49"/>
      <c r="BW63" s="49"/>
      <c r="BX63" s="49"/>
      <c r="BY63" s="49"/>
      <c r="BZ63" s="49"/>
      <c r="CA63" s="49"/>
      <c r="CB63" s="49"/>
      <c r="CC63" s="49"/>
      <c r="CD63" s="156"/>
      <c r="CE63" s="49"/>
      <c r="CF63" s="49"/>
      <c r="CG63" s="49"/>
      <c r="CH63" s="49"/>
      <c r="CI63" s="156"/>
      <c r="CJ63" s="49"/>
      <c r="CK63" s="49"/>
      <c r="CL63" s="49"/>
      <c r="CM63" s="49"/>
      <c r="CN63" s="49"/>
      <c r="CO63" s="49"/>
      <c r="CP63" s="49"/>
      <c r="CQ63" s="49"/>
      <c r="CR63" s="156"/>
      <c r="CS63" s="49"/>
      <c r="CT63" s="49"/>
      <c r="CU63" s="49"/>
      <c r="CV63" s="49"/>
      <c r="CW63" s="156"/>
      <c r="CX63" s="49"/>
      <c r="CY63" s="49"/>
      <c r="CZ63" s="49"/>
      <c r="DA63" s="49"/>
      <c r="DB63" s="49"/>
      <c r="DC63" s="49"/>
      <c r="DD63" s="49"/>
      <c r="DE63" s="49"/>
      <c r="DF63" s="156"/>
      <c r="DG63" s="49"/>
      <c r="DH63" s="49"/>
      <c r="DI63" s="49"/>
      <c r="DJ63" s="49"/>
      <c r="DK63" s="156"/>
    </row>
    <row r="64" spans="2:115">
      <c r="C64" s="30" t="s">
        <v>36</v>
      </c>
      <c r="D64" s="109">
        <f>D30</f>
        <v>75.263361833810947</v>
      </c>
      <c r="E64" s="109">
        <f>E30</f>
        <v>54.801135335243586</v>
      </c>
      <c r="F64" s="109">
        <f>F30</f>
        <v>36.063694212034385</v>
      </c>
      <c r="G64" s="109">
        <f>G30</f>
        <v>2.4303793925501433</v>
      </c>
      <c r="H64" s="109">
        <f>H30+D56</f>
        <v>175.34822829111755</v>
      </c>
      <c r="I64" s="109">
        <f>I30+E56</f>
        <v>89.076774532951319</v>
      </c>
      <c r="J64" s="109">
        <f>J30+F56</f>
        <v>62.11318000229226</v>
      </c>
      <c r="K64" s="109">
        <f>K30+G56</f>
        <v>44.932171997707734</v>
      </c>
      <c r="L64" s="59">
        <f>H56</f>
        <v>60.325124987965587</v>
      </c>
      <c r="M64" s="109">
        <f>L30+I56</f>
        <v>125.28700013295133</v>
      </c>
      <c r="N64" s="109">
        <f>M30+J56</f>
        <v>71.928164630372521</v>
      </c>
      <c r="O64" s="109">
        <f>N30+K56</f>
        <v>49.081074209742113</v>
      </c>
      <c r="P64" s="109">
        <f>O30+L56</f>
        <v>23.677723681375355</v>
      </c>
      <c r="Q64" s="59">
        <f>M56</f>
        <v>30.158038335816602</v>
      </c>
      <c r="R64" s="109">
        <f>P30</f>
        <v>76.262555061249088</v>
      </c>
      <c r="S64" s="109">
        <f>Q30</f>
        <v>55.528672903971987</v>
      </c>
      <c r="T64" s="109">
        <f>R30</f>
        <v>36.54247430018183</v>
      </c>
      <c r="U64" s="109">
        <f>S30</f>
        <v>2.462645007186167</v>
      </c>
      <c r="V64" s="109">
        <f>N56+T30</f>
        <v>176.76185828352902</v>
      </c>
      <c r="W64" s="109">
        <f>O56+U30</f>
        <v>89.593639760917171</v>
      </c>
      <c r="X64" s="109">
        <f>P56+V30</f>
        <v>62.519696730507789</v>
      </c>
      <c r="Y64" s="109">
        <f>Q56+W30</f>
        <v>45.499165814560094</v>
      </c>
      <c r="Z64" s="59">
        <f>R56</f>
        <v>61.125998811080635</v>
      </c>
      <c r="AA64" s="109">
        <f>X30+S56</f>
        <v>126.95030507932498</v>
      </c>
      <c r="AB64" s="109">
        <f>Y30+T56</f>
        <v>72.883079919958192</v>
      </c>
      <c r="AC64" s="109">
        <f>Z30+U56</f>
        <v>49.732672487454614</v>
      </c>
      <c r="AD64" s="109">
        <f>AA30+V56</f>
        <v>23.992068145496198</v>
      </c>
      <c r="AE64" s="59">
        <f>W56</f>
        <v>30.558415184840523</v>
      </c>
      <c r="AF64" s="109">
        <f>AB30</f>
        <v>77.275013535966053</v>
      </c>
      <c r="AG64" s="109">
        <f>AC30</f>
        <v>56.265869230875275</v>
      </c>
      <c r="AH64" s="109">
        <f>AD30</f>
        <v>37.027610652650374</v>
      </c>
      <c r="AI64" s="109">
        <f>AE30</f>
        <v>2.4953389787655684</v>
      </c>
      <c r="AJ64" s="109">
        <f>X56+AF30</f>
        <v>179.12067930127674</v>
      </c>
      <c r="AK64" s="109">
        <f>Y56+AG30</f>
        <v>90.79191915050221</v>
      </c>
      <c r="AL64" s="109">
        <f>Z56+AH30</f>
        <v>63.355256210614463</v>
      </c>
      <c r="AM64" s="109">
        <f>AA56+AI30</f>
        <v>46.103602783864886</v>
      </c>
      <c r="AN64" s="59">
        <f>AB56</f>
        <v>61.937505001400552</v>
      </c>
      <c r="AO64" s="109">
        <f>AJ30+AC56</f>
        <v>128.63569199223707</v>
      </c>
      <c r="AP64" s="109">
        <f>AK30+AD56</f>
        <v>73.850672624781296</v>
      </c>
      <c r="AQ64" s="109">
        <f>AL30+AE56</f>
        <v>50.392921356507152</v>
      </c>
      <c r="AR64" s="109">
        <f>AM30+AF56</f>
        <v>24.310585833506849</v>
      </c>
      <c r="AS64" s="59">
        <f>AG56</f>
        <v>30.964107420079202</v>
      </c>
      <c r="AT64" s="109">
        <f>AN30</f>
        <v>78.300913366826933</v>
      </c>
      <c r="AU64" s="109">
        <f>AO30</f>
        <v>57.012852545220852</v>
      </c>
      <c r="AV64" s="109">
        <f>AP30</f>
        <v>37.51918765493788</v>
      </c>
      <c r="AW64" s="109">
        <f>AQ30</f>
        <v>2.5284669941371178</v>
      </c>
      <c r="AX64" s="109">
        <f>AR30+AH56</f>
        <v>181.51081592768509</v>
      </c>
      <c r="AY64" s="109">
        <f>AS30+AI56</f>
        <v>92.006106846884592</v>
      </c>
      <c r="AZ64" s="109">
        <f>AT30+AJ56</f>
        <v>64.201908543249942</v>
      </c>
      <c r="BA64" s="109">
        <f>AU30+AK56</f>
        <v>46.716064232962069</v>
      </c>
      <c r="BB64" s="59">
        <f>AL56</f>
        <v>62.759784713785308</v>
      </c>
      <c r="BC64" s="109">
        <f>AV30+AM56</f>
        <v>130.34345403094687</v>
      </c>
      <c r="BD64" s="109">
        <f>AW30+AN56</f>
        <v>74.831111049673495</v>
      </c>
      <c r="BE64" s="109">
        <f>AX30+AO56</f>
        <v>51.061935661786627</v>
      </c>
      <c r="BF64" s="109">
        <f>AY30+AP56</f>
        <v>24.633332148952221</v>
      </c>
      <c r="BG64" s="59">
        <f>AQ56</f>
        <v>31.375185608376547</v>
      </c>
      <c r="BH64" s="109">
        <f>AZ30</f>
        <v>79.340433000710846</v>
      </c>
      <c r="BI64" s="109">
        <f>BA30</f>
        <v>57.76975277864257</v>
      </c>
      <c r="BJ64" s="109">
        <f>BB30</f>
        <v>38.017290812840585</v>
      </c>
      <c r="BK64" s="109">
        <f>BC30</f>
        <v>2.5620348156479524</v>
      </c>
      <c r="BL64" s="109">
        <f>BD30+AR56</f>
        <v>183.93268390745803</v>
      </c>
      <c r="BM64" s="109">
        <f>BE30+AS56</f>
        <v>93.23641404807654</v>
      </c>
      <c r="BN64" s="109">
        <f>BF30+AT56</f>
        <v>65.059800996658026</v>
      </c>
      <c r="BO64" s="109">
        <f>BG30+AU56</f>
        <v>47.33665669450798</v>
      </c>
      <c r="BP64" s="59">
        <f>AV56</f>
        <v>63.592980977060911</v>
      </c>
      <c r="BQ64" s="109">
        <f>BH30+AW56</f>
        <v>132.07388824668385</v>
      </c>
      <c r="BR64" s="109">
        <f>BI30+AX56</f>
        <v>75.82456573387438</v>
      </c>
      <c r="BS64" s="109">
        <f>BJ30+AY56</f>
        <v>51.739831772855901</v>
      </c>
      <c r="BT64" s="109">
        <f>BK30+AZ56</f>
        <v>24.960363230912343</v>
      </c>
      <c r="BU64" s="59">
        <f>BA56</f>
        <v>31.791721253418935</v>
      </c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</row>
    <row r="65" spans="2:115">
      <c r="C65" s="30" t="s">
        <v>37</v>
      </c>
      <c r="D65" s="59">
        <f t="shared" ref="D65:AI65" si="10">D64/20</f>
        <v>3.7631680916905474</v>
      </c>
      <c r="E65" s="59">
        <f t="shared" si="10"/>
        <v>2.7400567667621791</v>
      </c>
      <c r="F65" s="59">
        <f t="shared" si="10"/>
        <v>1.8031847106017191</v>
      </c>
      <c r="G65" s="59">
        <f t="shared" si="10"/>
        <v>0.12151896962750716</v>
      </c>
      <c r="H65" s="59">
        <f t="shared" si="10"/>
        <v>8.7674114145558768</v>
      </c>
      <c r="I65" s="59">
        <f t="shared" si="10"/>
        <v>4.4538387266475663</v>
      </c>
      <c r="J65" s="59">
        <f t="shared" si="10"/>
        <v>3.1056590001146129</v>
      </c>
      <c r="K65" s="59">
        <f t="shared" si="10"/>
        <v>2.2466085998853869</v>
      </c>
      <c r="L65" s="59">
        <f t="shared" si="10"/>
        <v>3.0162562493982792</v>
      </c>
      <c r="M65" s="59">
        <f t="shared" si="10"/>
        <v>6.2643500066475664</v>
      </c>
      <c r="N65" s="59">
        <f t="shared" si="10"/>
        <v>3.5964082315186259</v>
      </c>
      <c r="O65" s="59">
        <f t="shared" si="10"/>
        <v>2.4540537104871056</v>
      </c>
      <c r="P65" s="59">
        <f t="shared" si="10"/>
        <v>1.1838861840687678</v>
      </c>
      <c r="Q65" s="59">
        <f t="shared" si="10"/>
        <v>1.5079019167908301</v>
      </c>
      <c r="R65" s="59">
        <f t="shared" si="10"/>
        <v>3.8131277530624543</v>
      </c>
      <c r="S65" s="59">
        <f t="shared" si="10"/>
        <v>2.7764336451985994</v>
      </c>
      <c r="T65" s="59">
        <f t="shared" si="10"/>
        <v>1.8271237150090915</v>
      </c>
      <c r="U65" s="59">
        <f t="shared" si="10"/>
        <v>0.12313225035930835</v>
      </c>
      <c r="V65" s="59">
        <f t="shared" si="10"/>
        <v>8.8380929141764515</v>
      </c>
      <c r="W65" s="59">
        <f t="shared" si="10"/>
        <v>4.4796819880458587</v>
      </c>
      <c r="X65" s="59">
        <f t="shared" si="10"/>
        <v>3.1259848365253893</v>
      </c>
      <c r="Y65" s="59">
        <f t="shared" si="10"/>
        <v>2.2749582907280046</v>
      </c>
      <c r="Z65" s="59">
        <f t="shared" si="10"/>
        <v>3.0562999405540316</v>
      </c>
      <c r="AA65" s="59">
        <f t="shared" si="10"/>
        <v>6.3475152539662485</v>
      </c>
      <c r="AB65" s="59">
        <f t="shared" si="10"/>
        <v>3.6441539959979097</v>
      </c>
      <c r="AC65" s="59">
        <f t="shared" si="10"/>
        <v>2.4866336243727307</v>
      </c>
      <c r="AD65" s="59">
        <f t="shared" si="10"/>
        <v>1.1996034072748099</v>
      </c>
      <c r="AE65" s="59">
        <f t="shared" si="10"/>
        <v>1.5279207592420261</v>
      </c>
      <c r="AF65" s="59">
        <f t="shared" si="10"/>
        <v>3.8637506767983028</v>
      </c>
      <c r="AG65" s="59">
        <f t="shared" si="10"/>
        <v>2.8132934615437639</v>
      </c>
      <c r="AH65" s="59">
        <f t="shared" si="10"/>
        <v>1.8513805326325188</v>
      </c>
      <c r="AI65" s="59">
        <f t="shared" si="10"/>
        <v>0.12476694893827842</v>
      </c>
      <c r="AJ65" s="59">
        <f t="shared" ref="AJ65:BO65" si="11">AJ64/20</f>
        <v>8.9560339650638365</v>
      </c>
      <c r="AK65" s="59">
        <f t="shared" si="11"/>
        <v>4.5395959575251101</v>
      </c>
      <c r="AL65" s="59">
        <f t="shared" si="11"/>
        <v>3.1677628105307232</v>
      </c>
      <c r="AM65" s="59">
        <f t="shared" si="11"/>
        <v>2.3051801391932445</v>
      </c>
      <c r="AN65" s="59">
        <f t="shared" si="11"/>
        <v>3.0968752500700276</v>
      </c>
      <c r="AO65" s="59">
        <f t="shared" si="11"/>
        <v>6.4317845996118539</v>
      </c>
      <c r="AP65" s="59">
        <f t="shared" si="11"/>
        <v>3.6925336312390646</v>
      </c>
      <c r="AQ65" s="59">
        <f t="shared" si="11"/>
        <v>2.5196460678253576</v>
      </c>
      <c r="AR65" s="59">
        <f t="shared" si="11"/>
        <v>1.2155292916753424</v>
      </c>
      <c r="AS65" s="59">
        <f t="shared" si="11"/>
        <v>1.5482053710039601</v>
      </c>
      <c r="AT65" s="59">
        <f t="shared" si="11"/>
        <v>3.9150456683413468</v>
      </c>
      <c r="AU65" s="59">
        <f t="shared" si="11"/>
        <v>2.8506426272610428</v>
      </c>
      <c r="AV65" s="59">
        <f t="shared" si="11"/>
        <v>1.8759593827468941</v>
      </c>
      <c r="AW65" s="59">
        <f t="shared" si="11"/>
        <v>0.1264233497068559</v>
      </c>
      <c r="AX65" s="59">
        <f t="shared" si="11"/>
        <v>9.0755407963842547</v>
      </c>
      <c r="AY65" s="59">
        <f t="shared" si="11"/>
        <v>4.6003053423442299</v>
      </c>
      <c r="AZ65" s="59">
        <f t="shared" si="11"/>
        <v>3.2100954271624973</v>
      </c>
      <c r="BA65" s="59">
        <f t="shared" si="11"/>
        <v>2.3358032116481033</v>
      </c>
      <c r="BB65" s="59">
        <f t="shared" si="11"/>
        <v>3.1379892356892656</v>
      </c>
      <c r="BC65" s="59">
        <f t="shared" si="11"/>
        <v>6.5171727015473433</v>
      </c>
      <c r="BD65" s="59">
        <f t="shared" si="11"/>
        <v>3.7415555524836748</v>
      </c>
      <c r="BE65" s="59">
        <f t="shared" si="11"/>
        <v>2.5530967830893312</v>
      </c>
      <c r="BF65" s="59">
        <f t="shared" si="11"/>
        <v>1.231666607447611</v>
      </c>
      <c r="BG65" s="59">
        <f t="shared" si="11"/>
        <v>1.5687592804188273</v>
      </c>
      <c r="BH65" s="59">
        <f t="shared" si="11"/>
        <v>3.9670216500355422</v>
      </c>
      <c r="BI65" s="59">
        <f t="shared" si="11"/>
        <v>2.8884876389321286</v>
      </c>
      <c r="BJ65" s="59">
        <f t="shared" si="11"/>
        <v>1.9008645406420293</v>
      </c>
      <c r="BK65" s="59">
        <f t="shared" si="11"/>
        <v>0.12810174078239761</v>
      </c>
      <c r="BL65" s="59">
        <f t="shared" si="11"/>
        <v>9.1966341953729014</v>
      </c>
      <c r="BM65" s="59">
        <f t="shared" si="11"/>
        <v>4.6618207024038272</v>
      </c>
      <c r="BN65" s="59">
        <f t="shared" si="11"/>
        <v>3.2529900498329014</v>
      </c>
      <c r="BO65" s="59">
        <f t="shared" si="11"/>
        <v>2.3668328347253991</v>
      </c>
      <c r="BP65" s="59">
        <f t="shared" ref="BP65:BU65" si="12">BP64/20</f>
        <v>3.1796490488530456</v>
      </c>
      <c r="BQ65" s="59">
        <f t="shared" si="12"/>
        <v>6.6036944123341925</v>
      </c>
      <c r="BR65" s="59">
        <f t="shared" si="12"/>
        <v>3.7912282866937188</v>
      </c>
      <c r="BS65" s="59">
        <f t="shared" si="12"/>
        <v>2.5869915886427952</v>
      </c>
      <c r="BT65" s="59">
        <f t="shared" si="12"/>
        <v>1.2480181615456172</v>
      </c>
      <c r="BU65" s="59">
        <f t="shared" si="12"/>
        <v>1.5895860626709468</v>
      </c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</row>
    <row r="66" spans="2:115">
      <c r="C66" s="30" t="s">
        <v>37</v>
      </c>
      <c r="D66" s="59">
        <f>IF(((ROUNDUP(D65,0)-D65)&gt;=0.5),ROUNDDOWN(D65,0),ROUNDUP(D65,0))</f>
        <v>4</v>
      </c>
      <c r="E66" s="59">
        <f t="shared" ref="E66:BP66" si="13">IF(((ROUNDUP(E65,0)-E65)&gt;=0.5),ROUNDDOWN(E65,0),ROUNDUP(E65,0))</f>
        <v>3</v>
      </c>
      <c r="F66" s="59">
        <f t="shared" si="13"/>
        <v>2</v>
      </c>
      <c r="G66" s="59">
        <f t="shared" si="13"/>
        <v>0</v>
      </c>
      <c r="H66" s="59">
        <f t="shared" si="13"/>
        <v>9</v>
      </c>
      <c r="I66" s="59">
        <v>5</v>
      </c>
      <c r="J66" s="59">
        <f t="shared" si="13"/>
        <v>3</v>
      </c>
      <c r="K66" s="59">
        <f t="shared" si="13"/>
        <v>2</v>
      </c>
      <c r="L66" s="59">
        <f t="shared" si="13"/>
        <v>3</v>
      </c>
      <c r="M66" s="59">
        <f t="shared" si="13"/>
        <v>6</v>
      </c>
      <c r="N66" s="59">
        <f t="shared" si="13"/>
        <v>4</v>
      </c>
      <c r="O66" s="59">
        <f t="shared" si="13"/>
        <v>2</v>
      </c>
      <c r="P66" s="59">
        <f t="shared" si="13"/>
        <v>1</v>
      </c>
      <c r="Q66" s="59">
        <f t="shared" si="13"/>
        <v>2</v>
      </c>
      <c r="R66" s="59">
        <f t="shared" si="13"/>
        <v>4</v>
      </c>
      <c r="S66" s="59">
        <f t="shared" si="13"/>
        <v>3</v>
      </c>
      <c r="T66" s="59">
        <f t="shared" si="13"/>
        <v>2</v>
      </c>
      <c r="U66" s="59">
        <f t="shared" si="13"/>
        <v>0</v>
      </c>
      <c r="V66" s="59">
        <f t="shared" si="13"/>
        <v>9</v>
      </c>
      <c r="W66" s="59">
        <v>5</v>
      </c>
      <c r="X66" s="59">
        <f t="shared" si="13"/>
        <v>3</v>
      </c>
      <c r="Y66" s="59">
        <f t="shared" si="13"/>
        <v>2</v>
      </c>
      <c r="Z66" s="59">
        <f t="shared" si="13"/>
        <v>3</v>
      </c>
      <c r="AA66" s="59">
        <f t="shared" si="13"/>
        <v>6</v>
      </c>
      <c r="AB66" s="59">
        <f t="shared" si="13"/>
        <v>4</v>
      </c>
      <c r="AC66" s="59">
        <v>3</v>
      </c>
      <c r="AD66" s="59">
        <f t="shared" si="13"/>
        <v>1</v>
      </c>
      <c r="AE66" s="59">
        <f t="shared" si="13"/>
        <v>2</v>
      </c>
      <c r="AF66" s="59">
        <f t="shared" si="13"/>
        <v>4</v>
      </c>
      <c r="AG66" s="59">
        <f t="shared" si="13"/>
        <v>3</v>
      </c>
      <c r="AH66" s="59">
        <f t="shared" si="13"/>
        <v>2</v>
      </c>
      <c r="AI66" s="59">
        <f t="shared" si="13"/>
        <v>0</v>
      </c>
      <c r="AJ66" s="59">
        <f t="shared" si="13"/>
        <v>9</v>
      </c>
      <c r="AK66" s="59">
        <f t="shared" si="13"/>
        <v>5</v>
      </c>
      <c r="AL66" s="59">
        <f t="shared" si="13"/>
        <v>3</v>
      </c>
      <c r="AM66" s="59">
        <f t="shared" si="13"/>
        <v>2</v>
      </c>
      <c r="AN66" s="59">
        <f t="shared" si="13"/>
        <v>3</v>
      </c>
      <c r="AO66" s="59">
        <f t="shared" si="13"/>
        <v>6</v>
      </c>
      <c r="AP66" s="59">
        <f t="shared" si="13"/>
        <v>4</v>
      </c>
      <c r="AQ66" s="59">
        <f t="shared" si="13"/>
        <v>3</v>
      </c>
      <c r="AR66" s="59">
        <f t="shared" si="13"/>
        <v>1</v>
      </c>
      <c r="AS66" s="59">
        <f t="shared" si="13"/>
        <v>2</v>
      </c>
      <c r="AT66" s="59">
        <v>4</v>
      </c>
      <c r="AU66" s="59">
        <v>3</v>
      </c>
      <c r="AV66" s="59">
        <v>2</v>
      </c>
      <c r="AW66" s="59">
        <v>0</v>
      </c>
      <c r="AX66" s="59">
        <v>9</v>
      </c>
      <c r="AY66" s="59">
        <v>4</v>
      </c>
      <c r="AZ66" s="59">
        <v>3</v>
      </c>
      <c r="BA66" s="59">
        <v>2</v>
      </c>
      <c r="BB66" s="59">
        <v>3</v>
      </c>
      <c r="BC66" s="59">
        <v>6</v>
      </c>
      <c r="BD66" s="59">
        <v>4</v>
      </c>
      <c r="BE66" s="59">
        <v>2</v>
      </c>
      <c r="BF66" s="59">
        <v>1</v>
      </c>
      <c r="BG66" s="59">
        <v>1</v>
      </c>
      <c r="BH66" s="59">
        <f t="shared" si="13"/>
        <v>4</v>
      </c>
      <c r="BI66" s="59">
        <f t="shared" si="13"/>
        <v>3</v>
      </c>
      <c r="BJ66" s="59">
        <f t="shared" si="13"/>
        <v>2</v>
      </c>
      <c r="BK66" s="59">
        <f t="shared" si="13"/>
        <v>0</v>
      </c>
      <c r="BL66" s="59">
        <f t="shared" si="13"/>
        <v>9</v>
      </c>
      <c r="BM66" s="59">
        <v>4</v>
      </c>
      <c r="BN66" s="59">
        <f t="shared" si="13"/>
        <v>3</v>
      </c>
      <c r="BO66" s="59">
        <f t="shared" si="13"/>
        <v>2</v>
      </c>
      <c r="BP66" s="59">
        <f t="shared" si="13"/>
        <v>3</v>
      </c>
      <c r="BQ66" s="59">
        <v>6</v>
      </c>
      <c r="BR66" s="59">
        <f>IF(((ROUNDUP(BR65,0)-BR65)&gt;=0.5),ROUNDDOWN(BR65,0),ROUNDUP(BR65,0))</f>
        <v>4</v>
      </c>
      <c r="BS66" s="59">
        <v>2</v>
      </c>
      <c r="BT66" s="59">
        <f>IF(((ROUNDUP(BT65,0)-BT65)&gt;=0.5),ROUNDDOWN(BT65,0),ROUNDUP(BT65,0))</f>
        <v>1</v>
      </c>
      <c r="BU66" s="59">
        <v>1</v>
      </c>
    </row>
    <row r="68" spans="2:115" ht="15" thickBot="1"/>
    <row r="69" spans="2:115" ht="15.75" thickBot="1">
      <c r="B69" s="179" t="s">
        <v>335</v>
      </c>
    </row>
    <row r="70" spans="2:115" ht="15" thickBot="1"/>
    <row r="71" spans="2:115">
      <c r="B71" s="180" t="s">
        <v>336</v>
      </c>
      <c r="C71" s="181">
        <v>2</v>
      </c>
    </row>
    <row r="72" spans="2:115">
      <c r="B72" s="182" t="s">
        <v>344</v>
      </c>
      <c r="C72" s="183">
        <v>30</v>
      </c>
    </row>
    <row r="73" spans="2:115" ht="15" thickBot="1">
      <c r="B73" s="184" t="s">
        <v>337</v>
      </c>
      <c r="C73" s="96">
        <v>20</v>
      </c>
    </row>
    <row r="74" spans="2:115">
      <c r="B74" s="45" t="s">
        <v>343</v>
      </c>
    </row>
    <row r="75" spans="2:115" ht="15" thickBot="1"/>
    <row r="76" spans="2:115" ht="15" thickBot="1">
      <c r="B76" s="147" t="s">
        <v>346</v>
      </c>
      <c r="C76" s="185">
        <f>C72*C73*C71</f>
        <v>1200</v>
      </c>
    </row>
  </sheetData>
  <mergeCells count="74">
    <mergeCell ref="D17:O17"/>
    <mergeCell ref="P17:AA17"/>
    <mergeCell ref="P18:S18"/>
    <mergeCell ref="T18:W18"/>
    <mergeCell ref="X18:AA18"/>
    <mergeCell ref="D18:G18"/>
    <mergeCell ref="H18:K18"/>
    <mergeCell ref="L18:O18"/>
    <mergeCell ref="BX17:CI17"/>
    <mergeCell ref="AZ18:BC18"/>
    <mergeCell ref="BD18:BG18"/>
    <mergeCell ref="BH18:BK18"/>
    <mergeCell ref="BL18:BO18"/>
    <mergeCell ref="BP18:BS18"/>
    <mergeCell ref="BT18:BW18"/>
    <mergeCell ref="BX18:CA18"/>
    <mergeCell ref="CB18:CE18"/>
    <mergeCell ref="CF18:CI18"/>
    <mergeCell ref="D43:M43"/>
    <mergeCell ref="N43:W43"/>
    <mergeCell ref="N44:R44"/>
    <mergeCell ref="S44:W44"/>
    <mergeCell ref="X43:AG43"/>
    <mergeCell ref="AH43:AQ43"/>
    <mergeCell ref="AH44:AL44"/>
    <mergeCell ref="AM44:AQ44"/>
    <mergeCell ref="AZ17:BK17"/>
    <mergeCell ref="BL17:BW17"/>
    <mergeCell ref="AN17:AY17"/>
    <mergeCell ref="AB18:AE18"/>
    <mergeCell ref="AF18:AI18"/>
    <mergeCell ref="AJ18:AM18"/>
    <mergeCell ref="AN18:AQ18"/>
    <mergeCell ref="AR18:AU18"/>
    <mergeCell ref="AV18:AY18"/>
    <mergeCell ref="AB17:AM17"/>
    <mergeCell ref="AF61:AS61"/>
    <mergeCell ref="D44:H44"/>
    <mergeCell ref="I44:M44"/>
    <mergeCell ref="X44:AB44"/>
    <mergeCell ref="AC44:AG44"/>
    <mergeCell ref="H62:L62"/>
    <mergeCell ref="V62:Z62"/>
    <mergeCell ref="AF62:AI62"/>
    <mergeCell ref="DB62:DF62"/>
    <mergeCell ref="BQ62:BU62"/>
    <mergeCell ref="AR43:BA43"/>
    <mergeCell ref="AR44:AV44"/>
    <mergeCell ref="AW44:BA44"/>
    <mergeCell ref="BH62:BK62"/>
    <mergeCell ref="BL62:BP62"/>
    <mergeCell ref="BV62:BY62"/>
    <mergeCell ref="BZ62:CD62"/>
    <mergeCell ref="CN62:CR62"/>
    <mergeCell ref="CX62:DA62"/>
    <mergeCell ref="BC62:BG62"/>
    <mergeCell ref="AA62:AE62"/>
    <mergeCell ref="AO62:AS62"/>
    <mergeCell ref="R61:AE61"/>
    <mergeCell ref="BV61:CI61"/>
    <mergeCell ref="CJ61:CW61"/>
    <mergeCell ref="CX61:DK61"/>
    <mergeCell ref="CJ62:CM62"/>
    <mergeCell ref="R62:U62"/>
    <mergeCell ref="B3:H3"/>
    <mergeCell ref="B5:H5"/>
    <mergeCell ref="BH61:BU61"/>
    <mergeCell ref="AT61:BG61"/>
    <mergeCell ref="D62:G62"/>
    <mergeCell ref="M62:Q62"/>
    <mergeCell ref="D61:Q61"/>
    <mergeCell ref="AJ62:AN62"/>
    <mergeCell ref="AT62:AW62"/>
    <mergeCell ref="AX62:BB62"/>
  </mergeCells>
  <phoneticPr fontId="13" type="noConversion"/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P145"/>
  <sheetViews>
    <sheetView zoomScale="70" zoomScaleNormal="70" workbookViewId="0">
      <selection activeCell="C26" sqref="C26"/>
    </sheetView>
  </sheetViews>
  <sheetFormatPr baseColWidth="10" defaultRowHeight="14.25"/>
  <cols>
    <col min="1" max="1" width="32.28515625" style="30" bestFit="1" customWidth="1"/>
    <col min="2" max="2" width="26.42578125" style="30" bestFit="1" customWidth="1"/>
    <col min="3" max="3" width="32.140625" style="30" bestFit="1" customWidth="1"/>
    <col min="4" max="4" width="22.85546875" style="30" bestFit="1" customWidth="1"/>
    <col min="5" max="5" width="22.85546875" style="30" customWidth="1"/>
    <col min="6" max="6" width="30.140625" style="30" bestFit="1" customWidth="1"/>
    <col min="7" max="8" width="29.5703125" style="30" bestFit="1" customWidth="1"/>
    <col min="9" max="9" width="24.85546875" style="30" customWidth="1"/>
    <col min="10" max="10" width="16" style="30" bestFit="1" customWidth="1"/>
    <col min="11" max="11" width="18.7109375" style="30" bestFit="1" customWidth="1"/>
    <col min="12" max="13" width="24.85546875" style="30" bestFit="1" customWidth="1"/>
    <col min="14" max="14" width="21.140625" style="30" bestFit="1" customWidth="1"/>
    <col min="15" max="15" width="13" style="30" customWidth="1"/>
    <col min="16" max="16384" width="11.42578125" style="30"/>
  </cols>
  <sheetData>
    <row r="2" spans="1:16" ht="15">
      <c r="A2" s="66" t="s">
        <v>70</v>
      </c>
      <c r="D2" s="45"/>
      <c r="E2" s="45"/>
      <c r="F2" s="45"/>
      <c r="G2" s="45"/>
    </row>
    <row r="3" spans="1:16" ht="15">
      <c r="D3" s="49"/>
      <c r="E3" s="49"/>
      <c r="F3" s="221"/>
      <c r="G3" s="221"/>
    </row>
    <row r="4" spans="1:16" ht="15">
      <c r="A4" s="48"/>
      <c r="B4" s="127" t="s">
        <v>71</v>
      </c>
      <c r="D4" s="221"/>
      <c r="E4" s="221"/>
      <c r="F4" s="221"/>
      <c r="G4" s="222"/>
    </row>
    <row r="5" spans="1:16">
      <c r="A5" s="48" t="s">
        <v>72</v>
      </c>
      <c r="B5" s="59">
        <v>6</v>
      </c>
      <c r="D5" s="221"/>
      <c r="E5" s="221"/>
      <c r="F5" s="221"/>
      <c r="G5" s="222"/>
    </row>
    <row r="6" spans="1:16">
      <c r="D6" s="221"/>
      <c r="E6" s="221"/>
      <c r="F6" s="221"/>
      <c r="G6" s="222"/>
    </row>
    <row r="7" spans="1:16" ht="15">
      <c r="D7" s="221"/>
      <c r="E7" s="221"/>
      <c r="F7" s="49"/>
      <c r="G7" s="223"/>
    </row>
    <row r="8" spans="1:16" ht="15">
      <c r="D8" s="49"/>
      <c r="E8" s="49"/>
      <c r="F8" s="221"/>
      <c r="G8" s="221"/>
    </row>
    <row r="9" spans="1:16" ht="15">
      <c r="A9" s="224" t="s">
        <v>73</v>
      </c>
      <c r="B9" s="68"/>
      <c r="C9" s="224" t="s">
        <v>74</v>
      </c>
      <c r="D9" s="221"/>
      <c r="E9" s="221"/>
      <c r="F9" s="221"/>
      <c r="G9" s="222"/>
    </row>
    <row r="10" spans="1:16">
      <c r="D10" s="221"/>
      <c r="E10" s="221"/>
      <c r="F10" s="221"/>
      <c r="G10" s="222"/>
    </row>
    <row r="11" spans="1:16" ht="15">
      <c r="A11" s="59"/>
      <c r="B11" s="59"/>
      <c r="C11" s="103" t="s">
        <v>17</v>
      </c>
      <c r="D11" s="103" t="s">
        <v>18</v>
      </c>
      <c r="E11" s="103" t="s">
        <v>19</v>
      </c>
      <c r="F11" s="103" t="s">
        <v>20</v>
      </c>
      <c r="G11" s="103" t="s">
        <v>21</v>
      </c>
    </row>
    <row r="12" spans="1:16" ht="15">
      <c r="A12" s="103" t="s">
        <v>22</v>
      </c>
      <c r="B12" s="225" t="s">
        <v>75</v>
      </c>
      <c r="C12" s="226">
        <v>0</v>
      </c>
      <c r="D12" s="227">
        <v>1620</v>
      </c>
      <c r="E12" s="227">
        <v>1620</v>
      </c>
      <c r="F12" s="228">
        <v>1620</v>
      </c>
      <c r="G12" s="227">
        <v>1620</v>
      </c>
    </row>
    <row r="13" spans="1:16" ht="15">
      <c r="A13" s="625" t="s">
        <v>13</v>
      </c>
      <c r="B13" s="225" t="s">
        <v>43</v>
      </c>
      <c r="C13" s="229">
        <v>1620</v>
      </c>
      <c r="D13" s="230">
        <v>1620</v>
      </c>
      <c r="E13" s="230">
        <v>1620</v>
      </c>
      <c r="F13" s="103">
        <v>1620</v>
      </c>
      <c r="G13" s="230">
        <v>1620</v>
      </c>
    </row>
    <row r="14" spans="1:16">
      <c r="A14" s="625"/>
      <c r="B14" s="225" t="s">
        <v>44</v>
      </c>
      <c r="C14" s="226">
        <v>1260</v>
      </c>
      <c r="D14" s="226">
        <v>1260</v>
      </c>
      <c r="E14" s="226">
        <v>1260</v>
      </c>
      <c r="F14" s="59">
        <v>1260</v>
      </c>
      <c r="G14" s="226">
        <v>1260</v>
      </c>
      <c r="H14" s="45"/>
      <c r="I14" s="45"/>
      <c r="J14" s="45"/>
      <c r="K14" s="45"/>
      <c r="L14" s="45"/>
      <c r="M14" s="45"/>
      <c r="N14" s="45"/>
      <c r="O14" s="45"/>
      <c r="P14" s="45"/>
    </row>
    <row r="15" spans="1:16">
      <c r="A15" s="625"/>
      <c r="B15" s="225" t="s">
        <v>45</v>
      </c>
      <c r="C15" s="226">
        <v>720</v>
      </c>
      <c r="D15" s="226">
        <v>720</v>
      </c>
      <c r="E15" s="226">
        <v>720</v>
      </c>
      <c r="F15" s="59">
        <v>720</v>
      </c>
      <c r="G15" s="226">
        <v>720</v>
      </c>
      <c r="H15" s="45"/>
      <c r="I15" s="45"/>
      <c r="J15" s="45"/>
      <c r="K15" s="45"/>
      <c r="L15" s="45"/>
      <c r="M15" s="45"/>
      <c r="N15" s="45"/>
      <c r="O15" s="45"/>
      <c r="P15" s="45"/>
    </row>
    <row r="16" spans="1:16" ht="15">
      <c r="A16" s="104"/>
      <c r="B16" s="225" t="s">
        <v>46</v>
      </c>
      <c r="C16" s="230">
        <f>'Calculo Sueldo Profesores'!D84</f>
        <v>360</v>
      </c>
      <c r="D16" s="230">
        <f>'Calculo Sueldo Profesores'!D90</f>
        <v>360</v>
      </c>
      <c r="E16" s="230">
        <f>+'Calculo Sueldo Profesores'!D96</f>
        <v>360</v>
      </c>
      <c r="F16" s="59">
        <f>'Calculo Sueldo Profesores'!D102</f>
        <v>360</v>
      </c>
      <c r="G16" s="226">
        <f>'Calculo Sueldo Profesores'!D108</f>
        <v>360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>
      <c r="A17" s="59"/>
      <c r="B17" s="225" t="s">
        <v>47</v>
      </c>
      <c r="C17" s="226">
        <f>'Calculo Sueldo Profesores'!D85</f>
        <v>360</v>
      </c>
      <c r="D17" s="229">
        <f>'Calculo Sueldo Profesores'!D91</f>
        <v>360</v>
      </c>
      <c r="E17" s="229">
        <f>'Calculo Sueldo Profesores'!D97</f>
        <v>360</v>
      </c>
      <c r="F17" s="59">
        <f>'Calculo Sueldo Profesores'!D103</f>
        <v>360</v>
      </c>
      <c r="G17" s="226">
        <f>'Calculo Sueldo Profesores'!D109</f>
        <v>360</v>
      </c>
      <c r="H17" s="45"/>
      <c r="I17" s="45"/>
      <c r="J17" s="45"/>
      <c r="K17" s="45"/>
      <c r="L17" s="45"/>
      <c r="M17" s="45"/>
      <c r="N17" s="45"/>
      <c r="O17" s="45"/>
      <c r="P17" s="45"/>
    </row>
    <row r="18" spans="1:16">
      <c r="A18" s="625" t="s">
        <v>76</v>
      </c>
      <c r="B18" s="225" t="s">
        <v>48</v>
      </c>
      <c r="C18" s="226">
        <v>2700</v>
      </c>
      <c r="D18" s="229">
        <v>2700</v>
      </c>
      <c r="E18" s="229">
        <v>2880</v>
      </c>
      <c r="F18" s="59">
        <v>2520</v>
      </c>
      <c r="G18" s="226">
        <v>2520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>
      <c r="A19" s="625"/>
      <c r="B19" s="225" t="s">
        <v>49</v>
      </c>
      <c r="C19" s="226">
        <v>1800</v>
      </c>
      <c r="D19" s="229">
        <v>1800</v>
      </c>
      <c r="E19" s="229">
        <v>1800</v>
      </c>
      <c r="F19" s="59">
        <v>1800</v>
      </c>
      <c r="G19" s="226">
        <v>1800</v>
      </c>
      <c r="H19" s="45"/>
      <c r="I19" s="45"/>
      <c r="J19" s="45"/>
      <c r="K19" s="45"/>
      <c r="L19" s="45"/>
      <c r="M19" s="45"/>
      <c r="N19" s="45"/>
      <c r="O19" s="45"/>
      <c r="P19" s="45"/>
    </row>
    <row r="20" spans="1:16">
      <c r="A20" s="625"/>
      <c r="B20" s="225" t="s">
        <v>50</v>
      </c>
      <c r="C20" s="226">
        <v>1080</v>
      </c>
      <c r="D20" s="226">
        <v>1080</v>
      </c>
      <c r="E20" s="226">
        <v>1080</v>
      </c>
      <c r="F20" s="59">
        <v>1080</v>
      </c>
      <c r="G20" s="226">
        <v>1080</v>
      </c>
      <c r="H20" s="45"/>
      <c r="I20" s="45"/>
      <c r="J20" s="45"/>
      <c r="K20" s="45"/>
      <c r="L20" s="45"/>
      <c r="M20" s="45"/>
      <c r="N20" s="45"/>
      <c r="O20" s="45"/>
      <c r="P20" s="45"/>
    </row>
    <row r="21" spans="1:16" ht="15">
      <c r="A21" s="104"/>
      <c r="B21" s="225" t="s">
        <v>51</v>
      </c>
      <c r="C21" s="226">
        <f>'Calculo Sueldo Profesores'!D86</f>
        <v>360</v>
      </c>
      <c r="D21" s="226">
        <f>'Calculo Sueldo Profesores'!D92</f>
        <v>360</v>
      </c>
      <c r="E21" s="226">
        <f>'Calculo Sueldo Profesores'!D98</f>
        <v>360</v>
      </c>
      <c r="F21" s="59">
        <f>'Calculo Sueldo Profesores'!D104</f>
        <v>360</v>
      </c>
      <c r="G21" s="226">
        <f>'Calculo Sueldo Profesores'!D110</f>
        <v>360</v>
      </c>
      <c r="H21" s="45"/>
      <c r="I21" s="45"/>
      <c r="J21" s="45"/>
      <c r="K21" s="45"/>
      <c r="L21" s="45"/>
      <c r="M21" s="45"/>
      <c r="N21" s="45"/>
      <c r="O21" s="45"/>
      <c r="P21" s="45"/>
    </row>
    <row r="22" spans="1:16" ht="15">
      <c r="A22" s="662" t="s">
        <v>22</v>
      </c>
      <c r="B22" s="225" t="s">
        <v>52</v>
      </c>
      <c r="C22" s="231">
        <v>3780</v>
      </c>
      <c r="D22" s="231">
        <v>3780</v>
      </c>
      <c r="E22" s="232">
        <v>3960</v>
      </c>
      <c r="F22" s="104">
        <v>3780</v>
      </c>
      <c r="G22" s="232">
        <v>3780</v>
      </c>
      <c r="H22" s="233"/>
      <c r="I22" s="202"/>
      <c r="J22" s="233"/>
      <c r="K22" s="202"/>
      <c r="L22" s="202"/>
      <c r="M22" s="202"/>
      <c r="N22" s="45"/>
      <c r="O22" s="45"/>
      <c r="P22" s="45"/>
    </row>
    <row r="23" spans="1:16">
      <c r="A23" s="662"/>
      <c r="B23" s="225" t="s">
        <v>53</v>
      </c>
      <c r="C23" s="226">
        <v>2340</v>
      </c>
      <c r="D23" s="226">
        <v>2340</v>
      </c>
      <c r="E23" s="226">
        <v>2520</v>
      </c>
      <c r="F23" s="109">
        <v>2340</v>
      </c>
      <c r="G23" s="226">
        <v>2340</v>
      </c>
      <c r="H23" s="114"/>
      <c r="I23" s="234"/>
      <c r="J23" s="234"/>
      <c r="K23" s="234"/>
      <c r="L23" s="234"/>
      <c r="M23" s="234"/>
      <c r="N23" s="45"/>
      <c r="O23" s="45"/>
      <c r="P23" s="45"/>
    </row>
    <row r="24" spans="1:16" ht="15.75" thickBot="1">
      <c r="A24" s="45"/>
      <c r="B24" s="111"/>
      <c r="C24" s="235"/>
      <c r="D24" s="114"/>
      <c r="E24" s="114"/>
      <c r="F24" s="114"/>
      <c r="G24" s="114"/>
      <c r="H24" s="114"/>
      <c r="I24" s="234"/>
      <c r="J24" s="234"/>
      <c r="K24" s="234"/>
      <c r="L24" s="234"/>
      <c r="M24" s="234"/>
      <c r="N24" s="45"/>
      <c r="O24" s="45"/>
      <c r="P24" s="45"/>
    </row>
    <row r="25" spans="1:16" ht="15.75" thickBot="1">
      <c r="B25" s="97" t="s">
        <v>77</v>
      </c>
      <c r="C25" s="236">
        <f>'Calculo Sueldo Profesores'!V18+C16+C17+C21</f>
        <v>16740</v>
      </c>
      <c r="D25" s="237">
        <f>'Calculo Sueldo Profesores'!V33+D16+D17+D21</f>
        <v>18540</v>
      </c>
      <c r="E25" s="236">
        <f>'Calculo Sueldo Profesores'!V48+E16+E17+E21</f>
        <v>18540</v>
      </c>
      <c r="F25" s="236">
        <f>'Calculo Sueldo Profesores'!V63+F16+F17+F21</f>
        <v>17820</v>
      </c>
      <c r="G25" s="236">
        <f>'Calculo Sueldo Profesores'!V78+G16+G17+G21</f>
        <v>17820</v>
      </c>
      <c r="H25" s="114"/>
      <c r="I25" s="234"/>
      <c r="J25" s="234"/>
      <c r="K25" s="234"/>
      <c r="L25" s="234"/>
      <c r="M25" s="234"/>
      <c r="N25" s="45"/>
      <c r="O25" s="45"/>
      <c r="P25" s="45"/>
    </row>
    <row r="26" spans="1:16" ht="15">
      <c r="A26" s="45"/>
      <c r="B26" s="111"/>
      <c r="C26" s="238"/>
      <c r="D26" s="114"/>
      <c r="E26" s="114"/>
      <c r="F26" s="114"/>
      <c r="G26" s="114"/>
      <c r="H26" s="114"/>
      <c r="I26" s="234"/>
      <c r="J26" s="234"/>
      <c r="K26" s="234"/>
      <c r="L26" s="234"/>
      <c r="M26" s="234"/>
      <c r="N26" s="45"/>
      <c r="O26" s="45"/>
      <c r="P26" s="45"/>
    </row>
    <row r="27" spans="1:16" ht="15" hidden="1">
      <c r="A27" s="45"/>
      <c r="B27" s="111" t="s">
        <v>201</v>
      </c>
      <c r="C27" s="60">
        <f>C25-SUM(C12:C23)</f>
        <v>360</v>
      </c>
      <c r="D27" s="60">
        <f>D25-SUM(D12:D23)</f>
        <v>540</v>
      </c>
      <c r="E27" s="60">
        <f>E25-SUM(E12:E23)</f>
        <v>0</v>
      </c>
      <c r="F27" s="60">
        <f>F25-SUM(F12:F23)</f>
        <v>0</v>
      </c>
      <c r="G27" s="60">
        <f>G25-SUM(G12:G23)</f>
        <v>0</v>
      </c>
      <c r="H27" s="114"/>
      <c r="I27" s="234"/>
      <c r="J27" s="234"/>
      <c r="K27" s="234"/>
      <c r="L27" s="234"/>
      <c r="M27" s="234"/>
      <c r="N27" s="45"/>
      <c r="O27" s="45"/>
      <c r="P27" s="45"/>
    </row>
    <row r="28" spans="1:16" ht="15">
      <c r="A28" s="239"/>
      <c r="B28" s="49"/>
      <c r="C28" s="45"/>
      <c r="D28" s="114"/>
      <c r="E28" s="114"/>
      <c r="F28" s="114"/>
      <c r="G28" s="114"/>
      <c r="H28" s="114"/>
      <c r="I28" s="234"/>
      <c r="J28" s="234"/>
      <c r="K28" s="234"/>
      <c r="L28" s="234"/>
      <c r="M28" s="234"/>
      <c r="N28" s="45"/>
      <c r="O28" s="45"/>
      <c r="P28" s="45"/>
    </row>
    <row r="29" spans="1:16" ht="15">
      <c r="A29" s="239"/>
      <c r="B29" s="49"/>
      <c r="C29" s="240"/>
      <c r="D29" s="114"/>
      <c r="E29" s="114"/>
      <c r="F29" s="114"/>
      <c r="G29" s="114"/>
      <c r="H29" s="114"/>
      <c r="I29" s="234"/>
      <c r="J29" s="234"/>
      <c r="K29" s="234"/>
      <c r="L29" s="234"/>
      <c r="M29" s="234"/>
      <c r="N29" s="45"/>
      <c r="O29" s="45"/>
      <c r="P29" s="45"/>
    </row>
    <row r="30" spans="1:16" ht="15">
      <c r="A30" s="239"/>
      <c r="B30" s="49"/>
      <c r="C30" s="240"/>
      <c r="D30" s="114"/>
      <c r="E30" s="114"/>
      <c r="F30" s="114"/>
      <c r="G30" s="114"/>
      <c r="H30" s="114"/>
      <c r="I30" s="234"/>
      <c r="J30" s="234"/>
      <c r="K30" s="234"/>
      <c r="L30" s="234"/>
      <c r="M30" s="234"/>
      <c r="N30" s="45"/>
      <c r="O30" s="45"/>
      <c r="P30" s="45"/>
    </row>
    <row r="31" spans="1:16" ht="15">
      <c r="A31" s="239"/>
      <c r="B31" s="49"/>
      <c r="C31" s="240"/>
      <c r="D31" s="114"/>
      <c r="E31" s="114"/>
      <c r="F31" s="114"/>
      <c r="G31" s="114"/>
      <c r="H31" s="114"/>
      <c r="I31" s="234"/>
      <c r="J31" s="234"/>
      <c r="K31" s="234"/>
      <c r="L31" s="234"/>
      <c r="M31" s="234"/>
      <c r="N31" s="45"/>
      <c r="O31" s="45"/>
      <c r="P31" s="45"/>
    </row>
    <row r="32" spans="1:16" ht="15">
      <c r="A32" s="239"/>
      <c r="B32" s="49"/>
      <c r="C32" s="240"/>
      <c r="D32" s="114"/>
      <c r="E32" s="114"/>
      <c r="F32" s="114"/>
      <c r="G32" s="114"/>
      <c r="H32" s="114"/>
      <c r="I32" s="67"/>
      <c r="J32" s="234"/>
      <c r="K32" s="234"/>
      <c r="L32" s="67"/>
      <c r="M32" s="67"/>
      <c r="N32" s="45"/>
      <c r="O32" s="45"/>
      <c r="P32" s="45"/>
    </row>
    <row r="33" spans="1:16" ht="15">
      <c r="A33" s="239"/>
      <c r="B33" s="49"/>
      <c r="C33" s="241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ht="15">
      <c r="A34" s="239"/>
      <c r="B34" s="49"/>
      <c r="C34" s="242"/>
      <c r="D34" s="156"/>
      <c r="E34" s="156"/>
      <c r="F34" s="156"/>
      <c r="G34" s="156"/>
      <c r="H34" s="156"/>
      <c r="I34" s="156"/>
      <c r="J34" s="45"/>
      <c r="K34" s="45"/>
      <c r="L34" s="45"/>
      <c r="M34" s="45"/>
      <c r="N34" s="45"/>
      <c r="O34" s="45"/>
      <c r="P34" s="45"/>
    </row>
    <row r="35" spans="1:16" ht="15">
      <c r="A35" s="239"/>
      <c r="B35" s="49"/>
      <c r="C35" s="240"/>
      <c r="D35" s="67"/>
      <c r="E35" s="67"/>
      <c r="F35" s="67"/>
      <c r="G35" s="67"/>
      <c r="H35" s="67"/>
      <c r="I35" s="67"/>
      <c r="J35" s="45"/>
      <c r="K35" s="45"/>
      <c r="L35" s="45"/>
      <c r="M35" s="45"/>
      <c r="N35" s="45"/>
      <c r="O35" s="45"/>
      <c r="P35" s="45"/>
    </row>
    <row r="36" spans="1:16" ht="15">
      <c r="A36" s="239"/>
      <c r="B36" s="156"/>
      <c r="C36" s="240"/>
      <c r="D36" s="67"/>
      <c r="E36" s="67"/>
      <c r="F36" s="67"/>
      <c r="G36" s="67"/>
      <c r="H36" s="67"/>
      <c r="I36" s="67"/>
      <c r="J36" s="45"/>
      <c r="K36" s="45"/>
      <c r="L36" s="45"/>
      <c r="M36" s="45"/>
      <c r="N36" s="45"/>
      <c r="O36" s="45"/>
      <c r="P36" s="45"/>
    </row>
    <row r="37" spans="1:16" ht="15">
      <c r="A37" s="239"/>
      <c r="B37" s="49"/>
      <c r="C37" s="240"/>
      <c r="D37" s="67"/>
      <c r="E37" s="67"/>
      <c r="F37" s="67"/>
      <c r="G37" s="67"/>
      <c r="H37" s="67"/>
      <c r="I37" s="67"/>
      <c r="J37" s="45"/>
      <c r="K37" s="45"/>
      <c r="L37" s="45"/>
      <c r="M37" s="45"/>
      <c r="N37" s="45"/>
      <c r="O37" s="45"/>
      <c r="P37" s="45"/>
    </row>
    <row r="38" spans="1:16" ht="15">
      <c r="A38" s="239"/>
      <c r="B38" s="49"/>
      <c r="C38" s="241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ht="15">
      <c r="A39" s="239"/>
      <c r="B39" s="49"/>
      <c r="C39" s="241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ht="15">
      <c r="A40" s="239"/>
      <c r="B40" s="49"/>
      <c r="C40" s="241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ht="15">
      <c r="A41" s="239"/>
      <c r="B41" s="156"/>
      <c r="C41" s="241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ht="15">
      <c r="A42" s="4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45"/>
    </row>
    <row r="43" spans="1:16" ht="15">
      <c r="A43" s="45"/>
      <c r="B43" s="111"/>
      <c r="C43" s="45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45"/>
    </row>
    <row r="44" spans="1:16" ht="15">
      <c r="A44" s="45"/>
      <c r="B44" s="111"/>
      <c r="C44" s="677"/>
      <c r="D44" s="677"/>
      <c r="E44" s="677"/>
      <c r="F44" s="677"/>
      <c r="G44" s="677"/>
      <c r="H44" s="677"/>
      <c r="I44" s="677"/>
      <c r="J44" s="677"/>
      <c r="K44" s="677"/>
      <c r="L44" s="677"/>
      <c r="M44" s="679"/>
      <c r="N44" s="679"/>
      <c r="O44" s="679"/>
      <c r="P44" s="680"/>
    </row>
    <row r="45" spans="1:16" ht="15">
      <c r="A45" s="45"/>
      <c r="B45" s="111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679"/>
      <c r="N45" s="679"/>
      <c r="O45" s="679"/>
      <c r="P45" s="680"/>
    </row>
    <row r="46" spans="1:16" ht="15">
      <c r="A46" s="45"/>
      <c r="B46" s="111"/>
      <c r="C46" s="126"/>
      <c r="D46" s="126"/>
      <c r="E46" s="126"/>
      <c r="F46" s="243"/>
      <c r="G46" s="243"/>
      <c r="H46" s="244"/>
      <c r="I46" s="126"/>
      <c r="J46" s="126"/>
      <c r="K46" s="126"/>
      <c r="L46" s="238"/>
      <c r="M46" s="679"/>
      <c r="N46" s="679"/>
      <c r="O46" s="679"/>
      <c r="P46" s="680"/>
    </row>
    <row r="47" spans="1:16" ht="15">
      <c r="A47" s="45"/>
      <c r="B47" s="111"/>
      <c r="C47" s="49"/>
      <c r="D47" s="156"/>
      <c r="E47" s="156"/>
      <c r="F47" s="156"/>
      <c r="G47" s="156"/>
      <c r="H47" s="156"/>
      <c r="I47" s="156"/>
      <c r="J47" s="156"/>
      <c r="K47" s="156"/>
      <c r="L47" s="156"/>
      <c r="M47" s="679"/>
      <c r="N47" s="156"/>
      <c r="O47" s="156"/>
      <c r="P47" s="680"/>
    </row>
    <row r="48" spans="1:16">
      <c r="A48" s="67"/>
      <c r="B48" s="62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1:16">
      <c r="A49" s="679"/>
      <c r="B49" s="62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67"/>
      <c r="N49" s="67"/>
      <c r="O49" s="67"/>
      <c r="P49" s="234"/>
    </row>
    <row r="50" spans="1:16">
      <c r="A50" s="679"/>
      <c r="B50" s="62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67"/>
      <c r="N50" s="67"/>
      <c r="O50" s="67"/>
      <c r="P50" s="234"/>
    </row>
    <row r="51" spans="1:16">
      <c r="A51" s="679"/>
      <c r="B51" s="62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67"/>
      <c r="N51" s="67"/>
      <c r="O51" s="67"/>
      <c r="P51" s="234"/>
    </row>
    <row r="52" spans="1:16">
      <c r="A52" s="45"/>
      <c r="B52" s="62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234"/>
    </row>
    <row r="53" spans="1:16">
      <c r="A53" s="679"/>
      <c r="B53" s="62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67"/>
      <c r="N53" s="67"/>
      <c r="O53" s="67"/>
      <c r="P53" s="234"/>
    </row>
    <row r="54" spans="1:16">
      <c r="A54" s="679"/>
      <c r="B54" s="62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67"/>
      <c r="N54" s="67"/>
      <c r="O54" s="67"/>
      <c r="P54" s="234"/>
    </row>
    <row r="55" spans="1:16">
      <c r="A55" s="679"/>
      <c r="B55" s="62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67"/>
      <c r="N55" s="67"/>
      <c r="O55" s="67"/>
      <c r="P55" s="234"/>
    </row>
    <row r="56" spans="1:16">
      <c r="A56" s="679"/>
      <c r="B56" s="62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67"/>
      <c r="N56" s="67"/>
      <c r="O56" s="67"/>
      <c r="P56" s="234"/>
    </row>
    <row r="57" spans="1:16">
      <c r="A57" s="679"/>
      <c r="B57" s="62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67"/>
      <c r="N57" s="67"/>
      <c r="O57" s="67"/>
      <c r="P57" s="234"/>
    </row>
    <row r="58" spans="1:16">
      <c r="A58" s="677"/>
      <c r="B58" s="62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67"/>
      <c r="N58" s="67"/>
      <c r="O58" s="67"/>
      <c r="P58" s="234"/>
    </row>
    <row r="59" spans="1:16">
      <c r="A59" s="677"/>
      <c r="B59" s="62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67"/>
      <c r="N59" s="67"/>
      <c r="O59" s="67"/>
      <c r="P59" s="234"/>
    </row>
    <row r="60" spans="1:1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245"/>
    </row>
    <row r="61" spans="1:16">
      <c r="A61" s="45"/>
      <c r="B61" s="45"/>
      <c r="C61" s="246"/>
      <c r="D61" s="246"/>
      <c r="E61" s="246"/>
      <c r="F61" s="246"/>
      <c r="G61" s="246"/>
      <c r="H61" s="246"/>
      <c r="I61" s="45"/>
      <c r="J61" s="45"/>
      <c r="K61" s="45"/>
      <c r="L61" s="45"/>
      <c r="M61" s="45"/>
      <c r="N61" s="45"/>
      <c r="O61" s="45"/>
      <c r="P61" s="45"/>
    </row>
    <row r="62" spans="1:16" ht="15">
      <c r="A62" s="45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45"/>
    </row>
    <row r="63" spans="1:16" ht="15">
      <c r="A63" s="45"/>
      <c r="B63" s="111"/>
      <c r="C63" s="4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45"/>
    </row>
    <row r="64" spans="1:16" ht="15" customHeight="1">
      <c r="A64" s="45"/>
      <c r="B64" s="111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679"/>
      <c r="N64" s="679"/>
      <c r="O64" s="679"/>
      <c r="P64" s="680"/>
    </row>
    <row r="65" spans="1:16" ht="15">
      <c r="A65" s="45"/>
      <c r="B65" s="111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679"/>
      <c r="N65" s="679"/>
      <c r="O65" s="679"/>
      <c r="P65" s="680"/>
    </row>
    <row r="66" spans="1:16" ht="15">
      <c r="A66" s="45"/>
      <c r="B66" s="111"/>
      <c r="C66" s="126"/>
      <c r="D66" s="126"/>
      <c r="E66" s="126"/>
      <c r="F66" s="243"/>
      <c r="G66" s="243"/>
      <c r="H66" s="244"/>
      <c r="I66" s="126"/>
      <c r="J66" s="126"/>
      <c r="K66" s="126"/>
      <c r="L66" s="238"/>
      <c r="M66" s="679"/>
      <c r="N66" s="679"/>
      <c r="O66" s="679"/>
      <c r="P66" s="680"/>
    </row>
    <row r="67" spans="1:16" ht="15">
      <c r="A67" s="45"/>
      <c r="B67" s="111"/>
      <c r="C67" s="49"/>
      <c r="D67" s="156"/>
      <c r="E67" s="156"/>
      <c r="F67" s="156"/>
      <c r="G67" s="156"/>
      <c r="H67" s="156"/>
      <c r="I67" s="156"/>
      <c r="J67" s="156"/>
      <c r="K67" s="156"/>
      <c r="L67" s="156"/>
      <c r="M67" s="679"/>
      <c r="N67" s="156"/>
      <c r="O67" s="679"/>
      <c r="P67" s="680"/>
    </row>
    <row r="68" spans="1:16">
      <c r="A68" s="67"/>
      <c r="B68" s="62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247"/>
    </row>
    <row r="69" spans="1:16">
      <c r="A69" s="679"/>
      <c r="B69" s="62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67"/>
      <c r="N69" s="67"/>
      <c r="O69" s="67"/>
      <c r="P69" s="247"/>
    </row>
    <row r="70" spans="1:16">
      <c r="A70" s="679"/>
      <c r="B70" s="62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67"/>
      <c r="N70" s="67"/>
      <c r="O70" s="67"/>
      <c r="P70" s="247"/>
    </row>
    <row r="71" spans="1:16">
      <c r="A71" s="679"/>
      <c r="B71" s="62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67"/>
      <c r="N71" s="67"/>
      <c r="O71" s="67"/>
      <c r="P71" s="247"/>
    </row>
    <row r="72" spans="1:16">
      <c r="A72" s="45"/>
      <c r="B72" s="62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247"/>
    </row>
    <row r="73" spans="1:16">
      <c r="A73" s="679"/>
      <c r="B73" s="62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67"/>
      <c r="N73" s="67"/>
      <c r="O73" s="67"/>
      <c r="P73" s="247"/>
    </row>
    <row r="74" spans="1:16">
      <c r="A74" s="679"/>
      <c r="B74" s="62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67"/>
      <c r="N74" s="67"/>
      <c r="O74" s="67"/>
      <c r="P74" s="247"/>
    </row>
    <row r="75" spans="1:16">
      <c r="A75" s="679"/>
      <c r="B75" s="62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67"/>
      <c r="N75" s="67"/>
      <c r="O75" s="67"/>
      <c r="P75" s="247"/>
    </row>
    <row r="76" spans="1:16">
      <c r="A76" s="679"/>
      <c r="B76" s="62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67"/>
      <c r="N76" s="67"/>
      <c r="O76" s="67"/>
      <c r="P76" s="247"/>
    </row>
    <row r="77" spans="1:16">
      <c r="A77" s="679"/>
      <c r="B77" s="62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67"/>
      <c r="N77" s="67"/>
      <c r="O77" s="67"/>
      <c r="P77" s="247"/>
    </row>
    <row r="78" spans="1:16">
      <c r="A78" s="679"/>
      <c r="B78" s="62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67"/>
      <c r="N78" s="67"/>
      <c r="O78" s="67"/>
      <c r="P78" s="247"/>
    </row>
    <row r="79" spans="1:16">
      <c r="A79" s="679"/>
      <c r="B79" s="62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67"/>
      <c r="N79" s="67"/>
      <c r="O79" s="67"/>
      <c r="P79" s="247"/>
    </row>
    <row r="80" spans="1:16">
      <c r="A80" s="45"/>
      <c r="B80" s="248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</row>
    <row r="81" spans="1:16">
      <c r="A81" s="45"/>
      <c r="B81" s="248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</row>
    <row r="82" spans="1:16" ht="15">
      <c r="A82" s="681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45"/>
      <c r="P82" s="45"/>
    </row>
    <row r="83" spans="1:16" ht="15">
      <c r="A83" s="681"/>
      <c r="B83" s="111"/>
      <c r="C83" s="45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45"/>
      <c r="P83" s="45"/>
    </row>
    <row r="84" spans="1:16" ht="15" customHeight="1">
      <c r="A84" s="681"/>
      <c r="B84" s="111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679"/>
      <c r="N84" s="679"/>
      <c r="O84" s="679"/>
      <c r="P84" s="680"/>
    </row>
    <row r="85" spans="1:16" ht="15">
      <c r="A85" s="681"/>
      <c r="B85" s="111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679"/>
      <c r="N85" s="679"/>
      <c r="O85" s="679"/>
      <c r="P85" s="680"/>
    </row>
    <row r="86" spans="1:16" ht="15">
      <c r="A86" s="681"/>
      <c r="B86" s="111"/>
      <c r="C86" s="126"/>
      <c r="D86" s="126"/>
      <c r="E86" s="126"/>
      <c r="F86" s="243"/>
      <c r="G86" s="243"/>
      <c r="H86" s="244"/>
      <c r="I86" s="126"/>
      <c r="J86" s="126"/>
      <c r="K86" s="126"/>
      <c r="L86" s="238"/>
      <c r="M86" s="679"/>
      <c r="N86" s="679"/>
      <c r="O86" s="679"/>
      <c r="P86" s="680"/>
    </row>
    <row r="87" spans="1:16" ht="15">
      <c r="A87" s="681"/>
      <c r="B87" s="111"/>
      <c r="C87" s="49"/>
      <c r="D87" s="156"/>
      <c r="E87" s="156"/>
      <c r="F87" s="156"/>
      <c r="G87" s="156"/>
      <c r="H87" s="156"/>
      <c r="I87" s="156"/>
      <c r="J87" s="156"/>
      <c r="K87" s="156"/>
      <c r="L87" s="156"/>
      <c r="M87" s="679"/>
      <c r="N87" s="156"/>
      <c r="O87" s="679"/>
      <c r="P87" s="680"/>
    </row>
    <row r="88" spans="1:16">
      <c r="A88" s="67"/>
      <c r="B88" s="62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247"/>
    </row>
    <row r="89" spans="1:16">
      <c r="A89" s="679"/>
      <c r="B89" s="62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67"/>
      <c r="N89" s="67"/>
      <c r="O89" s="67"/>
      <c r="P89" s="247"/>
    </row>
    <row r="90" spans="1:16">
      <c r="A90" s="679"/>
      <c r="B90" s="62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67"/>
      <c r="N90" s="67"/>
      <c r="O90" s="67"/>
      <c r="P90" s="247"/>
    </row>
    <row r="91" spans="1:16">
      <c r="A91" s="679"/>
      <c r="B91" s="62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67"/>
      <c r="N91" s="67"/>
      <c r="O91" s="67"/>
      <c r="P91" s="247"/>
    </row>
    <row r="92" spans="1:16">
      <c r="A92" s="45"/>
      <c r="B92" s="62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247"/>
    </row>
    <row r="93" spans="1:16">
      <c r="A93" s="679"/>
      <c r="B93" s="62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67"/>
      <c r="N93" s="67"/>
      <c r="O93" s="67"/>
      <c r="P93" s="247"/>
    </row>
    <row r="94" spans="1:16">
      <c r="A94" s="679"/>
      <c r="B94" s="62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67"/>
      <c r="N94" s="67"/>
      <c r="O94" s="67"/>
      <c r="P94" s="247"/>
    </row>
    <row r="95" spans="1:16">
      <c r="A95" s="679"/>
      <c r="B95" s="62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67"/>
      <c r="N95" s="67"/>
      <c r="O95" s="67"/>
      <c r="P95" s="247"/>
    </row>
    <row r="96" spans="1:16">
      <c r="A96" s="679"/>
      <c r="B96" s="62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67"/>
      <c r="N96" s="67"/>
      <c r="O96" s="67"/>
      <c r="P96" s="247"/>
    </row>
    <row r="97" spans="1:16">
      <c r="A97" s="679"/>
      <c r="B97" s="62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67"/>
      <c r="N97" s="67"/>
      <c r="O97" s="67"/>
      <c r="P97" s="247"/>
    </row>
    <row r="98" spans="1:16">
      <c r="A98" s="679"/>
      <c r="B98" s="62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67"/>
      <c r="N98" s="67"/>
      <c r="O98" s="67"/>
      <c r="P98" s="247"/>
    </row>
    <row r="99" spans="1:16">
      <c r="A99" s="679"/>
      <c r="B99" s="62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67"/>
      <c r="N99" s="67"/>
      <c r="O99" s="67"/>
      <c r="P99" s="247"/>
    </row>
    <row r="100" spans="1:16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</row>
    <row r="101" spans="1:16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</row>
    <row r="102" spans="1:16" ht="15">
      <c r="A102" s="45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45"/>
    </row>
    <row r="103" spans="1:16" ht="15">
      <c r="A103" s="45"/>
      <c r="B103" s="111"/>
      <c r="C103" s="45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45"/>
    </row>
    <row r="104" spans="1:16" ht="15" customHeight="1">
      <c r="A104" s="45"/>
      <c r="B104" s="111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202"/>
      <c r="N104" s="202"/>
      <c r="O104" s="202"/>
      <c r="P104" s="249"/>
    </row>
    <row r="105" spans="1:16" ht="15">
      <c r="A105" s="45"/>
      <c r="B105" s="111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202"/>
      <c r="N105" s="202"/>
      <c r="O105" s="202"/>
      <c r="P105" s="249"/>
    </row>
    <row r="106" spans="1:16" ht="15">
      <c r="A106" s="45"/>
      <c r="B106" s="111"/>
      <c r="C106" s="126"/>
      <c r="D106" s="126"/>
      <c r="E106" s="126"/>
      <c r="F106" s="243"/>
      <c r="G106" s="243"/>
      <c r="H106" s="244"/>
      <c r="I106" s="126"/>
      <c r="J106" s="126"/>
      <c r="K106" s="126"/>
      <c r="L106" s="238"/>
      <c r="M106" s="202"/>
      <c r="N106" s="202"/>
      <c r="O106" s="202"/>
      <c r="P106" s="249"/>
    </row>
    <row r="107" spans="1:16" ht="15">
      <c r="A107" s="45"/>
      <c r="B107" s="111"/>
      <c r="C107" s="49"/>
      <c r="D107" s="156"/>
      <c r="E107" s="156"/>
      <c r="F107" s="156"/>
      <c r="G107" s="156"/>
      <c r="H107" s="156"/>
      <c r="I107" s="156"/>
      <c r="J107" s="156"/>
      <c r="K107" s="156"/>
      <c r="L107" s="156"/>
      <c r="M107" s="202"/>
      <c r="N107" s="156"/>
      <c r="O107" s="156"/>
      <c r="P107" s="249"/>
    </row>
    <row r="108" spans="1:16">
      <c r="A108" s="67"/>
      <c r="B108" s="62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247"/>
    </row>
    <row r="109" spans="1:16">
      <c r="A109" s="679"/>
      <c r="B109" s="62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67"/>
      <c r="N109" s="67"/>
      <c r="O109" s="67"/>
      <c r="P109" s="247"/>
    </row>
    <row r="110" spans="1:16">
      <c r="A110" s="679"/>
      <c r="B110" s="62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67"/>
      <c r="N110" s="67"/>
      <c r="O110" s="67"/>
      <c r="P110" s="247"/>
    </row>
    <row r="111" spans="1:16">
      <c r="A111" s="679"/>
      <c r="B111" s="62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67"/>
      <c r="N111" s="67"/>
      <c r="O111" s="67"/>
      <c r="P111" s="247"/>
    </row>
    <row r="112" spans="1:16">
      <c r="A112" s="45"/>
      <c r="B112" s="62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247"/>
    </row>
    <row r="113" spans="1:16">
      <c r="A113" s="679"/>
      <c r="B113" s="62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67"/>
      <c r="N113" s="67"/>
      <c r="O113" s="67"/>
      <c r="P113" s="247"/>
    </row>
    <row r="114" spans="1:16">
      <c r="A114" s="679"/>
      <c r="B114" s="62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67"/>
      <c r="N114" s="67"/>
      <c r="O114" s="67"/>
      <c r="P114" s="247"/>
    </row>
    <row r="115" spans="1:16">
      <c r="A115" s="679"/>
      <c r="B115" s="62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67"/>
      <c r="N115" s="67"/>
      <c r="O115" s="67"/>
      <c r="P115" s="247"/>
    </row>
    <row r="116" spans="1:16">
      <c r="A116" s="679"/>
      <c r="B116" s="62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67"/>
      <c r="N116" s="67"/>
      <c r="O116" s="67"/>
      <c r="P116" s="247"/>
    </row>
    <row r="117" spans="1:16">
      <c r="A117" s="679"/>
      <c r="B117" s="62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67"/>
      <c r="N117" s="67"/>
      <c r="O117" s="67"/>
      <c r="P117" s="247"/>
    </row>
    <row r="118" spans="1:16">
      <c r="A118" s="677"/>
      <c r="B118" s="62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67"/>
      <c r="N118" s="67"/>
      <c r="O118" s="67"/>
      <c r="P118" s="247"/>
    </row>
    <row r="119" spans="1:16">
      <c r="A119" s="677"/>
      <c r="B119" s="62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67"/>
      <c r="N119" s="67"/>
      <c r="O119" s="67"/>
      <c r="P119" s="247"/>
    </row>
    <row r="120" spans="1:16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  <row r="121" spans="1:16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  <row r="122" spans="1:16" ht="15">
      <c r="A122" s="45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45"/>
    </row>
    <row r="123" spans="1:16" ht="15">
      <c r="A123" s="45"/>
      <c r="B123" s="111"/>
      <c r="C123" s="45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45"/>
    </row>
    <row r="124" spans="1:16" ht="15" customHeight="1">
      <c r="A124" s="45"/>
      <c r="B124" s="111"/>
      <c r="C124" s="677"/>
      <c r="D124" s="677"/>
      <c r="E124" s="677"/>
      <c r="F124" s="677"/>
      <c r="G124" s="677"/>
      <c r="H124" s="677"/>
      <c r="I124" s="677"/>
      <c r="J124" s="677"/>
      <c r="K124" s="677"/>
      <c r="L124" s="677"/>
      <c r="M124" s="679"/>
      <c r="N124" s="679"/>
      <c r="O124" s="679"/>
      <c r="P124" s="680"/>
    </row>
    <row r="125" spans="1:16" ht="15">
      <c r="A125" s="45"/>
      <c r="B125" s="111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679"/>
      <c r="N125" s="679"/>
      <c r="O125" s="679"/>
      <c r="P125" s="680"/>
    </row>
    <row r="126" spans="1:16" ht="15">
      <c r="A126" s="45"/>
      <c r="B126" s="111"/>
      <c r="C126" s="126"/>
      <c r="D126" s="126"/>
      <c r="E126" s="126"/>
      <c r="F126" s="243"/>
      <c r="G126" s="243"/>
      <c r="H126" s="244"/>
      <c r="I126" s="126"/>
      <c r="J126" s="126"/>
      <c r="K126" s="126"/>
      <c r="L126" s="238"/>
      <c r="M126" s="679"/>
      <c r="N126" s="679"/>
      <c r="O126" s="679"/>
      <c r="P126" s="680"/>
    </row>
    <row r="127" spans="1:16" ht="15">
      <c r="A127" s="45"/>
      <c r="B127" s="111"/>
      <c r="C127" s="49"/>
      <c r="D127" s="156"/>
      <c r="E127" s="156"/>
      <c r="F127" s="156"/>
      <c r="G127" s="156"/>
      <c r="H127" s="156"/>
      <c r="I127" s="156"/>
      <c r="J127" s="156"/>
      <c r="K127" s="156"/>
      <c r="L127" s="156"/>
      <c r="M127" s="679"/>
      <c r="N127" s="156"/>
      <c r="O127" s="156"/>
      <c r="P127" s="680"/>
    </row>
    <row r="128" spans="1:16">
      <c r="A128" s="67"/>
      <c r="B128" s="62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234"/>
    </row>
    <row r="129" spans="1:16">
      <c r="A129" s="679"/>
      <c r="B129" s="62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67"/>
      <c r="N129" s="67"/>
      <c r="O129" s="67"/>
      <c r="P129" s="234"/>
    </row>
    <row r="130" spans="1:16">
      <c r="A130" s="679"/>
      <c r="B130" s="62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67"/>
      <c r="N130" s="67"/>
      <c r="O130" s="67"/>
      <c r="P130" s="234"/>
    </row>
    <row r="131" spans="1:16">
      <c r="A131" s="679"/>
      <c r="B131" s="62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67"/>
      <c r="N131" s="67"/>
      <c r="O131" s="67"/>
      <c r="P131" s="234"/>
    </row>
    <row r="132" spans="1:16">
      <c r="A132" s="45"/>
      <c r="B132" s="62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234"/>
    </row>
    <row r="133" spans="1:16">
      <c r="A133" s="679"/>
      <c r="B133" s="62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67"/>
      <c r="N133" s="67"/>
      <c r="O133" s="67"/>
      <c r="P133" s="234"/>
    </row>
    <row r="134" spans="1:16">
      <c r="A134" s="679"/>
      <c r="B134" s="62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67"/>
      <c r="N134" s="67"/>
      <c r="O134" s="67"/>
      <c r="P134" s="234"/>
    </row>
    <row r="135" spans="1:16">
      <c r="A135" s="679"/>
      <c r="B135" s="62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67"/>
      <c r="N135" s="67"/>
      <c r="O135" s="67"/>
      <c r="P135" s="234"/>
    </row>
    <row r="136" spans="1:16">
      <c r="A136" s="679"/>
      <c r="B136" s="62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67"/>
      <c r="N136" s="67"/>
      <c r="O136" s="67"/>
      <c r="P136" s="234"/>
    </row>
    <row r="137" spans="1:16">
      <c r="A137" s="679"/>
      <c r="B137" s="62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67"/>
      <c r="N137" s="67"/>
      <c r="O137" s="67"/>
      <c r="P137" s="234"/>
    </row>
    <row r="138" spans="1:16">
      <c r="A138" s="677"/>
      <c r="B138" s="62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67"/>
      <c r="N138" s="67"/>
      <c r="O138" s="67"/>
      <c r="P138" s="234"/>
    </row>
    <row r="139" spans="1:16">
      <c r="A139" s="677"/>
      <c r="B139" s="62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67"/>
      <c r="N139" s="67"/>
      <c r="O139" s="67"/>
      <c r="P139" s="234"/>
    </row>
    <row r="140" spans="1:16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245"/>
    </row>
    <row r="141" spans="1:16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</row>
    <row r="142" spans="1:16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</row>
    <row r="143" spans="1:16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</row>
    <row r="144" spans="1:16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</row>
    <row r="145" spans="1:16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</row>
  </sheetData>
  <mergeCells count="35">
    <mergeCell ref="M44:M47"/>
    <mergeCell ref="N44:O46"/>
    <mergeCell ref="P44:P47"/>
    <mergeCell ref="A49:A51"/>
    <mergeCell ref="A13:A15"/>
    <mergeCell ref="A18:A20"/>
    <mergeCell ref="A22:A23"/>
    <mergeCell ref="C44:L44"/>
    <mergeCell ref="O64:O67"/>
    <mergeCell ref="P64:P67"/>
    <mergeCell ref="A69:A71"/>
    <mergeCell ref="A73:A77"/>
    <mergeCell ref="A53:A57"/>
    <mergeCell ref="A58:A59"/>
    <mergeCell ref="M64:M67"/>
    <mergeCell ref="N64:N66"/>
    <mergeCell ref="P124:P127"/>
    <mergeCell ref="O84:O87"/>
    <mergeCell ref="P84:P87"/>
    <mergeCell ref="A78:A79"/>
    <mergeCell ref="A82:A87"/>
    <mergeCell ref="M84:M87"/>
    <mergeCell ref="N84:N86"/>
    <mergeCell ref="A89:A91"/>
    <mergeCell ref="A93:A97"/>
    <mergeCell ref="A98:A99"/>
    <mergeCell ref="A138:A139"/>
    <mergeCell ref="A113:A117"/>
    <mergeCell ref="A118:A119"/>
    <mergeCell ref="A109:A111"/>
    <mergeCell ref="M124:M127"/>
    <mergeCell ref="N124:O126"/>
    <mergeCell ref="C124:L124"/>
    <mergeCell ref="A129:A131"/>
    <mergeCell ref="A133:A137"/>
  </mergeCells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4:N18"/>
  <sheetViews>
    <sheetView workbookViewId="0">
      <selection activeCell="G21" sqref="G21"/>
    </sheetView>
  </sheetViews>
  <sheetFormatPr baseColWidth="10" defaultRowHeight="14.25"/>
  <cols>
    <col min="1" max="1" width="25.28515625" style="250" customWidth="1"/>
    <col min="2" max="2" width="12.7109375" style="250" bestFit="1" customWidth="1"/>
    <col min="3" max="3" width="13.42578125" style="250" customWidth="1"/>
    <col min="4" max="4" width="13.140625" style="250" bestFit="1" customWidth="1"/>
    <col min="5" max="5" width="12.85546875" style="250" customWidth="1"/>
    <col min="6" max="6" width="13.85546875" style="250" customWidth="1"/>
    <col min="7" max="7" width="13.28515625" style="250" customWidth="1"/>
    <col min="8" max="8" width="13.140625" style="250" customWidth="1"/>
    <col min="9" max="9" width="13.140625" style="250" bestFit="1" customWidth="1"/>
    <col min="10" max="10" width="12.7109375" style="250" customWidth="1"/>
    <col min="11" max="11" width="13.140625" style="250" customWidth="1"/>
    <col min="12" max="13" width="12.85546875" style="250" bestFit="1" customWidth="1"/>
    <col min="14" max="14" width="16.42578125" style="250" customWidth="1"/>
    <col min="15" max="16384" width="11.42578125" style="250"/>
  </cols>
  <sheetData>
    <row r="4" spans="1:14" ht="15" thickBot="1"/>
    <row r="5" spans="1:14" ht="15" customHeight="1">
      <c r="A5" s="682" t="s">
        <v>59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4"/>
    </row>
    <row r="6" spans="1:14" ht="15" thickBot="1">
      <c r="A6" s="685"/>
      <c r="B6" s="686"/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7"/>
    </row>
    <row r="7" spans="1:14" ht="15.75" thickBot="1">
      <c r="A7" s="251" t="s">
        <v>60</v>
      </c>
      <c r="B7" s="252" t="s">
        <v>42</v>
      </c>
      <c r="C7" s="252" t="s">
        <v>43</v>
      </c>
      <c r="D7" s="252" t="s">
        <v>44</v>
      </c>
      <c r="E7" s="252" t="s">
        <v>45</v>
      </c>
      <c r="F7" s="252" t="s">
        <v>46</v>
      </c>
      <c r="G7" s="252" t="s">
        <v>47</v>
      </c>
      <c r="H7" s="252" t="s">
        <v>48</v>
      </c>
      <c r="I7" s="252" t="s">
        <v>49</v>
      </c>
      <c r="J7" s="252" t="s">
        <v>50</v>
      </c>
      <c r="K7" s="252" t="s">
        <v>51</v>
      </c>
      <c r="L7" s="252" t="s">
        <v>52</v>
      </c>
      <c r="M7" s="253" t="s">
        <v>53</v>
      </c>
      <c r="N7" s="254" t="s">
        <v>57</v>
      </c>
    </row>
    <row r="8" spans="1:14" ht="15" thickBot="1">
      <c r="A8" s="255" t="s">
        <v>61</v>
      </c>
      <c r="B8" s="256">
        <v>0</v>
      </c>
      <c r="C8" s="256">
        <f>Ingresos!$I$67</f>
        <v>3517.2555101432695</v>
      </c>
      <c r="D8" s="256">
        <f>Ingresos!$I$67</f>
        <v>3517.2555101432695</v>
      </c>
      <c r="E8" s="256">
        <f>Ingresos!$I$67</f>
        <v>3517.2555101432695</v>
      </c>
      <c r="F8" s="256">
        <f>Ingresos!G66</f>
        <v>1200</v>
      </c>
      <c r="G8" s="256">
        <f>Ingresos!G67</f>
        <v>1200</v>
      </c>
      <c r="H8" s="256">
        <f>Ingresos!$I$66</f>
        <v>6765.5711689169075</v>
      </c>
      <c r="I8" s="256">
        <f>Ingresos!$I$66</f>
        <v>6765.5711689169075</v>
      </c>
      <c r="J8" s="256">
        <f>Ingresos!$I$66</f>
        <v>6765.5711689169075</v>
      </c>
      <c r="K8" s="256">
        <f>Ingresos!G68</f>
        <v>1200</v>
      </c>
      <c r="L8" s="256">
        <f>Ingresos!$I$68</f>
        <v>10015.916702028655</v>
      </c>
      <c r="M8" s="256">
        <f>Ingresos!$I$68</f>
        <v>10015.916702028655</v>
      </c>
      <c r="N8" s="257"/>
    </row>
    <row r="9" spans="1:14" ht="15.75" thickBot="1">
      <c r="A9" s="258" t="s">
        <v>62</v>
      </c>
      <c r="B9" s="259">
        <f t="shared" ref="B9:M9" si="0">SUM(B8:B8)</f>
        <v>0</v>
      </c>
      <c r="C9" s="259">
        <f t="shared" si="0"/>
        <v>3517.2555101432695</v>
      </c>
      <c r="D9" s="259">
        <f t="shared" si="0"/>
        <v>3517.2555101432695</v>
      </c>
      <c r="E9" s="259">
        <f t="shared" si="0"/>
        <v>3517.2555101432695</v>
      </c>
      <c r="F9" s="259">
        <f t="shared" si="0"/>
        <v>1200</v>
      </c>
      <c r="G9" s="259">
        <f t="shared" si="0"/>
        <v>1200</v>
      </c>
      <c r="H9" s="259">
        <f t="shared" si="0"/>
        <v>6765.5711689169075</v>
      </c>
      <c r="I9" s="259">
        <f t="shared" si="0"/>
        <v>6765.5711689169075</v>
      </c>
      <c r="J9" s="259">
        <f t="shared" si="0"/>
        <v>6765.5711689169075</v>
      </c>
      <c r="K9" s="259">
        <f t="shared" si="0"/>
        <v>1200</v>
      </c>
      <c r="L9" s="259">
        <f t="shared" si="0"/>
        <v>10015.916702028655</v>
      </c>
      <c r="M9" s="260">
        <f t="shared" si="0"/>
        <v>10015.916702028655</v>
      </c>
      <c r="N9" s="261">
        <f>SUM(B9:M9)</f>
        <v>54480.313441237842</v>
      </c>
    </row>
    <row r="10" spans="1:14" ht="15">
      <c r="A10" s="262" t="s">
        <v>63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57"/>
    </row>
    <row r="11" spans="1:14">
      <c r="A11" s="264" t="s">
        <v>64</v>
      </c>
      <c r="B11" s="265">
        <f>'Calculo Sueldo Profesores'!J18</f>
        <v>0</v>
      </c>
      <c r="C11" s="265">
        <f>'Calculo Sueldo Profesores'!K18</f>
        <v>1620</v>
      </c>
      <c r="D11" s="265">
        <f>'Calculo Sueldo Profesores'!L18</f>
        <v>1260</v>
      </c>
      <c r="E11" s="265">
        <f>'Calculo Sueldo Profesores'!M18</f>
        <v>720</v>
      </c>
      <c r="F11" s="265">
        <f>'Costos Variables'!C16</f>
        <v>360</v>
      </c>
      <c r="G11" s="265">
        <f>'Costos Variables'!C17</f>
        <v>360</v>
      </c>
      <c r="H11" s="265">
        <f>'Calculo Sueldo Profesores'!P18</f>
        <v>2700</v>
      </c>
      <c r="I11" s="265">
        <f>'Calculo Sueldo Profesores'!Q18</f>
        <v>1800</v>
      </c>
      <c r="J11" s="265">
        <f>'Calculo Sueldo Profesores'!R18</f>
        <v>1080</v>
      </c>
      <c r="K11" s="265">
        <f>'Costos Variables'!C21</f>
        <v>360</v>
      </c>
      <c r="L11" s="265">
        <f>'Calculo Sueldo Profesores'!T18</f>
        <v>3960</v>
      </c>
      <c r="M11" s="265">
        <f>'Calculo Sueldo Profesores'!U18</f>
        <v>2520</v>
      </c>
      <c r="N11" s="257"/>
    </row>
    <row r="12" spans="1:14" ht="28.5">
      <c r="A12" s="264" t="s">
        <v>65</v>
      </c>
      <c r="B12" s="265">
        <f>'Costos Fijos Administrativos'!G17</f>
        <v>1436</v>
      </c>
      <c r="C12" s="265">
        <f>'Costos Fijos Administrativos'!G18</f>
        <v>1436</v>
      </c>
      <c r="D12" s="265">
        <f>'Costos Fijos Administrativos'!G19</f>
        <v>1436</v>
      </c>
      <c r="E12" s="265">
        <f>'Costos Fijos Administrativos'!G20</f>
        <v>1708.5</v>
      </c>
      <c r="F12" s="265">
        <f>'Costos Fijos Administrativos'!G21</f>
        <v>1436</v>
      </c>
      <c r="G12" s="265">
        <f>'Costos Fijos Administrativos'!G22</f>
        <v>1436</v>
      </c>
      <c r="H12" s="265">
        <f>'Costos Fijos Administrativos'!G23</f>
        <v>1436</v>
      </c>
      <c r="I12" s="265">
        <f>'Costos Fijos Administrativos'!G24</f>
        <v>1436</v>
      </c>
      <c r="J12" s="265">
        <f>'Costos Fijos Administrativos'!G25</f>
        <v>1436</v>
      </c>
      <c r="K12" s="265">
        <f>'Costos Fijos Administrativos'!G26</f>
        <v>1436</v>
      </c>
      <c r="L12" s="265">
        <f>'Costos Fijos Administrativos'!G27</f>
        <v>1436</v>
      </c>
      <c r="M12" s="265">
        <f>'Costos Fijos Administrativos'!G28</f>
        <v>2752.3333333333335</v>
      </c>
      <c r="N12" s="257"/>
    </row>
    <row r="13" spans="1:14" ht="15" thickBot="1">
      <c r="A13" s="266" t="s">
        <v>66</v>
      </c>
      <c r="B13" s="267">
        <f>'Otros Costos Fijos'!J20</f>
        <v>1345.8879999999999</v>
      </c>
      <c r="C13" s="256">
        <f>'Otros Costos Fijos'!J21</f>
        <v>1211.4880000000001</v>
      </c>
      <c r="D13" s="256">
        <f>C13</f>
        <v>1211.4880000000001</v>
      </c>
      <c r="E13" s="256">
        <f t="shared" ref="E13:M13" si="1">D13</f>
        <v>1211.4880000000001</v>
      </c>
      <c r="F13" s="256">
        <f t="shared" si="1"/>
        <v>1211.4880000000001</v>
      </c>
      <c r="G13" s="256">
        <f t="shared" si="1"/>
        <v>1211.4880000000001</v>
      </c>
      <c r="H13" s="256">
        <f t="shared" si="1"/>
        <v>1211.4880000000001</v>
      </c>
      <c r="I13" s="256">
        <f t="shared" si="1"/>
        <v>1211.4880000000001</v>
      </c>
      <c r="J13" s="256">
        <f t="shared" si="1"/>
        <v>1211.4880000000001</v>
      </c>
      <c r="K13" s="256">
        <f t="shared" si="1"/>
        <v>1211.4880000000001</v>
      </c>
      <c r="L13" s="256">
        <f t="shared" si="1"/>
        <v>1211.4880000000001</v>
      </c>
      <c r="M13" s="256">
        <f t="shared" si="1"/>
        <v>1211.4880000000001</v>
      </c>
      <c r="N13" s="257"/>
    </row>
    <row r="14" spans="1:14" ht="15.75" thickBot="1">
      <c r="A14" s="268" t="s">
        <v>67</v>
      </c>
      <c r="B14" s="269">
        <f t="shared" ref="B14:M14" si="2">SUM(B11:B13)</f>
        <v>2781.8879999999999</v>
      </c>
      <c r="C14" s="269">
        <f t="shared" si="2"/>
        <v>4267.4880000000003</v>
      </c>
      <c r="D14" s="269">
        <f t="shared" si="2"/>
        <v>3907.4880000000003</v>
      </c>
      <c r="E14" s="269">
        <f t="shared" si="2"/>
        <v>3639.9880000000003</v>
      </c>
      <c r="F14" s="269">
        <f t="shared" si="2"/>
        <v>3007.4880000000003</v>
      </c>
      <c r="G14" s="269">
        <f t="shared" si="2"/>
        <v>3007.4880000000003</v>
      </c>
      <c r="H14" s="269">
        <f t="shared" si="2"/>
        <v>5347.4880000000003</v>
      </c>
      <c r="I14" s="269">
        <f t="shared" si="2"/>
        <v>4447.4880000000003</v>
      </c>
      <c r="J14" s="269">
        <f t="shared" si="2"/>
        <v>3727.4880000000003</v>
      </c>
      <c r="K14" s="269">
        <f t="shared" si="2"/>
        <v>3007.4880000000003</v>
      </c>
      <c r="L14" s="269">
        <f t="shared" si="2"/>
        <v>6607.4880000000003</v>
      </c>
      <c r="M14" s="270">
        <f t="shared" si="2"/>
        <v>6483.8213333333342</v>
      </c>
      <c r="N14" s="261">
        <f>SUM(B14:M14)</f>
        <v>50233.089333333337</v>
      </c>
    </row>
    <row r="15" spans="1:14" ht="15.75" thickBot="1">
      <c r="A15" s="271" t="s">
        <v>68</v>
      </c>
      <c r="B15" s="272">
        <f>+B9-B14</f>
        <v>-2781.8879999999999</v>
      </c>
      <c r="C15" s="272">
        <f>+C9-C14</f>
        <v>-750.23248985673081</v>
      </c>
      <c r="D15" s="272">
        <f>+D9-D14</f>
        <v>-390.23248985673081</v>
      </c>
      <c r="E15" s="272">
        <f t="shared" ref="E15:M15" si="3">+E9-E14</f>
        <v>-122.73248985673081</v>
      </c>
      <c r="F15" s="272">
        <f t="shared" si="3"/>
        <v>-1807.4880000000003</v>
      </c>
      <c r="G15" s="272">
        <f>+G9-G14</f>
        <v>-1807.4880000000003</v>
      </c>
      <c r="H15" s="272">
        <f t="shared" si="3"/>
        <v>1418.0831689169072</v>
      </c>
      <c r="I15" s="272">
        <f t="shared" si="3"/>
        <v>2318.0831689169072</v>
      </c>
      <c r="J15" s="272">
        <f t="shared" si="3"/>
        <v>3038.0831689169072</v>
      </c>
      <c r="K15" s="272">
        <f t="shared" si="3"/>
        <v>-1807.4880000000003</v>
      </c>
      <c r="L15" s="272">
        <f>+L9-L14</f>
        <v>3408.4287020286547</v>
      </c>
      <c r="M15" s="272">
        <f t="shared" si="3"/>
        <v>3532.0953686953208</v>
      </c>
      <c r="N15" s="257"/>
    </row>
    <row r="16" spans="1:14" ht="15.75" thickBot="1">
      <c r="A16" s="268" t="s">
        <v>69</v>
      </c>
      <c r="B16" s="259">
        <f>B15</f>
        <v>-2781.8879999999999</v>
      </c>
      <c r="C16" s="259">
        <f t="shared" ref="C16:H16" si="4">B16+C15</f>
        <v>-3532.1204898567307</v>
      </c>
      <c r="D16" s="259">
        <f t="shared" si="4"/>
        <v>-3922.3529797134615</v>
      </c>
      <c r="E16" s="259">
        <f t="shared" si="4"/>
        <v>-4045.0854695701923</v>
      </c>
      <c r="F16" s="259">
        <f t="shared" si="4"/>
        <v>-5852.5734695701922</v>
      </c>
      <c r="G16" s="259">
        <f t="shared" si="4"/>
        <v>-7660.0614695701925</v>
      </c>
      <c r="H16" s="259">
        <f t="shared" si="4"/>
        <v>-6241.9783006532853</v>
      </c>
      <c r="I16" s="259">
        <f>H16+I15</f>
        <v>-3923.8951317363781</v>
      </c>
      <c r="J16" s="259">
        <f>I16+J15</f>
        <v>-885.81196281947086</v>
      </c>
      <c r="K16" s="259">
        <f>J16+K15</f>
        <v>-2693.2999628194711</v>
      </c>
      <c r="L16" s="259">
        <f>K16+L15</f>
        <v>715.12873920918355</v>
      </c>
      <c r="M16" s="260">
        <f>L16+M15</f>
        <v>4247.2241079045043</v>
      </c>
      <c r="N16" s="273"/>
    </row>
    <row r="17" spans="1:14"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5"/>
    </row>
    <row r="18" spans="1:14" ht="15">
      <c r="A18" s="276"/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</row>
  </sheetData>
  <mergeCells count="1">
    <mergeCell ref="A5:N6"/>
  </mergeCells>
  <phoneticPr fontId="1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1:N38"/>
  <sheetViews>
    <sheetView topLeftCell="A4" zoomScale="70" zoomScaleNormal="70" workbookViewId="0">
      <selection activeCell="D28" sqref="D28"/>
    </sheetView>
  </sheetViews>
  <sheetFormatPr baseColWidth="10" defaultRowHeight="14.25"/>
  <cols>
    <col min="1" max="1" width="11.42578125" style="30"/>
    <col min="2" max="2" width="44.7109375" style="30" bestFit="1" customWidth="1"/>
    <col min="3" max="3" width="17.85546875" style="30" bestFit="1" customWidth="1"/>
    <col min="4" max="5" width="11.5703125" style="30" bestFit="1" customWidth="1"/>
    <col min="6" max="6" width="11.85546875" style="30" bestFit="1" customWidth="1"/>
    <col min="7" max="8" width="11.5703125" style="30" bestFit="1" customWidth="1"/>
    <col min="9" max="16384" width="11.42578125" style="30"/>
  </cols>
  <sheetData>
    <row r="1" spans="2:8" ht="15" thickBot="1"/>
    <row r="2" spans="2:8">
      <c r="B2" s="688" t="s">
        <v>321</v>
      </c>
      <c r="C2" s="689"/>
      <c r="D2" s="689"/>
      <c r="E2" s="689"/>
      <c r="F2" s="689"/>
      <c r="G2" s="689"/>
      <c r="H2" s="690"/>
    </row>
    <row r="3" spans="2:8" ht="15" thickBot="1">
      <c r="B3" s="691"/>
      <c r="C3" s="692"/>
      <c r="D3" s="692"/>
      <c r="E3" s="692"/>
      <c r="F3" s="692"/>
      <c r="G3" s="692"/>
      <c r="H3" s="693"/>
    </row>
    <row r="4" spans="2:8" ht="15.75" thickBot="1">
      <c r="B4" s="147"/>
      <c r="C4" s="278"/>
      <c r="D4" s="279" t="s">
        <v>17</v>
      </c>
      <c r="E4" s="280" t="s">
        <v>18</v>
      </c>
      <c r="F4" s="279" t="s">
        <v>19</v>
      </c>
      <c r="G4" s="280" t="s">
        <v>20</v>
      </c>
      <c r="H4" s="281" t="s">
        <v>21</v>
      </c>
    </row>
    <row r="5" spans="2:8">
      <c r="B5" s="282" t="s">
        <v>107</v>
      </c>
      <c r="C5" s="283"/>
      <c r="D5" s="284"/>
      <c r="E5" s="283"/>
      <c r="F5" s="284"/>
      <c r="G5" s="283"/>
      <c r="H5" s="285"/>
    </row>
    <row r="6" spans="2:8" ht="15" thickBot="1">
      <c r="B6" s="207" t="s">
        <v>320</v>
      </c>
      <c r="C6" s="283"/>
      <c r="D6" s="284">
        <f>Ingresos!J69</f>
        <v>54480.313441237842</v>
      </c>
      <c r="E6" s="283">
        <f>Ingresos!J73</f>
        <v>65086.261077117662</v>
      </c>
      <c r="F6" s="284">
        <f>Ingresos!J77</f>
        <v>65860.957593297964</v>
      </c>
      <c r="G6" s="283">
        <f>Ingresos!J81</f>
        <v>66689.233173628716</v>
      </c>
      <c r="H6" s="285">
        <f>Ingresos!J85</f>
        <v>67528.50490574108</v>
      </c>
    </row>
    <row r="7" spans="2:8" ht="15.75" thickBot="1">
      <c r="B7" s="97" t="s">
        <v>108</v>
      </c>
      <c r="C7" s="286"/>
      <c r="D7" s="287">
        <f>SUM(D6:D6)</f>
        <v>54480.313441237842</v>
      </c>
      <c r="E7" s="286">
        <f>SUM(E6:E6)</f>
        <v>65086.261077117662</v>
      </c>
      <c r="F7" s="287">
        <f>SUM(F6:F6)</f>
        <v>65860.957593297964</v>
      </c>
      <c r="G7" s="286">
        <f>SUM(G6:G6)</f>
        <v>66689.233173628716</v>
      </c>
      <c r="H7" s="288">
        <f>SUM(H6:H6)</f>
        <v>67528.50490574108</v>
      </c>
    </row>
    <row r="8" spans="2:8">
      <c r="B8" s="207"/>
      <c r="C8" s="283"/>
      <c r="D8" s="284"/>
      <c r="E8" s="283"/>
      <c r="F8" s="284"/>
      <c r="G8" s="283"/>
      <c r="H8" s="285"/>
    </row>
    <row r="9" spans="2:8">
      <c r="B9" s="282" t="s">
        <v>109</v>
      </c>
      <c r="C9" s="283"/>
      <c r="D9" s="284"/>
      <c r="E9" s="283"/>
      <c r="F9" s="284"/>
      <c r="G9" s="283"/>
      <c r="H9" s="285"/>
    </row>
    <row r="10" spans="2:8">
      <c r="B10" s="207" t="s">
        <v>110</v>
      </c>
      <c r="C10" s="283"/>
      <c r="D10" s="284">
        <f>'Costos Fijos Administrativos'!B91</f>
        <v>18820.833333333332</v>
      </c>
      <c r="E10" s="283">
        <f>'Costos Fijos Administrativos'!C91</f>
        <v>19758</v>
      </c>
      <c r="F10" s="284">
        <f>'Costos Fijos Administrativos'!D91</f>
        <v>19758</v>
      </c>
      <c r="G10" s="283">
        <f>'Costos Fijos Administrativos'!E91</f>
        <v>19758</v>
      </c>
      <c r="H10" s="285">
        <f>'Costos Fijos Administrativos'!F91</f>
        <v>19758</v>
      </c>
    </row>
    <row r="11" spans="2:8">
      <c r="B11" s="207" t="s">
        <v>111</v>
      </c>
      <c r="C11" s="283"/>
      <c r="D11" s="284">
        <f>'Otros Costos Fijos'!$C$12</f>
        <v>4656</v>
      </c>
      <c r="E11" s="283">
        <f>'Otros Costos Fijos'!$C$12</f>
        <v>4656</v>
      </c>
      <c r="F11" s="284">
        <f>'Otros Costos Fijos'!$C$12</f>
        <v>4656</v>
      </c>
      <c r="G11" s="283">
        <f>'Otros Costos Fijos'!$C$12</f>
        <v>4656</v>
      </c>
      <c r="H11" s="285">
        <f>'Otros Costos Fijos'!$C$12</f>
        <v>4656</v>
      </c>
    </row>
    <row r="12" spans="2:8">
      <c r="B12" s="207" t="s">
        <v>317</v>
      </c>
      <c r="C12" s="283"/>
      <c r="D12" s="284">
        <f>'Otros Costos Fijos'!B96-D11</f>
        <v>10016.255999999998</v>
      </c>
      <c r="E12" s="283">
        <f>'Otros Costos Fijos'!C96-E11</f>
        <v>10016.255999999998</v>
      </c>
      <c r="F12" s="284">
        <f>'Otros Costos Fijos'!D96-F11</f>
        <v>10016.255999999998</v>
      </c>
      <c r="G12" s="283">
        <f>'Otros Costos Fijos'!E96-G11</f>
        <v>10016.255999999998</v>
      </c>
      <c r="H12" s="285">
        <f>'Otros Costos Fijos'!F96-H11</f>
        <v>10016.255999999998</v>
      </c>
    </row>
    <row r="13" spans="2:8">
      <c r="B13" s="207" t="s">
        <v>112</v>
      </c>
      <c r="C13" s="283"/>
      <c r="D13" s="284">
        <f>'Costos Variables'!C25</f>
        <v>16740</v>
      </c>
      <c r="E13" s="283">
        <f>'Costos Variables'!D25</f>
        <v>18540</v>
      </c>
      <c r="F13" s="284">
        <f>'Costos Variables'!E25</f>
        <v>18540</v>
      </c>
      <c r="G13" s="283">
        <f>'Costos Variables'!F25</f>
        <v>17820</v>
      </c>
      <c r="H13" s="285">
        <f>'Costos Variables'!G25</f>
        <v>17820</v>
      </c>
    </row>
    <row r="14" spans="2:8">
      <c r="B14" s="207" t="s">
        <v>318</v>
      </c>
      <c r="C14" s="283"/>
      <c r="D14" s="284">
        <f>Prestamo!B11</f>
        <v>623.58960000000002</v>
      </c>
      <c r="E14" s="283">
        <f>Prestamo!B12</f>
        <v>452.2737758241758</v>
      </c>
      <c r="F14" s="284">
        <f>Prestamo!B13</f>
        <v>246.69478681318674</v>
      </c>
      <c r="G14" s="283"/>
      <c r="H14" s="285"/>
    </row>
    <row r="15" spans="2:8" ht="15" thickBot="1">
      <c r="B15" s="207" t="s">
        <v>319</v>
      </c>
      <c r="C15" s="283"/>
      <c r="D15" s="284">
        <f>'Valor de desecho e I.I.'!F18</f>
        <v>963.98266666666677</v>
      </c>
      <c r="E15" s="283">
        <f>D15</f>
        <v>963.98266666666677</v>
      </c>
      <c r="F15" s="284">
        <f>E15</f>
        <v>963.98266666666677</v>
      </c>
      <c r="G15" s="283">
        <f>F15</f>
        <v>963.98266666666677</v>
      </c>
      <c r="H15" s="285">
        <f>G15</f>
        <v>963.98266666666677</v>
      </c>
    </row>
    <row r="16" spans="2:8" ht="15.75" thickBot="1">
      <c r="B16" s="97" t="s">
        <v>113</v>
      </c>
      <c r="C16" s="286"/>
      <c r="D16" s="287">
        <f>SUM(D10:D15)</f>
        <v>51820.661599999992</v>
      </c>
      <c r="E16" s="286">
        <f>SUM(E10:E15)</f>
        <v>54386.512442490843</v>
      </c>
      <c r="F16" s="287">
        <f>SUM(F10:F15)</f>
        <v>54180.933453479855</v>
      </c>
      <c r="G16" s="286">
        <f>SUM(G10:G15)</f>
        <v>53214.238666666657</v>
      </c>
      <c r="H16" s="288">
        <f>SUM(H10:H15)</f>
        <v>53214.238666666657</v>
      </c>
    </row>
    <row r="17" spans="2:14" ht="15">
      <c r="B17" s="289" t="s">
        <v>282</v>
      </c>
      <c r="C17" s="283"/>
      <c r="D17" s="284">
        <f>D7-D16</f>
        <v>2659.65184123785</v>
      </c>
      <c r="E17" s="283">
        <f>E7-E16</f>
        <v>10699.74863462682</v>
      </c>
      <c r="F17" s="284">
        <f>F7-F16</f>
        <v>11680.02413981811</v>
      </c>
      <c r="G17" s="283">
        <f>G7-G16</f>
        <v>13474.994506962059</v>
      </c>
      <c r="H17" s="285">
        <f>H7-H16</f>
        <v>14314.266239074423</v>
      </c>
    </row>
    <row r="18" spans="2:14">
      <c r="B18" s="207" t="s">
        <v>329</v>
      </c>
      <c r="C18" s="283"/>
      <c r="D18" s="284">
        <f>0.15*D17</f>
        <v>398.94777618567747</v>
      </c>
      <c r="E18" s="283">
        <f>0.15*E17</f>
        <v>1604.962295194023</v>
      </c>
      <c r="F18" s="284">
        <f>0.15*F17</f>
        <v>1752.0036209727164</v>
      </c>
      <c r="G18" s="283">
        <f>0.15*G17</f>
        <v>2021.2491760443088</v>
      </c>
      <c r="H18" s="285">
        <f>0.15*H17</f>
        <v>2147.1399358611634</v>
      </c>
      <c r="N18" s="290"/>
    </row>
    <row r="19" spans="2:14" ht="15" thickBot="1">
      <c r="B19" s="207" t="s">
        <v>330</v>
      </c>
      <c r="C19" s="283"/>
      <c r="D19" s="284">
        <f>(D17-D18)*0.25</f>
        <v>565.17601626304315</v>
      </c>
      <c r="E19" s="283">
        <f>(E17-E18)*0.25</f>
        <v>2273.696584858199</v>
      </c>
      <c r="F19" s="284">
        <f>(F17-F18)*0.25</f>
        <v>2482.0051297113482</v>
      </c>
      <c r="G19" s="283">
        <f>(G17-G18)*0.25</f>
        <v>2863.4363327294377</v>
      </c>
      <c r="H19" s="285">
        <f>(H17-H18)*0.25</f>
        <v>3041.7815758033148</v>
      </c>
      <c r="N19" s="290"/>
    </row>
    <row r="20" spans="2:14" ht="15.75" thickBot="1">
      <c r="B20" s="97" t="s">
        <v>114</v>
      </c>
      <c r="C20" s="286"/>
      <c r="D20" s="287">
        <f>D17-D18-D19</f>
        <v>1695.5280487891296</v>
      </c>
      <c r="E20" s="286">
        <f>E17-E18-E19</f>
        <v>6821.0897545745975</v>
      </c>
      <c r="F20" s="287">
        <f>F17-F18-F19</f>
        <v>7446.0153891340451</v>
      </c>
      <c r="G20" s="286">
        <f>G17-G18-G19</f>
        <v>8590.3089981883131</v>
      </c>
      <c r="H20" s="288">
        <f>H17-H18-H19</f>
        <v>9125.3447274099453</v>
      </c>
    </row>
    <row r="21" spans="2:14">
      <c r="B21" s="207" t="s">
        <v>115</v>
      </c>
      <c r="C21" s="283"/>
      <c r="D21" s="284">
        <f>D15</f>
        <v>963.98266666666677</v>
      </c>
      <c r="E21" s="283">
        <f>E15</f>
        <v>963.98266666666677</v>
      </c>
      <c r="F21" s="284">
        <f>F15</f>
        <v>963.98266666666677</v>
      </c>
      <c r="G21" s="283">
        <f>G15</f>
        <v>963.98266666666677</v>
      </c>
      <c r="H21" s="285">
        <f>H15</f>
        <v>963.98266666666677</v>
      </c>
    </row>
    <row r="22" spans="2:14">
      <c r="B22" s="207" t="s">
        <v>116</v>
      </c>
      <c r="C22" s="283"/>
      <c r="D22" s="284">
        <f>-Prestamo!C11</f>
        <v>-856.57912087912086</v>
      </c>
      <c r="E22" s="283">
        <f>-Prestamo!C12</f>
        <v>-1027.8949450549451</v>
      </c>
      <c r="F22" s="284">
        <f>-Prestamo!C13</f>
        <v>-1233.4739340659341</v>
      </c>
      <c r="G22" s="283"/>
      <c r="H22" s="285"/>
    </row>
    <row r="23" spans="2:14">
      <c r="B23" s="207" t="s">
        <v>331</v>
      </c>
      <c r="C23" s="283"/>
      <c r="D23" s="284"/>
      <c r="E23" s="283"/>
      <c r="F23" s="284">
        <v>-530</v>
      </c>
      <c r="G23" s="283"/>
      <c r="H23" s="285"/>
    </row>
    <row r="24" spans="2:14">
      <c r="B24" s="207" t="s">
        <v>106</v>
      </c>
      <c r="C24" s="283">
        <f>-'Valor de desecho e I.I.'!B23</f>
        <v>-10393.16</v>
      </c>
      <c r="D24" s="284"/>
      <c r="E24" s="283"/>
      <c r="F24" s="284"/>
      <c r="G24" s="283"/>
      <c r="H24" s="285"/>
    </row>
    <row r="25" spans="2:14">
      <c r="B25" s="207" t="s">
        <v>117</v>
      </c>
      <c r="C25" s="283">
        <f>'Capital de Trabajo'!G16</f>
        <v>-7660.0614695701925</v>
      </c>
      <c r="D25" s="284"/>
      <c r="E25" s="283"/>
      <c r="F25" s="284"/>
      <c r="G25" s="283"/>
      <c r="H25" s="285">
        <f>-C25</f>
        <v>7660.0614695701925</v>
      </c>
    </row>
    <row r="26" spans="2:14">
      <c r="B26" s="207" t="s">
        <v>118</v>
      </c>
      <c r="C26" s="283">
        <f>Prestamo!D4</f>
        <v>3117.9479999999999</v>
      </c>
      <c r="D26" s="284"/>
      <c r="E26" s="283"/>
      <c r="F26" s="284"/>
      <c r="G26" s="283"/>
      <c r="H26" s="285"/>
    </row>
    <row r="27" spans="2:14">
      <c r="B27" s="207" t="s">
        <v>119</v>
      </c>
      <c r="C27" s="283"/>
      <c r="D27" s="284"/>
      <c r="E27" s="283"/>
      <c r="F27" s="284"/>
      <c r="G27" s="283"/>
      <c r="H27" s="285">
        <f>'[1]VALOR DE DESECHO E II'!H16</f>
        <v>0</v>
      </c>
    </row>
    <row r="28" spans="2:14" ht="15.75" thickBot="1">
      <c r="B28" s="151" t="s">
        <v>120</v>
      </c>
      <c r="C28" s="291">
        <f>SUM(C24:C27)</f>
        <v>-14935.273469570191</v>
      </c>
      <c r="D28" s="292">
        <f>SUM(D20:D26)</f>
        <v>1802.9315945766755</v>
      </c>
      <c r="E28" s="291">
        <f>SUM(E20:E26)</f>
        <v>6757.1774761863189</v>
      </c>
      <c r="F28" s="292">
        <f>SUM(F20:F26)</f>
        <v>6646.5241217347775</v>
      </c>
      <c r="G28" s="291">
        <f>SUM(G20:G26)</f>
        <v>9554.2916648549799</v>
      </c>
      <c r="H28" s="293">
        <f>SUM(H20:H26)</f>
        <v>17749.388863646804</v>
      </c>
    </row>
    <row r="29" spans="2:14" ht="15" thickBot="1">
      <c r="E29" s="45"/>
    </row>
    <row r="30" spans="2:14" ht="15.75" thickBot="1">
      <c r="B30" s="97" t="s">
        <v>121</v>
      </c>
      <c r="C30" s="294">
        <f>'Determinación del tamaño'!E146</f>
        <v>0.23096857142857141</v>
      </c>
      <c r="E30" s="45"/>
    </row>
    <row r="31" spans="2:14" ht="15.75" thickBot="1">
      <c r="B31" s="87" t="s">
        <v>122</v>
      </c>
      <c r="C31" s="295">
        <f>IRR(C28:H28)</f>
        <v>0.34019863480344958</v>
      </c>
      <c r="E31" s="45"/>
    </row>
    <row r="32" spans="2:14" ht="15.75" thickBot="1">
      <c r="B32" s="97" t="s">
        <v>325</v>
      </c>
      <c r="C32" s="286">
        <f>NPV($C$30,$D$28:$H$28)+$C$28</f>
        <v>4992.994041152655</v>
      </c>
      <c r="E32" s="45"/>
    </row>
    <row r="33" spans="2:5" ht="15">
      <c r="B33" s="66"/>
      <c r="E33" s="45"/>
    </row>
    <row r="34" spans="2:5" ht="15">
      <c r="B34" s="66"/>
    </row>
    <row r="35" spans="2:5" ht="15">
      <c r="B35" s="66"/>
    </row>
    <row r="36" spans="2:5" ht="15">
      <c r="B36" s="66"/>
    </row>
    <row r="37" spans="2:5" ht="15">
      <c r="B37" s="66"/>
    </row>
    <row r="38" spans="2:5">
      <c r="B38" s="30" t="s">
        <v>123</v>
      </c>
    </row>
  </sheetData>
  <mergeCells count="1">
    <mergeCell ref="B2:H3"/>
  </mergeCells>
  <phoneticPr fontId="13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H23"/>
  <sheetViews>
    <sheetView workbookViewId="0">
      <selection activeCell="D20" sqref="D20"/>
    </sheetView>
  </sheetViews>
  <sheetFormatPr baseColWidth="10" defaultColWidth="17.28515625" defaultRowHeight="14.25"/>
  <cols>
    <col min="1" max="1" width="45" style="30" bestFit="1" customWidth="1"/>
    <col min="2" max="2" width="12.7109375" style="30" bestFit="1" customWidth="1"/>
    <col min="3" max="3" width="15.5703125" style="30" bestFit="1" customWidth="1"/>
    <col min="4" max="4" width="12.7109375" style="30" bestFit="1" customWidth="1"/>
    <col min="5" max="5" width="15" style="30" bestFit="1" customWidth="1"/>
    <col min="6" max="6" width="14.42578125" style="30" bestFit="1" customWidth="1"/>
    <col min="7" max="7" width="19.5703125" style="30" bestFit="1" customWidth="1"/>
    <col min="8" max="8" width="10" style="30" bestFit="1" customWidth="1"/>
    <col min="9" max="16384" width="17.28515625" style="30"/>
  </cols>
  <sheetData>
    <row r="2" spans="1:8" ht="15" thickBot="1"/>
    <row r="3" spans="1:8" ht="15.75" thickBot="1">
      <c r="A3" s="694" t="s">
        <v>124</v>
      </c>
      <c r="B3" s="695"/>
      <c r="C3" s="695"/>
      <c r="D3" s="695"/>
      <c r="E3" s="695"/>
      <c r="F3" s="696"/>
      <c r="G3" s="696"/>
      <c r="H3" s="697"/>
    </row>
    <row r="4" spans="1:8" ht="30">
      <c r="A4" s="296" t="s">
        <v>125</v>
      </c>
      <c r="B4" s="297" t="s">
        <v>126</v>
      </c>
      <c r="C4" s="297" t="s">
        <v>127</v>
      </c>
      <c r="D4" s="297" t="s">
        <v>128</v>
      </c>
      <c r="E4" s="297" t="s">
        <v>129</v>
      </c>
      <c r="F4" s="298" t="s">
        <v>130</v>
      </c>
      <c r="G4" s="298" t="s">
        <v>131</v>
      </c>
      <c r="H4" s="299" t="s">
        <v>132</v>
      </c>
    </row>
    <row r="5" spans="1:8">
      <c r="A5" s="300" t="s">
        <v>133</v>
      </c>
      <c r="B5" s="301">
        <v>2</v>
      </c>
      <c r="C5" s="302">
        <v>155</v>
      </c>
      <c r="D5" s="302">
        <f>+C5*B5</f>
        <v>310</v>
      </c>
      <c r="E5" s="301">
        <v>10</v>
      </c>
      <c r="F5" s="303">
        <f>D5/E5</f>
        <v>31</v>
      </c>
      <c r="G5" s="303">
        <f>F5*E5</f>
        <v>310</v>
      </c>
      <c r="H5" s="304">
        <f>+D5-G5</f>
        <v>0</v>
      </c>
    </row>
    <row r="6" spans="1:8">
      <c r="A6" s="300" t="s">
        <v>134</v>
      </c>
      <c r="B6" s="305">
        <v>1</v>
      </c>
      <c r="C6" s="305">
        <v>238</v>
      </c>
      <c r="D6" s="305">
        <f t="shared" ref="D6:D17" si="0">+C6*B6</f>
        <v>238</v>
      </c>
      <c r="E6" s="306">
        <v>10</v>
      </c>
      <c r="F6" s="307">
        <f t="shared" ref="F6:F17" si="1">D6/E6</f>
        <v>23.8</v>
      </c>
      <c r="G6" s="307">
        <f t="shared" ref="G6:G17" si="2">F6*E6</f>
        <v>238</v>
      </c>
      <c r="H6" s="308">
        <f t="shared" ref="H6:H17" si="3">+D6-G6</f>
        <v>0</v>
      </c>
    </row>
    <row r="7" spans="1:8">
      <c r="A7" s="300" t="s">
        <v>135</v>
      </c>
      <c r="B7" s="305">
        <v>1</v>
      </c>
      <c r="C7" s="305">
        <v>110</v>
      </c>
      <c r="D7" s="305">
        <f t="shared" si="0"/>
        <v>110</v>
      </c>
      <c r="E7" s="306">
        <v>10</v>
      </c>
      <c r="F7" s="307">
        <f t="shared" si="1"/>
        <v>11</v>
      </c>
      <c r="G7" s="307">
        <f t="shared" si="2"/>
        <v>110</v>
      </c>
      <c r="H7" s="308">
        <f t="shared" si="3"/>
        <v>0</v>
      </c>
    </row>
    <row r="8" spans="1:8">
      <c r="A8" s="300" t="s">
        <v>136</v>
      </c>
      <c r="B8" s="305">
        <v>1</v>
      </c>
      <c r="C8" s="305">
        <f>530</f>
        <v>530</v>
      </c>
      <c r="D8" s="305">
        <f t="shared" si="0"/>
        <v>530</v>
      </c>
      <c r="E8" s="306">
        <v>3</v>
      </c>
      <c r="F8" s="307">
        <f t="shared" si="1"/>
        <v>176.66666666666666</v>
      </c>
      <c r="G8" s="307">
        <f t="shared" si="2"/>
        <v>530</v>
      </c>
      <c r="H8" s="308">
        <f t="shared" si="3"/>
        <v>0</v>
      </c>
    </row>
    <row r="9" spans="1:8">
      <c r="A9" s="300" t="s">
        <v>137</v>
      </c>
      <c r="B9" s="305">
        <v>6</v>
      </c>
      <c r="C9" s="309">
        <v>180.4</v>
      </c>
      <c r="D9" s="305">
        <f>+C9*B9</f>
        <v>1082.4000000000001</v>
      </c>
      <c r="E9" s="306">
        <v>10</v>
      </c>
      <c r="F9" s="307">
        <f t="shared" si="1"/>
        <v>108.24000000000001</v>
      </c>
      <c r="G9" s="307">
        <f t="shared" si="2"/>
        <v>1082.4000000000001</v>
      </c>
      <c r="H9" s="308">
        <f t="shared" si="3"/>
        <v>0</v>
      </c>
    </row>
    <row r="10" spans="1:8">
      <c r="A10" s="300" t="s">
        <v>138</v>
      </c>
      <c r="B10" s="305">
        <v>7</v>
      </c>
      <c r="C10" s="305">
        <v>85</v>
      </c>
      <c r="D10" s="305">
        <f t="shared" si="0"/>
        <v>595</v>
      </c>
      <c r="E10" s="306">
        <v>10</v>
      </c>
      <c r="F10" s="307">
        <f t="shared" si="1"/>
        <v>59.5</v>
      </c>
      <c r="G10" s="307">
        <f t="shared" si="2"/>
        <v>595</v>
      </c>
      <c r="H10" s="308">
        <f t="shared" si="3"/>
        <v>0</v>
      </c>
    </row>
    <row r="11" spans="1:8">
      <c r="A11" s="300" t="s">
        <v>139</v>
      </c>
      <c r="B11" s="305">
        <v>5</v>
      </c>
      <c r="C11" s="305">
        <v>45</v>
      </c>
      <c r="D11" s="305">
        <f t="shared" si="0"/>
        <v>225</v>
      </c>
      <c r="E11" s="306">
        <v>10</v>
      </c>
      <c r="F11" s="307">
        <f t="shared" si="1"/>
        <v>22.5</v>
      </c>
      <c r="G11" s="307">
        <f t="shared" si="2"/>
        <v>225</v>
      </c>
      <c r="H11" s="308">
        <f t="shared" si="3"/>
        <v>0</v>
      </c>
    </row>
    <row r="12" spans="1:8">
      <c r="A12" s="300" t="s">
        <v>140</v>
      </c>
      <c r="B12" s="305">
        <v>100</v>
      </c>
      <c r="C12" s="305">
        <v>35</v>
      </c>
      <c r="D12" s="305">
        <f t="shared" si="0"/>
        <v>3500</v>
      </c>
      <c r="E12" s="306">
        <v>10</v>
      </c>
      <c r="F12" s="307">
        <f t="shared" si="1"/>
        <v>350</v>
      </c>
      <c r="G12" s="307">
        <f t="shared" si="2"/>
        <v>3500</v>
      </c>
      <c r="H12" s="308">
        <f t="shared" si="3"/>
        <v>0</v>
      </c>
    </row>
    <row r="13" spans="1:8">
      <c r="A13" s="300" t="s">
        <v>141</v>
      </c>
      <c r="B13" s="305">
        <v>1</v>
      </c>
      <c r="C13" s="305">
        <v>90</v>
      </c>
      <c r="D13" s="305">
        <f t="shared" si="0"/>
        <v>90</v>
      </c>
      <c r="E13" s="306">
        <v>10</v>
      </c>
      <c r="F13" s="307">
        <f t="shared" si="1"/>
        <v>9</v>
      </c>
      <c r="G13" s="307">
        <f t="shared" si="2"/>
        <v>90</v>
      </c>
      <c r="H13" s="308">
        <f t="shared" si="3"/>
        <v>0</v>
      </c>
    </row>
    <row r="14" spans="1:8">
      <c r="A14" s="300" t="s">
        <v>142</v>
      </c>
      <c r="B14" s="305">
        <v>1</v>
      </c>
      <c r="C14" s="305">
        <v>1500</v>
      </c>
      <c r="D14" s="305">
        <f t="shared" si="0"/>
        <v>1500</v>
      </c>
      <c r="E14" s="306">
        <v>10</v>
      </c>
      <c r="F14" s="307">
        <f t="shared" si="1"/>
        <v>150</v>
      </c>
      <c r="G14" s="307">
        <f t="shared" si="2"/>
        <v>1500</v>
      </c>
      <c r="H14" s="308">
        <f t="shared" si="3"/>
        <v>0</v>
      </c>
    </row>
    <row r="15" spans="1:8">
      <c r="A15" s="300" t="s">
        <v>143</v>
      </c>
      <c r="B15" s="305">
        <v>2</v>
      </c>
      <c r="C15" s="309">
        <v>18.38</v>
      </c>
      <c r="D15" s="305">
        <f t="shared" si="0"/>
        <v>36.76</v>
      </c>
      <c r="E15" s="306">
        <v>10</v>
      </c>
      <c r="F15" s="307">
        <f t="shared" si="1"/>
        <v>3.6759999999999997</v>
      </c>
      <c r="G15" s="307">
        <f t="shared" si="2"/>
        <v>36.76</v>
      </c>
      <c r="H15" s="308">
        <f t="shared" si="3"/>
        <v>0</v>
      </c>
    </row>
    <row r="16" spans="1:8">
      <c r="A16" s="310" t="s">
        <v>313</v>
      </c>
      <c r="B16" s="311">
        <v>2</v>
      </c>
      <c r="C16" s="312">
        <v>18</v>
      </c>
      <c r="D16" s="311">
        <f t="shared" si="0"/>
        <v>36</v>
      </c>
      <c r="E16" s="313">
        <v>10</v>
      </c>
      <c r="F16" s="314">
        <f t="shared" si="1"/>
        <v>3.6</v>
      </c>
      <c r="G16" s="314">
        <f t="shared" si="2"/>
        <v>36</v>
      </c>
      <c r="H16" s="315">
        <f t="shared" si="3"/>
        <v>0</v>
      </c>
    </row>
    <row r="17" spans="1:8" ht="15" thickBot="1">
      <c r="A17" s="310" t="s">
        <v>144</v>
      </c>
      <c r="B17" s="311">
        <v>6</v>
      </c>
      <c r="C17" s="311">
        <v>25</v>
      </c>
      <c r="D17" s="311">
        <f t="shared" si="0"/>
        <v>150</v>
      </c>
      <c r="E17" s="313">
        <v>10</v>
      </c>
      <c r="F17" s="314">
        <f t="shared" si="1"/>
        <v>15</v>
      </c>
      <c r="G17" s="314">
        <f t="shared" si="2"/>
        <v>150</v>
      </c>
      <c r="H17" s="315">
        <f t="shared" si="3"/>
        <v>0</v>
      </c>
    </row>
    <row r="18" spans="1:8" ht="15.75" thickBot="1">
      <c r="A18" s="698" t="s">
        <v>145</v>
      </c>
      <c r="B18" s="699"/>
      <c r="C18" s="699"/>
      <c r="D18" s="699"/>
      <c r="E18" s="700"/>
      <c r="F18" s="316">
        <f>SUM(F5:F17)</f>
        <v>963.98266666666677</v>
      </c>
      <c r="G18" s="317" t="s">
        <v>146</v>
      </c>
      <c r="H18" s="318">
        <f>+SUM(H5:H17)</f>
        <v>0</v>
      </c>
    </row>
    <row r="19" spans="1:8" ht="15" thickBot="1"/>
    <row r="20" spans="1:8" ht="15" thickBot="1">
      <c r="A20" s="319" t="s">
        <v>314</v>
      </c>
      <c r="B20" s="320">
        <f>SUM(D5:D17)</f>
        <v>8403.16</v>
      </c>
      <c r="D20" s="321"/>
    </row>
    <row r="21" spans="1:8" ht="15" thickBot="1">
      <c r="A21" s="322" t="s">
        <v>312</v>
      </c>
      <c r="B21" s="182">
        <v>990</v>
      </c>
    </row>
    <row r="22" spans="1:8" ht="15" thickBot="1">
      <c r="A22" s="319" t="s">
        <v>147</v>
      </c>
      <c r="B22" s="323">
        <v>1000</v>
      </c>
      <c r="C22" s="324" t="s">
        <v>316</v>
      </c>
    </row>
    <row r="23" spans="1:8" ht="15.75" thickBot="1">
      <c r="A23" s="325" t="s">
        <v>311</v>
      </c>
      <c r="B23" s="326">
        <f>SUM(B20:B22)</f>
        <v>10393.16</v>
      </c>
    </row>
  </sheetData>
  <mergeCells count="2">
    <mergeCell ref="A3:H3"/>
    <mergeCell ref="A18:E18"/>
  </mergeCells>
  <phoneticPr fontId="1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55"/>
  <sheetViews>
    <sheetView zoomScale="90" workbookViewId="0">
      <selection activeCell="E13" sqref="E13"/>
    </sheetView>
  </sheetViews>
  <sheetFormatPr baseColWidth="10" defaultRowHeight="15"/>
  <cols>
    <col min="1" max="1" width="11.42578125" style="328"/>
    <col min="2" max="2" width="20.5703125" style="328" customWidth="1"/>
    <col min="3" max="3" width="15.140625" style="328" customWidth="1"/>
    <col min="4" max="7" width="11.42578125" style="328"/>
    <col min="8" max="8" width="16.28515625" style="327" customWidth="1"/>
    <col min="9" max="16384" width="11.42578125" style="328"/>
  </cols>
  <sheetData>
    <row r="1" spans="1:10">
      <c r="A1" s="718"/>
      <c r="B1" s="719"/>
      <c r="C1" s="719"/>
      <c r="D1" s="719"/>
      <c r="E1" s="719"/>
      <c r="F1" s="719"/>
      <c r="G1" s="720"/>
    </row>
    <row r="2" spans="1:10">
      <c r="A2" s="721" t="s">
        <v>148</v>
      </c>
      <c r="B2" s="678"/>
      <c r="C2" s="678"/>
      <c r="D2" s="678"/>
      <c r="E2" s="678"/>
      <c r="F2" s="678"/>
      <c r="G2" s="722"/>
      <c r="J2" s="329"/>
    </row>
    <row r="3" spans="1:10">
      <c r="A3" s="330" t="s">
        <v>309</v>
      </c>
      <c r="B3" s="331"/>
      <c r="C3" s="332"/>
      <c r="D3" s="332" t="s">
        <v>149</v>
      </c>
      <c r="E3" s="332"/>
      <c r="F3" s="332"/>
      <c r="G3" s="333"/>
    </row>
    <row r="4" spans="1:10">
      <c r="A4" s="334" t="s">
        <v>150</v>
      </c>
      <c r="B4" s="335"/>
      <c r="C4" s="335"/>
      <c r="D4" s="336">
        <f>0.3*'Valor de desecho e I.I.'!B23</f>
        <v>3117.9479999999999</v>
      </c>
      <c r="E4" s="332"/>
      <c r="F4" s="332"/>
      <c r="G4" s="333"/>
    </row>
    <row r="5" spans="1:10">
      <c r="A5" s="334" t="s">
        <v>151</v>
      </c>
      <c r="B5" s="335"/>
      <c r="C5" s="335"/>
      <c r="D5" s="332">
        <v>3</v>
      </c>
      <c r="E5" s="332"/>
      <c r="F5" s="332"/>
      <c r="G5" s="333"/>
    </row>
    <row r="6" spans="1:10">
      <c r="A6" s="334" t="s">
        <v>152</v>
      </c>
      <c r="B6" s="335"/>
      <c r="C6" s="335"/>
      <c r="D6" s="337">
        <f>-PMT(D8,3,D4)</f>
        <v>1480.1687208791209</v>
      </c>
      <c r="E6" s="332"/>
      <c r="F6" s="332"/>
      <c r="G6" s="333"/>
    </row>
    <row r="7" spans="1:10">
      <c r="A7" s="334" t="s">
        <v>153</v>
      </c>
      <c r="B7" s="335"/>
      <c r="C7" s="335"/>
      <c r="D7" s="332">
        <v>0</v>
      </c>
      <c r="E7" s="332"/>
      <c r="F7" s="332"/>
      <c r="G7" s="333"/>
    </row>
    <row r="8" spans="1:10" ht="15.75" thickBot="1">
      <c r="A8" s="338" t="s">
        <v>154</v>
      </c>
      <c r="B8" s="339"/>
      <c r="C8" s="339"/>
      <c r="D8" s="340">
        <v>0.2</v>
      </c>
      <c r="E8" s="341"/>
      <c r="F8" s="341"/>
      <c r="G8" s="342"/>
    </row>
    <row r="10" spans="1:10">
      <c r="A10" s="343" t="s">
        <v>155</v>
      </c>
      <c r="B10" s="343" t="s">
        <v>154</v>
      </c>
      <c r="C10" s="343" t="s">
        <v>156</v>
      </c>
      <c r="D10" s="343" t="s">
        <v>157</v>
      </c>
      <c r="E10" s="343" t="s">
        <v>158</v>
      </c>
      <c r="F10" s="327"/>
      <c r="G10" s="327"/>
      <c r="I10" s="327"/>
    </row>
    <row r="11" spans="1:10">
      <c r="A11" s="344">
        <v>1</v>
      </c>
      <c r="B11" s="345">
        <f>D4*D8</f>
        <v>623.58960000000002</v>
      </c>
      <c r="C11" s="346">
        <f>D11-B11</f>
        <v>856.57912087912086</v>
      </c>
      <c r="D11" s="347">
        <f>$D$6</f>
        <v>1480.1687208791209</v>
      </c>
      <c r="E11" s="348">
        <f>D4-C11</f>
        <v>2261.3688791208788</v>
      </c>
      <c r="F11" s="327"/>
      <c r="G11" s="349"/>
      <c r="H11" s="349"/>
      <c r="I11" s="349"/>
    </row>
    <row r="12" spans="1:10">
      <c r="A12" s="344">
        <v>2</v>
      </c>
      <c r="B12" s="345">
        <f>E11*D8</f>
        <v>452.2737758241758</v>
      </c>
      <c r="C12" s="346">
        <f>D12-B12</f>
        <v>1027.8949450549451</v>
      </c>
      <c r="D12" s="347">
        <f>$D$6</f>
        <v>1480.1687208791209</v>
      </c>
      <c r="E12" s="348">
        <f>E11-C12</f>
        <v>1233.4739340659337</v>
      </c>
      <c r="F12" s="327"/>
      <c r="G12" s="350"/>
      <c r="H12" s="350"/>
      <c r="I12" s="350"/>
    </row>
    <row r="13" spans="1:10">
      <c r="A13" s="344">
        <v>3</v>
      </c>
      <c r="B13" s="345">
        <f>E12*D8</f>
        <v>246.69478681318674</v>
      </c>
      <c r="C13" s="346">
        <f>D13-B13</f>
        <v>1233.4739340659341</v>
      </c>
      <c r="D13" s="347">
        <f>$D$6</f>
        <v>1480.1687208791209</v>
      </c>
      <c r="E13" s="348">
        <f>E12-C13</f>
        <v>0</v>
      </c>
      <c r="F13" s="327"/>
      <c r="H13" s="328"/>
    </row>
    <row r="14" spans="1:10">
      <c r="A14" s="351"/>
      <c r="B14" s="349"/>
      <c r="C14" s="352"/>
      <c r="D14" s="349"/>
      <c r="E14" s="350"/>
      <c r="F14" s="353"/>
      <c r="G14" s="354"/>
    </row>
    <row r="15" spans="1:10">
      <c r="A15" s="351"/>
      <c r="C15" s="352"/>
      <c r="D15" s="349"/>
      <c r="E15" s="350"/>
      <c r="F15" s="353"/>
      <c r="G15" s="354"/>
    </row>
    <row r="16" spans="1:10">
      <c r="A16" s="351"/>
      <c r="C16" s="352"/>
      <c r="D16" s="349"/>
      <c r="E16" s="350"/>
      <c r="F16" s="353"/>
      <c r="G16" s="354"/>
    </row>
    <row r="17" spans="1:17">
      <c r="A17" s="351"/>
      <c r="C17" s="352"/>
      <c r="D17" s="349"/>
      <c r="E17" s="350"/>
      <c r="F17" s="353"/>
      <c r="G17" s="354"/>
    </row>
    <row r="18" spans="1:17">
      <c r="A18" s="351"/>
      <c r="C18" s="352"/>
      <c r="D18" s="349"/>
      <c r="E18" s="350"/>
      <c r="F18" s="353"/>
      <c r="G18" s="354"/>
    </row>
    <row r="19" spans="1:17">
      <c r="A19" s="351"/>
      <c r="C19" s="352"/>
      <c r="D19" s="349"/>
      <c r="E19" s="350"/>
      <c r="F19" s="353"/>
      <c r="G19" s="354"/>
    </row>
    <row r="20" spans="1:17">
      <c r="A20" s="351"/>
      <c r="C20" s="352"/>
      <c r="D20" s="349"/>
      <c r="E20" s="350"/>
      <c r="F20" s="353"/>
      <c r="G20" s="354"/>
    </row>
    <row r="21" spans="1:17">
      <c r="A21" s="351"/>
      <c r="C21" s="352"/>
      <c r="D21" s="349"/>
      <c r="E21" s="350"/>
      <c r="F21" s="353"/>
      <c r="G21" s="354"/>
    </row>
    <row r="22" spans="1:17">
      <c r="A22" s="351"/>
      <c r="C22" s="352"/>
      <c r="D22" s="349"/>
      <c r="E22" s="350"/>
      <c r="F22" s="353"/>
      <c r="G22" s="354"/>
    </row>
    <row r="23" spans="1:17">
      <c r="A23" s="351"/>
      <c r="C23" s="352"/>
      <c r="D23" s="349"/>
      <c r="E23" s="350"/>
      <c r="F23" s="353"/>
      <c r="G23" s="354"/>
    </row>
    <row r="24" spans="1:17">
      <c r="A24" s="351"/>
      <c r="C24" s="352"/>
      <c r="D24" s="349"/>
      <c r="E24" s="350"/>
      <c r="F24" s="353"/>
      <c r="G24" s="354"/>
    </row>
    <row r="25" spans="1:17">
      <c r="A25" s="351"/>
      <c r="C25" s="352"/>
      <c r="D25" s="349"/>
      <c r="E25" s="350"/>
      <c r="F25" s="353"/>
      <c r="G25" s="354"/>
    </row>
    <row r="26" spans="1:17">
      <c r="A26" s="351"/>
      <c r="C26" s="352"/>
      <c r="D26" s="349"/>
      <c r="E26" s="350"/>
      <c r="F26" s="353"/>
      <c r="G26" s="354"/>
    </row>
    <row r="27" spans="1:17">
      <c r="A27" s="351"/>
      <c r="C27" s="352"/>
      <c r="D27" s="349"/>
      <c r="E27" s="350"/>
      <c r="F27" s="353"/>
      <c r="G27" s="354"/>
    </row>
    <row r="28" spans="1:17">
      <c r="A28" s="351"/>
      <c r="C28" s="352"/>
      <c r="D28" s="349"/>
      <c r="E28" s="350"/>
      <c r="F28" s="353"/>
      <c r="G28" s="354"/>
    </row>
    <row r="29" spans="1:17">
      <c r="H29" s="328"/>
    </row>
    <row r="30" spans="1:17">
      <c r="J30" s="703"/>
      <c r="K30" s="703"/>
      <c r="L30" s="703"/>
      <c r="M30" s="703"/>
      <c r="N30" s="703"/>
      <c r="O30" s="703"/>
      <c r="P30" s="703"/>
    </row>
    <row r="31" spans="1:17">
      <c r="A31" s="355"/>
      <c r="B31" s="701" t="s">
        <v>159</v>
      </c>
      <c r="C31" s="701"/>
      <c r="D31" s="701"/>
      <c r="E31" s="701"/>
      <c r="F31" s="701"/>
      <c r="G31" s="701"/>
      <c r="H31" s="701"/>
      <c r="I31" s="701"/>
      <c r="J31" s="701"/>
      <c r="K31" s="355"/>
      <c r="L31" s="723"/>
      <c r="M31" s="703"/>
      <c r="N31" s="703"/>
      <c r="O31" s="703"/>
      <c r="P31" s="703"/>
      <c r="Q31" s="703"/>
    </row>
    <row r="32" spans="1:17" ht="16.5">
      <c r="A32" s="356"/>
      <c r="B32" s="724" t="s">
        <v>160</v>
      </c>
      <c r="C32" s="712" t="s">
        <v>161</v>
      </c>
      <c r="D32" s="715"/>
      <c r="E32" s="707" t="s">
        <v>162</v>
      </c>
      <c r="F32" s="710" t="s">
        <v>163</v>
      </c>
      <c r="G32" s="711"/>
      <c r="H32" s="707" t="s">
        <v>164</v>
      </c>
      <c r="I32" s="707" t="s">
        <v>165</v>
      </c>
      <c r="J32" s="707" t="s">
        <v>166</v>
      </c>
      <c r="K32" s="356"/>
      <c r="L32" s="723"/>
      <c r="M32" s="356"/>
      <c r="N32" s="705"/>
      <c r="O32" s="705"/>
      <c r="P32" s="705"/>
      <c r="Q32" s="356"/>
    </row>
    <row r="33" spans="1:17" ht="16.5">
      <c r="A33" s="727"/>
      <c r="B33" s="725"/>
      <c r="C33" s="713"/>
      <c r="D33" s="716"/>
      <c r="E33" s="708"/>
      <c r="F33" s="357" t="s">
        <v>167</v>
      </c>
      <c r="G33" s="707" t="s">
        <v>168</v>
      </c>
      <c r="H33" s="708"/>
      <c r="I33" s="708"/>
      <c r="J33" s="708"/>
      <c r="K33" s="704"/>
      <c r="L33" s="703"/>
      <c r="M33" s="703"/>
      <c r="N33" s="706"/>
      <c r="O33" s="706"/>
      <c r="P33" s="706"/>
      <c r="Q33" s="703"/>
    </row>
    <row r="34" spans="1:17" ht="16.5">
      <c r="A34" s="727"/>
      <c r="B34" s="726"/>
      <c r="C34" s="714"/>
      <c r="D34" s="717"/>
      <c r="E34" s="709"/>
      <c r="F34" s="358" t="s">
        <v>169</v>
      </c>
      <c r="G34" s="709"/>
      <c r="H34" s="709"/>
      <c r="I34" s="709"/>
      <c r="J34" s="709"/>
      <c r="K34" s="704"/>
      <c r="L34" s="703"/>
      <c r="M34" s="703"/>
      <c r="N34" s="706"/>
      <c r="O34" s="706"/>
      <c r="P34" s="706"/>
      <c r="Q34" s="703"/>
    </row>
    <row r="35" spans="1:17">
      <c r="A35" s="356"/>
      <c r="B35" s="359" t="s">
        <v>170</v>
      </c>
      <c r="C35" s="360"/>
      <c r="D35" s="361"/>
      <c r="E35" s="361"/>
      <c r="F35" s="361"/>
      <c r="G35" s="361"/>
      <c r="H35" s="361"/>
      <c r="I35" s="361"/>
      <c r="J35" s="362"/>
      <c r="K35" s="356"/>
      <c r="L35" s="356"/>
      <c r="M35" s="703"/>
      <c r="N35" s="703"/>
      <c r="O35" s="703"/>
      <c r="P35" s="703"/>
      <c r="Q35" s="703"/>
    </row>
    <row r="36" spans="1:17" ht="16.5">
      <c r="A36" s="356"/>
      <c r="B36" s="363" t="s">
        <v>171</v>
      </c>
      <c r="C36" s="364" t="s">
        <v>172</v>
      </c>
      <c r="D36" s="361"/>
      <c r="E36" s="365" t="s">
        <v>173</v>
      </c>
      <c r="F36" s="366">
        <v>9.0200000000000002E-2</v>
      </c>
      <c r="G36" s="366">
        <v>9.3299999999999994E-2</v>
      </c>
      <c r="H36" s="367">
        <v>217688.16</v>
      </c>
      <c r="I36" s="367">
        <v>47713.56</v>
      </c>
      <c r="J36" s="368">
        <v>1717688.16</v>
      </c>
      <c r="K36" s="356"/>
      <c r="L36" s="356"/>
      <c r="M36" s="703"/>
      <c r="N36" s="703"/>
      <c r="O36" s="703"/>
      <c r="P36" s="703"/>
      <c r="Q36" s="703"/>
    </row>
    <row r="37" spans="1:17" ht="16.5">
      <c r="A37" s="356"/>
      <c r="B37" s="363" t="s">
        <v>174</v>
      </c>
      <c r="C37" s="364" t="s">
        <v>172</v>
      </c>
      <c r="D37" s="361"/>
      <c r="E37" s="361" t="s">
        <v>175</v>
      </c>
      <c r="F37" s="366">
        <v>9.7600000000000006E-2</v>
      </c>
      <c r="G37" s="366">
        <v>0.1021</v>
      </c>
      <c r="H37" s="369">
        <v>157566.32</v>
      </c>
      <c r="I37" s="369">
        <v>32154.62</v>
      </c>
      <c r="J37" s="370">
        <v>1157566.32</v>
      </c>
      <c r="K37" s="356"/>
      <c r="L37" s="356"/>
      <c r="M37" s="703"/>
      <c r="N37" s="703"/>
      <c r="O37" s="703"/>
      <c r="P37" s="703"/>
      <c r="Q37" s="703"/>
    </row>
    <row r="38" spans="1:17" ht="16.5">
      <c r="A38" s="356"/>
      <c r="B38" s="363" t="s">
        <v>176</v>
      </c>
      <c r="C38" s="364" t="s">
        <v>172</v>
      </c>
      <c r="D38" s="361"/>
      <c r="E38" s="361" t="s">
        <v>177</v>
      </c>
      <c r="F38" s="366">
        <v>0.1123</v>
      </c>
      <c r="G38" s="366">
        <v>0.1183</v>
      </c>
      <c r="H38" s="371">
        <v>36503.440000000002</v>
      </c>
      <c r="I38" s="371">
        <v>6569.54</v>
      </c>
      <c r="J38" s="372">
        <v>236503.44</v>
      </c>
      <c r="K38" s="356"/>
      <c r="L38" s="356"/>
      <c r="M38" s="703"/>
      <c r="N38" s="703"/>
      <c r="O38" s="703"/>
      <c r="P38" s="703"/>
      <c r="Q38" s="703"/>
    </row>
    <row r="39" spans="1:17">
      <c r="A39" s="356"/>
      <c r="B39" s="363"/>
      <c r="C39" s="364"/>
      <c r="D39" s="361"/>
      <c r="E39" s="361"/>
      <c r="F39" s="361"/>
      <c r="G39" s="361"/>
      <c r="H39" s="373"/>
      <c r="I39" s="373"/>
      <c r="J39" s="374"/>
      <c r="K39" s="356"/>
      <c r="L39" s="356"/>
      <c r="M39" s="703"/>
      <c r="N39" s="703"/>
      <c r="O39" s="703"/>
      <c r="P39" s="703"/>
      <c r="Q39" s="703"/>
    </row>
    <row r="40" spans="1:17">
      <c r="A40" s="356"/>
      <c r="B40" s="359" t="s">
        <v>178</v>
      </c>
      <c r="C40" s="364"/>
      <c r="D40" s="361"/>
      <c r="E40" s="361"/>
      <c r="F40" s="361"/>
      <c r="G40" s="361"/>
      <c r="H40" s="361"/>
      <c r="I40" s="361"/>
      <c r="J40" s="362"/>
      <c r="K40" s="356"/>
      <c r="L40" s="356"/>
      <c r="M40" s="703"/>
      <c r="N40" s="703"/>
      <c r="O40" s="703"/>
      <c r="P40" s="703"/>
      <c r="Q40" s="703"/>
    </row>
    <row r="41" spans="1:17" ht="16.5">
      <c r="A41" s="356"/>
      <c r="B41" s="363" t="s">
        <v>179</v>
      </c>
      <c r="C41" s="364" t="s">
        <v>180</v>
      </c>
      <c r="D41" s="361"/>
      <c r="E41" s="361" t="s">
        <v>181</v>
      </c>
      <c r="F41" s="366">
        <v>0.17</v>
      </c>
      <c r="G41" s="366">
        <v>0.18920000000000001</v>
      </c>
      <c r="H41" s="375">
        <v>3732.29</v>
      </c>
      <c r="I41" s="375">
        <v>988.87</v>
      </c>
      <c r="J41" s="368">
        <v>23732.29</v>
      </c>
      <c r="K41" s="356"/>
      <c r="L41" s="356"/>
      <c r="M41" s="703"/>
      <c r="N41" s="703"/>
      <c r="O41" s="703"/>
      <c r="P41" s="703"/>
      <c r="Q41" s="703"/>
    </row>
    <row r="42" spans="1:17">
      <c r="A42" s="356"/>
      <c r="B42" s="376"/>
      <c r="C42" s="364"/>
      <c r="D42" s="361"/>
      <c r="E42" s="361"/>
      <c r="F42" s="361"/>
      <c r="G42" s="361"/>
      <c r="H42" s="361"/>
      <c r="I42" s="361"/>
      <c r="J42" s="362"/>
      <c r="K42" s="356"/>
      <c r="L42" s="356"/>
      <c r="M42" s="703"/>
      <c r="N42" s="703"/>
      <c r="O42" s="703"/>
      <c r="P42" s="703"/>
      <c r="Q42" s="703"/>
    </row>
    <row r="43" spans="1:17">
      <c r="A43" s="356"/>
      <c r="B43" s="359" t="s">
        <v>182</v>
      </c>
      <c r="C43" s="364"/>
      <c r="D43" s="361"/>
      <c r="E43" s="361"/>
      <c r="F43" s="361"/>
      <c r="G43" s="361"/>
      <c r="H43" s="361"/>
      <c r="I43" s="361"/>
      <c r="J43" s="362"/>
      <c r="K43" s="356"/>
      <c r="L43" s="356"/>
      <c r="M43" s="703"/>
      <c r="N43" s="703"/>
      <c r="O43" s="703"/>
      <c r="P43" s="703"/>
      <c r="Q43" s="703"/>
    </row>
    <row r="44" spans="1:17" ht="16.5">
      <c r="A44" s="356"/>
      <c r="B44" s="363" t="s">
        <v>183</v>
      </c>
      <c r="C44" s="364" t="s">
        <v>172</v>
      </c>
      <c r="D44" s="361"/>
      <c r="E44" s="361" t="s">
        <v>184</v>
      </c>
      <c r="F44" s="366">
        <v>0.17</v>
      </c>
      <c r="G44" s="366">
        <v>0.18390000000000001</v>
      </c>
      <c r="H44" s="375">
        <v>2834.72</v>
      </c>
      <c r="I44" s="375">
        <v>356.32</v>
      </c>
      <c r="J44" s="377">
        <v>12834.72</v>
      </c>
      <c r="K44" s="356"/>
      <c r="L44" s="356"/>
      <c r="M44" s="703"/>
      <c r="N44" s="703"/>
      <c r="O44" s="703"/>
      <c r="P44" s="703"/>
      <c r="Q44" s="703"/>
    </row>
    <row r="45" spans="1:17" ht="16.5">
      <c r="A45" s="356"/>
      <c r="B45" s="363" t="s">
        <v>183</v>
      </c>
      <c r="C45" s="364" t="s">
        <v>172</v>
      </c>
      <c r="D45" s="361"/>
      <c r="E45" s="361" t="s">
        <v>181</v>
      </c>
      <c r="F45" s="366">
        <v>0.17</v>
      </c>
      <c r="G45" s="366">
        <v>0.18390000000000001</v>
      </c>
      <c r="H45" s="378">
        <v>5669.8</v>
      </c>
      <c r="I45" s="378">
        <v>713.05</v>
      </c>
      <c r="J45" s="379">
        <v>25669.8</v>
      </c>
      <c r="K45" s="356"/>
      <c r="L45" s="356"/>
      <c r="M45" s="703"/>
      <c r="N45" s="703"/>
      <c r="O45" s="703"/>
      <c r="P45" s="703"/>
      <c r="Q45" s="703"/>
    </row>
    <row r="46" spans="1:17" ht="16.5">
      <c r="A46" s="356"/>
      <c r="B46" s="363"/>
      <c r="C46" s="364"/>
      <c r="D46" s="361"/>
      <c r="E46" s="361"/>
      <c r="F46" s="380"/>
      <c r="G46" s="380"/>
      <c r="H46" s="381"/>
      <c r="I46" s="381"/>
      <c r="J46" s="382"/>
      <c r="K46" s="356"/>
      <c r="L46" s="356"/>
      <c r="M46" s="703"/>
      <c r="N46" s="703"/>
      <c r="O46" s="703"/>
      <c r="P46" s="703"/>
      <c r="Q46" s="703"/>
    </row>
    <row r="47" spans="1:17" ht="16.5">
      <c r="A47" s="356"/>
      <c r="B47" s="359" t="s">
        <v>185</v>
      </c>
      <c r="C47" s="364"/>
      <c r="D47" s="361"/>
      <c r="E47" s="361"/>
      <c r="F47" s="380"/>
      <c r="G47" s="380"/>
      <c r="H47" s="381"/>
      <c r="I47" s="381"/>
      <c r="J47" s="382"/>
      <c r="K47" s="356"/>
      <c r="L47" s="356"/>
      <c r="M47" s="703"/>
      <c r="N47" s="703"/>
      <c r="O47" s="703"/>
      <c r="P47" s="703"/>
      <c r="Q47" s="703"/>
    </row>
    <row r="48" spans="1:17" ht="16.5">
      <c r="A48" s="356"/>
      <c r="B48" s="363" t="s">
        <v>186</v>
      </c>
      <c r="C48" s="364" t="s">
        <v>172</v>
      </c>
      <c r="D48" s="361"/>
      <c r="E48" s="361" t="s">
        <v>187</v>
      </c>
      <c r="F48" s="366">
        <v>0.2</v>
      </c>
      <c r="G48" s="366">
        <v>0.33900000000000002</v>
      </c>
      <c r="H48" s="383">
        <v>1013.67</v>
      </c>
      <c r="I48" s="383">
        <v>111.49</v>
      </c>
      <c r="J48" s="384">
        <v>4013.67</v>
      </c>
      <c r="K48" s="356"/>
      <c r="L48" s="356"/>
      <c r="M48" s="703"/>
      <c r="N48" s="703"/>
      <c r="O48" s="703"/>
      <c r="P48" s="703"/>
      <c r="Q48" s="703"/>
    </row>
    <row r="49" spans="1:17" ht="16.5">
      <c r="A49" s="356"/>
      <c r="B49" s="363" t="s">
        <v>188</v>
      </c>
      <c r="C49" s="364" t="s">
        <v>172</v>
      </c>
      <c r="D49" s="361"/>
      <c r="E49" s="361" t="s">
        <v>184</v>
      </c>
      <c r="F49" s="366">
        <v>0.2</v>
      </c>
      <c r="G49" s="366">
        <v>0.33300000000000002</v>
      </c>
      <c r="H49" s="383">
        <v>3378.67</v>
      </c>
      <c r="I49" s="383">
        <v>371.63</v>
      </c>
      <c r="J49" s="384">
        <v>13378.89</v>
      </c>
      <c r="K49" s="356"/>
      <c r="L49" s="356"/>
      <c r="M49" s="703"/>
      <c r="N49" s="703"/>
      <c r="O49" s="703"/>
      <c r="P49" s="703"/>
      <c r="Q49" s="703"/>
    </row>
    <row r="50" spans="1:17" ht="16.5">
      <c r="A50" s="356"/>
      <c r="B50" s="363" t="s">
        <v>189</v>
      </c>
      <c r="C50" s="364" t="s">
        <v>172</v>
      </c>
      <c r="D50" s="361"/>
      <c r="E50" s="361" t="s">
        <v>181</v>
      </c>
      <c r="F50" s="366">
        <v>0.2</v>
      </c>
      <c r="G50" s="366">
        <v>0.255</v>
      </c>
      <c r="H50" s="385">
        <v>6757.78</v>
      </c>
      <c r="I50" s="385">
        <v>743.27</v>
      </c>
      <c r="J50" s="386">
        <v>26757.78</v>
      </c>
      <c r="K50" s="356"/>
      <c r="L50" s="356"/>
      <c r="M50" s="703"/>
      <c r="N50" s="703"/>
      <c r="O50" s="703"/>
      <c r="P50" s="703"/>
      <c r="Q50" s="703"/>
    </row>
    <row r="51" spans="1:17">
      <c r="A51" s="356"/>
      <c r="B51" s="363"/>
      <c r="C51" s="364"/>
      <c r="D51" s="361"/>
      <c r="E51" s="361"/>
      <c r="F51" s="361"/>
      <c r="G51" s="361"/>
      <c r="H51" s="373"/>
      <c r="I51" s="373"/>
      <c r="J51" s="374"/>
      <c r="K51" s="356"/>
      <c r="L51" s="356"/>
      <c r="M51" s="703"/>
      <c r="N51" s="703"/>
      <c r="O51" s="703"/>
      <c r="P51" s="703"/>
      <c r="Q51" s="703"/>
    </row>
    <row r="52" spans="1:17">
      <c r="A52" s="356"/>
      <c r="B52" s="359" t="s">
        <v>190</v>
      </c>
      <c r="C52" s="364"/>
      <c r="D52" s="361"/>
      <c r="E52" s="361"/>
      <c r="F52" s="361"/>
      <c r="G52" s="361"/>
      <c r="H52" s="361"/>
      <c r="I52" s="361"/>
      <c r="J52" s="362"/>
      <c r="K52" s="356"/>
      <c r="L52" s="356"/>
      <c r="M52" s="703"/>
      <c r="N52" s="703"/>
      <c r="O52" s="703"/>
      <c r="P52" s="703"/>
      <c r="Q52" s="703"/>
    </row>
    <row r="53" spans="1:17" ht="16.5">
      <c r="A53" s="356"/>
      <c r="B53" s="363" t="s">
        <v>191</v>
      </c>
      <c r="C53" s="364" t="s">
        <v>192</v>
      </c>
      <c r="D53" s="361"/>
      <c r="E53" s="361" t="s">
        <v>193</v>
      </c>
      <c r="F53" s="366">
        <v>0.10780000000000001</v>
      </c>
      <c r="G53" s="366">
        <v>0.1133</v>
      </c>
      <c r="H53" s="375">
        <v>874.12</v>
      </c>
      <c r="I53" s="375">
        <v>163.16999999999999</v>
      </c>
      <c r="J53" s="377">
        <v>5874.12</v>
      </c>
      <c r="K53" s="356"/>
      <c r="L53" s="356"/>
      <c r="M53" s="703"/>
      <c r="N53" s="703"/>
      <c r="O53" s="703"/>
      <c r="P53" s="703"/>
      <c r="Q53" s="703"/>
    </row>
    <row r="54" spans="1:17" ht="16.5">
      <c r="A54" s="356"/>
      <c r="B54" s="387" t="s">
        <v>191</v>
      </c>
      <c r="C54" s="388" t="s">
        <v>194</v>
      </c>
      <c r="D54" s="389"/>
      <c r="E54" s="389" t="s">
        <v>184</v>
      </c>
      <c r="F54" s="390">
        <v>0.10780000000000001</v>
      </c>
      <c r="G54" s="390">
        <v>0.1133</v>
      </c>
      <c r="H54" s="391">
        <v>2979.2</v>
      </c>
      <c r="I54" s="391">
        <v>216.32</v>
      </c>
      <c r="J54" s="392">
        <v>12979.2</v>
      </c>
      <c r="K54" s="704"/>
      <c r="L54" s="703"/>
      <c r="M54" s="703"/>
      <c r="N54" s="703"/>
      <c r="O54" s="703"/>
      <c r="P54" s="703"/>
      <c r="Q54" s="356"/>
    </row>
    <row r="55" spans="1:17">
      <c r="A55" s="356"/>
      <c r="B55" s="702" t="s">
        <v>195</v>
      </c>
      <c r="C55" s="702"/>
      <c r="H55" s="328"/>
    </row>
  </sheetData>
  <mergeCells count="43">
    <mergeCell ref="C32:C34"/>
    <mergeCell ref="D32:D34"/>
    <mergeCell ref="J32:J34"/>
    <mergeCell ref="A1:G1"/>
    <mergeCell ref="A2:G2"/>
    <mergeCell ref="J30:P30"/>
    <mergeCell ref="L31:L32"/>
    <mergeCell ref="M31:Q31"/>
    <mergeCell ref="B32:B34"/>
    <mergeCell ref="A33:A34"/>
    <mergeCell ref="E32:E34"/>
    <mergeCell ref="F32:G32"/>
    <mergeCell ref="H32:H34"/>
    <mergeCell ref="I32:I34"/>
    <mergeCell ref="L33:L34"/>
    <mergeCell ref="M33:M34"/>
    <mergeCell ref="G33:G34"/>
    <mergeCell ref="K33:K34"/>
    <mergeCell ref="M37:Q37"/>
    <mergeCell ref="M38:Q38"/>
    <mergeCell ref="M39:Q39"/>
    <mergeCell ref="M40:Q40"/>
    <mergeCell ref="Q33:Q34"/>
    <mergeCell ref="N32:P32"/>
    <mergeCell ref="M35:Q35"/>
    <mergeCell ref="M36:Q36"/>
    <mergeCell ref="N33:P34"/>
    <mergeCell ref="M53:Q53"/>
    <mergeCell ref="K54:P54"/>
    <mergeCell ref="M41:Q41"/>
    <mergeCell ref="M42:Q42"/>
    <mergeCell ref="M43:Q43"/>
    <mergeCell ref="M44:Q44"/>
    <mergeCell ref="B31:J31"/>
    <mergeCell ref="B55:C55"/>
    <mergeCell ref="M46:Q46"/>
    <mergeCell ref="M47:Q47"/>
    <mergeCell ref="M48:Q48"/>
    <mergeCell ref="M49:Q49"/>
    <mergeCell ref="M50:Q50"/>
    <mergeCell ref="M51:Q51"/>
    <mergeCell ref="M45:Q45"/>
    <mergeCell ref="M52:Q52"/>
  </mergeCells>
  <phoneticPr fontId="1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3:F16"/>
  <sheetViews>
    <sheetView workbookViewId="0">
      <selection activeCell="E13" sqref="E13"/>
    </sheetView>
  </sheetViews>
  <sheetFormatPr baseColWidth="10" defaultRowHeight="14.25"/>
  <cols>
    <col min="1" max="2" width="11.42578125" style="30"/>
    <col min="3" max="3" width="20.42578125" style="30" customWidth="1"/>
    <col min="4" max="4" width="15.42578125" style="30" customWidth="1"/>
    <col min="5" max="5" width="22.85546875" style="30" customWidth="1"/>
    <col min="6" max="6" width="26.140625" style="30" customWidth="1"/>
    <col min="7" max="16384" width="11.42578125" style="30"/>
  </cols>
  <sheetData>
    <row r="3" spans="2:6" ht="15" thickBot="1"/>
    <row r="4" spans="2:6" ht="15.75" thickBot="1">
      <c r="B4" s="651" t="s">
        <v>332</v>
      </c>
      <c r="C4" s="652"/>
      <c r="D4" s="652"/>
      <c r="E4" s="652"/>
      <c r="F4" s="653"/>
    </row>
    <row r="5" spans="2:6" ht="15.75" thickBot="1">
      <c r="B5" s="651" t="s">
        <v>196</v>
      </c>
      <c r="C5" s="652"/>
      <c r="D5" s="652"/>
      <c r="E5" s="652"/>
      <c r="F5" s="294">
        <f>'Flujo de Caja'!C30</f>
        <v>0.23096857142857141</v>
      </c>
    </row>
    <row r="6" spans="2:6" ht="15.75" thickBot="1">
      <c r="B6" s="396" t="s">
        <v>87</v>
      </c>
      <c r="C6" s="397" t="s">
        <v>197</v>
      </c>
      <c r="D6" s="396" t="s">
        <v>198</v>
      </c>
      <c r="E6" s="397" t="s">
        <v>199</v>
      </c>
      <c r="F6" s="396" t="s">
        <v>200</v>
      </c>
    </row>
    <row r="7" spans="2:6" ht="15">
      <c r="B7" s="398">
        <v>1</v>
      </c>
      <c r="C7" s="399">
        <f>'Valor de desecho e I.I.'!B23</f>
        <v>10393.16</v>
      </c>
      <c r="D7" s="400">
        <f>'Flujo de Caja'!D28</f>
        <v>1802.9315945766755</v>
      </c>
      <c r="E7" s="399">
        <f>$F$5*C7</f>
        <v>2400.4933178285714</v>
      </c>
      <c r="F7" s="400">
        <f>D7-E7</f>
        <v>-597.56172325189596</v>
      </c>
    </row>
    <row r="8" spans="2:6" ht="15">
      <c r="B8" s="401">
        <v>2</v>
      </c>
      <c r="C8" s="402">
        <f>C7-F7</f>
        <v>10990.721723251896</v>
      </c>
      <c r="D8" s="403">
        <f>'Flujo de Caja'!E28</f>
        <v>6757.1774761863189</v>
      </c>
      <c r="E8" s="402">
        <f>$F$5*C8</f>
        <v>2538.5112953884568</v>
      </c>
      <c r="F8" s="403">
        <f>D8-E8</f>
        <v>4218.6661807978617</v>
      </c>
    </row>
    <row r="9" spans="2:6" ht="15">
      <c r="B9" s="401">
        <v>3</v>
      </c>
      <c r="C9" s="402">
        <f>C8-F8</f>
        <v>6772.0555424540344</v>
      </c>
      <c r="D9" s="403">
        <f>'Flujo de Caja'!F28</f>
        <v>6646.5241217347775</v>
      </c>
      <c r="E9" s="402">
        <f>$F$5*C9</f>
        <v>1564.1319942755476</v>
      </c>
      <c r="F9" s="403">
        <f>D9-E9</f>
        <v>5082.3921274592303</v>
      </c>
    </row>
    <row r="10" spans="2:6" ht="15.75" thickBot="1">
      <c r="B10" s="404">
        <v>4</v>
      </c>
      <c r="C10" s="405">
        <f>C9-F9</f>
        <v>1689.663414994804</v>
      </c>
      <c r="D10" s="406">
        <f>'Flujo de Caja'!G28</f>
        <v>9554.2916648549799</v>
      </c>
      <c r="E10" s="405">
        <f>$F$5*C10</f>
        <v>390.25914515647128</v>
      </c>
      <c r="F10" s="406">
        <f>D10-E10</f>
        <v>9164.0325196985086</v>
      </c>
    </row>
    <row r="11" spans="2:6" ht="15.75" thickBot="1">
      <c r="B11" s="393">
        <v>5</v>
      </c>
      <c r="C11" s="394">
        <f>C10-F10</f>
        <v>-7474.3691047037046</v>
      </c>
      <c r="D11" s="395">
        <f>'Flujo de Caja'!H28</f>
        <v>17749.388863646804</v>
      </c>
      <c r="E11" s="394">
        <f>$F$5*C11</f>
        <v>-1726.344354443265</v>
      </c>
      <c r="F11" s="395">
        <f>D11-E11</f>
        <v>19475.73321809007</v>
      </c>
    </row>
    <row r="16" spans="2:6">
      <c r="D16" s="290"/>
    </row>
  </sheetData>
  <mergeCells count="2">
    <mergeCell ref="B4:F4"/>
    <mergeCell ref="B5:E5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45"/>
  <sheetViews>
    <sheetView topLeftCell="A25" workbookViewId="0">
      <selection activeCell="I49" sqref="I49"/>
    </sheetView>
  </sheetViews>
  <sheetFormatPr baseColWidth="10" defaultRowHeight="11.25"/>
  <cols>
    <col min="1" max="1" width="2.28515625" style="407" customWidth="1"/>
    <col min="2" max="2" width="22.28515625" style="407" customWidth="1"/>
    <col min="3" max="12" width="10" style="407" customWidth="1"/>
    <col min="13" max="13" width="3.42578125" style="407" customWidth="1"/>
    <col min="14" max="14" width="15.28515625" style="407" customWidth="1"/>
    <col min="15" max="16384" width="11.42578125" style="407"/>
  </cols>
  <sheetData>
    <row r="1" spans="2:26" ht="18" customHeight="1">
      <c r="B1" s="564" t="s">
        <v>404</v>
      </c>
      <c r="C1" s="564"/>
      <c r="D1" s="564"/>
      <c r="E1" s="564"/>
      <c r="F1" s="564"/>
      <c r="G1" s="564"/>
      <c r="H1" s="564"/>
      <c r="I1" s="564"/>
      <c r="J1" s="564"/>
      <c r="K1" s="564"/>
      <c r="L1" s="564"/>
    </row>
    <row r="2" spans="2:26" ht="14.25" customHeight="1">
      <c r="B2" s="564" t="s">
        <v>405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</row>
    <row r="3" spans="2:26" ht="16.5" customHeight="1">
      <c r="B3" s="565" t="s">
        <v>406</v>
      </c>
      <c r="C3" s="565"/>
      <c r="D3" s="565"/>
      <c r="E3" s="565"/>
      <c r="F3" s="565"/>
      <c r="G3" s="565"/>
      <c r="H3" s="565"/>
      <c r="I3" s="565"/>
      <c r="J3" s="565"/>
      <c r="K3" s="565"/>
      <c r="L3" s="565"/>
    </row>
    <row r="4" spans="2:26" ht="15" customHeight="1">
      <c r="B4" s="408" t="s">
        <v>407</v>
      </c>
      <c r="C4" s="566" t="s">
        <v>408</v>
      </c>
      <c r="D4" s="567"/>
      <c r="E4" s="567"/>
      <c r="F4" s="567"/>
      <c r="G4" s="567"/>
      <c r="H4" s="567"/>
      <c r="I4" s="567"/>
      <c r="J4" s="567"/>
      <c r="K4" s="567"/>
      <c r="L4" s="568"/>
    </row>
    <row r="5" spans="2:26" ht="17.25" customHeight="1">
      <c r="B5" s="409" t="s">
        <v>409</v>
      </c>
      <c r="C5" s="410">
        <v>2001</v>
      </c>
      <c r="D5" s="410">
        <v>2002</v>
      </c>
      <c r="E5" s="410">
        <v>2003</v>
      </c>
      <c r="F5" s="410">
        <v>2004</v>
      </c>
      <c r="G5" s="410">
        <v>2005</v>
      </c>
      <c r="H5" s="410">
        <v>2006</v>
      </c>
      <c r="I5" s="410">
        <v>2007</v>
      </c>
      <c r="J5" s="410">
        <v>2008</v>
      </c>
      <c r="K5" s="410">
        <v>2009</v>
      </c>
      <c r="L5" s="410">
        <v>2010</v>
      </c>
    </row>
    <row r="6" spans="2:26" ht="12">
      <c r="B6" s="411"/>
      <c r="C6" s="412"/>
      <c r="D6" s="412"/>
      <c r="E6" s="412"/>
      <c r="F6" s="412"/>
      <c r="G6" s="412"/>
      <c r="H6" s="412"/>
      <c r="I6" s="412"/>
      <c r="J6" s="412"/>
      <c r="K6" s="412"/>
      <c r="L6" s="412"/>
    </row>
    <row r="7" spans="2:26">
      <c r="B7" s="413" t="s">
        <v>410</v>
      </c>
      <c r="C7" s="413">
        <v>7633850</v>
      </c>
      <c r="D7" s="413">
        <v>7817018</v>
      </c>
      <c r="E7" s="413">
        <v>8001231</v>
      </c>
      <c r="F7" s="413">
        <v>8187908</v>
      </c>
      <c r="G7" s="413">
        <v>8378469</v>
      </c>
      <c r="H7" s="413">
        <v>8580089</v>
      </c>
      <c r="I7" s="413">
        <v>8785744</v>
      </c>
      <c r="J7" s="413">
        <v>8993795</v>
      </c>
      <c r="K7" s="413">
        <v>9202590</v>
      </c>
      <c r="L7" s="413">
        <v>9410481</v>
      </c>
    </row>
    <row r="8" spans="2:26">
      <c r="B8" s="414"/>
      <c r="C8" s="415"/>
      <c r="D8" s="415"/>
      <c r="E8" s="415"/>
      <c r="F8" s="415"/>
      <c r="G8" s="415"/>
      <c r="H8" s="415"/>
      <c r="I8" s="415"/>
      <c r="J8" s="415"/>
      <c r="K8" s="415"/>
      <c r="L8" s="415"/>
      <c r="N8" s="416"/>
      <c r="R8" s="417"/>
      <c r="Z8" s="416"/>
    </row>
    <row r="9" spans="2:26">
      <c r="B9" s="413" t="s">
        <v>411</v>
      </c>
      <c r="C9" s="413">
        <v>3094258</v>
      </c>
      <c r="D9" s="413">
        <v>3174318</v>
      </c>
      <c r="E9" s="413">
        <v>3257587</v>
      </c>
      <c r="F9" s="413">
        <v>3342398</v>
      </c>
      <c r="G9" s="413">
        <v>3428748</v>
      </c>
      <c r="H9" s="413">
        <v>3519957</v>
      </c>
      <c r="I9" s="413">
        <v>3614058</v>
      </c>
      <c r="J9" s="413">
        <v>3708968</v>
      </c>
      <c r="K9" s="413">
        <v>3803911</v>
      </c>
      <c r="L9" s="413">
        <v>3897956</v>
      </c>
      <c r="N9" s="416"/>
      <c r="R9" s="417"/>
      <c r="Z9" s="416"/>
    </row>
    <row r="10" spans="2:26">
      <c r="B10" s="414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N10" s="416"/>
      <c r="R10" s="417"/>
      <c r="Z10" s="416"/>
    </row>
    <row r="11" spans="2:26">
      <c r="B11" s="418" t="s">
        <v>412</v>
      </c>
      <c r="C11" s="415">
        <v>318656</v>
      </c>
      <c r="D11" s="415">
        <v>330353</v>
      </c>
      <c r="E11" s="415">
        <v>345558</v>
      </c>
      <c r="F11" s="415">
        <v>361141</v>
      </c>
      <c r="G11" s="415">
        <v>376478</v>
      </c>
      <c r="H11" s="415">
        <v>392060</v>
      </c>
      <c r="I11" s="415">
        <v>408917</v>
      </c>
      <c r="J11" s="415">
        <v>425410</v>
      </c>
      <c r="K11" s="415">
        <v>441527</v>
      </c>
      <c r="L11" s="415">
        <v>457041</v>
      </c>
      <c r="N11" s="419"/>
      <c r="R11" s="417"/>
      <c r="Z11" s="419"/>
    </row>
    <row r="12" spans="2:26">
      <c r="B12" s="418" t="s">
        <v>413</v>
      </c>
      <c r="C12" s="415">
        <v>44681</v>
      </c>
      <c r="D12" s="415">
        <v>48232</v>
      </c>
      <c r="E12" s="415">
        <v>49929</v>
      </c>
      <c r="F12" s="415">
        <v>51702</v>
      </c>
      <c r="G12" s="415">
        <v>53890</v>
      </c>
      <c r="H12" s="415">
        <v>56568</v>
      </c>
      <c r="I12" s="415">
        <v>58920</v>
      </c>
      <c r="J12" s="415">
        <v>61645</v>
      </c>
      <c r="K12" s="415">
        <v>64639</v>
      </c>
      <c r="L12" s="415">
        <v>67898</v>
      </c>
      <c r="N12" s="419"/>
      <c r="R12" s="417"/>
      <c r="Z12" s="419"/>
    </row>
    <row r="13" spans="2:26">
      <c r="B13" s="418" t="s">
        <v>414</v>
      </c>
      <c r="C13" s="415">
        <v>77354</v>
      </c>
      <c r="D13" s="415">
        <v>81968</v>
      </c>
      <c r="E13" s="415">
        <v>85732</v>
      </c>
      <c r="F13" s="415">
        <v>89604</v>
      </c>
      <c r="G13" s="415">
        <v>93741</v>
      </c>
      <c r="H13" s="415">
        <v>98220</v>
      </c>
      <c r="I13" s="415">
        <v>102640</v>
      </c>
      <c r="J13" s="415">
        <v>107282</v>
      </c>
      <c r="K13" s="415">
        <v>112064</v>
      </c>
      <c r="L13" s="415">
        <v>116955</v>
      </c>
      <c r="N13" s="419"/>
      <c r="Z13" s="419"/>
    </row>
    <row r="14" spans="2:26">
      <c r="B14" s="418" t="s">
        <v>415</v>
      </c>
      <c r="C14" s="415">
        <v>74001</v>
      </c>
      <c r="D14" s="415">
        <v>77158</v>
      </c>
      <c r="E14" s="415">
        <v>79460</v>
      </c>
      <c r="F14" s="415">
        <v>81840</v>
      </c>
      <c r="G14" s="415">
        <v>84454</v>
      </c>
      <c r="H14" s="415">
        <v>87337</v>
      </c>
      <c r="I14" s="415">
        <v>90123</v>
      </c>
      <c r="J14" s="415">
        <v>93110</v>
      </c>
      <c r="K14" s="415">
        <v>96230</v>
      </c>
      <c r="L14" s="415">
        <v>99466</v>
      </c>
      <c r="N14" s="419"/>
      <c r="S14" s="417"/>
      <c r="Z14" s="419"/>
    </row>
    <row r="15" spans="2:26">
      <c r="B15" s="418" t="s">
        <v>416</v>
      </c>
      <c r="C15" s="415">
        <v>94634</v>
      </c>
      <c r="D15" s="415">
        <v>99386</v>
      </c>
      <c r="E15" s="415">
        <v>107376</v>
      </c>
      <c r="F15" s="415">
        <v>115598</v>
      </c>
      <c r="G15" s="415">
        <v>123475</v>
      </c>
      <c r="H15" s="415">
        <v>131698</v>
      </c>
      <c r="I15" s="415">
        <v>140951</v>
      </c>
      <c r="J15" s="415">
        <v>149792</v>
      </c>
      <c r="K15" s="415">
        <v>158257</v>
      </c>
      <c r="L15" s="415">
        <v>166188</v>
      </c>
      <c r="N15" s="419"/>
      <c r="Z15" s="419"/>
    </row>
    <row r="16" spans="2:26">
      <c r="B16" s="418" t="s">
        <v>417</v>
      </c>
      <c r="C16" s="415">
        <v>161516</v>
      </c>
      <c r="D16" s="415">
        <v>170091</v>
      </c>
      <c r="E16" s="415">
        <v>177692</v>
      </c>
      <c r="F16" s="415">
        <v>185511</v>
      </c>
      <c r="G16" s="415">
        <v>193732</v>
      </c>
      <c r="H16" s="415">
        <v>202565</v>
      </c>
      <c r="I16" s="415">
        <v>211450</v>
      </c>
      <c r="J16" s="415">
        <v>220650</v>
      </c>
      <c r="K16" s="415">
        <v>230035</v>
      </c>
      <c r="L16" s="415">
        <v>239527</v>
      </c>
      <c r="N16" s="419"/>
      <c r="Z16" s="419"/>
    </row>
    <row r="17" spans="2:26">
      <c r="B17" s="418" t="s">
        <v>418</v>
      </c>
      <c r="C17" s="415">
        <v>174490</v>
      </c>
      <c r="D17" s="415">
        <v>178922</v>
      </c>
      <c r="E17" s="415">
        <v>187416</v>
      </c>
      <c r="F17" s="415">
        <v>196149</v>
      </c>
      <c r="G17" s="415">
        <v>204393</v>
      </c>
      <c r="H17" s="415">
        <v>212728</v>
      </c>
      <c r="I17" s="415">
        <v>222291</v>
      </c>
      <c r="J17" s="415">
        <v>231301</v>
      </c>
      <c r="K17" s="415">
        <v>239826</v>
      </c>
      <c r="L17" s="415">
        <v>247689</v>
      </c>
      <c r="N17" s="419"/>
      <c r="Z17" s="419"/>
    </row>
    <row r="18" spans="2:26">
      <c r="B18" s="418" t="s">
        <v>419</v>
      </c>
      <c r="C18" s="415">
        <v>188029</v>
      </c>
      <c r="D18" s="415">
        <v>195940</v>
      </c>
      <c r="E18" s="415">
        <v>200168</v>
      </c>
      <c r="F18" s="415">
        <v>204589</v>
      </c>
      <c r="G18" s="415">
        <v>209870</v>
      </c>
      <c r="H18" s="415">
        <v>216109</v>
      </c>
      <c r="I18" s="415">
        <v>221746</v>
      </c>
      <c r="J18" s="415">
        <v>228154</v>
      </c>
      <c r="K18" s="415">
        <v>235102</v>
      </c>
      <c r="L18" s="415">
        <v>242571</v>
      </c>
      <c r="N18" s="419"/>
      <c r="Z18" s="419"/>
    </row>
    <row r="19" spans="2:26">
      <c r="B19" s="418" t="s">
        <v>420</v>
      </c>
      <c r="C19" s="415">
        <v>1769268</v>
      </c>
      <c r="D19" s="415">
        <v>1794681</v>
      </c>
      <c r="E19" s="415">
        <v>1817586</v>
      </c>
      <c r="F19" s="415">
        <v>1840227</v>
      </c>
      <c r="G19" s="415">
        <v>1863584</v>
      </c>
      <c r="H19" s="415">
        <v>1888035</v>
      </c>
      <c r="I19" s="415">
        <v>1911806</v>
      </c>
      <c r="J19" s="415">
        <v>1936194</v>
      </c>
      <c r="K19" s="415">
        <v>1960931</v>
      </c>
      <c r="L19" s="415">
        <v>1985981</v>
      </c>
      <c r="N19" s="419"/>
      <c r="Z19" s="419"/>
    </row>
    <row r="20" spans="2:26">
      <c r="B20" s="418" t="s">
        <v>421</v>
      </c>
      <c r="C20" s="415">
        <v>191629</v>
      </c>
      <c r="D20" s="415">
        <v>197587</v>
      </c>
      <c r="E20" s="415">
        <v>206670</v>
      </c>
      <c r="F20" s="415">
        <v>216037</v>
      </c>
      <c r="G20" s="415">
        <v>225131</v>
      </c>
      <c r="H20" s="415">
        <v>234637</v>
      </c>
      <c r="I20" s="415">
        <v>245214</v>
      </c>
      <c r="J20" s="415">
        <v>255430</v>
      </c>
      <c r="K20" s="415">
        <v>265300</v>
      </c>
      <c r="L20" s="415">
        <v>274640</v>
      </c>
      <c r="N20" s="419"/>
      <c r="Z20" s="419"/>
    </row>
    <row r="21" spans="2:26">
      <c r="B21" s="418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N21" s="419"/>
      <c r="Z21" s="419"/>
    </row>
    <row r="22" spans="2:26">
      <c r="B22" s="420" t="s">
        <v>422</v>
      </c>
      <c r="C22" s="413">
        <v>4316515</v>
      </c>
      <c r="D22" s="413">
        <v>4415027</v>
      </c>
      <c r="E22" s="413">
        <v>4501078</v>
      </c>
      <c r="F22" s="413">
        <v>4587822</v>
      </c>
      <c r="G22" s="413">
        <v>4678467</v>
      </c>
      <c r="H22" s="413">
        <v>4775722</v>
      </c>
      <c r="I22" s="413">
        <v>4871452</v>
      </c>
      <c r="J22" s="413">
        <v>4970376</v>
      </c>
      <c r="K22" s="413">
        <v>5071320</v>
      </c>
      <c r="L22" s="413">
        <v>5173880</v>
      </c>
      <c r="N22" s="419"/>
      <c r="Z22" s="419"/>
    </row>
    <row r="23" spans="2:26">
      <c r="B23" s="418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N23" s="421" t="s">
        <v>423</v>
      </c>
      <c r="Z23" s="419"/>
    </row>
    <row r="24" spans="2:26" ht="12" thickBot="1">
      <c r="B24" s="418" t="s">
        <v>424</v>
      </c>
      <c r="C24" s="415">
        <v>413063</v>
      </c>
      <c r="D24" s="415">
        <v>421808</v>
      </c>
      <c r="E24" s="415">
        <v>435221</v>
      </c>
      <c r="F24" s="415">
        <v>448799</v>
      </c>
      <c r="G24" s="415">
        <v>461774</v>
      </c>
      <c r="H24" s="415">
        <v>474632</v>
      </c>
      <c r="I24" s="415">
        <v>488802</v>
      </c>
      <c r="J24" s="415">
        <v>502304</v>
      </c>
      <c r="K24" s="415">
        <v>515237</v>
      </c>
      <c r="L24" s="415">
        <v>527424</v>
      </c>
      <c r="N24" s="419"/>
      <c r="Z24" s="419"/>
    </row>
    <row r="25" spans="2:26" ht="12" thickBot="1">
      <c r="B25" s="418" t="s">
        <v>425</v>
      </c>
      <c r="C25" s="415">
        <v>161893</v>
      </c>
      <c r="D25" s="415">
        <v>164908</v>
      </c>
      <c r="E25" s="415">
        <v>169681</v>
      </c>
      <c r="F25" s="415">
        <v>174567</v>
      </c>
      <c r="G25" s="415">
        <v>179299</v>
      </c>
      <c r="H25" s="415">
        <v>184417</v>
      </c>
      <c r="I25" s="415">
        <v>190105</v>
      </c>
      <c r="J25" s="415">
        <v>195584</v>
      </c>
      <c r="K25" s="415">
        <v>200867</v>
      </c>
      <c r="L25" s="415">
        <v>205855</v>
      </c>
      <c r="N25" s="422" t="s">
        <v>426</v>
      </c>
      <c r="O25" s="423" t="s">
        <v>427</v>
      </c>
      <c r="P25" s="423" t="s">
        <v>428</v>
      </c>
      <c r="Q25" s="423" t="s">
        <v>429</v>
      </c>
      <c r="R25" s="423" t="s">
        <v>430</v>
      </c>
      <c r="S25" s="423" t="s">
        <v>431</v>
      </c>
      <c r="T25" s="423" t="s">
        <v>432</v>
      </c>
      <c r="U25" s="423" t="s">
        <v>433</v>
      </c>
      <c r="V25" s="424" t="s">
        <v>434</v>
      </c>
      <c r="W25" s="425" t="s">
        <v>435</v>
      </c>
      <c r="Z25" s="419"/>
    </row>
    <row r="26" spans="2:26" ht="12" thickBot="1">
      <c r="B26" s="426" t="s">
        <v>436</v>
      </c>
      <c r="C26" s="427">
        <v>2769011</v>
      </c>
      <c r="D26" s="427">
        <v>2819399</v>
      </c>
      <c r="E26" s="427">
        <v>2850850</v>
      </c>
      <c r="F26" s="427">
        <v>2882224</v>
      </c>
      <c r="G26" s="427">
        <v>2917549</v>
      </c>
      <c r="H26" s="427">
        <v>2957154</v>
      </c>
      <c r="I26" s="427">
        <v>2992612</v>
      </c>
      <c r="J26" s="427">
        <v>3031709</v>
      </c>
      <c r="K26" s="427">
        <v>3073430</v>
      </c>
      <c r="L26" s="427">
        <v>3117929</v>
      </c>
      <c r="N26" s="428">
        <f t="shared" ref="N26:V26" si="0">(D26-C26)/C26</f>
        <v>1.8197110809599529E-2</v>
      </c>
      <c r="O26" s="429">
        <f t="shared" si="0"/>
        <v>1.115521428503025E-2</v>
      </c>
      <c r="P26" s="429">
        <f t="shared" si="0"/>
        <v>1.100513881824719E-2</v>
      </c>
      <c r="Q26" s="429">
        <f t="shared" si="0"/>
        <v>1.2256160520486958E-2</v>
      </c>
      <c r="R26" s="429">
        <f t="shared" si="0"/>
        <v>1.3574750586879604E-2</v>
      </c>
      <c r="S26" s="429">
        <f t="shared" si="0"/>
        <v>1.1990582837417328E-2</v>
      </c>
      <c r="T26" s="429">
        <f t="shared" si="0"/>
        <v>1.3064506858891163E-2</v>
      </c>
      <c r="U26" s="429">
        <f t="shared" si="0"/>
        <v>1.3761545055940395E-2</v>
      </c>
      <c r="V26" s="430">
        <f t="shared" si="0"/>
        <v>1.4478611844096011E-2</v>
      </c>
      <c r="W26" s="431">
        <f>AVERAGE(N26:V26)</f>
        <v>1.3275957957398712E-2</v>
      </c>
      <c r="Z26" s="419"/>
    </row>
    <row r="27" spans="2:26">
      <c r="B27" s="418" t="s">
        <v>437</v>
      </c>
      <c r="C27" s="415">
        <v>335371</v>
      </c>
      <c r="D27" s="415">
        <v>346619</v>
      </c>
      <c r="E27" s="415">
        <v>361310</v>
      </c>
      <c r="F27" s="415">
        <v>376195</v>
      </c>
      <c r="G27" s="415">
        <v>390736</v>
      </c>
      <c r="H27" s="415">
        <v>405784</v>
      </c>
      <c r="I27" s="415">
        <v>421904</v>
      </c>
      <c r="J27" s="415">
        <v>437593</v>
      </c>
      <c r="K27" s="415">
        <v>452886</v>
      </c>
      <c r="L27" s="415">
        <v>467613</v>
      </c>
      <c r="N27" s="419"/>
      <c r="Z27" s="419"/>
    </row>
    <row r="28" spans="2:26" ht="12" thickBot="1">
      <c r="B28" s="418" t="s">
        <v>438</v>
      </c>
      <c r="C28" s="415">
        <v>637177</v>
      </c>
      <c r="D28" s="415">
        <v>662293</v>
      </c>
      <c r="E28" s="415">
        <v>684016</v>
      </c>
      <c r="F28" s="415">
        <v>706037</v>
      </c>
      <c r="G28" s="415">
        <v>729109</v>
      </c>
      <c r="H28" s="415">
        <v>753735</v>
      </c>
      <c r="I28" s="415">
        <v>778029</v>
      </c>
      <c r="J28" s="415">
        <v>803186</v>
      </c>
      <c r="K28" s="415">
        <v>828900</v>
      </c>
      <c r="L28" s="415">
        <v>855059</v>
      </c>
      <c r="N28" s="419"/>
      <c r="Z28" s="419"/>
    </row>
    <row r="29" spans="2:26" ht="11.25" customHeight="1">
      <c r="B29" s="418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N29" s="419"/>
      <c r="Q29" s="407">
        <v>1985379</v>
      </c>
      <c r="R29" s="407" t="s">
        <v>439</v>
      </c>
      <c r="S29" s="569" t="s">
        <v>440</v>
      </c>
      <c r="T29" s="570"/>
      <c r="Z29" s="419"/>
    </row>
    <row r="30" spans="2:26">
      <c r="B30" s="420" t="s">
        <v>441</v>
      </c>
      <c r="C30" s="413">
        <v>207063</v>
      </c>
      <c r="D30" s="413">
        <v>211347</v>
      </c>
      <c r="E30" s="413">
        <v>225616</v>
      </c>
      <c r="F30" s="413">
        <v>240123</v>
      </c>
      <c r="G30" s="413">
        <v>253150</v>
      </c>
      <c r="H30" s="413">
        <v>265815</v>
      </c>
      <c r="I30" s="413">
        <v>281112</v>
      </c>
      <c r="J30" s="413">
        <v>294851</v>
      </c>
      <c r="K30" s="413">
        <v>307336</v>
      </c>
      <c r="L30" s="413">
        <v>318261</v>
      </c>
      <c r="N30" s="419"/>
      <c r="Q30" s="407">
        <v>207871</v>
      </c>
      <c r="R30" s="417">
        <f>Q30/Q29</f>
        <v>0.10470091604675984</v>
      </c>
      <c r="S30" s="571"/>
      <c r="T30" s="572"/>
      <c r="Z30" s="419"/>
    </row>
    <row r="31" spans="2:26">
      <c r="B31" s="418"/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N31" s="419"/>
      <c r="Q31" s="407">
        <f>R31*Q30</f>
        <v>72754.849999999991</v>
      </c>
      <c r="R31" s="417">
        <v>0.35</v>
      </c>
      <c r="S31" s="571"/>
      <c r="T31" s="572"/>
      <c r="Z31" s="419"/>
    </row>
    <row r="32" spans="2:26">
      <c r="B32" s="418" t="s">
        <v>442</v>
      </c>
      <c r="C32" s="415">
        <v>41467</v>
      </c>
      <c r="D32" s="415">
        <v>43398</v>
      </c>
      <c r="E32" s="415">
        <v>45446</v>
      </c>
      <c r="F32" s="415">
        <v>47538</v>
      </c>
      <c r="G32" s="415">
        <v>49666</v>
      </c>
      <c r="H32" s="415">
        <v>52017</v>
      </c>
      <c r="I32" s="415">
        <v>54457</v>
      </c>
      <c r="J32" s="415">
        <v>56911</v>
      </c>
      <c r="K32" s="415">
        <v>59364</v>
      </c>
      <c r="L32" s="415">
        <v>61790</v>
      </c>
      <c r="N32" s="419"/>
      <c r="Q32" s="407">
        <f>R32*Q31</f>
        <v>25464.197499999995</v>
      </c>
      <c r="R32" s="417">
        <v>0.35</v>
      </c>
      <c r="S32" s="571"/>
      <c r="T32" s="572"/>
      <c r="Z32" s="419"/>
    </row>
    <row r="33" spans="2:26">
      <c r="B33" s="418" t="s">
        <v>443</v>
      </c>
      <c r="C33" s="415">
        <v>27532</v>
      </c>
      <c r="D33" s="415">
        <v>28174</v>
      </c>
      <c r="E33" s="415">
        <v>30345</v>
      </c>
      <c r="F33" s="415">
        <v>32552</v>
      </c>
      <c r="G33" s="415">
        <v>34529</v>
      </c>
      <c r="H33" s="415">
        <v>36486</v>
      </c>
      <c r="I33" s="415">
        <v>38845</v>
      </c>
      <c r="J33" s="415">
        <v>40963</v>
      </c>
      <c r="K33" s="415">
        <v>42888</v>
      </c>
      <c r="L33" s="415">
        <v>44575</v>
      </c>
      <c r="N33" s="419"/>
      <c r="Q33" s="407">
        <v>1782</v>
      </c>
      <c r="R33" s="417">
        <f>Q33/Q32</f>
        <v>6.9980607085693564E-2</v>
      </c>
      <c r="S33" s="571"/>
      <c r="T33" s="572"/>
      <c r="Z33" s="419"/>
    </row>
    <row r="34" spans="2:26" ht="12" thickBot="1">
      <c r="B34" s="418" t="s">
        <v>444</v>
      </c>
      <c r="C34" s="415">
        <v>28383</v>
      </c>
      <c r="D34" s="415">
        <v>28734</v>
      </c>
      <c r="E34" s="415">
        <v>30475</v>
      </c>
      <c r="F34" s="415">
        <v>32244</v>
      </c>
      <c r="G34" s="415">
        <v>33800</v>
      </c>
      <c r="H34" s="415">
        <v>35285</v>
      </c>
      <c r="I34" s="415">
        <v>37129</v>
      </c>
      <c r="J34" s="415">
        <v>38751</v>
      </c>
      <c r="K34" s="415">
        <v>40198</v>
      </c>
      <c r="L34" s="415">
        <v>41428</v>
      </c>
      <c r="N34" s="419"/>
      <c r="Q34" s="407">
        <f>R34*Q33</f>
        <v>1259.874</v>
      </c>
      <c r="R34" s="417">
        <v>0.70699999999999996</v>
      </c>
      <c r="S34" s="573"/>
      <c r="T34" s="574"/>
      <c r="Z34" s="419"/>
    </row>
    <row r="35" spans="2:26">
      <c r="B35" s="418" t="s">
        <v>445</v>
      </c>
      <c r="C35" s="415">
        <v>29536</v>
      </c>
      <c r="D35" s="415">
        <v>31025</v>
      </c>
      <c r="E35" s="415">
        <v>32200</v>
      </c>
      <c r="F35" s="415">
        <v>33405</v>
      </c>
      <c r="G35" s="415">
        <v>34701</v>
      </c>
      <c r="H35" s="415">
        <v>36173</v>
      </c>
      <c r="I35" s="415">
        <v>37613</v>
      </c>
      <c r="J35" s="415">
        <v>39129</v>
      </c>
      <c r="K35" s="415">
        <v>40695</v>
      </c>
      <c r="L35" s="415">
        <v>42303</v>
      </c>
      <c r="N35" s="419"/>
      <c r="Q35" s="407">
        <f>Q34*R35</f>
        <v>503.94960000000003</v>
      </c>
      <c r="R35" s="432">
        <v>0.4</v>
      </c>
      <c r="Z35" s="419"/>
    </row>
    <row r="36" spans="2:26">
      <c r="B36" s="418" t="s">
        <v>446</v>
      </c>
      <c r="C36" s="415">
        <v>52466</v>
      </c>
      <c r="D36" s="415">
        <v>52878</v>
      </c>
      <c r="E36" s="415">
        <v>57463</v>
      </c>
      <c r="F36" s="415">
        <v>62108</v>
      </c>
      <c r="G36" s="415">
        <v>66086</v>
      </c>
      <c r="H36" s="415">
        <v>69752</v>
      </c>
      <c r="I36" s="415">
        <v>74463</v>
      </c>
      <c r="J36" s="415">
        <v>78494</v>
      </c>
      <c r="K36" s="415">
        <v>81989</v>
      </c>
      <c r="L36" s="415">
        <v>84840</v>
      </c>
      <c r="N36" s="419"/>
      <c r="Q36" s="407" t="s">
        <v>327</v>
      </c>
      <c r="S36" s="433">
        <f>W26</f>
        <v>1.3275957957398712E-2</v>
      </c>
      <c r="Z36" s="419"/>
    </row>
    <row r="37" spans="2:26">
      <c r="B37" s="418" t="s">
        <v>447</v>
      </c>
      <c r="C37" s="415">
        <v>27679</v>
      </c>
      <c r="D37" s="415">
        <v>27138</v>
      </c>
      <c r="E37" s="415">
        <v>29687</v>
      </c>
      <c r="F37" s="415">
        <v>32276</v>
      </c>
      <c r="G37" s="415">
        <v>34368</v>
      </c>
      <c r="H37" s="415">
        <v>36102</v>
      </c>
      <c r="I37" s="415">
        <v>38605</v>
      </c>
      <c r="J37" s="415">
        <v>40603</v>
      </c>
      <c r="K37" s="415">
        <v>42202</v>
      </c>
      <c r="L37" s="415">
        <v>43325</v>
      </c>
      <c r="N37" s="419"/>
      <c r="Z37" s="419"/>
    </row>
    <row r="38" spans="2:26" ht="12" thickBot="1">
      <c r="B38" s="418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N38" s="419"/>
      <c r="Z38" s="419"/>
    </row>
    <row r="39" spans="2:26" ht="12.75" customHeight="1" thickBot="1">
      <c r="B39" s="420" t="s">
        <v>448</v>
      </c>
      <c r="C39" s="413">
        <v>16014</v>
      </c>
      <c r="D39" s="413">
        <v>16326</v>
      </c>
      <c r="E39" s="413">
        <v>16950</v>
      </c>
      <c r="F39" s="413">
        <v>17565</v>
      </c>
      <c r="G39" s="413">
        <v>18104</v>
      </c>
      <c r="H39" s="413">
        <v>18595</v>
      </c>
      <c r="I39" s="413">
        <v>19122</v>
      </c>
      <c r="J39" s="413">
        <v>19600</v>
      </c>
      <c r="K39" s="413">
        <v>20023</v>
      </c>
      <c r="L39" s="413">
        <v>20384</v>
      </c>
      <c r="N39" s="575" t="s">
        <v>211</v>
      </c>
      <c r="O39" s="576"/>
      <c r="P39" s="576"/>
      <c r="Q39" s="576"/>
      <c r="R39" s="576"/>
      <c r="S39" s="576"/>
      <c r="T39" s="577"/>
      <c r="Z39" s="419"/>
    </row>
    <row r="40" spans="2:26" ht="12" thickBot="1">
      <c r="B40" s="418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N40" s="419"/>
      <c r="Z40" s="419"/>
    </row>
    <row r="41" spans="2:26" ht="12" thickBot="1">
      <c r="B41" s="418" t="s">
        <v>449</v>
      </c>
      <c r="C41" s="415">
        <v>16014</v>
      </c>
      <c r="D41" s="415">
        <v>16326</v>
      </c>
      <c r="E41" s="415">
        <v>16950</v>
      </c>
      <c r="F41" s="415">
        <v>17565</v>
      </c>
      <c r="G41" s="415">
        <v>18104</v>
      </c>
      <c r="H41" s="415">
        <v>18595</v>
      </c>
      <c r="I41" s="415">
        <v>19122</v>
      </c>
      <c r="J41" s="415">
        <v>19600</v>
      </c>
      <c r="K41" s="415">
        <v>20023</v>
      </c>
      <c r="L41" s="415">
        <v>20384</v>
      </c>
      <c r="N41" s="434"/>
      <c r="O41" s="435" t="s">
        <v>450</v>
      </c>
      <c r="P41" s="436" t="s">
        <v>25</v>
      </c>
      <c r="Q41" s="436" t="s">
        <v>26</v>
      </c>
      <c r="R41" s="436" t="s">
        <v>27</v>
      </c>
      <c r="S41" s="436" t="s">
        <v>28</v>
      </c>
      <c r="T41" s="437" t="s">
        <v>29</v>
      </c>
      <c r="Z41" s="419"/>
    </row>
    <row r="42" spans="2:26" ht="12" thickBot="1">
      <c r="B42" s="418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N42" s="438" t="s">
        <v>212</v>
      </c>
      <c r="O42" s="439">
        <f>Q35</f>
        <v>503.94960000000003</v>
      </c>
      <c r="P42" s="440">
        <f>O42*(1+$S$36)</f>
        <v>510.64001370224793</v>
      </c>
      <c r="Q42" s="440">
        <f>P42*(1+$S$36)</f>
        <v>517.41924905552446</v>
      </c>
      <c r="R42" s="440">
        <f>Q42*(1+$S$36)</f>
        <v>524.28848525233434</v>
      </c>
      <c r="S42" s="440">
        <f>R42*(1+$S$36)</f>
        <v>531.24891714009254</v>
      </c>
      <c r="T42" s="441">
        <f>S42*(1+$S$36)</f>
        <v>538.30175542895802</v>
      </c>
      <c r="Z42" s="419"/>
    </row>
    <row r="43" spans="2:26">
      <c r="B43" s="420" t="s">
        <v>451</v>
      </c>
      <c r="C43" s="413">
        <v>0</v>
      </c>
      <c r="D43" s="413">
        <v>0</v>
      </c>
      <c r="E43" s="413">
        <v>0</v>
      </c>
      <c r="F43" s="413">
        <v>0</v>
      </c>
      <c r="G43" s="413">
        <v>0</v>
      </c>
      <c r="H43" s="413">
        <v>0</v>
      </c>
      <c r="I43" s="413">
        <v>0</v>
      </c>
      <c r="J43" s="413">
        <v>0</v>
      </c>
      <c r="K43" s="413">
        <v>0</v>
      </c>
      <c r="L43" s="413">
        <v>0</v>
      </c>
      <c r="N43" s="442"/>
      <c r="Z43" s="442"/>
    </row>
    <row r="44" spans="2:26"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</row>
    <row r="45" spans="2:26">
      <c r="N45" s="407" t="s">
        <v>452</v>
      </c>
    </row>
  </sheetData>
  <mergeCells count="6">
    <mergeCell ref="B1:L1"/>
    <mergeCell ref="B2:L2"/>
    <mergeCell ref="B3:L3"/>
    <mergeCell ref="C4:L4"/>
    <mergeCell ref="S29:T34"/>
    <mergeCell ref="N39:T39"/>
  </mergeCells>
  <pageMargins left="1.1000000000000001" right="0.59" top="0.6" bottom="0.49" header="0" footer="0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3" type="noConversion"/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3:H50"/>
  <sheetViews>
    <sheetView workbookViewId="0">
      <selection activeCell="G50" sqref="G50"/>
    </sheetView>
  </sheetViews>
  <sheetFormatPr baseColWidth="10" defaultRowHeight="15"/>
  <cols>
    <col min="2" max="2" width="26.42578125" bestFit="1" customWidth="1"/>
  </cols>
  <sheetData>
    <row r="3" spans="1:3">
      <c r="B3" t="s">
        <v>196</v>
      </c>
    </row>
    <row r="4" spans="1:3">
      <c r="B4" s="24">
        <f>'Flujo de Caja'!C30</f>
        <v>0.23096857142857141</v>
      </c>
    </row>
    <row r="6" spans="1:3">
      <c r="A6" s="728" t="s">
        <v>202</v>
      </c>
      <c r="B6" s="1"/>
      <c r="C6" s="3" t="s">
        <v>203</v>
      </c>
    </row>
    <row r="7" spans="1:3">
      <c r="A7" s="729"/>
      <c r="B7" s="2" t="s">
        <v>1</v>
      </c>
      <c r="C7" s="8">
        <f>150</f>
        <v>150</v>
      </c>
    </row>
    <row r="8" spans="1:3">
      <c r="A8" s="729"/>
      <c r="B8" s="2" t="s">
        <v>2</v>
      </c>
      <c r="C8" s="8">
        <f>140</f>
        <v>140</v>
      </c>
    </row>
    <row r="9" spans="1:3">
      <c r="A9" s="729"/>
      <c r="B9" s="2" t="s">
        <v>3</v>
      </c>
      <c r="C9" s="9">
        <f>130</f>
        <v>130</v>
      </c>
    </row>
    <row r="10" spans="1:3">
      <c r="A10" s="729"/>
      <c r="B10" s="2" t="s">
        <v>4</v>
      </c>
      <c r="C10" s="9">
        <f>120</f>
        <v>120</v>
      </c>
    </row>
    <row r="11" spans="1:3">
      <c r="A11" s="729"/>
      <c r="B11" s="2" t="s">
        <v>5</v>
      </c>
      <c r="C11" s="8">
        <f>130</f>
        <v>130</v>
      </c>
    </row>
    <row r="12" spans="1:3">
      <c r="A12" s="729"/>
      <c r="B12" s="2" t="s">
        <v>6</v>
      </c>
      <c r="C12" s="9">
        <f>100</f>
        <v>100</v>
      </c>
    </row>
    <row r="13" spans="1:3">
      <c r="A13" s="729"/>
      <c r="B13" s="2" t="s">
        <v>7</v>
      </c>
      <c r="C13" s="8">
        <f>80</f>
        <v>80</v>
      </c>
    </row>
    <row r="14" spans="1:3">
      <c r="A14" s="729"/>
      <c r="B14" s="2" t="s">
        <v>8</v>
      </c>
      <c r="C14" s="10">
        <f>50</f>
        <v>50</v>
      </c>
    </row>
    <row r="15" spans="1:3">
      <c r="A15" s="730"/>
      <c r="B15" s="2" t="s">
        <v>9</v>
      </c>
      <c r="C15" s="9">
        <f>50</f>
        <v>50</v>
      </c>
    </row>
    <row r="16" spans="1:3">
      <c r="A16" s="7"/>
      <c r="B16" s="6"/>
      <c r="C16" s="11"/>
    </row>
    <row r="17" spans="1:3">
      <c r="A17" s="7"/>
      <c r="B17" s="6"/>
      <c r="C17" s="11"/>
    </row>
    <row r="18" spans="1:3">
      <c r="A18" s="7"/>
      <c r="B18" s="6"/>
      <c r="C18" s="11"/>
    </row>
    <row r="19" spans="1:3">
      <c r="A19" s="7"/>
      <c r="B19" s="6"/>
      <c r="C19" s="11"/>
    </row>
    <row r="20" spans="1:3">
      <c r="C20" s="3" t="s">
        <v>203</v>
      </c>
    </row>
    <row r="21" spans="1:3">
      <c r="A21" s="728" t="s">
        <v>32</v>
      </c>
      <c r="B21" s="2" t="s">
        <v>1</v>
      </c>
      <c r="C21" s="8">
        <f>150</f>
        <v>150</v>
      </c>
    </row>
    <row r="22" spans="1:3">
      <c r="A22" s="729"/>
      <c r="B22" s="2" t="s">
        <v>2</v>
      </c>
      <c r="C22" s="8">
        <f>140</f>
        <v>140</v>
      </c>
    </row>
    <row r="23" spans="1:3">
      <c r="A23" s="729"/>
      <c r="B23" s="2" t="s">
        <v>3</v>
      </c>
      <c r="C23" s="9">
        <f>130</f>
        <v>130</v>
      </c>
    </row>
    <row r="24" spans="1:3">
      <c r="A24" s="729"/>
      <c r="B24" s="2" t="s">
        <v>4</v>
      </c>
      <c r="C24" s="9">
        <f>120</f>
        <v>120</v>
      </c>
    </row>
    <row r="25" spans="1:3">
      <c r="A25" s="729"/>
      <c r="B25" s="2" t="s">
        <v>5</v>
      </c>
      <c r="C25" s="8">
        <f>130</f>
        <v>130</v>
      </c>
    </row>
    <row r="26" spans="1:3">
      <c r="A26" s="729"/>
      <c r="B26" s="2" t="s">
        <v>6</v>
      </c>
      <c r="C26" s="9">
        <f>100</f>
        <v>100</v>
      </c>
    </row>
    <row r="27" spans="1:3">
      <c r="A27" s="729"/>
      <c r="B27" s="2" t="s">
        <v>7</v>
      </c>
      <c r="C27" s="8">
        <f>80</f>
        <v>80</v>
      </c>
    </row>
    <row r="28" spans="1:3">
      <c r="A28" s="729"/>
      <c r="B28" s="2" t="s">
        <v>8</v>
      </c>
      <c r="C28" s="10">
        <f>50</f>
        <v>50</v>
      </c>
    </row>
    <row r="29" spans="1:3">
      <c r="A29" s="729"/>
      <c r="B29" s="2" t="s">
        <v>9</v>
      </c>
      <c r="C29" s="9">
        <f>50</f>
        <v>50</v>
      </c>
    </row>
    <row r="30" spans="1:3">
      <c r="A30" s="730"/>
      <c r="B30" s="5" t="s">
        <v>24</v>
      </c>
      <c r="C30" s="9">
        <f>100</f>
        <v>100</v>
      </c>
    </row>
    <row r="32" spans="1:3" ht="15.75" thickBot="1"/>
    <row r="33" spans="1:8" ht="57" customHeight="1" thickBot="1">
      <c r="A33" s="27" t="s">
        <v>345</v>
      </c>
      <c r="B33" s="28" t="s">
        <v>6</v>
      </c>
      <c r="C33" s="29">
        <v>30</v>
      </c>
    </row>
    <row r="37" spans="1:8">
      <c r="B37" s="22" t="s">
        <v>324</v>
      </c>
      <c r="C37" s="23">
        <v>6</v>
      </c>
    </row>
    <row r="39" spans="1:8">
      <c r="B39" s="4" t="s">
        <v>325</v>
      </c>
      <c r="C39" s="26">
        <f>'Flujo de Caja'!C32</f>
        <v>4992.994041152655</v>
      </c>
    </row>
    <row r="44" spans="1:8">
      <c r="B44" s="14"/>
      <c r="C44" s="12"/>
      <c r="D44" s="12"/>
      <c r="E44" s="13" t="s">
        <v>327</v>
      </c>
      <c r="F44" s="12"/>
      <c r="G44" s="15">
        <v>1.3275957957398712E-2</v>
      </c>
      <c r="H44" s="12"/>
    </row>
    <row r="45" spans="1:8">
      <c r="B45" s="14"/>
      <c r="C45" s="12"/>
      <c r="D45" s="12"/>
      <c r="E45" s="12"/>
      <c r="F45" s="12"/>
      <c r="G45" s="12"/>
      <c r="H45" s="12"/>
    </row>
    <row r="46" spans="1:8" ht="15.75" thickBot="1">
      <c r="B46" s="14"/>
      <c r="C46" s="12"/>
      <c r="D46" s="12"/>
      <c r="E46" s="12"/>
      <c r="F46" s="12"/>
      <c r="G46" s="12"/>
      <c r="H46" s="12"/>
    </row>
    <row r="47" spans="1:8" ht="15.75" thickBot="1">
      <c r="B47" s="731" t="s">
        <v>211</v>
      </c>
      <c r="C47" s="732"/>
      <c r="D47" s="732"/>
      <c r="E47" s="732"/>
      <c r="F47" s="732"/>
      <c r="G47" s="732"/>
      <c r="H47" s="733"/>
    </row>
    <row r="48" spans="1:8" ht="15.75" thickBot="1">
      <c r="B48" s="14"/>
      <c r="C48" s="12"/>
      <c r="D48" s="12"/>
      <c r="E48" s="12"/>
      <c r="F48" s="12"/>
      <c r="G48" s="12"/>
      <c r="H48" s="12"/>
    </row>
    <row r="49" spans="2:8" ht="15.75" thickBot="1">
      <c r="B49" s="19"/>
      <c r="C49" s="20" t="s">
        <v>25</v>
      </c>
      <c r="D49" s="20" t="s">
        <v>26</v>
      </c>
      <c r="E49" s="20" t="s">
        <v>27</v>
      </c>
      <c r="F49" s="20" t="s">
        <v>28</v>
      </c>
      <c r="G49" s="20" t="s">
        <v>29</v>
      </c>
      <c r="H49" s="21"/>
    </row>
    <row r="50" spans="2:8" ht="15.75" thickBot="1">
      <c r="B50" s="16" t="s">
        <v>212</v>
      </c>
      <c r="C50" s="25">
        <v>504</v>
      </c>
      <c r="D50" s="17">
        <f>C50*(1+$G$44)</f>
        <v>510.69108281052894</v>
      </c>
      <c r="E50" s="17">
        <f>D50*(1+$G$44)</f>
        <v>517.47099615513991</v>
      </c>
      <c r="F50" s="17">
        <f>E50*(1+$G$44)</f>
        <v>524.34091934426874</v>
      </c>
      <c r="G50" s="17">
        <f>F50*(1+$G$44)</f>
        <v>531.30204734482697</v>
      </c>
      <c r="H50" s="18"/>
    </row>
  </sheetData>
  <mergeCells count="3">
    <mergeCell ref="A6:A15"/>
    <mergeCell ref="A21:A30"/>
    <mergeCell ref="B47:H47"/>
  </mergeCells>
  <phoneticPr fontId="13" type="noConversion"/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J318"/>
  <sheetViews>
    <sheetView workbookViewId="0">
      <selection activeCell="F9" sqref="F9"/>
    </sheetView>
  </sheetViews>
  <sheetFormatPr baseColWidth="10" defaultRowHeight="15"/>
  <cols>
    <col min="1" max="4" width="11.42578125" style="518"/>
    <col min="5" max="5" width="14.5703125" style="518" bestFit="1" customWidth="1"/>
    <col min="6" max="16384" width="11.42578125" style="518"/>
  </cols>
  <sheetData>
    <row r="2" spans="2:10">
      <c r="E2" s="548"/>
      <c r="F2" s="549" t="s">
        <v>493</v>
      </c>
      <c r="J2" s="550"/>
    </row>
    <row r="3" spans="2:10">
      <c r="F3" s="551" t="s">
        <v>494</v>
      </c>
      <c r="J3" s="550"/>
    </row>
    <row r="4" spans="2:10">
      <c r="F4" s="551" t="s">
        <v>495</v>
      </c>
      <c r="J4" s="550"/>
    </row>
    <row r="5" spans="2:10">
      <c r="F5" s="551"/>
      <c r="J5" s="550"/>
    </row>
    <row r="6" spans="2:10">
      <c r="B6" s="518" t="s">
        <v>496</v>
      </c>
      <c r="F6" s="551"/>
      <c r="J6" s="550"/>
    </row>
    <row r="7" spans="2:10">
      <c r="C7" s="518" t="s">
        <v>497</v>
      </c>
      <c r="E7" s="552">
        <v>1000000</v>
      </c>
      <c r="F7" s="551"/>
      <c r="J7" s="550"/>
    </row>
    <row r="8" spans="2:10">
      <c r="C8" s="518" t="s">
        <v>498</v>
      </c>
      <c r="F8" s="551"/>
      <c r="J8" s="550"/>
    </row>
    <row r="9" spans="2:10">
      <c r="C9" s="518" t="s">
        <v>499</v>
      </c>
      <c r="F9" s="551"/>
      <c r="J9" s="550"/>
    </row>
    <row r="10" spans="2:10">
      <c r="C10" s="518" t="s">
        <v>500</v>
      </c>
      <c r="F10" s="551"/>
      <c r="J10" s="550"/>
    </row>
    <row r="11" spans="2:10">
      <c r="C11" s="518" t="s">
        <v>501</v>
      </c>
      <c r="F11" s="551"/>
      <c r="J11" s="550"/>
    </row>
    <row r="12" spans="2:10">
      <c r="C12" s="518" t="s">
        <v>502</v>
      </c>
      <c r="E12" s="553">
        <v>0.95</v>
      </c>
      <c r="F12" s="551"/>
      <c r="J12" s="550"/>
    </row>
    <row r="13" spans="2:10">
      <c r="F13" s="551"/>
      <c r="J13" s="550"/>
    </row>
    <row r="14" spans="2:10">
      <c r="B14" s="518" t="s">
        <v>503</v>
      </c>
      <c r="F14" s="551"/>
      <c r="J14" s="550"/>
    </row>
    <row r="15" spans="2:10">
      <c r="C15" s="518" t="s">
        <v>504</v>
      </c>
      <c r="E15" s="554">
        <v>1336.0219360281824</v>
      </c>
      <c r="F15" s="551"/>
      <c r="J15" s="550"/>
    </row>
    <row r="16" spans="2:10">
      <c r="C16" s="518" t="s">
        <v>505</v>
      </c>
      <c r="E16" s="552">
        <v>748.49070440629782</v>
      </c>
      <c r="F16" s="551"/>
      <c r="J16" s="550"/>
    </row>
    <row r="17" spans="1:10">
      <c r="C17" s="518" t="s">
        <v>506</v>
      </c>
      <c r="E17" s="552">
        <v>16466.795496938554</v>
      </c>
      <c r="F17" s="551"/>
      <c r="J17" s="550"/>
    </row>
    <row r="18" spans="1:10">
      <c r="F18" s="551"/>
      <c r="J18" s="550"/>
    </row>
    <row r="19" spans="1:10">
      <c r="B19" s="518" t="s">
        <v>507</v>
      </c>
      <c r="F19" s="551"/>
      <c r="J19" s="550"/>
    </row>
    <row r="20" spans="1:10">
      <c r="C20" s="518" t="s">
        <v>508</v>
      </c>
      <c r="E20" s="518">
        <v>22</v>
      </c>
      <c r="F20" s="551"/>
      <c r="J20" s="550"/>
    </row>
    <row r="21" spans="1:10">
      <c r="C21" s="518" t="s">
        <v>509</v>
      </c>
      <c r="E21" s="518">
        <v>0</v>
      </c>
      <c r="F21" s="551"/>
      <c r="J21" s="550"/>
    </row>
    <row r="22" spans="1:10">
      <c r="C22" s="518" t="s">
        <v>510</v>
      </c>
      <c r="E22" s="518">
        <v>0</v>
      </c>
      <c r="F22" s="551"/>
      <c r="J22" s="550"/>
    </row>
    <row r="23" spans="1:10">
      <c r="C23" s="518" t="s">
        <v>511</v>
      </c>
      <c r="E23" s="518">
        <v>0</v>
      </c>
      <c r="F23" s="551"/>
      <c r="J23" s="550"/>
    </row>
    <row r="24" spans="1:10">
      <c r="C24" s="518" t="s">
        <v>512</v>
      </c>
      <c r="E24" s="518">
        <v>1</v>
      </c>
      <c r="F24" s="551"/>
      <c r="J24" s="550"/>
    </row>
    <row r="25" spans="1:10">
      <c r="F25" s="549" t="s">
        <v>512</v>
      </c>
      <c r="J25" s="550"/>
    </row>
    <row r="26" spans="1:10">
      <c r="F26" s="551"/>
      <c r="J26" s="550"/>
    </row>
    <row r="27" spans="1:10">
      <c r="F27" s="551"/>
      <c r="J27" s="550"/>
    </row>
    <row r="28" spans="1:10">
      <c r="A28" s="555" t="s">
        <v>513</v>
      </c>
      <c r="F28" s="551"/>
      <c r="J28" s="550"/>
    </row>
    <row r="29" spans="1:10">
      <c r="F29" s="551"/>
      <c r="J29" s="550"/>
    </row>
    <row r="30" spans="1:10">
      <c r="A30" s="555" t="s">
        <v>514</v>
      </c>
      <c r="B30" s="555"/>
      <c r="C30" s="555"/>
      <c r="D30" s="555"/>
      <c r="E30" s="555"/>
      <c r="F30" s="549"/>
      <c r="G30" s="555"/>
      <c r="H30" s="555"/>
      <c r="I30" s="555"/>
      <c r="J30" s="556" t="s">
        <v>515</v>
      </c>
    </row>
    <row r="31" spans="1:10">
      <c r="F31" s="551"/>
      <c r="J31" s="550"/>
    </row>
    <row r="32" spans="1:10">
      <c r="B32" s="518" t="s">
        <v>516</v>
      </c>
      <c r="F32" s="551"/>
      <c r="J32" s="550"/>
    </row>
    <row r="33" spans="3:10">
      <c r="C33" s="518" t="s">
        <v>517</v>
      </c>
      <c r="F33" s="551"/>
      <c r="J33" s="550"/>
    </row>
    <row r="34" spans="3:10">
      <c r="C34" s="518" t="s">
        <v>518</v>
      </c>
      <c r="F34" s="551"/>
      <c r="J34" s="550"/>
    </row>
    <row r="35" spans="3:10">
      <c r="C35" s="518" t="s">
        <v>519</v>
      </c>
      <c r="F35" s="551"/>
      <c r="J35" s="550"/>
    </row>
    <row r="36" spans="3:10">
      <c r="C36" s="518" t="s">
        <v>520</v>
      </c>
      <c r="F36" s="551"/>
      <c r="J36" s="550"/>
    </row>
    <row r="37" spans="3:10">
      <c r="C37" s="518" t="s">
        <v>521</v>
      </c>
      <c r="F37" s="551"/>
      <c r="J37" s="550"/>
    </row>
    <row r="38" spans="3:10">
      <c r="F38" s="551"/>
      <c r="J38" s="550"/>
    </row>
    <row r="39" spans="3:10">
      <c r="F39" s="551"/>
      <c r="J39" s="550"/>
    </row>
    <row r="40" spans="3:10">
      <c r="F40" s="551"/>
      <c r="J40" s="550"/>
    </row>
    <row r="41" spans="3:10">
      <c r="F41" s="551"/>
      <c r="J41" s="550"/>
    </row>
    <row r="42" spans="3:10">
      <c r="F42" s="551"/>
      <c r="J42" s="550"/>
    </row>
    <row r="43" spans="3:10">
      <c r="F43" s="551"/>
      <c r="J43" s="550"/>
    </row>
    <row r="44" spans="3:10">
      <c r="F44" s="551"/>
      <c r="J44" s="550"/>
    </row>
    <row r="45" spans="3:10">
      <c r="F45" s="551"/>
      <c r="J45" s="550"/>
    </row>
    <row r="46" spans="3:10">
      <c r="F46" s="551"/>
      <c r="J46" s="550"/>
    </row>
    <row r="47" spans="3:10">
      <c r="F47" s="551"/>
      <c r="J47" s="550"/>
    </row>
    <row r="48" spans="3:10">
      <c r="F48" s="551"/>
      <c r="J48" s="550"/>
    </row>
    <row r="49" spans="2:10">
      <c r="F49" s="551"/>
      <c r="J49" s="550"/>
    </row>
    <row r="50" spans="2:10">
      <c r="F50" s="551"/>
      <c r="J50" s="550"/>
    </row>
    <row r="51" spans="2:10">
      <c r="F51" s="551"/>
      <c r="J51" s="550"/>
    </row>
    <row r="52" spans="2:10">
      <c r="F52" s="551"/>
      <c r="J52" s="550"/>
    </row>
    <row r="53" spans="2:10">
      <c r="F53" s="551"/>
      <c r="J53" s="550"/>
    </row>
    <row r="54" spans="2:10">
      <c r="F54" s="551"/>
      <c r="J54" s="550"/>
    </row>
    <row r="55" spans="2:10">
      <c r="F55" s="551"/>
      <c r="J55" s="550"/>
    </row>
    <row r="56" spans="2:10">
      <c r="B56" s="518" t="s">
        <v>522</v>
      </c>
      <c r="E56" s="557" t="s">
        <v>523</v>
      </c>
      <c r="F56" s="551"/>
      <c r="J56" s="550"/>
    </row>
    <row r="57" spans="2:10">
      <c r="C57" s="518" t="s">
        <v>524</v>
      </c>
      <c r="E57" s="552">
        <v>1000000</v>
      </c>
      <c r="F57" s="551"/>
      <c r="J57" s="550"/>
    </row>
    <row r="58" spans="2:10">
      <c r="C58" s="518" t="s">
        <v>525</v>
      </c>
      <c r="E58" s="558">
        <v>5327.1874538113188</v>
      </c>
      <c r="F58" s="551"/>
      <c r="J58" s="550"/>
    </row>
    <row r="59" spans="2:10">
      <c r="C59" s="518" t="s">
        <v>526</v>
      </c>
      <c r="E59" s="558">
        <v>4986.6553713373523</v>
      </c>
      <c r="F59" s="551"/>
      <c r="J59" s="550"/>
    </row>
    <row r="60" spans="2:10">
      <c r="C60" s="518" t="s">
        <v>527</v>
      </c>
      <c r="E60" s="559" t="s">
        <v>528</v>
      </c>
      <c r="F60" s="551"/>
      <c r="J60" s="550"/>
    </row>
    <row r="61" spans="2:10">
      <c r="C61" s="518" t="s">
        <v>529</v>
      </c>
      <c r="E61" s="558">
        <v>6784.28081595391</v>
      </c>
      <c r="F61" s="551"/>
      <c r="J61" s="550"/>
    </row>
    <row r="62" spans="2:10">
      <c r="C62" s="518" t="s">
        <v>530</v>
      </c>
      <c r="E62" s="558">
        <v>46026466.189720251</v>
      </c>
      <c r="F62" s="551"/>
      <c r="J62" s="550"/>
    </row>
    <row r="63" spans="2:10">
      <c r="C63" s="518" t="s">
        <v>531</v>
      </c>
      <c r="E63" s="560">
        <v>0.23331298624805225</v>
      </c>
      <c r="F63" s="551"/>
      <c r="J63" s="550"/>
    </row>
    <row r="64" spans="2:10">
      <c r="C64" s="518" t="s">
        <v>532</v>
      </c>
      <c r="E64" s="558">
        <v>2.6603239933825744</v>
      </c>
      <c r="F64" s="551"/>
      <c r="J64" s="550"/>
    </row>
    <row r="65" spans="1:10">
      <c r="C65" s="518" t="s">
        <v>533</v>
      </c>
      <c r="E65" s="558">
        <v>1.2735201970601051</v>
      </c>
      <c r="F65" s="551"/>
      <c r="J65" s="550"/>
    </row>
    <row r="66" spans="1:10">
      <c r="C66" s="518" t="s">
        <v>534</v>
      </c>
      <c r="E66" s="558">
        <v>-17356.073029871703</v>
      </c>
      <c r="F66" s="551"/>
      <c r="J66" s="550"/>
    </row>
    <row r="67" spans="1:10">
      <c r="C67" s="518" t="s">
        <v>535</v>
      </c>
      <c r="E67" s="558">
        <v>38437.449339204599</v>
      </c>
      <c r="F67" s="551"/>
      <c r="J67" s="550"/>
    </row>
    <row r="68" spans="1:10">
      <c r="C68" s="518" t="s">
        <v>536</v>
      </c>
      <c r="E68" s="558">
        <v>55793.522369076301</v>
      </c>
      <c r="F68" s="551"/>
      <c r="J68" s="550"/>
    </row>
    <row r="69" spans="1:10">
      <c r="C69" s="518" t="s">
        <v>537</v>
      </c>
      <c r="E69" s="558">
        <v>6.7842808159539105</v>
      </c>
      <c r="F69" s="551"/>
      <c r="J69" s="550"/>
    </row>
    <row r="70" spans="1:10">
      <c r="F70" s="551"/>
      <c r="J70" s="550"/>
    </row>
    <row r="71" spans="1:10">
      <c r="A71" s="555" t="s">
        <v>538</v>
      </c>
      <c r="B71" s="555"/>
      <c r="C71" s="555"/>
      <c r="D71" s="555"/>
      <c r="E71" s="555"/>
      <c r="F71" s="549"/>
      <c r="G71" s="555"/>
      <c r="H71" s="555"/>
      <c r="I71" s="555"/>
      <c r="J71" s="556" t="s">
        <v>515</v>
      </c>
    </row>
    <row r="72" spans="1:10">
      <c r="F72" s="551"/>
      <c r="J72" s="550"/>
    </row>
    <row r="73" spans="1:10">
      <c r="B73" s="518" t="s">
        <v>539</v>
      </c>
      <c r="E73" s="557" t="s">
        <v>523</v>
      </c>
      <c r="F73" s="551"/>
      <c r="J73" s="550"/>
    </row>
    <row r="74" spans="1:10">
      <c r="C74" s="518" t="s">
        <v>540</v>
      </c>
      <c r="E74" s="558">
        <v>-17356.073029871703</v>
      </c>
      <c r="F74" s="551"/>
      <c r="J74" s="550"/>
    </row>
    <row r="75" spans="1:10">
      <c r="C75" s="518" t="s">
        <v>541</v>
      </c>
      <c r="E75" s="558">
        <v>-3292.7389309097089</v>
      </c>
      <c r="F75" s="551"/>
      <c r="J75" s="550"/>
    </row>
    <row r="76" spans="1:10">
      <c r="C76" s="518" t="s">
        <v>542</v>
      </c>
      <c r="E76" s="558">
        <v>-774.01513218207765</v>
      </c>
      <c r="F76" s="551"/>
      <c r="J76" s="550"/>
    </row>
    <row r="77" spans="1:10">
      <c r="C77" s="518" t="s">
        <v>543</v>
      </c>
      <c r="E77" s="558">
        <v>1255.7843772133638</v>
      </c>
      <c r="F77" s="551"/>
      <c r="J77" s="550"/>
    </row>
    <row r="78" spans="1:10">
      <c r="C78" s="518" t="s">
        <v>544</v>
      </c>
      <c r="E78" s="558">
        <v>3129.6393824508377</v>
      </c>
      <c r="F78" s="551"/>
      <c r="J78" s="550"/>
    </row>
    <row r="79" spans="1:10">
      <c r="C79" s="518" t="s">
        <v>545</v>
      </c>
      <c r="E79" s="558">
        <v>4986.6523852838618</v>
      </c>
      <c r="F79" s="551"/>
      <c r="J79" s="550"/>
    </row>
    <row r="80" spans="1:10">
      <c r="C80" s="518" t="s">
        <v>546</v>
      </c>
      <c r="E80" s="558">
        <v>6902.7362841040558</v>
      </c>
      <c r="F80" s="551"/>
      <c r="J80" s="550"/>
    </row>
    <row r="81" spans="1:10">
      <c r="C81" s="518" t="s">
        <v>547</v>
      </c>
      <c r="E81" s="558">
        <v>8955.0111648166057</v>
      </c>
      <c r="F81" s="551"/>
      <c r="J81" s="550"/>
    </row>
    <row r="82" spans="1:10">
      <c r="C82" s="518" t="s">
        <v>548</v>
      </c>
      <c r="E82" s="558">
        <v>11296.641943088212</v>
      </c>
      <c r="F82" s="551"/>
      <c r="J82" s="550"/>
    </row>
    <row r="83" spans="1:10">
      <c r="C83" s="518" t="s">
        <v>549</v>
      </c>
      <c r="E83" s="558">
        <v>14419.508497713068</v>
      </c>
      <c r="F83" s="551"/>
      <c r="J83" s="550"/>
    </row>
    <row r="84" spans="1:10">
      <c r="C84" s="518" t="s">
        <v>550</v>
      </c>
      <c r="E84" s="558">
        <v>38437.449339204599</v>
      </c>
      <c r="F84" s="551"/>
      <c r="J84" s="550"/>
    </row>
    <row r="85" spans="1:10">
      <c r="F85" s="551"/>
      <c r="J85" s="550"/>
    </row>
    <row r="86" spans="1:10">
      <c r="A86" s="518" t="s">
        <v>551</v>
      </c>
      <c r="F86" s="551"/>
      <c r="J86" s="550"/>
    </row>
    <row r="87" spans="1:10">
      <c r="F87" s="549" t="s">
        <v>508</v>
      </c>
      <c r="J87" s="550"/>
    </row>
    <row r="88" spans="1:10">
      <c r="F88" s="551"/>
      <c r="J88" s="550"/>
    </row>
    <row r="89" spans="1:10">
      <c r="F89" s="551"/>
      <c r="J89" s="550"/>
    </row>
    <row r="90" spans="1:10">
      <c r="A90" s="555" t="s">
        <v>513</v>
      </c>
      <c r="F90" s="551"/>
      <c r="J90" s="550"/>
    </row>
    <row r="91" spans="1:10">
      <c r="F91" s="551"/>
      <c r="J91" s="550"/>
    </row>
    <row r="92" spans="1:10">
      <c r="A92" s="555" t="s">
        <v>552</v>
      </c>
      <c r="B92" s="555"/>
      <c r="C92" s="555"/>
      <c r="D92" s="555"/>
      <c r="E92" s="555"/>
      <c r="F92" s="549"/>
      <c r="G92" s="555"/>
      <c r="H92" s="555"/>
      <c r="I92" s="555"/>
      <c r="J92" s="556" t="s">
        <v>553</v>
      </c>
    </row>
    <row r="93" spans="1:10">
      <c r="F93" s="551"/>
      <c r="J93" s="550"/>
    </row>
    <row r="94" spans="1:10">
      <c r="B94" s="518" t="s">
        <v>554</v>
      </c>
      <c r="F94" s="551"/>
      <c r="J94" s="550"/>
    </row>
    <row r="95" spans="1:10">
      <c r="C95" s="518" t="s">
        <v>525</v>
      </c>
      <c r="E95" s="561">
        <v>50</v>
      </c>
      <c r="F95" s="551"/>
      <c r="J95" s="550"/>
    </row>
    <row r="96" spans="1:10">
      <c r="C96" s="518" t="s">
        <v>555</v>
      </c>
      <c r="E96" s="561">
        <v>5</v>
      </c>
      <c r="F96" s="551"/>
      <c r="J96" s="550"/>
    </row>
    <row r="97" spans="1:10">
      <c r="E97" s="557"/>
      <c r="F97" s="551"/>
      <c r="J97" s="550"/>
    </row>
    <row r="98" spans="1:10">
      <c r="E98" s="557"/>
      <c r="F98" s="551"/>
      <c r="J98" s="550"/>
    </row>
    <row r="99" spans="1:10">
      <c r="F99" s="551"/>
      <c r="J99" s="550"/>
    </row>
    <row r="100" spans="1:10">
      <c r="F100" s="551"/>
      <c r="J100" s="550"/>
    </row>
    <row r="101" spans="1:10">
      <c r="F101" s="551"/>
      <c r="J101" s="550"/>
    </row>
    <row r="102" spans="1:10">
      <c r="A102" s="555" t="s">
        <v>556</v>
      </c>
      <c r="B102" s="555"/>
      <c r="C102" s="555"/>
      <c r="D102" s="555"/>
      <c r="E102" s="555"/>
      <c r="F102" s="549"/>
      <c r="G102" s="555"/>
      <c r="H102" s="555"/>
      <c r="I102" s="555"/>
      <c r="J102" s="556" t="s">
        <v>557</v>
      </c>
    </row>
    <row r="103" spans="1:10">
      <c r="F103" s="551"/>
      <c r="J103" s="550"/>
    </row>
    <row r="104" spans="1:10">
      <c r="B104" s="518" t="s">
        <v>554</v>
      </c>
      <c r="F104" s="551"/>
      <c r="J104" s="550"/>
    </row>
    <row r="105" spans="1:10">
      <c r="C105" s="518" t="s">
        <v>525</v>
      </c>
      <c r="E105" s="561">
        <v>50</v>
      </c>
      <c r="F105" s="551"/>
      <c r="J105" s="550"/>
    </row>
    <row r="106" spans="1:10">
      <c r="C106" s="518" t="s">
        <v>555</v>
      </c>
      <c r="E106" s="561">
        <v>5</v>
      </c>
      <c r="F106" s="551"/>
      <c r="J106" s="550"/>
    </row>
    <row r="107" spans="1:10">
      <c r="E107" s="557"/>
      <c r="F107" s="551"/>
      <c r="J107" s="550"/>
    </row>
    <row r="108" spans="1:10">
      <c r="E108" s="557"/>
      <c r="F108" s="551"/>
      <c r="J108" s="550"/>
    </row>
    <row r="109" spans="1:10">
      <c r="F109" s="551"/>
      <c r="J109" s="550"/>
    </row>
    <row r="110" spans="1:10">
      <c r="F110" s="551"/>
      <c r="J110" s="550"/>
    </row>
    <row r="111" spans="1:10">
      <c r="F111" s="551"/>
      <c r="J111" s="550"/>
    </row>
    <row r="112" spans="1:10">
      <c r="A112" s="555" t="s">
        <v>558</v>
      </c>
      <c r="B112" s="555"/>
      <c r="C112" s="555"/>
      <c r="D112" s="555"/>
      <c r="E112" s="555"/>
      <c r="F112" s="549"/>
      <c r="G112" s="555"/>
      <c r="H112" s="555"/>
      <c r="I112" s="555"/>
      <c r="J112" s="556" t="s">
        <v>559</v>
      </c>
    </row>
    <row r="113" spans="1:10">
      <c r="F113" s="551"/>
      <c r="J113" s="550"/>
    </row>
    <row r="114" spans="1:10">
      <c r="B114" s="518" t="s">
        <v>560</v>
      </c>
      <c r="F114" s="551"/>
      <c r="J114" s="550"/>
    </row>
    <row r="115" spans="1:10">
      <c r="C115" s="518" t="s">
        <v>534</v>
      </c>
      <c r="E115" s="562">
        <v>453.6</v>
      </c>
      <c r="F115" s="551"/>
      <c r="J115" s="550"/>
    </row>
    <row r="116" spans="1:10">
      <c r="C116" s="518" t="s">
        <v>535</v>
      </c>
      <c r="E116" s="562">
        <v>554.4</v>
      </c>
      <c r="F116" s="551"/>
      <c r="J116" s="550"/>
    </row>
    <row r="117" spans="1:10">
      <c r="E117" s="557"/>
      <c r="F117" s="551"/>
      <c r="J117" s="550"/>
    </row>
    <row r="118" spans="1:10">
      <c r="E118" s="557"/>
      <c r="F118" s="551"/>
      <c r="J118" s="550"/>
    </row>
    <row r="119" spans="1:10">
      <c r="F119" s="551"/>
      <c r="J119" s="550"/>
    </row>
    <row r="120" spans="1:10">
      <c r="F120" s="551"/>
      <c r="J120" s="550"/>
    </row>
    <row r="121" spans="1:10">
      <c r="F121" s="551"/>
      <c r="J121" s="550"/>
    </row>
    <row r="122" spans="1:10">
      <c r="A122" s="555" t="s">
        <v>561</v>
      </c>
      <c r="B122" s="555"/>
      <c r="C122" s="555"/>
      <c r="D122" s="555"/>
      <c r="E122" s="555"/>
      <c r="F122" s="549"/>
      <c r="G122" s="555"/>
      <c r="H122" s="555"/>
      <c r="I122" s="555"/>
      <c r="J122" s="556" t="s">
        <v>562</v>
      </c>
    </row>
    <row r="123" spans="1:10">
      <c r="F123" s="551"/>
      <c r="J123" s="550"/>
    </row>
    <row r="124" spans="1:10">
      <c r="B124" s="518" t="s">
        <v>554</v>
      </c>
      <c r="F124" s="551"/>
      <c r="J124" s="550"/>
    </row>
    <row r="125" spans="1:10">
      <c r="C125" s="518" t="s">
        <v>525</v>
      </c>
      <c r="E125" s="561">
        <v>80</v>
      </c>
      <c r="F125" s="551"/>
      <c r="J125" s="550"/>
    </row>
    <row r="126" spans="1:10">
      <c r="C126" s="518" t="s">
        <v>555</v>
      </c>
      <c r="E126" s="561">
        <v>8</v>
      </c>
      <c r="F126" s="551"/>
      <c r="J126" s="550"/>
    </row>
    <row r="127" spans="1:10">
      <c r="E127" s="557"/>
      <c r="F127" s="551"/>
      <c r="J127" s="550"/>
    </row>
    <row r="128" spans="1:10">
      <c r="E128" s="557"/>
      <c r="F128" s="551"/>
      <c r="J128" s="550"/>
    </row>
    <row r="129" spans="1:10">
      <c r="F129" s="551"/>
      <c r="J129" s="550"/>
    </row>
    <row r="130" spans="1:10">
      <c r="F130" s="551"/>
      <c r="J130" s="550"/>
    </row>
    <row r="131" spans="1:10">
      <c r="F131" s="551"/>
      <c r="J131" s="550"/>
    </row>
    <row r="132" spans="1:10">
      <c r="A132" s="555" t="s">
        <v>563</v>
      </c>
      <c r="B132" s="555"/>
      <c r="C132" s="555"/>
      <c r="D132" s="555"/>
      <c r="E132" s="555"/>
      <c r="F132" s="549"/>
      <c r="G132" s="555"/>
      <c r="H132" s="555"/>
      <c r="I132" s="555"/>
      <c r="J132" s="556" t="s">
        <v>564</v>
      </c>
    </row>
    <row r="133" spans="1:10">
      <c r="F133" s="551"/>
      <c r="J133" s="550"/>
    </row>
    <row r="134" spans="1:10">
      <c r="B134" s="518" t="s">
        <v>554</v>
      </c>
      <c r="F134" s="551"/>
      <c r="J134" s="550"/>
    </row>
    <row r="135" spans="1:10">
      <c r="C135" s="518" t="s">
        <v>525</v>
      </c>
      <c r="E135" s="561">
        <v>120</v>
      </c>
      <c r="F135" s="551"/>
      <c r="J135" s="550"/>
    </row>
    <row r="136" spans="1:10">
      <c r="C136" s="518" t="s">
        <v>555</v>
      </c>
      <c r="E136" s="561">
        <v>12</v>
      </c>
      <c r="F136" s="551"/>
      <c r="J136" s="550"/>
    </row>
    <row r="137" spans="1:10">
      <c r="E137" s="557"/>
      <c r="F137" s="551"/>
      <c r="J137" s="550"/>
    </row>
    <row r="138" spans="1:10">
      <c r="E138" s="557"/>
      <c r="F138" s="551"/>
      <c r="J138" s="550"/>
    </row>
    <row r="139" spans="1:10">
      <c r="F139" s="551"/>
      <c r="J139" s="550"/>
    </row>
    <row r="140" spans="1:10">
      <c r="F140" s="551"/>
      <c r="J140" s="550"/>
    </row>
    <row r="141" spans="1:10">
      <c r="F141" s="551"/>
      <c r="J141" s="550"/>
    </row>
    <row r="142" spans="1:10">
      <c r="A142" s="555" t="s">
        <v>565</v>
      </c>
      <c r="B142" s="555"/>
      <c r="C142" s="555"/>
      <c r="D142" s="555"/>
      <c r="E142" s="555"/>
      <c r="F142" s="549"/>
      <c r="G142" s="555"/>
      <c r="H142" s="555"/>
      <c r="I142" s="555"/>
      <c r="J142" s="556" t="s">
        <v>566</v>
      </c>
    </row>
    <row r="143" spans="1:10">
      <c r="F143" s="551"/>
      <c r="J143" s="550"/>
    </row>
    <row r="144" spans="1:10">
      <c r="B144" s="518" t="s">
        <v>554</v>
      </c>
      <c r="F144" s="551"/>
      <c r="J144" s="550"/>
    </row>
    <row r="145" spans="1:10">
      <c r="C145" s="518" t="s">
        <v>525</v>
      </c>
      <c r="E145" s="561">
        <v>120</v>
      </c>
      <c r="F145" s="551"/>
      <c r="J145" s="550"/>
    </row>
    <row r="146" spans="1:10">
      <c r="C146" s="518" t="s">
        <v>555</v>
      </c>
      <c r="E146" s="561">
        <v>12</v>
      </c>
      <c r="F146" s="551"/>
      <c r="J146" s="550"/>
    </row>
    <row r="147" spans="1:10">
      <c r="E147" s="557"/>
      <c r="F147" s="551"/>
      <c r="J147" s="550"/>
    </row>
    <row r="148" spans="1:10">
      <c r="E148" s="557"/>
      <c r="F148" s="551"/>
      <c r="J148" s="550"/>
    </row>
    <row r="149" spans="1:10">
      <c r="F149" s="551"/>
      <c r="J149" s="550"/>
    </row>
    <row r="150" spans="1:10">
      <c r="F150" s="551"/>
      <c r="J150" s="550"/>
    </row>
    <row r="151" spans="1:10">
      <c r="F151" s="551"/>
      <c r="J151" s="550"/>
    </row>
    <row r="152" spans="1:10">
      <c r="A152" s="555" t="s">
        <v>567</v>
      </c>
      <c r="B152" s="555"/>
      <c r="C152" s="555"/>
      <c r="D152" s="555"/>
      <c r="E152" s="555"/>
      <c r="F152" s="549"/>
      <c r="G152" s="555"/>
      <c r="H152" s="555"/>
      <c r="I152" s="555"/>
      <c r="J152" s="556" t="s">
        <v>568</v>
      </c>
    </row>
    <row r="153" spans="1:10">
      <c r="F153" s="551"/>
      <c r="J153" s="550"/>
    </row>
    <row r="154" spans="1:10">
      <c r="B154" s="518" t="s">
        <v>554</v>
      </c>
      <c r="F154" s="551"/>
      <c r="J154" s="550"/>
    </row>
    <row r="155" spans="1:10">
      <c r="C155" s="518" t="s">
        <v>525</v>
      </c>
      <c r="E155" s="561">
        <v>80</v>
      </c>
      <c r="F155" s="551"/>
      <c r="J155" s="550"/>
    </row>
    <row r="156" spans="1:10">
      <c r="C156" s="518" t="s">
        <v>555</v>
      </c>
      <c r="E156" s="561">
        <v>8</v>
      </c>
      <c r="F156" s="551"/>
      <c r="J156" s="550"/>
    </row>
    <row r="157" spans="1:10">
      <c r="E157" s="557"/>
      <c r="F157" s="551"/>
      <c r="J157" s="550"/>
    </row>
    <row r="158" spans="1:10">
      <c r="E158" s="557"/>
      <c r="F158" s="551"/>
      <c r="J158" s="550"/>
    </row>
    <row r="159" spans="1:10">
      <c r="F159" s="551"/>
      <c r="J159" s="550"/>
    </row>
    <row r="160" spans="1:10">
      <c r="F160" s="551"/>
      <c r="J160" s="550"/>
    </row>
    <row r="161" spans="1:10">
      <c r="F161" s="551"/>
      <c r="J161" s="550"/>
    </row>
    <row r="162" spans="1:10">
      <c r="A162" s="555" t="s">
        <v>569</v>
      </c>
      <c r="B162" s="555"/>
      <c r="C162" s="555"/>
      <c r="D162" s="555"/>
      <c r="E162" s="555"/>
      <c r="F162" s="549"/>
      <c r="G162" s="555"/>
      <c r="H162" s="555"/>
      <c r="I162" s="555"/>
      <c r="J162" s="556" t="s">
        <v>570</v>
      </c>
    </row>
    <row r="163" spans="1:10">
      <c r="F163" s="551"/>
      <c r="J163" s="550"/>
    </row>
    <row r="164" spans="1:10">
      <c r="B164" s="518" t="s">
        <v>571</v>
      </c>
      <c r="F164" s="551"/>
      <c r="J164" s="550"/>
    </row>
    <row r="165" spans="1:10">
      <c r="C165" s="518" t="s">
        <v>525</v>
      </c>
      <c r="E165" s="563">
        <v>0.23100000000000001</v>
      </c>
      <c r="F165" s="551"/>
      <c r="J165" s="550"/>
    </row>
    <row r="166" spans="1:10">
      <c r="C166" s="518" t="s">
        <v>555</v>
      </c>
      <c r="E166" s="563">
        <v>2.3099999999999999E-2</v>
      </c>
      <c r="F166" s="551"/>
      <c r="J166" s="550"/>
    </row>
    <row r="167" spans="1:10">
      <c r="E167" s="557"/>
      <c r="F167" s="551"/>
      <c r="J167" s="550"/>
    </row>
    <row r="168" spans="1:10">
      <c r="E168" s="557"/>
      <c r="F168" s="551"/>
      <c r="J168" s="550"/>
    </row>
    <row r="169" spans="1:10">
      <c r="F169" s="551"/>
      <c r="J169" s="550"/>
    </row>
    <row r="170" spans="1:10">
      <c r="F170" s="551"/>
      <c r="J170" s="550"/>
    </row>
    <row r="171" spans="1:10">
      <c r="F171" s="551"/>
      <c r="J171" s="550"/>
    </row>
    <row r="172" spans="1:10">
      <c r="A172" s="555" t="s">
        <v>572</v>
      </c>
      <c r="B172" s="555"/>
      <c r="C172" s="555"/>
      <c r="D172" s="555"/>
      <c r="E172" s="555"/>
      <c r="F172" s="549"/>
      <c r="G172" s="555"/>
      <c r="H172" s="555"/>
      <c r="I172" s="555"/>
      <c r="J172" s="556" t="s">
        <v>573</v>
      </c>
    </row>
    <row r="173" spans="1:10">
      <c r="F173" s="551"/>
      <c r="J173" s="550"/>
    </row>
    <row r="174" spans="1:10">
      <c r="B174" s="518" t="s">
        <v>554</v>
      </c>
      <c r="F174" s="551"/>
      <c r="J174" s="550"/>
    </row>
    <row r="175" spans="1:10">
      <c r="C175" s="518" t="s">
        <v>525</v>
      </c>
      <c r="E175" s="561">
        <v>100</v>
      </c>
      <c r="F175" s="551"/>
      <c r="J175" s="550"/>
    </row>
    <row r="176" spans="1:10">
      <c r="C176" s="518" t="s">
        <v>555</v>
      </c>
      <c r="E176" s="561">
        <v>10</v>
      </c>
      <c r="F176" s="551"/>
      <c r="J176" s="550"/>
    </row>
    <row r="177" spans="1:10">
      <c r="E177" s="557"/>
      <c r="F177" s="551"/>
      <c r="J177" s="550"/>
    </row>
    <row r="178" spans="1:10">
      <c r="E178" s="557"/>
      <c r="F178" s="551"/>
      <c r="J178" s="550"/>
    </row>
    <row r="179" spans="1:10">
      <c r="F179" s="551"/>
      <c r="J179" s="550"/>
    </row>
    <row r="180" spans="1:10">
      <c r="F180" s="551"/>
      <c r="J180" s="550"/>
    </row>
    <row r="181" spans="1:10">
      <c r="F181" s="551"/>
      <c r="J181" s="550"/>
    </row>
    <row r="182" spans="1:10">
      <c r="A182" s="555" t="s">
        <v>574</v>
      </c>
      <c r="B182" s="555"/>
      <c r="C182" s="555"/>
      <c r="D182" s="555"/>
      <c r="E182" s="555"/>
      <c r="F182" s="549"/>
      <c r="G182" s="555"/>
      <c r="H182" s="555"/>
      <c r="I182" s="555"/>
      <c r="J182" s="556" t="s">
        <v>575</v>
      </c>
    </row>
    <row r="183" spans="1:10">
      <c r="F183" s="551"/>
      <c r="J183" s="550"/>
    </row>
    <row r="184" spans="1:10">
      <c r="B184" s="518" t="s">
        <v>554</v>
      </c>
      <c r="F184" s="551"/>
      <c r="J184" s="550"/>
    </row>
    <row r="185" spans="1:10">
      <c r="C185" s="518" t="s">
        <v>525</v>
      </c>
      <c r="E185" s="561">
        <v>130</v>
      </c>
      <c r="F185" s="551"/>
      <c r="J185" s="550"/>
    </row>
    <row r="186" spans="1:10">
      <c r="C186" s="518" t="s">
        <v>555</v>
      </c>
      <c r="E186" s="561">
        <v>13</v>
      </c>
      <c r="F186" s="551"/>
      <c r="J186" s="550"/>
    </row>
    <row r="187" spans="1:10">
      <c r="E187" s="557"/>
      <c r="F187" s="551"/>
      <c r="J187" s="550"/>
    </row>
    <row r="188" spans="1:10">
      <c r="E188" s="557"/>
      <c r="F188" s="551"/>
      <c r="J188" s="550"/>
    </row>
    <row r="189" spans="1:10">
      <c r="F189" s="551"/>
      <c r="J189" s="550"/>
    </row>
    <row r="190" spans="1:10">
      <c r="F190" s="551"/>
      <c r="J190" s="550"/>
    </row>
    <row r="191" spans="1:10">
      <c r="F191" s="551"/>
      <c r="J191" s="550"/>
    </row>
    <row r="192" spans="1:10">
      <c r="A192" s="555" t="s">
        <v>576</v>
      </c>
      <c r="B192" s="555"/>
      <c r="C192" s="555"/>
      <c r="D192" s="555"/>
      <c r="E192" s="555"/>
      <c r="F192" s="549"/>
      <c r="G192" s="555"/>
      <c r="H192" s="555"/>
      <c r="I192" s="555"/>
      <c r="J192" s="556" t="s">
        <v>577</v>
      </c>
    </row>
    <row r="193" spans="1:10">
      <c r="F193" s="551"/>
      <c r="J193" s="550"/>
    </row>
    <row r="194" spans="1:10">
      <c r="B194" s="518" t="s">
        <v>554</v>
      </c>
      <c r="F194" s="551"/>
      <c r="J194" s="550"/>
    </row>
    <row r="195" spans="1:10">
      <c r="C195" s="518" t="s">
        <v>525</v>
      </c>
      <c r="E195" s="561">
        <v>130</v>
      </c>
      <c r="F195" s="551"/>
      <c r="J195" s="550"/>
    </row>
    <row r="196" spans="1:10">
      <c r="C196" s="518" t="s">
        <v>555</v>
      </c>
      <c r="E196" s="561">
        <v>13</v>
      </c>
      <c r="F196" s="551"/>
      <c r="J196" s="550"/>
    </row>
    <row r="197" spans="1:10">
      <c r="E197" s="557"/>
      <c r="F197" s="551"/>
      <c r="J197" s="550"/>
    </row>
    <row r="198" spans="1:10">
      <c r="E198" s="557"/>
      <c r="F198" s="551"/>
      <c r="J198" s="550"/>
    </row>
    <row r="199" spans="1:10">
      <c r="F199" s="551"/>
      <c r="J199" s="550"/>
    </row>
    <row r="200" spans="1:10">
      <c r="F200" s="551"/>
      <c r="J200" s="550"/>
    </row>
    <row r="201" spans="1:10">
      <c r="F201" s="551"/>
      <c r="J201" s="550"/>
    </row>
    <row r="202" spans="1:10">
      <c r="A202" s="555" t="s">
        <v>578</v>
      </c>
      <c r="B202" s="555"/>
      <c r="C202" s="555"/>
      <c r="D202" s="555"/>
      <c r="E202" s="555"/>
      <c r="F202" s="549"/>
      <c r="G202" s="555"/>
      <c r="H202" s="555"/>
      <c r="I202" s="555"/>
      <c r="J202" s="556" t="s">
        <v>579</v>
      </c>
    </row>
    <row r="203" spans="1:10">
      <c r="F203" s="551"/>
      <c r="J203" s="550"/>
    </row>
    <row r="204" spans="1:10">
      <c r="B204" s="518" t="s">
        <v>554</v>
      </c>
      <c r="F204" s="551"/>
      <c r="J204" s="550"/>
    </row>
    <row r="205" spans="1:10">
      <c r="C205" s="518" t="s">
        <v>525</v>
      </c>
      <c r="E205" s="561">
        <v>100</v>
      </c>
      <c r="F205" s="551"/>
      <c r="J205" s="550"/>
    </row>
    <row r="206" spans="1:10">
      <c r="C206" s="518" t="s">
        <v>555</v>
      </c>
      <c r="E206" s="561">
        <v>10</v>
      </c>
      <c r="F206" s="551"/>
      <c r="J206" s="550"/>
    </row>
    <row r="207" spans="1:10">
      <c r="E207" s="557"/>
      <c r="F207" s="551"/>
      <c r="J207" s="550"/>
    </row>
    <row r="208" spans="1:10">
      <c r="E208" s="557"/>
      <c r="F208" s="551"/>
      <c r="J208" s="550"/>
    </row>
    <row r="209" spans="1:10">
      <c r="F209" s="551"/>
      <c r="J209" s="550"/>
    </row>
    <row r="210" spans="1:10">
      <c r="F210" s="551"/>
      <c r="J210" s="550"/>
    </row>
    <row r="211" spans="1:10">
      <c r="F211" s="551"/>
      <c r="J211" s="550"/>
    </row>
    <row r="212" spans="1:10">
      <c r="A212" s="555" t="s">
        <v>580</v>
      </c>
      <c r="B212" s="555"/>
      <c r="C212" s="555"/>
      <c r="D212" s="555"/>
      <c r="E212" s="555"/>
      <c r="F212" s="549"/>
      <c r="G212" s="555"/>
      <c r="H212" s="555"/>
      <c r="I212" s="555"/>
      <c r="J212" s="556" t="s">
        <v>581</v>
      </c>
    </row>
    <row r="213" spans="1:10">
      <c r="F213" s="551"/>
      <c r="J213" s="550"/>
    </row>
    <row r="214" spans="1:10">
      <c r="B214" s="518" t="s">
        <v>554</v>
      </c>
      <c r="F214" s="551"/>
      <c r="J214" s="550"/>
    </row>
    <row r="215" spans="1:10">
      <c r="C215" s="518" t="s">
        <v>525</v>
      </c>
      <c r="E215" s="561">
        <v>30</v>
      </c>
      <c r="F215" s="551"/>
      <c r="J215" s="550"/>
    </row>
    <row r="216" spans="1:10">
      <c r="C216" s="518" t="s">
        <v>555</v>
      </c>
      <c r="E216" s="561">
        <v>3</v>
      </c>
      <c r="F216" s="551"/>
      <c r="J216" s="550"/>
    </row>
    <row r="217" spans="1:10">
      <c r="E217" s="557"/>
      <c r="F217" s="551"/>
      <c r="J217" s="550"/>
    </row>
    <row r="218" spans="1:10">
      <c r="E218" s="557"/>
      <c r="F218" s="551"/>
      <c r="J218" s="550"/>
    </row>
    <row r="219" spans="1:10">
      <c r="F219" s="551"/>
      <c r="J219" s="550"/>
    </row>
    <row r="220" spans="1:10">
      <c r="F220" s="551"/>
      <c r="J220" s="550"/>
    </row>
    <row r="221" spans="1:10">
      <c r="F221" s="551"/>
      <c r="J221" s="550"/>
    </row>
    <row r="222" spans="1:10">
      <c r="A222" s="555" t="s">
        <v>582</v>
      </c>
      <c r="B222" s="555"/>
      <c r="C222" s="555"/>
      <c r="D222" s="555"/>
      <c r="E222" s="555"/>
      <c r="F222" s="549"/>
      <c r="G222" s="555"/>
      <c r="H222" s="555"/>
      <c r="I222" s="555"/>
      <c r="J222" s="556" t="s">
        <v>583</v>
      </c>
    </row>
    <row r="223" spans="1:10">
      <c r="F223" s="551"/>
      <c r="J223" s="550"/>
    </row>
    <row r="224" spans="1:10">
      <c r="B224" s="518" t="s">
        <v>554</v>
      </c>
      <c r="F224" s="551"/>
      <c r="J224" s="550"/>
    </row>
    <row r="225" spans="1:10">
      <c r="C225" s="518" t="s">
        <v>525</v>
      </c>
      <c r="E225" s="561">
        <v>130</v>
      </c>
      <c r="F225" s="551"/>
      <c r="J225" s="550"/>
    </row>
    <row r="226" spans="1:10">
      <c r="C226" s="518" t="s">
        <v>555</v>
      </c>
      <c r="E226" s="561">
        <v>13</v>
      </c>
      <c r="F226" s="551"/>
      <c r="J226" s="550"/>
    </row>
    <row r="227" spans="1:10">
      <c r="E227" s="557"/>
      <c r="F227" s="551"/>
      <c r="J227" s="550"/>
    </row>
    <row r="228" spans="1:10">
      <c r="E228" s="557"/>
      <c r="F228" s="551"/>
      <c r="J228" s="550"/>
    </row>
    <row r="229" spans="1:10">
      <c r="F229" s="551"/>
      <c r="J229" s="550"/>
    </row>
    <row r="230" spans="1:10">
      <c r="F230" s="551"/>
      <c r="J230" s="550"/>
    </row>
    <row r="231" spans="1:10">
      <c r="F231" s="551"/>
      <c r="J231" s="550"/>
    </row>
    <row r="232" spans="1:10">
      <c r="A232" s="555" t="s">
        <v>584</v>
      </c>
      <c r="B232" s="555"/>
      <c r="C232" s="555"/>
      <c r="D232" s="555"/>
      <c r="E232" s="555"/>
      <c r="F232" s="549"/>
      <c r="G232" s="555"/>
      <c r="H232" s="555"/>
      <c r="I232" s="555"/>
      <c r="J232" s="556" t="s">
        <v>585</v>
      </c>
    </row>
    <row r="233" spans="1:10">
      <c r="F233" s="551"/>
      <c r="J233" s="550"/>
    </row>
    <row r="234" spans="1:10">
      <c r="B234" s="518" t="s">
        <v>554</v>
      </c>
      <c r="F234" s="551"/>
      <c r="J234" s="550"/>
    </row>
    <row r="235" spans="1:10">
      <c r="C235" s="518" t="s">
        <v>525</v>
      </c>
      <c r="E235" s="561">
        <v>130</v>
      </c>
      <c r="F235" s="551"/>
      <c r="J235" s="550"/>
    </row>
    <row r="236" spans="1:10">
      <c r="C236" s="518" t="s">
        <v>555</v>
      </c>
      <c r="E236" s="561">
        <v>13</v>
      </c>
      <c r="F236" s="551"/>
      <c r="J236" s="550"/>
    </row>
    <row r="237" spans="1:10">
      <c r="E237" s="557"/>
      <c r="F237" s="551"/>
      <c r="J237" s="550"/>
    </row>
    <row r="238" spans="1:10">
      <c r="E238" s="557"/>
      <c r="F238" s="551"/>
      <c r="J238" s="550"/>
    </row>
    <row r="239" spans="1:10">
      <c r="F239" s="551"/>
      <c r="J239" s="550"/>
    </row>
    <row r="240" spans="1:10">
      <c r="F240" s="551"/>
      <c r="J240" s="550"/>
    </row>
    <row r="241" spans="1:10">
      <c r="F241" s="551"/>
      <c r="J241" s="550"/>
    </row>
    <row r="242" spans="1:10">
      <c r="A242" s="555" t="s">
        <v>586</v>
      </c>
      <c r="B242" s="555"/>
      <c r="C242" s="555"/>
      <c r="D242" s="555"/>
      <c r="E242" s="555"/>
      <c r="F242" s="549"/>
      <c r="G242" s="555"/>
      <c r="H242" s="555"/>
      <c r="I242" s="555"/>
      <c r="J242" s="556" t="s">
        <v>587</v>
      </c>
    </row>
    <row r="243" spans="1:10">
      <c r="F243" s="551"/>
      <c r="J243" s="550"/>
    </row>
    <row r="244" spans="1:10">
      <c r="B244" s="518" t="s">
        <v>554</v>
      </c>
      <c r="F244" s="551"/>
      <c r="J244" s="550"/>
    </row>
    <row r="245" spans="1:10">
      <c r="C245" s="518" t="s">
        <v>525</v>
      </c>
      <c r="E245" s="561">
        <v>140</v>
      </c>
      <c r="F245" s="551"/>
      <c r="J245" s="550"/>
    </row>
    <row r="246" spans="1:10">
      <c r="C246" s="518" t="s">
        <v>555</v>
      </c>
      <c r="E246" s="561">
        <v>14</v>
      </c>
      <c r="F246" s="551"/>
      <c r="J246" s="550"/>
    </row>
    <row r="247" spans="1:10">
      <c r="E247" s="557"/>
      <c r="F247" s="551"/>
      <c r="J247" s="550"/>
    </row>
    <row r="248" spans="1:10">
      <c r="E248" s="557"/>
      <c r="F248" s="551"/>
      <c r="J248" s="550"/>
    </row>
    <row r="249" spans="1:10">
      <c r="F249" s="551"/>
      <c r="J249" s="550"/>
    </row>
    <row r="250" spans="1:10">
      <c r="F250" s="551"/>
      <c r="J250" s="550"/>
    </row>
    <row r="251" spans="1:10">
      <c r="F251" s="551"/>
      <c r="J251" s="550"/>
    </row>
    <row r="252" spans="1:10">
      <c r="A252" s="555" t="s">
        <v>588</v>
      </c>
      <c r="B252" s="555"/>
      <c r="C252" s="555"/>
      <c r="D252" s="555"/>
      <c r="E252" s="555"/>
      <c r="F252" s="549"/>
      <c r="G252" s="555"/>
      <c r="H252" s="555"/>
      <c r="I252" s="555"/>
      <c r="J252" s="556" t="s">
        <v>589</v>
      </c>
    </row>
    <row r="253" spans="1:10">
      <c r="F253" s="551"/>
      <c r="J253" s="550"/>
    </row>
    <row r="254" spans="1:10">
      <c r="B254" s="518" t="s">
        <v>554</v>
      </c>
      <c r="F254" s="551"/>
      <c r="J254" s="550"/>
    </row>
    <row r="255" spans="1:10">
      <c r="C255" s="518" t="s">
        <v>525</v>
      </c>
      <c r="E255" s="561">
        <v>140</v>
      </c>
      <c r="F255" s="551"/>
      <c r="J255" s="550"/>
    </row>
    <row r="256" spans="1:10">
      <c r="C256" s="518" t="s">
        <v>555</v>
      </c>
      <c r="E256" s="561">
        <v>14</v>
      </c>
      <c r="F256" s="551"/>
      <c r="J256" s="550"/>
    </row>
    <row r="257" spans="1:10">
      <c r="E257" s="557"/>
      <c r="F257" s="551"/>
      <c r="J257" s="550"/>
    </row>
    <row r="258" spans="1:10">
      <c r="E258" s="557"/>
      <c r="F258" s="551"/>
      <c r="J258" s="550"/>
    </row>
    <row r="259" spans="1:10">
      <c r="F259" s="551"/>
      <c r="J259" s="550"/>
    </row>
    <row r="260" spans="1:10">
      <c r="F260" s="551"/>
      <c r="J260" s="550"/>
    </row>
    <row r="261" spans="1:10">
      <c r="F261" s="551"/>
      <c r="J261" s="550"/>
    </row>
    <row r="262" spans="1:10">
      <c r="A262" s="555" t="s">
        <v>590</v>
      </c>
      <c r="B262" s="555"/>
      <c r="C262" s="555"/>
      <c r="D262" s="555"/>
      <c r="E262" s="555"/>
      <c r="F262" s="549"/>
      <c r="G262" s="555"/>
      <c r="H262" s="555"/>
      <c r="I262" s="555"/>
      <c r="J262" s="556" t="s">
        <v>591</v>
      </c>
    </row>
    <row r="263" spans="1:10">
      <c r="F263" s="551"/>
      <c r="J263" s="550"/>
    </row>
    <row r="264" spans="1:10">
      <c r="B264" s="518" t="s">
        <v>554</v>
      </c>
      <c r="F264" s="551"/>
      <c r="J264" s="550"/>
    </row>
    <row r="265" spans="1:10">
      <c r="C265" s="518" t="s">
        <v>525</v>
      </c>
      <c r="E265" s="561">
        <v>150</v>
      </c>
      <c r="F265" s="551"/>
      <c r="J265" s="550"/>
    </row>
    <row r="266" spans="1:10">
      <c r="C266" s="518" t="s">
        <v>555</v>
      </c>
      <c r="E266" s="561">
        <v>15</v>
      </c>
      <c r="F266" s="551"/>
      <c r="J266" s="550"/>
    </row>
    <row r="267" spans="1:10">
      <c r="E267" s="557"/>
      <c r="F267" s="551"/>
      <c r="J267" s="550"/>
    </row>
    <row r="268" spans="1:10">
      <c r="E268" s="557"/>
      <c r="F268" s="551"/>
      <c r="J268" s="550"/>
    </row>
    <row r="269" spans="1:10">
      <c r="F269" s="551"/>
      <c r="J269" s="550"/>
    </row>
    <row r="270" spans="1:10">
      <c r="F270" s="551"/>
      <c r="J270" s="550"/>
    </row>
    <row r="271" spans="1:10">
      <c r="F271" s="551"/>
      <c r="J271" s="550"/>
    </row>
    <row r="272" spans="1:10">
      <c r="A272" s="555" t="s">
        <v>592</v>
      </c>
      <c r="B272" s="555"/>
      <c r="C272" s="555"/>
      <c r="D272" s="555"/>
      <c r="E272" s="555"/>
      <c r="F272" s="549"/>
      <c r="G272" s="555"/>
      <c r="H272" s="555"/>
      <c r="I272" s="555"/>
      <c r="J272" s="556" t="s">
        <v>593</v>
      </c>
    </row>
    <row r="273" spans="1:10">
      <c r="F273" s="551"/>
      <c r="J273" s="550"/>
    </row>
    <row r="274" spans="1:10">
      <c r="B274" s="518" t="s">
        <v>554</v>
      </c>
      <c r="F274" s="551"/>
      <c r="J274" s="550"/>
    </row>
    <row r="275" spans="1:10">
      <c r="C275" s="518" t="s">
        <v>525</v>
      </c>
      <c r="E275" s="561">
        <v>150</v>
      </c>
      <c r="F275" s="551"/>
      <c r="J275" s="550"/>
    </row>
    <row r="276" spans="1:10">
      <c r="C276" s="518" t="s">
        <v>555</v>
      </c>
      <c r="E276" s="561">
        <v>15</v>
      </c>
      <c r="F276" s="551"/>
      <c r="J276" s="550"/>
    </row>
    <row r="277" spans="1:10">
      <c r="E277" s="557"/>
      <c r="F277" s="551"/>
      <c r="J277" s="550"/>
    </row>
    <row r="278" spans="1:10">
      <c r="E278" s="557"/>
      <c r="F278" s="551"/>
      <c r="J278" s="550"/>
    </row>
    <row r="279" spans="1:10">
      <c r="F279" s="551"/>
      <c r="J279" s="550"/>
    </row>
    <row r="280" spans="1:10">
      <c r="F280" s="551"/>
      <c r="J280" s="550"/>
    </row>
    <row r="281" spans="1:10">
      <c r="F281" s="551"/>
      <c r="J281" s="550"/>
    </row>
    <row r="282" spans="1:10">
      <c r="A282" s="555" t="s">
        <v>594</v>
      </c>
      <c r="B282" s="555"/>
      <c r="C282" s="555"/>
      <c r="D282" s="555"/>
      <c r="E282" s="555"/>
      <c r="F282" s="549"/>
      <c r="G282" s="555"/>
      <c r="H282" s="555"/>
      <c r="I282" s="555"/>
      <c r="J282" s="556" t="s">
        <v>595</v>
      </c>
    </row>
    <row r="283" spans="1:10">
      <c r="F283" s="551"/>
      <c r="J283" s="550"/>
    </row>
    <row r="284" spans="1:10">
      <c r="B284" s="518" t="s">
        <v>554</v>
      </c>
      <c r="F284" s="551"/>
      <c r="J284" s="550"/>
    </row>
    <row r="285" spans="1:10">
      <c r="C285" s="518" t="s">
        <v>525</v>
      </c>
      <c r="E285" s="561">
        <v>100</v>
      </c>
      <c r="F285" s="551"/>
      <c r="J285" s="550"/>
    </row>
    <row r="286" spans="1:10">
      <c r="C286" s="518" t="s">
        <v>555</v>
      </c>
      <c r="E286" s="561">
        <v>10</v>
      </c>
      <c r="F286" s="551"/>
      <c r="J286" s="550"/>
    </row>
    <row r="287" spans="1:10">
      <c r="E287" s="557"/>
      <c r="F287" s="551"/>
      <c r="J287" s="550"/>
    </row>
    <row r="288" spans="1:10">
      <c r="E288" s="557"/>
      <c r="F288" s="551"/>
      <c r="J288" s="550"/>
    </row>
    <row r="289" spans="1:10">
      <c r="F289" s="551"/>
      <c r="J289" s="550"/>
    </row>
    <row r="290" spans="1:10">
      <c r="F290" s="551"/>
      <c r="J290" s="550"/>
    </row>
    <row r="291" spans="1:10">
      <c r="F291" s="551"/>
      <c r="J291" s="550"/>
    </row>
    <row r="292" spans="1:10">
      <c r="A292" s="555" t="s">
        <v>596</v>
      </c>
      <c r="B292" s="555"/>
      <c r="C292" s="555"/>
      <c r="D292" s="555"/>
      <c r="E292" s="555"/>
      <c r="F292" s="549"/>
      <c r="G292" s="555"/>
      <c r="H292" s="555"/>
      <c r="I292" s="555"/>
      <c r="J292" s="556" t="s">
        <v>597</v>
      </c>
    </row>
    <row r="293" spans="1:10">
      <c r="F293" s="551"/>
      <c r="J293" s="550"/>
    </row>
    <row r="294" spans="1:10">
      <c r="B294" s="518" t="s">
        <v>554</v>
      </c>
      <c r="F294" s="551"/>
      <c r="J294" s="550"/>
    </row>
    <row r="295" spans="1:10">
      <c r="C295" s="518" t="s">
        <v>525</v>
      </c>
      <c r="E295" s="561">
        <v>50</v>
      </c>
      <c r="F295" s="551"/>
      <c r="J295" s="550"/>
    </row>
    <row r="296" spans="1:10">
      <c r="C296" s="518" t="s">
        <v>555</v>
      </c>
      <c r="E296" s="561">
        <v>5</v>
      </c>
      <c r="F296" s="551"/>
      <c r="J296" s="550"/>
    </row>
    <row r="297" spans="1:10">
      <c r="E297" s="557"/>
      <c r="F297" s="551"/>
      <c r="J297" s="550"/>
    </row>
    <row r="298" spans="1:10">
      <c r="E298" s="557"/>
      <c r="F298" s="551"/>
      <c r="J298" s="550"/>
    </row>
    <row r="299" spans="1:10">
      <c r="F299" s="551"/>
      <c r="J299" s="550"/>
    </row>
    <row r="300" spans="1:10">
      <c r="F300" s="551"/>
      <c r="J300" s="550"/>
    </row>
    <row r="301" spans="1:10">
      <c r="F301" s="551"/>
      <c r="J301" s="550"/>
    </row>
    <row r="302" spans="1:10">
      <c r="A302" s="555" t="s">
        <v>598</v>
      </c>
      <c r="B302" s="555"/>
      <c r="C302" s="555"/>
      <c r="D302" s="555"/>
      <c r="E302" s="555"/>
      <c r="F302" s="549"/>
      <c r="G302" s="555"/>
      <c r="H302" s="555"/>
      <c r="I302" s="555"/>
      <c r="J302" s="556" t="s">
        <v>599</v>
      </c>
    </row>
    <row r="303" spans="1:10">
      <c r="F303" s="551"/>
      <c r="J303" s="550"/>
    </row>
    <row r="304" spans="1:10">
      <c r="B304" s="518" t="s">
        <v>554</v>
      </c>
      <c r="F304" s="551"/>
      <c r="J304" s="550"/>
    </row>
    <row r="305" spans="1:10">
      <c r="C305" s="518" t="s">
        <v>525</v>
      </c>
      <c r="E305" s="561">
        <v>50</v>
      </c>
      <c r="F305" s="551"/>
      <c r="J305" s="550"/>
    </row>
    <row r="306" spans="1:10">
      <c r="C306" s="518" t="s">
        <v>555</v>
      </c>
      <c r="E306" s="561">
        <v>5</v>
      </c>
      <c r="F306" s="551"/>
      <c r="J306" s="550"/>
    </row>
    <row r="307" spans="1:10">
      <c r="E307" s="557"/>
      <c r="F307" s="551"/>
      <c r="J307" s="550"/>
    </row>
    <row r="308" spans="1:10">
      <c r="E308" s="557"/>
      <c r="F308" s="551"/>
      <c r="J308" s="550"/>
    </row>
    <row r="309" spans="1:10">
      <c r="F309" s="551"/>
      <c r="J309" s="550"/>
    </row>
    <row r="310" spans="1:10">
      <c r="F310" s="551"/>
      <c r="J310" s="550"/>
    </row>
    <row r="311" spans="1:10">
      <c r="F311" s="551"/>
      <c r="J311" s="550"/>
    </row>
    <row r="312" spans="1:10">
      <c r="A312" s="518" t="s">
        <v>600</v>
      </c>
      <c r="F312" s="551"/>
      <c r="J312" s="550"/>
    </row>
    <row r="313" spans="1:10">
      <c r="F313" s="551"/>
      <c r="J313" s="550"/>
    </row>
    <row r="314" spans="1:10">
      <c r="F314" s="551"/>
      <c r="J314" s="550"/>
    </row>
    <row r="315" spans="1:10">
      <c r="F315" s="551"/>
      <c r="J315" s="550"/>
    </row>
    <row r="316" spans="1:10">
      <c r="F316" s="551"/>
      <c r="J316" s="550"/>
    </row>
    <row r="317" spans="1:10">
      <c r="F317" s="551"/>
      <c r="J317" s="550"/>
    </row>
    <row r="318" spans="1:10">
      <c r="F318" s="551"/>
      <c r="J318" s="55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12" sqref="C12"/>
    </sheetView>
  </sheetViews>
  <sheetFormatPr baseColWidth="10" defaultRowHeight="15"/>
  <cols>
    <col min="1" max="1" width="16.28515625" style="518" customWidth="1"/>
    <col min="2" max="2" width="32" style="518" customWidth="1"/>
    <col min="3" max="3" width="9" style="518" customWidth="1"/>
    <col min="4" max="4" width="12.140625" style="518" bestFit="1" customWidth="1"/>
    <col min="5" max="5" width="14.85546875" style="518" customWidth="1"/>
    <col min="6" max="6" width="12.140625" style="518" bestFit="1" customWidth="1"/>
    <col min="7" max="7" width="14.140625" style="518" customWidth="1"/>
    <col min="8" max="8" width="12.140625" style="518" bestFit="1" customWidth="1"/>
    <col min="9" max="9" width="13.140625" style="518" customWidth="1"/>
    <col min="10" max="16384" width="11.42578125" style="518"/>
  </cols>
  <sheetData>
    <row r="1" spans="1:9">
      <c r="A1" s="518" t="s">
        <v>379</v>
      </c>
    </row>
    <row r="2" spans="1:9">
      <c r="A2" s="518" t="s">
        <v>380</v>
      </c>
    </row>
    <row r="3" spans="1:9">
      <c r="A3" s="518" t="s">
        <v>381</v>
      </c>
    </row>
    <row r="4" spans="1:9">
      <c r="A4" s="518" t="s">
        <v>382</v>
      </c>
    </row>
    <row r="5" spans="1:9">
      <c r="A5" s="518" t="s">
        <v>383</v>
      </c>
    </row>
    <row r="6" spans="1:9">
      <c r="A6" s="518" t="s">
        <v>384</v>
      </c>
    </row>
    <row r="7" spans="1:9">
      <c r="A7" s="518" t="s">
        <v>385</v>
      </c>
    </row>
    <row r="8" spans="1:9">
      <c r="A8" s="518" t="s">
        <v>386</v>
      </c>
    </row>
    <row r="9" spans="1:9">
      <c r="A9" s="518" t="s">
        <v>387</v>
      </c>
    </row>
    <row r="10" spans="1:9">
      <c r="A10" s="518" t="s">
        <v>388</v>
      </c>
    </row>
    <row r="11" spans="1:9">
      <c r="A11" s="518" t="s">
        <v>389</v>
      </c>
    </row>
    <row r="13" spans="1:9">
      <c r="B13" s="528" t="s">
        <v>390</v>
      </c>
    </row>
    <row r="14" spans="1:9" ht="15.75" thickBot="1"/>
    <row r="15" spans="1:9" ht="15.75" thickBot="1">
      <c r="B15" s="585"/>
      <c r="C15" s="586"/>
      <c r="D15" s="578" t="s">
        <v>391</v>
      </c>
      <c r="E15" s="579"/>
      <c r="F15" s="580" t="s">
        <v>392</v>
      </c>
      <c r="G15" s="581"/>
      <c r="H15" s="578" t="s">
        <v>393</v>
      </c>
      <c r="I15" s="579"/>
    </row>
    <row r="16" spans="1:9" ht="15.75" thickBot="1">
      <c r="B16" s="179" t="s">
        <v>394</v>
      </c>
      <c r="C16" s="516" t="s">
        <v>395</v>
      </c>
      <c r="D16" s="515" t="s">
        <v>396</v>
      </c>
      <c r="E16" s="529" t="s">
        <v>397</v>
      </c>
      <c r="F16" s="516" t="s">
        <v>396</v>
      </c>
      <c r="G16" s="529" t="s">
        <v>397</v>
      </c>
      <c r="H16" s="515" t="s">
        <v>396</v>
      </c>
      <c r="I16" s="529" t="s">
        <v>397</v>
      </c>
    </row>
    <row r="17" spans="1:9">
      <c r="B17" s="203" t="s">
        <v>398</v>
      </c>
      <c r="C17" s="530">
        <v>0.4</v>
      </c>
      <c r="D17" s="531">
        <v>4</v>
      </c>
      <c r="E17" s="532">
        <f>D17*C17</f>
        <v>1.6</v>
      </c>
      <c r="F17" s="517">
        <v>5</v>
      </c>
      <c r="G17" s="532">
        <f>F17*C17</f>
        <v>2</v>
      </c>
      <c r="H17" s="531">
        <v>1</v>
      </c>
      <c r="I17" s="532">
        <f>H17*C17</f>
        <v>0.4</v>
      </c>
    </row>
    <row r="18" spans="1:9">
      <c r="B18" s="195" t="s">
        <v>399</v>
      </c>
      <c r="C18" s="533">
        <v>0.3</v>
      </c>
      <c r="D18" s="534">
        <v>2</v>
      </c>
      <c r="E18" s="535">
        <f>D18*C18</f>
        <v>0.6</v>
      </c>
      <c r="F18" s="536">
        <v>4</v>
      </c>
      <c r="G18" s="535">
        <f>F18*C18</f>
        <v>1.2</v>
      </c>
      <c r="H18" s="534">
        <v>4</v>
      </c>
      <c r="I18" s="535">
        <f>H18*C18</f>
        <v>1.2</v>
      </c>
    </row>
    <row r="19" spans="1:9" ht="15.75" thickBot="1">
      <c r="B19" s="537" t="s">
        <v>400</v>
      </c>
      <c r="C19" s="538">
        <v>0.3</v>
      </c>
      <c r="D19" s="539">
        <v>3</v>
      </c>
      <c r="E19" s="540">
        <f>D19*C19</f>
        <v>0.89999999999999991</v>
      </c>
      <c r="F19" s="541">
        <v>4</v>
      </c>
      <c r="G19" s="540">
        <f>F19*C19</f>
        <v>1.2</v>
      </c>
      <c r="H19" s="539">
        <v>4</v>
      </c>
      <c r="I19" s="540">
        <f>H19*C19</f>
        <v>1.2</v>
      </c>
    </row>
    <row r="20" spans="1:9" ht="15.75" thickBot="1">
      <c r="B20" s="582" t="s">
        <v>471</v>
      </c>
      <c r="C20" s="583"/>
      <c r="D20" s="584"/>
      <c r="E20" s="529">
        <f>SUM(E17:E19)</f>
        <v>3.1</v>
      </c>
      <c r="F20" s="516"/>
      <c r="G20" s="529">
        <f>SUM(G17:G19)</f>
        <v>4.4000000000000004</v>
      </c>
      <c r="H20" s="516"/>
      <c r="I20" s="529">
        <f>SUM(I17:I19)</f>
        <v>2.8</v>
      </c>
    </row>
    <row r="22" spans="1:9">
      <c r="A22" s="518" t="s">
        <v>401</v>
      </c>
    </row>
    <row r="23" spans="1:9">
      <c r="A23" s="518" t="s">
        <v>402</v>
      </c>
    </row>
    <row r="24" spans="1:9">
      <c r="A24" s="518" t="s">
        <v>403</v>
      </c>
    </row>
  </sheetData>
  <mergeCells count="5">
    <mergeCell ref="D15:E15"/>
    <mergeCell ref="F15:G15"/>
    <mergeCell ref="H15:I15"/>
    <mergeCell ref="B20:D20"/>
    <mergeCell ref="B15:C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4:E15"/>
  <sheetViews>
    <sheetView workbookViewId="0">
      <selection sqref="A1:IV65536"/>
    </sheetView>
  </sheetViews>
  <sheetFormatPr baseColWidth="10" defaultRowHeight="12.75"/>
  <cols>
    <col min="1" max="1" width="11.42578125" style="444"/>
    <col min="2" max="2" width="41.28515625" style="444" customWidth="1"/>
    <col min="3" max="3" width="18.42578125" style="444" customWidth="1"/>
    <col min="4" max="4" width="16.28515625" style="444" customWidth="1"/>
    <col min="5" max="5" width="13" style="444" customWidth="1"/>
    <col min="6" max="16384" width="11.42578125" style="444"/>
  </cols>
  <sheetData>
    <row r="4" spans="2:5" ht="13.5" thickBot="1"/>
    <row r="5" spans="2:5" ht="15.75" thickBot="1">
      <c r="B5" s="587" t="s">
        <v>369</v>
      </c>
      <c r="C5" s="588"/>
      <c r="D5" s="588"/>
      <c r="E5" s="589"/>
    </row>
    <row r="6" spans="2:5" ht="15.75" thickBot="1">
      <c r="B6" s="513" t="s">
        <v>370</v>
      </c>
      <c r="C6" s="483" t="s">
        <v>371</v>
      </c>
      <c r="D6" s="514" t="s">
        <v>372</v>
      </c>
      <c r="E6" s="483" t="s">
        <v>373</v>
      </c>
    </row>
    <row r="7" spans="2:5" ht="14.25">
      <c r="B7" s="542" t="s">
        <v>374</v>
      </c>
      <c r="C7" s="543">
        <v>7</v>
      </c>
      <c r="D7" s="544">
        <v>15</v>
      </c>
      <c r="E7" s="545">
        <f t="shared" ref="E7:E12" si="0">C7*D7</f>
        <v>105</v>
      </c>
    </row>
    <row r="8" spans="2:5" ht="14.25">
      <c r="B8" s="542" t="s">
        <v>468</v>
      </c>
      <c r="C8" s="543">
        <v>6</v>
      </c>
      <c r="D8" s="544">
        <v>20</v>
      </c>
      <c r="E8" s="545">
        <f t="shared" si="0"/>
        <v>120</v>
      </c>
    </row>
    <row r="9" spans="2:5" ht="14.25">
      <c r="B9" s="542" t="s">
        <v>375</v>
      </c>
      <c r="C9" s="543">
        <v>5</v>
      </c>
      <c r="D9" s="544">
        <v>75</v>
      </c>
      <c r="E9" s="545">
        <f t="shared" si="0"/>
        <v>375</v>
      </c>
    </row>
    <row r="10" spans="2:5" ht="14.25">
      <c r="B10" s="542" t="s">
        <v>376</v>
      </c>
      <c r="C10" s="543">
        <v>2</v>
      </c>
      <c r="D10" s="544">
        <v>75</v>
      </c>
      <c r="E10" s="545">
        <f t="shared" si="0"/>
        <v>150</v>
      </c>
    </row>
    <row r="11" spans="2:5" ht="14.25">
      <c r="B11" s="542" t="s">
        <v>377</v>
      </c>
      <c r="C11" s="543">
        <v>2</v>
      </c>
      <c r="D11" s="544">
        <v>75</v>
      </c>
      <c r="E11" s="545">
        <f t="shared" si="0"/>
        <v>150</v>
      </c>
    </row>
    <row r="12" spans="2:5" ht="15" thickBot="1">
      <c r="B12" s="542" t="s">
        <v>467</v>
      </c>
      <c r="C12" s="543">
        <v>6</v>
      </c>
      <c r="D12" s="544">
        <v>15</v>
      </c>
      <c r="E12" s="545">
        <f t="shared" si="0"/>
        <v>90</v>
      </c>
    </row>
    <row r="13" spans="2:5" ht="15.75" thickBot="1">
      <c r="B13" s="587" t="s">
        <v>378</v>
      </c>
      <c r="C13" s="588"/>
      <c r="D13" s="589"/>
      <c r="E13" s="546">
        <f>SUM(E7:E12)</f>
        <v>990</v>
      </c>
    </row>
    <row r="15" spans="2:5">
      <c r="D15" s="547"/>
    </row>
  </sheetData>
  <mergeCells count="2">
    <mergeCell ref="B5:E5"/>
    <mergeCell ref="B13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H44"/>
  <sheetViews>
    <sheetView zoomScale="90" zoomScaleNormal="90" workbookViewId="0">
      <selection activeCell="I40" sqref="I40"/>
    </sheetView>
  </sheetViews>
  <sheetFormatPr baseColWidth="10" defaultRowHeight="12.75"/>
  <cols>
    <col min="1" max="1" width="11.42578125" style="444"/>
    <col min="2" max="2" width="23.140625" style="444" customWidth="1"/>
    <col min="3" max="3" width="20.5703125" style="444" customWidth="1"/>
    <col min="4" max="4" width="12.42578125" style="444" customWidth="1"/>
    <col min="5" max="5" width="13.42578125" style="444" customWidth="1"/>
    <col min="6" max="6" width="13.7109375" style="444" customWidth="1"/>
    <col min="7" max="16384" width="11.42578125" style="444"/>
  </cols>
  <sheetData>
    <row r="3" spans="2:8" ht="13.5" thickBot="1"/>
    <row r="4" spans="2:8" ht="16.5" thickBot="1">
      <c r="B4" s="590" t="s">
        <v>353</v>
      </c>
      <c r="C4" s="591"/>
      <c r="D4" s="591"/>
      <c r="E4" s="592"/>
      <c r="G4" s="486"/>
      <c r="H4" s="486"/>
    </row>
    <row r="5" spans="2:8" ht="13.5" thickBot="1">
      <c r="B5" s="593" t="s">
        <v>464</v>
      </c>
      <c r="C5" s="595" t="s">
        <v>459</v>
      </c>
      <c r="D5" s="597" t="s">
        <v>356</v>
      </c>
      <c r="E5" s="598"/>
    </row>
    <row r="6" spans="2:8" ht="27" customHeight="1" thickBot="1">
      <c r="B6" s="594"/>
      <c r="C6" s="596"/>
      <c r="D6" s="487" t="s">
        <v>357</v>
      </c>
      <c r="E6" s="487" t="s">
        <v>358</v>
      </c>
    </row>
    <row r="7" spans="2:8">
      <c r="B7" s="599" t="s">
        <v>359</v>
      </c>
      <c r="C7" s="600"/>
      <c r="D7" s="600"/>
      <c r="E7" s="601"/>
    </row>
    <row r="8" spans="2:8">
      <c r="B8" s="602" t="s">
        <v>360</v>
      </c>
      <c r="C8" s="603"/>
      <c r="D8" s="603"/>
      <c r="E8" s="604"/>
    </row>
    <row r="9" spans="2:8">
      <c r="B9" s="488" t="s">
        <v>361</v>
      </c>
      <c r="C9" s="489">
        <v>4</v>
      </c>
      <c r="D9" s="489">
        <v>540</v>
      </c>
      <c r="E9" s="490">
        <f>C9*D9</f>
        <v>2160</v>
      </c>
    </row>
    <row r="10" spans="2:8">
      <c r="B10" s="488" t="s">
        <v>362</v>
      </c>
      <c r="C10" s="489">
        <v>3</v>
      </c>
      <c r="D10" s="489">
        <v>360</v>
      </c>
      <c r="E10" s="490">
        <f>C10*D10</f>
        <v>1080</v>
      </c>
    </row>
    <row r="11" spans="2:8">
      <c r="B11" s="488" t="s">
        <v>363</v>
      </c>
      <c r="C11" s="489">
        <v>2</v>
      </c>
      <c r="D11" s="489">
        <v>180</v>
      </c>
      <c r="E11" s="490">
        <f>C11*D11</f>
        <v>360</v>
      </c>
    </row>
    <row r="12" spans="2:8">
      <c r="B12" s="602" t="s">
        <v>364</v>
      </c>
      <c r="C12" s="603"/>
      <c r="D12" s="603"/>
      <c r="E12" s="604"/>
      <c r="H12" s="491"/>
    </row>
    <row r="13" spans="2:8">
      <c r="B13" s="488" t="s">
        <v>361</v>
      </c>
      <c r="C13" s="489">
        <v>6</v>
      </c>
      <c r="D13" s="489">
        <v>540</v>
      </c>
      <c r="E13" s="490">
        <f>C13*D13</f>
        <v>3240</v>
      </c>
    </row>
    <row r="14" spans="2:8">
      <c r="B14" s="488" t="s">
        <v>362</v>
      </c>
      <c r="C14" s="489">
        <v>4</v>
      </c>
      <c r="D14" s="489">
        <v>360</v>
      </c>
      <c r="E14" s="490">
        <f>C14*D14</f>
        <v>1440</v>
      </c>
    </row>
    <row r="15" spans="2:8">
      <c r="B15" s="488" t="s">
        <v>363</v>
      </c>
      <c r="C15" s="489">
        <v>2</v>
      </c>
      <c r="D15" s="489">
        <v>180</v>
      </c>
      <c r="E15" s="490">
        <f>C15*D15</f>
        <v>360</v>
      </c>
    </row>
    <row r="16" spans="2:8">
      <c r="B16" s="488" t="s">
        <v>365</v>
      </c>
      <c r="C16" s="489">
        <v>1</v>
      </c>
      <c r="D16" s="489">
        <v>180</v>
      </c>
      <c r="E16" s="490">
        <f>C16*D16</f>
        <v>180</v>
      </c>
    </row>
    <row r="17" spans="2:6">
      <c r="B17" s="472" t="s">
        <v>366</v>
      </c>
      <c r="C17" s="489">
        <v>2</v>
      </c>
      <c r="D17" s="489">
        <v>180</v>
      </c>
      <c r="E17" s="490">
        <f>C17*D17</f>
        <v>360</v>
      </c>
    </row>
    <row r="18" spans="2:6">
      <c r="B18" s="602" t="s">
        <v>367</v>
      </c>
      <c r="C18" s="603"/>
      <c r="D18" s="603"/>
      <c r="E18" s="604"/>
    </row>
    <row r="19" spans="2:6">
      <c r="B19" s="488" t="s">
        <v>361</v>
      </c>
      <c r="C19" s="489">
        <v>9</v>
      </c>
      <c r="D19" s="489">
        <v>360</v>
      </c>
      <c r="E19" s="492">
        <f>C19*D19</f>
        <v>3240</v>
      </c>
    </row>
    <row r="20" spans="2:6">
      <c r="B20" s="488" t="s">
        <v>362</v>
      </c>
      <c r="C20" s="489">
        <v>5</v>
      </c>
      <c r="D20" s="489">
        <v>360</v>
      </c>
      <c r="E20" s="492">
        <f>C20*D20</f>
        <v>1800</v>
      </c>
    </row>
    <row r="21" spans="2:6">
      <c r="B21" s="488" t="s">
        <v>363</v>
      </c>
      <c r="C21" s="489">
        <v>3</v>
      </c>
      <c r="D21" s="489">
        <v>180</v>
      </c>
      <c r="E21" s="492">
        <f>C21*D21</f>
        <v>540</v>
      </c>
    </row>
    <row r="22" spans="2:6">
      <c r="B22" s="488" t="s">
        <v>365</v>
      </c>
      <c r="C22" s="489">
        <v>2</v>
      </c>
      <c r="D22" s="489">
        <v>180</v>
      </c>
      <c r="E22" s="492">
        <f>C22*D22</f>
        <v>360</v>
      </c>
    </row>
    <row r="23" spans="2:6">
      <c r="B23" s="472" t="s">
        <v>366</v>
      </c>
      <c r="C23" s="489">
        <v>3</v>
      </c>
      <c r="D23" s="489">
        <v>180</v>
      </c>
      <c r="E23" s="492">
        <f>C23*D23</f>
        <v>540</v>
      </c>
    </row>
    <row r="24" spans="2:6">
      <c r="B24" s="605" t="s">
        <v>460</v>
      </c>
      <c r="C24" s="606"/>
      <c r="D24" s="606"/>
      <c r="E24" s="607"/>
    </row>
    <row r="25" spans="2:6">
      <c r="B25" s="493" t="s">
        <v>462</v>
      </c>
      <c r="C25" s="489">
        <v>2</v>
      </c>
      <c r="D25" s="489">
        <v>180</v>
      </c>
      <c r="E25" s="494">
        <f>C25*D25</f>
        <v>360</v>
      </c>
    </row>
    <row r="26" spans="2:6">
      <c r="B26" s="472" t="s">
        <v>461</v>
      </c>
      <c r="C26" s="489">
        <v>2</v>
      </c>
      <c r="D26" s="489">
        <v>180</v>
      </c>
      <c r="E26" s="494">
        <f>C26*D26</f>
        <v>360</v>
      </c>
    </row>
    <row r="27" spans="2:6">
      <c r="B27" s="472" t="s">
        <v>463</v>
      </c>
      <c r="C27" s="489">
        <v>2</v>
      </c>
      <c r="D27" s="489">
        <v>180</v>
      </c>
      <c r="E27" s="494">
        <f>C27*D27</f>
        <v>360</v>
      </c>
    </row>
    <row r="28" spans="2:6" ht="13.5" thickBot="1">
      <c r="B28" s="608" t="s">
        <v>341</v>
      </c>
      <c r="C28" s="609"/>
      <c r="D28" s="609"/>
      <c r="E28" s="495">
        <f>E9+E10+E11+E13+E14+E15+E16+E17+E19+E20+E21+E22+E23+E25+E26+E27</f>
        <v>16740</v>
      </c>
      <c r="F28" s="496"/>
    </row>
    <row r="29" spans="2:6">
      <c r="B29" s="497" t="s">
        <v>368</v>
      </c>
      <c r="C29" s="498"/>
      <c r="D29" s="498"/>
      <c r="E29" s="499"/>
    </row>
    <row r="30" spans="2:6">
      <c r="B30" s="497" t="s">
        <v>466</v>
      </c>
      <c r="C30" s="498"/>
      <c r="D30" s="498"/>
      <c r="E30" s="499"/>
    </row>
    <row r="31" spans="2:6" ht="13.5" thickBot="1">
      <c r="B31" s="500" t="s">
        <v>465</v>
      </c>
      <c r="C31" s="501"/>
      <c r="D31" s="501"/>
      <c r="E31" s="502"/>
    </row>
    <row r="35" spans="3:8">
      <c r="H35" s="496"/>
    </row>
    <row r="36" spans="3:8" ht="13.5" thickBot="1"/>
    <row r="37" spans="3:8" ht="15.75" thickBot="1">
      <c r="C37" s="610" t="s">
        <v>453</v>
      </c>
      <c r="D37" s="611"/>
      <c r="E37" s="611"/>
      <c r="F37" s="612"/>
      <c r="H37" s="496"/>
    </row>
    <row r="38" spans="3:8" ht="15" thickBot="1">
      <c r="C38" s="613" t="s">
        <v>354</v>
      </c>
      <c r="D38" s="615" t="s">
        <v>355</v>
      </c>
      <c r="E38" s="617" t="s">
        <v>454</v>
      </c>
      <c r="F38" s="618"/>
    </row>
    <row r="39" spans="3:8" ht="29.25" thickBot="1">
      <c r="C39" s="614"/>
      <c r="D39" s="616"/>
      <c r="E39" s="505" t="s">
        <v>357</v>
      </c>
      <c r="F39" s="505" t="s">
        <v>358</v>
      </c>
    </row>
    <row r="40" spans="3:8" ht="14.25">
      <c r="C40" s="506" t="s">
        <v>455</v>
      </c>
      <c r="D40" s="507">
        <v>2</v>
      </c>
      <c r="E40" s="508">
        <f>300*12</f>
        <v>3600</v>
      </c>
      <c r="F40" s="508">
        <f>+E40*D40</f>
        <v>7200</v>
      </c>
    </row>
    <row r="41" spans="3:8" ht="14.25">
      <c r="C41" s="509" t="s">
        <v>456</v>
      </c>
      <c r="D41" s="510">
        <v>1</v>
      </c>
      <c r="E41" s="511">
        <f>218*12</f>
        <v>2616</v>
      </c>
      <c r="F41" s="511">
        <f>+E41*D41</f>
        <v>2616</v>
      </c>
    </row>
    <row r="42" spans="3:8" ht="14.25">
      <c r="C42" s="509" t="s">
        <v>457</v>
      </c>
      <c r="D42" s="510">
        <v>1</v>
      </c>
      <c r="E42" s="511">
        <f>218*12</f>
        <v>2616</v>
      </c>
      <c r="F42" s="511">
        <f>+E42*D42</f>
        <v>2616</v>
      </c>
    </row>
    <row r="43" spans="3:8" ht="15" thickBot="1">
      <c r="C43" s="509" t="s">
        <v>458</v>
      </c>
      <c r="D43" s="510">
        <v>1</v>
      </c>
      <c r="E43" s="511">
        <f>400*12</f>
        <v>4800</v>
      </c>
      <c r="F43" s="511">
        <f>+E43*D43</f>
        <v>4800</v>
      </c>
    </row>
    <row r="44" spans="3:8" ht="15.75" thickBot="1">
      <c r="C44" s="587" t="s">
        <v>208</v>
      </c>
      <c r="D44" s="588"/>
      <c r="E44" s="588"/>
      <c r="F44" s="512">
        <f>SUM(F40:F43)</f>
        <v>17232</v>
      </c>
    </row>
  </sheetData>
  <mergeCells count="15">
    <mergeCell ref="C44:E44"/>
    <mergeCell ref="B24:E24"/>
    <mergeCell ref="B12:E12"/>
    <mergeCell ref="B18:E18"/>
    <mergeCell ref="B28:D28"/>
    <mergeCell ref="C37:F37"/>
    <mergeCell ref="C38:C39"/>
    <mergeCell ref="D38:D39"/>
    <mergeCell ref="E38:F38"/>
    <mergeCell ref="B4:E4"/>
    <mergeCell ref="B5:B6"/>
    <mergeCell ref="C5:C6"/>
    <mergeCell ref="D5:E5"/>
    <mergeCell ref="B7:E7"/>
    <mergeCell ref="B8:E8"/>
  </mergeCells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22"/>
  <sheetViews>
    <sheetView topLeftCell="L1" workbookViewId="0">
      <selection activeCell="V18" sqref="V18"/>
    </sheetView>
  </sheetViews>
  <sheetFormatPr baseColWidth="10" defaultRowHeight="14.25"/>
  <cols>
    <col min="1" max="2" width="11.42578125" style="30"/>
    <col min="3" max="3" width="19.140625" style="30" customWidth="1"/>
    <col min="4" max="4" width="12.42578125" style="30" customWidth="1"/>
    <col min="5" max="5" width="27.7109375" style="186" bestFit="1" customWidth="1"/>
    <col min="6" max="6" width="20.140625" style="30" bestFit="1" customWidth="1"/>
    <col min="7" max="7" width="19.5703125" style="30" bestFit="1" customWidth="1"/>
    <col min="8" max="21" width="11.42578125" style="30"/>
    <col min="22" max="22" width="13.7109375" style="30" customWidth="1"/>
    <col min="23" max="23" width="0" style="30" hidden="1" customWidth="1"/>
    <col min="24" max="16384" width="11.42578125" style="30"/>
  </cols>
  <sheetData>
    <row r="1" spans="1:22" ht="15" thickBot="1"/>
    <row r="2" spans="1:22" ht="15.75" thickBot="1">
      <c r="A2" s="97" t="s">
        <v>55</v>
      </c>
      <c r="B2" s="144"/>
      <c r="C2" s="187">
        <f>SENSIBILIDAD!C37</f>
        <v>6</v>
      </c>
      <c r="E2" s="632" t="s">
        <v>39</v>
      </c>
      <c r="F2" s="630" t="s">
        <v>40</v>
      </c>
      <c r="G2" s="630" t="s">
        <v>41</v>
      </c>
      <c r="H2" s="625" t="s">
        <v>38</v>
      </c>
    </row>
    <row r="3" spans="1:22" ht="15.75" thickBot="1">
      <c r="D3" s="179" t="s">
        <v>340</v>
      </c>
      <c r="E3" s="633"/>
      <c r="F3" s="631"/>
      <c r="G3" s="631"/>
      <c r="H3" s="625"/>
      <c r="J3" s="127" t="s">
        <v>42</v>
      </c>
      <c r="K3" s="127" t="s">
        <v>43</v>
      </c>
      <c r="L3" s="127" t="s">
        <v>44</v>
      </c>
      <c r="M3" s="127" t="s">
        <v>45</v>
      </c>
      <c r="N3" s="127" t="s">
        <v>46</v>
      </c>
      <c r="O3" s="127" t="s">
        <v>47</v>
      </c>
      <c r="P3" s="127" t="s">
        <v>48</v>
      </c>
      <c r="Q3" s="127" t="s">
        <v>49</v>
      </c>
      <c r="R3" s="127" t="s">
        <v>50</v>
      </c>
      <c r="S3" s="127" t="s">
        <v>51</v>
      </c>
      <c r="T3" s="127" t="s">
        <v>52</v>
      </c>
      <c r="U3" s="136" t="s">
        <v>53</v>
      </c>
      <c r="V3" s="188" t="s">
        <v>57</v>
      </c>
    </row>
    <row r="4" spans="1:22" ht="15">
      <c r="A4" s="626" t="s">
        <v>25</v>
      </c>
      <c r="B4" s="625" t="s">
        <v>13</v>
      </c>
      <c r="C4" s="127" t="s">
        <v>6</v>
      </c>
      <c r="D4" s="189">
        <f>'Calculo No. aulas'!D66</f>
        <v>4</v>
      </c>
      <c r="E4" s="109">
        <f t="shared" ref="E4:E17" si="0">30*$C$2</f>
        <v>180</v>
      </c>
      <c r="F4" s="59">
        <f>D4*E4</f>
        <v>720</v>
      </c>
      <c r="G4" s="190">
        <f>F4*3</f>
        <v>2160</v>
      </c>
      <c r="H4" s="625">
        <f>SUM(G4:G17)</f>
        <v>17280</v>
      </c>
      <c r="J4" s="138"/>
      <c r="K4" s="138">
        <f>F4</f>
        <v>720</v>
      </c>
      <c r="L4" s="138">
        <f>F4</f>
        <v>720</v>
      </c>
      <c r="M4" s="138">
        <f>F4</f>
        <v>720</v>
      </c>
      <c r="N4" s="138"/>
      <c r="O4" s="138"/>
      <c r="P4" s="138"/>
      <c r="Q4" s="138"/>
      <c r="R4" s="138"/>
      <c r="S4" s="138"/>
      <c r="T4" s="138"/>
      <c r="U4" s="191"/>
      <c r="V4" s="192"/>
    </row>
    <row r="5" spans="1:22" ht="15">
      <c r="A5" s="626"/>
      <c r="B5" s="625"/>
      <c r="C5" s="127" t="s">
        <v>7</v>
      </c>
      <c r="D5" s="193">
        <f>'Calculo No. aulas'!E66</f>
        <v>3</v>
      </c>
      <c r="E5" s="109">
        <f t="shared" si="0"/>
        <v>180</v>
      </c>
      <c r="F5" s="59">
        <f t="shared" ref="F5:F17" si="1">D5*E5</f>
        <v>540</v>
      </c>
      <c r="G5" s="194">
        <f>F5*2</f>
        <v>1080</v>
      </c>
      <c r="H5" s="625"/>
      <c r="J5" s="138"/>
      <c r="K5" s="138">
        <f>F5</f>
        <v>540</v>
      </c>
      <c r="L5" s="138">
        <f>F5</f>
        <v>540</v>
      </c>
      <c r="M5" s="138"/>
      <c r="N5" s="138"/>
      <c r="O5" s="138"/>
      <c r="P5" s="138"/>
      <c r="Q5" s="138"/>
      <c r="R5" s="138"/>
      <c r="S5" s="138"/>
      <c r="T5" s="138"/>
      <c r="U5" s="191"/>
      <c r="V5" s="195"/>
    </row>
    <row r="6" spans="1:22" ht="15">
      <c r="A6" s="626"/>
      <c r="B6" s="625"/>
      <c r="C6" s="127" t="s">
        <v>16</v>
      </c>
      <c r="D6" s="193">
        <f>'Calculo No. aulas'!F66</f>
        <v>2</v>
      </c>
      <c r="E6" s="109">
        <f t="shared" si="0"/>
        <v>180</v>
      </c>
      <c r="F6" s="59">
        <f t="shared" si="1"/>
        <v>360</v>
      </c>
      <c r="G6" s="194">
        <f>F6*1</f>
        <v>360</v>
      </c>
      <c r="H6" s="625"/>
      <c r="J6" s="138"/>
      <c r="K6" s="138">
        <f>F6</f>
        <v>360</v>
      </c>
      <c r="L6" s="138"/>
      <c r="M6" s="138"/>
      <c r="N6" s="138"/>
      <c r="O6" s="138"/>
      <c r="P6" s="138"/>
      <c r="Q6" s="138"/>
      <c r="R6" s="138"/>
      <c r="S6" s="138"/>
      <c r="T6" s="138"/>
      <c r="U6" s="191"/>
      <c r="V6" s="195"/>
    </row>
    <row r="7" spans="1:22" ht="15">
      <c r="A7" s="626"/>
      <c r="B7" s="625"/>
      <c r="C7" s="127" t="s">
        <v>9</v>
      </c>
      <c r="D7" s="193">
        <f>'Calculo No. aulas'!G66</f>
        <v>0</v>
      </c>
      <c r="E7" s="109">
        <f t="shared" si="0"/>
        <v>180</v>
      </c>
      <c r="F7" s="59">
        <f t="shared" si="1"/>
        <v>0</v>
      </c>
      <c r="G7" s="196">
        <f>F7*1</f>
        <v>0</v>
      </c>
      <c r="H7" s="625"/>
      <c r="J7" s="138"/>
      <c r="K7" s="138">
        <f>F7</f>
        <v>0</v>
      </c>
      <c r="L7" s="138"/>
      <c r="M7" s="138"/>
      <c r="N7" s="138"/>
      <c r="O7" s="138"/>
      <c r="P7" s="138"/>
      <c r="Q7" s="138"/>
      <c r="R7" s="138"/>
      <c r="S7" s="138"/>
      <c r="T7" s="138"/>
      <c r="U7" s="191"/>
      <c r="V7" s="195"/>
    </row>
    <row r="8" spans="1:22" ht="15">
      <c r="A8" s="626"/>
      <c r="B8" s="625" t="s">
        <v>22</v>
      </c>
      <c r="C8" s="127" t="s">
        <v>6</v>
      </c>
      <c r="D8" s="193">
        <f>'Calculo No. aulas'!H66</f>
        <v>9</v>
      </c>
      <c r="E8" s="109">
        <f t="shared" si="0"/>
        <v>180</v>
      </c>
      <c r="F8" s="59">
        <f>D8*E8</f>
        <v>1620</v>
      </c>
      <c r="G8" s="190">
        <f>F8*3</f>
        <v>4860</v>
      </c>
      <c r="H8" s="625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>
        <f>F8</f>
        <v>1620</v>
      </c>
      <c r="U8" s="191">
        <f>F8</f>
        <v>1620</v>
      </c>
      <c r="V8" s="195"/>
    </row>
    <row r="9" spans="1:22" ht="15">
      <c r="A9" s="626"/>
      <c r="B9" s="625"/>
      <c r="C9" s="127" t="s">
        <v>7</v>
      </c>
      <c r="D9" s="193">
        <f>'Calculo No. aulas'!I66</f>
        <v>5</v>
      </c>
      <c r="E9" s="109">
        <f t="shared" si="0"/>
        <v>180</v>
      </c>
      <c r="F9" s="59">
        <f t="shared" si="1"/>
        <v>900</v>
      </c>
      <c r="G9" s="194">
        <f>F9*2</f>
        <v>1800</v>
      </c>
      <c r="H9" s="625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>
        <f>F9</f>
        <v>900</v>
      </c>
      <c r="U9" s="191">
        <f>F9</f>
        <v>900</v>
      </c>
      <c r="V9" s="195"/>
    </row>
    <row r="10" spans="1:22" ht="15">
      <c r="A10" s="626"/>
      <c r="B10" s="625"/>
      <c r="C10" s="127" t="s">
        <v>16</v>
      </c>
      <c r="D10" s="193">
        <f>'Calculo No. aulas'!J66</f>
        <v>3</v>
      </c>
      <c r="E10" s="109">
        <f t="shared" si="0"/>
        <v>180</v>
      </c>
      <c r="F10" s="59">
        <f t="shared" si="1"/>
        <v>540</v>
      </c>
      <c r="G10" s="194">
        <f>F10*1</f>
        <v>540</v>
      </c>
      <c r="H10" s="625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>
        <f>F10</f>
        <v>540</v>
      </c>
      <c r="U10" s="191"/>
      <c r="V10" s="195"/>
    </row>
    <row r="11" spans="1:22" ht="15">
      <c r="A11" s="626"/>
      <c r="B11" s="625"/>
      <c r="C11" s="127" t="s">
        <v>9</v>
      </c>
      <c r="D11" s="193">
        <f>'Calculo No. aulas'!K66</f>
        <v>2</v>
      </c>
      <c r="E11" s="109">
        <f t="shared" si="0"/>
        <v>180</v>
      </c>
      <c r="F11" s="59">
        <f t="shared" si="1"/>
        <v>360</v>
      </c>
      <c r="G11" s="194">
        <f>F11*1</f>
        <v>360</v>
      </c>
      <c r="H11" s="625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>
        <f>F11</f>
        <v>360</v>
      </c>
      <c r="U11" s="191"/>
      <c r="V11" s="195"/>
    </row>
    <row r="12" spans="1:22" ht="15">
      <c r="A12" s="626"/>
      <c r="B12" s="625"/>
      <c r="C12" s="103" t="s">
        <v>34</v>
      </c>
      <c r="D12" s="193">
        <f>'Calculo No. aulas'!L66</f>
        <v>3</v>
      </c>
      <c r="E12" s="109">
        <f t="shared" si="0"/>
        <v>180</v>
      </c>
      <c r="F12" s="59">
        <f t="shared" si="1"/>
        <v>540</v>
      </c>
      <c r="G12" s="196">
        <f>F12*1</f>
        <v>540</v>
      </c>
      <c r="H12" s="625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>
        <f>F12</f>
        <v>540</v>
      </c>
      <c r="U12" s="191"/>
      <c r="V12" s="195"/>
    </row>
    <row r="13" spans="1:22" ht="15">
      <c r="A13" s="626"/>
      <c r="B13" s="627" t="s">
        <v>23</v>
      </c>
      <c r="C13" s="127" t="s">
        <v>6</v>
      </c>
      <c r="D13" s="193">
        <f>'Calculo No. aulas'!M66</f>
        <v>6</v>
      </c>
      <c r="E13" s="109">
        <f t="shared" si="0"/>
        <v>180</v>
      </c>
      <c r="F13" s="59">
        <f>D13*E13</f>
        <v>1080</v>
      </c>
      <c r="G13" s="190">
        <f>F13*3</f>
        <v>3240</v>
      </c>
      <c r="H13" s="625"/>
      <c r="J13" s="138"/>
      <c r="K13" s="138"/>
      <c r="L13" s="138"/>
      <c r="M13" s="138"/>
      <c r="N13" s="138"/>
      <c r="O13" s="138"/>
      <c r="P13" s="138">
        <f>F13</f>
        <v>1080</v>
      </c>
      <c r="Q13" s="138">
        <f>F13</f>
        <v>1080</v>
      </c>
      <c r="R13" s="138">
        <f>F13</f>
        <v>1080</v>
      </c>
      <c r="S13" s="138"/>
      <c r="T13" s="138"/>
      <c r="U13" s="191"/>
      <c r="V13" s="195"/>
    </row>
    <row r="14" spans="1:22" ht="15">
      <c r="A14" s="626"/>
      <c r="B14" s="628"/>
      <c r="C14" s="127" t="s">
        <v>7</v>
      </c>
      <c r="D14" s="193">
        <f>'Calculo No. aulas'!N66</f>
        <v>4</v>
      </c>
      <c r="E14" s="109">
        <f t="shared" si="0"/>
        <v>180</v>
      </c>
      <c r="F14" s="59">
        <f t="shared" si="1"/>
        <v>720</v>
      </c>
      <c r="G14" s="194">
        <f>F14*2</f>
        <v>1440</v>
      </c>
      <c r="H14" s="625"/>
      <c r="J14" s="138"/>
      <c r="K14" s="138"/>
      <c r="L14" s="138"/>
      <c r="M14" s="138"/>
      <c r="N14" s="138"/>
      <c r="O14" s="138"/>
      <c r="P14" s="138">
        <f>F14</f>
        <v>720</v>
      </c>
      <c r="Q14" s="138">
        <f>F14</f>
        <v>720</v>
      </c>
      <c r="R14" s="138"/>
      <c r="S14" s="138"/>
      <c r="T14" s="138"/>
      <c r="U14" s="191"/>
      <c r="V14" s="195"/>
    </row>
    <row r="15" spans="1:22" ht="15">
      <c r="A15" s="626"/>
      <c r="B15" s="628"/>
      <c r="C15" s="127" t="s">
        <v>16</v>
      </c>
      <c r="D15" s="193">
        <f>'Calculo No. aulas'!O66</f>
        <v>2</v>
      </c>
      <c r="E15" s="109">
        <f t="shared" si="0"/>
        <v>180</v>
      </c>
      <c r="F15" s="59">
        <f t="shared" si="1"/>
        <v>360</v>
      </c>
      <c r="G15" s="194">
        <f>F15*1</f>
        <v>360</v>
      </c>
      <c r="H15" s="625"/>
      <c r="J15" s="138"/>
      <c r="K15" s="138"/>
      <c r="L15" s="138"/>
      <c r="M15" s="138"/>
      <c r="N15" s="138"/>
      <c r="O15" s="138"/>
      <c r="P15" s="138">
        <f>F15</f>
        <v>360</v>
      </c>
      <c r="Q15" s="138"/>
      <c r="R15" s="138"/>
      <c r="S15" s="138"/>
      <c r="T15" s="138"/>
      <c r="U15" s="191"/>
      <c r="V15" s="195"/>
    </row>
    <row r="16" spans="1:22" ht="15">
      <c r="A16" s="626"/>
      <c r="B16" s="628"/>
      <c r="C16" s="127" t="s">
        <v>9</v>
      </c>
      <c r="D16" s="193">
        <f>'Calculo No. aulas'!P66</f>
        <v>1</v>
      </c>
      <c r="E16" s="109">
        <f t="shared" si="0"/>
        <v>180</v>
      </c>
      <c r="F16" s="59">
        <f t="shared" si="1"/>
        <v>180</v>
      </c>
      <c r="G16" s="194">
        <f>F16*1</f>
        <v>180</v>
      </c>
      <c r="H16" s="625"/>
      <c r="J16" s="138"/>
      <c r="K16" s="138"/>
      <c r="L16" s="138"/>
      <c r="M16" s="138"/>
      <c r="N16" s="138"/>
      <c r="O16" s="138"/>
      <c r="P16" s="138">
        <f>F16</f>
        <v>180</v>
      </c>
      <c r="Q16" s="138"/>
      <c r="R16" s="138"/>
      <c r="S16" s="138"/>
      <c r="T16" s="138"/>
      <c r="U16" s="191"/>
      <c r="V16" s="195"/>
    </row>
    <row r="17" spans="1:23" ht="15.75" thickBot="1">
      <c r="A17" s="626"/>
      <c r="B17" s="629"/>
      <c r="C17" s="103" t="s">
        <v>34</v>
      </c>
      <c r="D17" s="193">
        <f>'Calculo No. aulas'!Q66</f>
        <v>2</v>
      </c>
      <c r="E17" s="109">
        <f t="shared" si="0"/>
        <v>180</v>
      </c>
      <c r="F17" s="59">
        <f t="shared" si="1"/>
        <v>360</v>
      </c>
      <c r="G17" s="196">
        <f>F17*1</f>
        <v>360</v>
      </c>
      <c r="H17" s="625"/>
      <c r="J17" s="138"/>
      <c r="K17" s="138"/>
      <c r="L17" s="138"/>
      <c r="M17" s="138"/>
      <c r="N17" s="138"/>
      <c r="O17" s="138"/>
      <c r="P17" s="138">
        <f>F17</f>
        <v>360</v>
      </c>
      <c r="Q17" s="138"/>
      <c r="R17" s="138"/>
      <c r="S17" s="138"/>
      <c r="T17" s="138"/>
      <c r="U17" s="191"/>
      <c r="V17" s="197"/>
    </row>
    <row r="18" spans="1:23" ht="15.75" thickBot="1">
      <c r="A18" s="198"/>
      <c r="B18" s="199"/>
      <c r="C18" s="103"/>
      <c r="D18" s="193"/>
      <c r="E18" s="109"/>
      <c r="F18" s="59"/>
      <c r="G18" s="194"/>
      <c r="H18" s="104"/>
      <c r="J18" s="104">
        <f>SUM(J4:J17)</f>
        <v>0</v>
      </c>
      <c r="K18" s="104">
        <f>SUM(K4:K17)</f>
        <v>1620</v>
      </c>
      <c r="L18" s="104">
        <f>SUM(L4:L17)</f>
        <v>1260</v>
      </c>
      <c r="M18" s="104">
        <f t="shared" ref="M18:U18" si="2">SUM(M4:M17)</f>
        <v>720</v>
      </c>
      <c r="N18" s="104">
        <f t="shared" si="2"/>
        <v>0</v>
      </c>
      <c r="O18" s="104">
        <f t="shared" si="2"/>
        <v>0</v>
      </c>
      <c r="P18" s="104">
        <f t="shared" si="2"/>
        <v>2700</v>
      </c>
      <c r="Q18" s="104">
        <f t="shared" si="2"/>
        <v>1800</v>
      </c>
      <c r="R18" s="104">
        <f t="shared" si="2"/>
        <v>1080</v>
      </c>
      <c r="S18" s="104">
        <f t="shared" si="2"/>
        <v>0</v>
      </c>
      <c r="T18" s="104">
        <f t="shared" si="2"/>
        <v>3960</v>
      </c>
      <c r="U18" s="200">
        <f t="shared" si="2"/>
        <v>2520</v>
      </c>
      <c r="V18" s="201">
        <f>SUM(J18:U18)</f>
        <v>15660</v>
      </c>
      <c r="W18" s="202"/>
    </row>
    <row r="19" spans="1:23" ht="15">
      <c r="A19" s="626" t="s">
        <v>26</v>
      </c>
      <c r="B19" s="625" t="s">
        <v>13</v>
      </c>
      <c r="C19" s="127" t="s">
        <v>6</v>
      </c>
      <c r="D19" s="193">
        <f>'Calculo No. aulas'!R66</f>
        <v>4</v>
      </c>
      <c r="E19" s="109">
        <f t="shared" ref="E19:E46" si="3">30*$C$2</f>
        <v>180</v>
      </c>
      <c r="F19" s="59">
        <f t="shared" ref="F19:F32" si="4">D19*E19</f>
        <v>720</v>
      </c>
      <c r="G19" s="190">
        <f>F19*3</f>
        <v>2160</v>
      </c>
      <c r="H19" s="625">
        <f>SUM(G19:G32)</f>
        <v>17460</v>
      </c>
      <c r="J19" s="138">
        <f>F8</f>
        <v>1620</v>
      </c>
      <c r="K19" s="138">
        <f>F19</f>
        <v>720</v>
      </c>
      <c r="L19" s="138">
        <f>F19</f>
        <v>720</v>
      </c>
      <c r="M19" s="138">
        <f>F19</f>
        <v>720</v>
      </c>
      <c r="N19" s="138"/>
      <c r="O19" s="138"/>
      <c r="P19" s="138"/>
      <c r="Q19" s="138"/>
      <c r="R19" s="138"/>
      <c r="S19" s="138"/>
      <c r="T19" s="138"/>
      <c r="U19" s="191"/>
      <c r="V19" s="192"/>
    </row>
    <row r="20" spans="1:23" ht="15">
      <c r="A20" s="626"/>
      <c r="B20" s="625"/>
      <c r="C20" s="127" t="s">
        <v>7</v>
      </c>
      <c r="D20" s="193">
        <f>'Calculo No. aulas'!S66</f>
        <v>3</v>
      </c>
      <c r="E20" s="109">
        <f t="shared" si="3"/>
        <v>180</v>
      </c>
      <c r="F20" s="59">
        <f t="shared" si="4"/>
        <v>540</v>
      </c>
      <c r="G20" s="194">
        <f>F20*2</f>
        <v>1080</v>
      </c>
      <c r="H20" s="625"/>
      <c r="J20" s="138"/>
      <c r="K20" s="138">
        <f>F20</f>
        <v>540</v>
      </c>
      <c r="L20" s="138">
        <f>F20</f>
        <v>540</v>
      </c>
      <c r="M20" s="138"/>
      <c r="N20" s="138"/>
      <c r="O20" s="138"/>
      <c r="P20" s="138"/>
      <c r="Q20" s="138"/>
      <c r="R20" s="138"/>
      <c r="S20" s="138"/>
      <c r="T20" s="138"/>
      <c r="U20" s="191"/>
      <c r="V20" s="195"/>
    </row>
    <row r="21" spans="1:23" ht="15">
      <c r="A21" s="626"/>
      <c r="B21" s="625"/>
      <c r="C21" s="127" t="s">
        <v>16</v>
      </c>
      <c r="D21" s="193">
        <f>'Calculo No. aulas'!T66</f>
        <v>2</v>
      </c>
      <c r="E21" s="109">
        <f t="shared" si="3"/>
        <v>180</v>
      </c>
      <c r="F21" s="59">
        <f t="shared" si="4"/>
        <v>360</v>
      </c>
      <c r="G21" s="194">
        <f>F21*1</f>
        <v>360</v>
      </c>
      <c r="H21" s="625"/>
      <c r="J21" s="138"/>
      <c r="K21" s="138">
        <f>F21</f>
        <v>360</v>
      </c>
      <c r="L21" s="138"/>
      <c r="M21" s="138"/>
      <c r="N21" s="138"/>
      <c r="O21" s="138"/>
      <c r="P21" s="138"/>
      <c r="Q21" s="138"/>
      <c r="R21" s="138"/>
      <c r="S21" s="138"/>
      <c r="T21" s="138"/>
      <c r="U21" s="191"/>
      <c r="V21" s="195"/>
    </row>
    <row r="22" spans="1:23" ht="15">
      <c r="A22" s="626"/>
      <c r="B22" s="625"/>
      <c r="C22" s="127" t="s">
        <v>9</v>
      </c>
      <c r="D22" s="193">
        <f>'Calculo No. aulas'!U66</f>
        <v>0</v>
      </c>
      <c r="E22" s="109">
        <f t="shared" si="3"/>
        <v>180</v>
      </c>
      <c r="F22" s="59">
        <f t="shared" si="4"/>
        <v>0</v>
      </c>
      <c r="G22" s="196">
        <f>F22*1</f>
        <v>0</v>
      </c>
      <c r="H22" s="625"/>
      <c r="J22" s="138"/>
      <c r="K22" s="138">
        <f>F22</f>
        <v>0</v>
      </c>
      <c r="L22" s="138"/>
      <c r="M22" s="138"/>
      <c r="N22" s="138"/>
      <c r="O22" s="138"/>
      <c r="P22" s="138"/>
      <c r="Q22" s="138"/>
      <c r="R22" s="138"/>
      <c r="S22" s="138"/>
      <c r="T22" s="138"/>
      <c r="U22" s="191"/>
      <c r="V22" s="195"/>
    </row>
    <row r="23" spans="1:23" ht="15">
      <c r="A23" s="626"/>
      <c r="B23" s="625" t="s">
        <v>22</v>
      </c>
      <c r="C23" s="127" t="s">
        <v>6</v>
      </c>
      <c r="D23" s="193">
        <f>'Calculo No. aulas'!V66</f>
        <v>9</v>
      </c>
      <c r="E23" s="109">
        <f t="shared" si="3"/>
        <v>180</v>
      </c>
      <c r="F23" s="59">
        <f t="shared" si="4"/>
        <v>1620</v>
      </c>
      <c r="G23" s="190">
        <f>F23*3</f>
        <v>4860</v>
      </c>
      <c r="H23" s="625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>
        <f>F23</f>
        <v>1620</v>
      </c>
      <c r="U23" s="191">
        <f>F23</f>
        <v>1620</v>
      </c>
      <c r="V23" s="195"/>
    </row>
    <row r="24" spans="1:23" ht="15">
      <c r="A24" s="626"/>
      <c r="B24" s="625"/>
      <c r="C24" s="127" t="s">
        <v>7</v>
      </c>
      <c r="D24" s="193">
        <f>'Calculo No. aulas'!W66</f>
        <v>5</v>
      </c>
      <c r="E24" s="109">
        <f t="shared" si="3"/>
        <v>180</v>
      </c>
      <c r="F24" s="59">
        <f t="shared" si="4"/>
        <v>900</v>
      </c>
      <c r="G24" s="194">
        <f>F24*2</f>
        <v>1800</v>
      </c>
      <c r="H24" s="625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>
        <f>F24</f>
        <v>900</v>
      </c>
      <c r="U24" s="191">
        <f>F24</f>
        <v>900</v>
      </c>
      <c r="V24" s="195"/>
    </row>
    <row r="25" spans="1:23" ht="15">
      <c r="A25" s="626"/>
      <c r="B25" s="625"/>
      <c r="C25" s="127" t="s">
        <v>16</v>
      </c>
      <c r="D25" s="193">
        <f>'Calculo No. aulas'!X66</f>
        <v>3</v>
      </c>
      <c r="E25" s="109">
        <f t="shared" si="3"/>
        <v>180</v>
      </c>
      <c r="F25" s="59">
        <f t="shared" si="4"/>
        <v>540</v>
      </c>
      <c r="G25" s="194">
        <f>F25*1</f>
        <v>540</v>
      </c>
      <c r="H25" s="625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>
        <f>F25</f>
        <v>540</v>
      </c>
      <c r="U25" s="191"/>
      <c r="V25" s="195"/>
    </row>
    <row r="26" spans="1:23" ht="15">
      <c r="A26" s="626"/>
      <c r="B26" s="625"/>
      <c r="C26" s="127" t="s">
        <v>9</v>
      </c>
      <c r="D26" s="193">
        <f>'Calculo No. aulas'!Y66</f>
        <v>2</v>
      </c>
      <c r="E26" s="109">
        <f t="shared" si="3"/>
        <v>180</v>
      </c>
      <c r="F26" s="59">
        <f t="shared" si="4"/>
        <v>360</v>
      </c>
      <c r="G26" s="194">
        <f>F26*1</f>
        <v>360</v>
      </c>
      <c r="H26" s="625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>
        <f>F26</f>
        <v>360</v>
      </c>
      <c r="U26" s="191"/>
      <c r="V26" s="195"/>
    </row>
    <row r="27" spans="1:23" ht="15">
      <c r="A27" s="626"/>
      <c r="B27" s="625"/>
      <c r="C27" s="103" t="s">
        <v>34</v>
      </c>
      <c r="D27" s="193">
        <f>'Calculo No. aulas'!Z66</f>
        <v>3</v>
      </c>
      <c r="E27" s="109">
        <f t="shared" si="3"/>
        <v>180</v>
      </c>
      <c r="F27" s="59">
        <f t="shared" si="4"/>
        <v>540</v>
      </c>
      <c r="G27" s="196">
        <f>F27*1</f>
        <v>540</v>
      </c>
      <c r="H27" s="625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>
        <f>F27</f>
        <v>540</v>
      </c>
      <c r="U27" s="191"/>
      <c r="V27" s="195"/>
    </row>
    <row r="28" spans="1:23" ht="15">
      <c r="A28" s="626"/>
      <c r="B28" s="627" t="s">
        <v>23</v>
      </c>
      <c r="C28" s="127" t="s">
        <v>6</v>
      </c>
      <c r="D28" s="193">
        <f>'Calculo No. aulas'!AA66</f>
        <v>6</v>
      </c>
      <c r="E28" s="109">
        <f t="shared" si="3"/>
        <v>180</v>
      </c>
      <c r="F28" s="59">
        <f t="shared" si="4"/>
        <v>1080</v>
      </c>
      <c r="G28" s="190">
        <f>F28*3</f>
        <v>3240</v>
      </c>
      <c r="H28" s="625"/>
      <c r="J28" s="138"/>
      <c r="K28" s="138"/>
      <c r="L28" s="138"/>
      <c r="M28" s="138"/>
      <c r="N28" s="138"/>
      <c r="O28" s="138"/>
      <c r="P28" s="138">
        <f>F28</f>
        <v>1080</v>
      </c>
      <c r="Q28" s="138">
        <f>F28</f>
        <v>1080</v>
      </c>
      <c r="R28" s="138">
        <f>F28</f>
        <v>1080</v>
      </c>
      <c r="S28" s="138"/>
      <c r="T28" s="138"/>
      <c r="U28" s="191"/>
      <c r="V28" s="195"/>
    </row>
    <row r="29" spans="1:23" ht="15">
      <c r="A29" s="626"/>
      <c r="B29" s="628"/>
      <c r="C29" s="127" t="s">
        <v>7</v>
      </c>
      <c r="D29" s="193">
        <f>'Calculo No. aulas'!AB66</f>
        <v>4</v>
      </c>
      <c r="E29" s="109">
        <f t="shared" si="3"/>
        <v>180</v>
      </c>
      <c r="F29" s="59">
        <f t="shared" si="4"/>
        <v>720</v>
      </c>
      <c r="G29" s="194">
        <f>F29*2</f>
        <v>1440</v>
      </c>
      <c r="H29" s="625"/>
      <c r="J29" s="138"/>
      <c r="K29" s="138"/>
      <c r="L29" s="138"/>
      <c r="M29" s="138"/>
      <c r="N29" s="138"/>
      <c r="O29" s="138"/>
      <c r="P29" s="138">
        <f>F29</f>
        <v>720</v>
      </c>
      <c r="Q29" s="138">
        <f>F29</f>
        <v>720</v>
      </c>
      <c r="R29" s="138"/>
      <c r="S29" s="138"/>
      <c r="T29" s="138"/>
      <c r="U29" s="191"/>
      <c r="V29" s="195"/>
    </row>
    <row r="30" spans="1:23" ht="15">
      <c r="A30" s="626"/>
      <c r="B30" s="628"/>
      <c r="C30" s="127" t="s">
        <v>16</v>
      </c>
      <c r="D30" s="193">
        <f>'Calculo No. aulas'!AC66</f>
        <v>3</v>
      </c>
      <c r="E30" s="109">
        <f t="shared" si="3"/>
        <v>180</v>
      </c>
      <c r="F30" s="59">
        <f t="shared" si="4"/>
        <v>540</v>
      </c>
      <c r="G30" s="194">
        <f>F30*1</f>
        <v>540</v>
      </c>
      <c r="H30" s="625"/>
      <c r="J30" s="138"/>
      <c r="K30" s="138"/>
      <c r="L30" s="138"/>
      <c r="M30" s="138"/>
      <c r="N30" s="138"/>
      <c r="O30" s="138"/>
      <c r="P30" s="138">
        <f>F30</f>
        <v>540</v>
      </c>
      <c r="Q30" s="138"/>
      <c r="R30" s="138"/>
      <c r="S30" s="138"/>
      <c r="T30" s="138"/>
      <c r="U30" s="191"/>
      <c r="V30" s="195"/>
    </row>
    <row r="31" spans="1:23" ht="15">
      <c r="A31" s="626"/>
      <c r="B31" s="628"/>
      <c r="C31" s="127" t="s">
        <v>9</v>
      </c>
      <c r="D31" s="193">
        <f>'Calculo No. aulas'!AD66</f>
        <v>1</v>
      </c>
      <c r="E31" s="109">
        <f t="shared" si="3"/>
        <v>180</v>
      </c>
      <c r="F31" s="59">
        <f t="shared" si="4"/>
        <v>180</v>
      </c>
      <c r="G31" s="194">
        <f>F31*1</f>
        <v>180</v>
      </c>
      <c r="H31" s="625"/>
      <c r="J31" s="138"/>
      <c r="K31" s="138"/>
      <c r="L31" s="138"/>
      <c r="M31" s="138"/>
      <c r="N31" s="138"/>
      <c r="O31" s="138"/>
      <c r="P31" s="138">
        <f>F31</f>
        <v>180</v>
      </c>
      <c r="Q31" s="138"/>
      <c r="R31" s="138"/>
      <c r="S31" s="138"/>
      <c r="T31" s="138"/>
      <c r="U31" s="191"/>
      <c r="V31" s="195"/>
    </row>
    <row r="32" spans="1:23" ht="15.75" thickBot="1">
      <c r="A32" s="626"/>
      <c r="B32" s="629"/>
      <c r="C32" s="103" t="s">
        <v>34</v>
      </c>
      <c r="D32" s="193">
        <f>'Calculo No. aulas'!AE66</f>
        <v>2</v>
      </c>
      <c r="E32" s="109">
        <f t="shared" si="3"/>
        <v>180</v>
      </c>
      <c r="F32" s="59">
        <f t="shared" si="4"/>
        <v>360</v>
      </c>
      <c r="G32" s="196">
        <f>F32*1</f>
        <v>360</v>
      </c>
      <c r="H32" s="625"/>
      <c r="J32" s="138"/>
      <c r="K32" s="138"/>
      <c r="L32" s="138"/>
      <c r="M32" s="138"/>
      <c r="N32" s="138"/>
      <c r="O32" s="138"/>
      <c r="P32" s="138">
        <f>F32</f>
        <v>360</v>
      </c>
      <c r="Q32" s="138"/>
      <c r="R32" s="138"/>
      <c r="S32" s="138"/>
      <c r="T32" s="138"/>
      <c r="U32" s="191"/>
      <c r="V32" s="197"/>
    </row>
    <row r="33" spans="1:22" ht="15.75" thickBot="1">
      <c r="A33" s="198"/>
      <c r="B33" s="199"/>
      <c r="C33" s="103"/>
      <c r="D33" s="193"/>
      <c r="E33" s="109"/>
      <c r="F33" s="59"/>
      <c r="G33" s="194"/>
      <c r="H33" s="104"/>
      <c r="J33" s="104">
        <f t="shared" ref="J33:U33" si="5">SUM(J19:J32)</f>
        <v>1620</v>
      </c>
      <c r="K33" s="104">
        <f t="shared" si="5"/>
        <v>1620</v>
      </c>
      <c r="L33" s="104">
        <f t="shared" si="5"/>
        <v>1260</v>
      </c>
      <c r="M33" s="104">
        <f t="shared" si="5"/>
        <v>720</v>
      </c>
      <c r="N33" s="104">
        <f t="shared" si="5"/>
        <v>0</v>
      </c>
      <c r="O33" s="104">
        <f t="shared" si="5"/>
        <v>0</v>
      </c>
      <c r="P33" s="104">
        <f t="shared" si="5"/>
        <v>2880</v>
      </c>
      <c r="Q33" s="104">
        <f t="shared" si="5"/>
        <v>1800</v>
      </c>
      <c r="R33" s="104">
        <f t="shared" si="5"/>
        <v>1080</v>
      </c>
      <c r="S33" s="104">
        <f t="shared" si="5"/>
        <v>0</v>
      </c>
      <c r="T33" s="104">
        <f t="shared" si="5"/>
        <v>3960</v>
      </c>
      <c r="U33" s="200">
        <f t="shared" si="5"/>
        <v>2520</v>
      </c>
      <c r="V33" s="201">
        <f>SUM(J33:U33)</f>
        <v>17460</v>
      </c>
    </row>
    <row r="34" spans="1:22" ht="15">
      <c r="A34" s="626" t="s">
        <v>27</v>
      </c>
      <c r="B34" s="625" t="s">
        <v>13</v>
      </c>
      <c r="C34" s="127" t="s">
        <v>6</v>
      </c>
      <c r="D34" s="193">
        <f>'Calculo No. aulas'!AF66</f>
        <v>4</v>
      </c>
      <c r="E34" s="109">
        <f t="shared" si="3"/>
        <v>180</v>
      </c>
      <c r="F34" s="59">
        <f t="shared" ref="F34:F47" si="6">D34*E34</f>
        <v>720</v>
      </c>
      <c r="G34" s="190">
        <f>F34*3</f>
        <v>2160</v>
      </c>
      <c r="H34" s="625">
        <f>SUM(G34:G47)</f>
        <v>17460</v>
      </c>
      <c r="J34" s="138">
        <f>F23</f>
        <v>1620</v>
      </c>
      <c r="K34" s="138">
        <f>F34</f>
        <v>720</v>
      </c>
      <c r="L34" s="138">
        <f>F34</f>
        <v>720</v>
      </c>
      <c r="M34" s="138">
        <f>F34</f>
        <v>720</v>
      </c>
      <c r="N34" s="138"/>
      <c r="O34" s="138"/>
      <c r="P34" s="138"/>
      <c r="Q34" s="138"/>
      <c r="R34" s="138"/>
      <c r="S34" s="138"/>
      <c r="T34" s="138"/>
      <c r="U34" s="191"/>
      <c r="V34" s="203"/>
    </row>
    <row r="35" spans="1:22" ht="15">
      <c r="A35" s="626"/>
      <c r="B35" s="625"/>
      <c r="C35" s="127" t="s">
        <v>7</v>
      </c>
      <c r="D35" s="193">
        <f>'Calculo No. aulas'!AG66</f>
        <v>3</v>
      </c>
      <c r="E35" s="109">
        <f t="shared" si="3"/>
        <v>180</v>
      </c>
      <c r="F35" s="59">
        <f t="shared" si="6"/>
        <v>540</v>
      </c>
      <c r="G35" s="194">
        <f>F35*2</f>
        <v>1080</v>
      </c>
      <c r="H35" s="625"/>
      <c r="J35" s="138"/>
      <c r="K35" s="138">
        <f>F35</f>
        <v>540</v>
      </c>
      <c r="L35" s="138">
        <f>F35</f>
        <v>540</v>
      </c>
      <c r="M35" s="138"/>
      <c r="N35" s="138"/>
      <c r="O35" s="138"/>
      <c r="P35" s="138"/>
      <c r="Q35" s="138"/>
      <c r="R35" s="138"/>
      <c r="S35" s="138"/>
      <c r="T35" s="138"/>
      <c r="U35" s="191"/>
      <c r="V35" s="195"/>
    </row>
    <row r="36" spans="1:22" ht="15">
      <c r="A36" s="626"/>
      <c r="B36" s="625"/>
      <c r="C36" s="127" t="s">
        <v>16</v>
      </c>
      <c r="D36" s="193">
        <f>'Calculo No. aulas'!AH66</f>
        <v>2</v>
      </c>
      <c r="E36" s="109">
        <f t="shared" si="3"/>
        <v>180</v>
      </c>
      <c r="F36" s="59">
        <f t="shared" si="6"/>
        <v>360</v>
      </c>
      <c r="G36" s="194">
        <f>F36*1</f>
        <v>360</v>
      </c>
      <c r="H36" s="625"/>
      <c r="J36" s="138"/>
      <c r="K36" s="138">
        <f>F36</f>
        <v>360</v>
      </c>
      <c r="L36" s="138"/>
      <c r="M36" s="138"/>
      <c r="N36" s="138"/>
      <c r="O36" s="138"/>
      <c r="P36" s="138"/>
      <c r="Q36" s="138"/>
      <c r="R36" s="138"/>
      <c r="S36" s="138"/>
      <c r="T36" s="138"/>
      <c r="U36" s="191"/>
      <c r="V36" s="195"/>
    </row>
    <row r="37" spans="1:22" ht="15">
      <c r="A37" s="626"/>
      <c r="B37" s="625"/>
      <c r="C37" s="127" t="s">
        <v>9</v>
      </c>
      <c r="D37" s="193">
        <f>'Calculo No. aulas'!AI66</f>
        <v>0</v>
      </c>
      <c r="E37" s="109">
        <f t="shared" si="3"/>
        <v>180</v>
      </c>
      <c r="F37" s="59">
        <f t="shared" si="6"/>
        <v>0</v>
      </c>
      <c r="G37" s="196">
        <f>F37*1</f>
        <v>0</v>
      </c>
      <c r="H37" s="625"/>
      <c r="J37" s="138"/>
      <c r="K37" s="138">
        <f>F37</f>
        <v>0</v>
      </c>
      <c r="L37" s="138"/>
      <c r="M37" s="138"/>
      <c r="N37" s="138"/>
      <c r="O37" s="138"/>
      <c r="P37" s="138"/>
      <c r="Q37" s="138"/>
      <c r="R37" s="138"/>
      <c r="S37" s="138"/>
      <c r="T37" s="138"/>
      <c r="U37" s="191"/>
      <c r="V37" s="195"/>
    </row>
    <row r="38" spans="1:22" ht="15">
      <c r="A38" s="626"/>
      <c r="B38" s="625" t="s">
        <v>22</v>
      </c>
      <c r="C38" s="127" t="s">
        <v>6</v>
      </c>
      <c r="D38" s="193">
        <f>'Calculo No. aulas'!AJ66</f>
        <v>9</v>
      </c>
      <c r="E38" s="109">
        <f t="shared" si="3"/>
        <v>180</v>
      </c>
      <c r="F38" s="59">
        <f t="shared" si="6"/>
        <v>1620</v>
      </c>
      <c r="G38" s="190">
        <f>F38*3</f>
        <v>4860</v>
      </c>
      <c r="H38" s="625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>
        <f>F38</f>
        <v>1620</v>
      </c>
      <c r="U38" s="191">
        <f>F38</f>
        <v>1620</v>
      </c>
      <c r="V38" s="195"/>
    </row>
    <row r="39" spans="1:22" ht="15">
      <c r="A39" s="626"/>
      <c r="B39" s="625"/>
      <c r="C39" s="127" t="s">
        <v>7</v>
      </c>
      <c r="D39" s="193">
        <f>'Calculo No. aulas'!AK66</f>
        <v>5</v>
      </c>
      <c r="E39" s="109">
        <f t="shared" si="3"/>
        <v>180</v>
      </c>
      <c r="F39" s="59">
        <f t="shared" si="6"/>
        <v>900</v>
      </c>
      <c r="G39" s="194">
        <f>F39*2</f>
        <v>1800</v>
      </c>
      <c r="H39" s="625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>
        <f>F39</f>
        <v>900</v>
      </c>
      <c r="U39" s="191">
        <f>F39</f>
        <v>900</v>
      </c>
      <c r="V39" s="195"/>
    </row>
    <row r="40" spans="1:22" ht="15">
      <c r="A40" s="626"/>
      <c r="B40" s="625"/>
      <c r="C40" s="127" t="s">
        <v>16</v>
      </c>
      <c r="D40" s="193">
        <f>'Calculo No. aulas'!AL66</f>
        <v>3</v>
      </c>
      <c r="E40" s="109">
        <f t="shared" si="3"/>
        <v>180</v>
      </c>
      <c r="F40" s="59">
        <f t="shared" si="6"/>
        <v>540</v>
      </c>
      <c r="G40" s="194">
        <f>F40*1</f>
        <v>540</v>
      </c>
      <c r="H40" s="625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>
        <f>F40</f>
        <v>540</v>
      </c>
      <c r="U40" s="191"/>
      <c r="V40" s="195"/>
    </row>
    <row r="41" spans="1:22" ht="15">
      <c r="A41" s="626"/>
      <c r="B41" s="625"/>
      <c r="C41" s="127" t="s">
        <v>9</v>
      </c>
      <c r="D41" s="193">
        <f>'Calculo No. aulas'!AM66</f>
        <v>2</v>
      </c>
      <c r="E41" s="109">
        <f t="shared" si="3"/>
        <v>180</v>
      </c>
      <c r="F41" s="59">
        <f t="shared" si="6"/>
        <v>360</v>
      </c>
      <c r="G41" s="194">
        <f>F41*1</f>
        <v>360</v>
      </c>
      <c r="H41" s="625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>
        <f>F41</f>
        <v>360</v>
      </c>
      <c r="U41" s="191"/>
      <c r="V41" s="195"/>
    </row>
    <row r="42" spans="1:22" ht="15">
      <c r="A42" s="626"/>
      <c r="B42" s="625"/>
      <c r="C42" s="103" t="s">
        <v>34</v>
      </c>
      <c r="D42" s="193">
        <f>'Calculo No. aulas'!AN66</f>
        <v>3</v>
      </c>
      <c r="E42" s="109">
        <f t="shared" si="3"/>
        <v>180</v>
      </c>
      <c r="F42" s="59">
        <f t="shared" si="6"/>
        <v>540</v>
      </c>
      <c r="G42" s="196">
        <f>F42*1</f>
        <v>540</v>
      </c>
      <c r="H42" s="625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>
        <f>F42</f>
        <v>540</v>
      </c>
      <c r="U42" s="191"/>
      <c r="V42" s="195"/>
    </row>
    <row r="43" spans="1:22" ht="15">
      <c r="A43" s="626"/>
      <c r="B43" s="627" t="s">
        <v>23</v>
      </c>
      <c r="C43" s="127" t="s">
        <v>6</v>
      </c>
      <c r="D43" s="193">
        <f>'Calculo No. aulas'!AO66</f>
        <v>6</v>
      </c>
      <c r="E43" s="109">
        <f t="shared" si="3"/>
        <v>180</v>
      </c>
      <c r="F43" s="59">
        <f t="shared" si="6"/>
        <v>1080</v>
      </c>
      <c r="G43" s="190">
        <f>F43*3</f>
        <v>3240</v>
      </c>
      <c r="H43" s="625"/>
      <c r="J43" s="138"/>
      <c r="K43" s="138"/>
      <c r="L43" s="138"/>
      <c r="M43" s="138"/>
      <c r="N43" s="138"/>
      <c r="O43" s="138"/>
      <c r="P43" s="138">
        <f>F43</f>
        <v>1080</v>
      </c>
      <c r="Q43" s="138">
        <f>F43</f>
        <v>1080</v>
      </c>
      <c r="R43" s="138">
        <f>F43</f>
        <v>1080</v>
      </c>
      <c r="S43" s="138"/>
      <c r="T43" s="138"/>
      <c r="U43" s="191"/>
      <c r="V43" s="195"/>
    </row>
    <row r="44" spans="1:22" ht="15">
      <c r="A44" s="626"/>
      <c r="B44" s="628"/>
      <c r="C44" s="127" t="s">
        <v>7</v>
      </c>
      <c r="D44" s="193">
        <f>'Calculo No. aulas'!AP66</f>
        <v>4</v>
      </c>
      <c r="E44" s="109">
        <f t="shared" si="3"/>
        <v>180</v>
      </c>
      <c r="F44" s="59">
        <f t="shared" si="6"/>
        <v>720</v>
      </c>
      <c r="G44" s="194">
        <f>F44*2</f>
        <v>1440</v>
      </c>
      <c r="H44" s="625"/>
      <c r="J44" s="138"/>
      <c r="K44" s="138"/>
      <c r="L44" s="138"/>
      <c r="M44" s="138"/>
      <c r="N44" s="138"/>
      <c r="O44" s="138"/>
      <c r="P44" s="138">
        <f>F44</f>
        <v>720</v>
      </c>
      <c r="Q44" s="138">
        <f>F44</f>
        <v>720</v>
      </c>
      <c r="R44" s="138"/>
      <c r="S44" s="138"/>
      <c r="T44" s="138"/>
      <c r="U44" s="191"/>
      <c r="V44" s="195"/>
    </row>
    <row r="45" spans="1:22" ht="15">
      <c r="A45" s="626"/>
      <c r="B45" s="628"/>
      <c r="C45" s="127" t="s">
        <v>16</v>
      </c>
      <c r="D45" s="193">
        <f>'Calculo No. aulas'!AQ66</f>
        <v>3</v>
      </c>
      <c r="E45" s="109">
        <f t="shared" si="3"/>
        <v>180</v>
      </c>
      <c r="F45" s="59">
        <f t="shared" si="6"/>
        <v>540</v>
      </c>
      <c r="G45" s="194">
        <f>F45*1</f>
        <v>540</v>
      </c>
      <c r="H45" s="625"/>
      <c r="J45" s="138"/>
      <c r="K45" s="138"/>
      <c r="L45" s="138"/>
      <c r="M45" s="138"/>
      <c r="N45" s="138"/>
      <c r="O45" s="138"/>
      <c r="P45" s="138">
        <f>F45</f>
        <v>540</v>
      </c>
      <c r="Q45" s="138"/>
      <c r="R45" s="138"/>
      <c r="S45" s="138"/>
      <c r="T45" s="138"/>
      <c r="U45" s="191"/>
      <c r="V45" s="195"/>
    </row>
    <row r="46" spans="1:22" ht="15">
      <c r="A46" s="626"/>
      <c r="B46" s="628"/>
      <c r="C46" s="127" t="s">
        <v>9</v>
      </c>
      <c r="D46" s="193">
        <f>'Calculo No. aulas'!AR66</f>
        <v>1</v>
      </c>
      <c r="E46" s="109">
        <f t="shared" si="3"/>
        <v>180</v>
      </c>
      <c r="F46" s="59">
        <f t="shared" si="6"/>
        <v>180</v>
      </c>
      <c r="G46" s="194">
        <f>F46*1</f>
        <v>180</v>
      </c>
      <c r="H46" s="625"/>
      <c r="J46" s="138"/>
      <c r="K46" s="138"/>
      <c r="L46" s="138"/>
      <c r="M46" s="138"/>
      <c r="N46" s="138"/>
      <c r="O46" s="138"/>
      <c r="P46" s="138">
        <f>F46</f>
        <v>180</v>
      </c>
      <c r="Q46" s="138"/>
      <c r="R46" s="138"/>
      <c r="S46" s="138"/>
      <c r="T46" s="138"/>
      <c r="U46" s="191"/>
      <c r="V46" s="195"/>
    </row>
    <row r="47" spans="1:22" ht="15.75" thickBot="1">
      <c r="A47" s="626"/>
      <c r="B47" s="629"/>
      <c r="C47" s="103" t="s">
        <v>34</v>
      </c>
      <c r="D47" s="193">
        <f>'Calculo No. aulas'!AS66</f>
        <v>2</v>
      </c>
      <c r="E47" s="109">
        <f>30*$C$2</f>
        <v>180</v>
      </c>
      <c r="F47" s="59">
        <f t="shared" si="6"/>
        <v>360</v>
      </c>
      <c r="G47" s="196">
        <f>F47*1</f>
        <v>360</v>
      </c>
      <c r="H47" s="625"/>
      <c r="J47" s="138"/>
      <c r="K47" s="138"/>
      <c r="L47" s="138"/>
      <c r="M47" s="138"/>
      <c r="N47" s="138"/>
      <c r="O47" s="138"/>
      <c r="P47" s="138">
        <f>F47</f>
        <v>360</v>
      </c>
      <c r="Q47" s="138"/>
      <c r="R47" s="138"/>
      <c r="S47" s="138"/>
      <c r="T47" s="138"/>
      <c r="U47" s="191"/>
      <c r="V47" s="197"/>
    </row>
    <row r="48" spans="1:22" ht="15.75" thickBot="1">
      <c r="A48" s="198"/>
      <c r="B48" s="199"/>
      <c r="C48" s="103"/>
      <c r="D48" s="193"/>
      <c r="E48" s="109"/>
      <c r="F48" s="59"/>
      <c r="G48" s="194"/>
      <c r="H48" s="104"/>
      <c r="J48" s="104">
        <f t="shared" ref="J48:U48" si="7">SUM(J34:J47)</f>
        <v>1620</v>
      </c>
      <c r="K48" s="104">
        <f t="shared" si="7"/>
        <v>1620</v>
      </c>
      <c r="L48" s="104">
        <f t="shared" si="7"/>
        <v>1260</v>
      </c>
      <c r="M48" s="104">
        <f t="shared" si="7"/>
        <v>720</v>
      </c>
      <c r="N48" s="104">
        <f t="shared" si="7"/>
        <v>0</v>
      </c>
      <c r="O48" s="104">
        <f t="shared" si="7"/>
        <v>0</v>
      </c>
      <c r="P48" s="104">
        <f t="shared" si="7"/>
        <v>2880</v>
      </c>
      <c r="Q48" s="104">
        <f t="shared" si="7"/>
        <v>1800</v>
      </c>
      <c r="R48" s="104">
        <f t="shared" si="7"/>
        <v>1080</v>
      </c>
      <c r="S48" s="104">
        <f t="shared" si="7"/>
        <v>0</v>
      </c>
      <c r="T48" s="104">
        <f t="shared" si="7"/>
        <v>3960</v>
      </c>
      <c r="U48" s="200">
        <f t="shared" si="7"/>
        <v>2520</v>
      </c>
      <c r="V48" s="201">
        <f>SUM(J48:U48)</f>
        <v>17460</v>
      </c>
    </row>
    <row r="49" spans="1:22" ht="15">
      <c r="A49" s="626" t="s">
        <v>28</v>
      </c>
      <c r="B49" s="625" t="s">
        <v>13</v>
      </c>
      <c r="C49" s="127" t="s">
        <v>6</v>
      </c>
      <c r="D49" s="193">
        <f>'Calculo No. aulas'!AT66</f>
        <v>4</v>
      </c>
      <c r="E49" s="109">
        <f t="shared" ref="E49:E62" si="8">30*$C$2</f>
        <v>180</v>
      </c>
      <c r="F49" s="59">
        <f t="shared" ref="F49:F62" si="9">D49*E49</f>
        <v>720</v>
      </c>
      <c r="G49" s="190">
        <f>F49*3</f>
        <v>2160</v>
      </c>
      <c r="H49" s="625">
        <f>SUM(G49:G62)</f>
        <v>16740</v>
      </c>
      <c r="J49" s="138">
        <f>F38</f>
        <v>1620</v>
      </c>
      <c r="K49" s="138">
        <f>F49</f>
        <v>720</v>
      </c>
      <c r="L49" s="138">
        <f>F49</f>
        <v>720</v>
      </c>
      <c r="M49" s="138">
        <f>F49</f>
        <v>720</v>
      </c>
      <c r="N49" s="138"/>
      <c r="O49" s="138"/>
      <c r="P49" s="138"/>
      <c r="Q49" s="138"/>
      <c r="R49" s="138"/>
      <c r="S49" s="138"/>
      <c r="T49" s="138"/>
      <c r="U49" s="191"/>
      <c r="V49" s="203"/>
    </row>
    <row r="50" spans="1:22" ht="15">
      <c r="A50" s="626"/>
      <c r="B50" s="625"/>
      <c r="C50" s="127" t="s">
        <v>7</v>
      </c>
      <c r="D50" s="193">
        <f>'Calculo No. aulas'!AU66</f>
        <v>3</v>
      </c>
      <c r="E50" s="109">
        <f t="shared" si="8"/>
        <v>180</v>
      </c>
      <c r="F50" s="59">
        <f t="shared" si="9"/>
        <v>540</v>
      </c>
      <c r="G50" s="194">
        <f>F50*2</f>
        <v>1080</v>
      </c>
      <c r="H50" s="625"/>
      <c r="J50" s="138"/>
      <c r="K50" s="138">
        <f>F50</f>
        <v>540</v>
      </c>
      <c r="L50" s="138">
        <f>F50</f>
        <v>540</v>
      </c>
      <c r="M50" s="138"/>
      <c r="N50" s="138"/>
      <c r="O50" s="138"/>
      <c r="P50" s="138"/>
      <c r="Q50" s="138"/>
      <c r="R50" s="138"/>
      <c r="S50" s="138"/>
      <c r="T50" s="138"/>
      <c r="U50" s="191"/>
      <c r="V50" s="195"/>
    </row>
    <row r="51" spans="1:22" ht="15">
      <c r="A51" s="626"/>
      <c r="B51" s="625"/>
      <c r="C51" s="127" t="s">
        <v>16</v>
      </c>
      <c r="D51" s="193">
        <f>'Calculo No. aulas'!AV66</f>
        <v>2</v>
      </c>
      <c r="E51" s="109">
        <f t="shared" si="8"/>
        <v>180</v>
      </c>
      <c r="F51" s="59">
        <f t="shared" si="9"/>
        <v>360</v>
      </c>
      <c r="G51" s="194">
        <f>F51*1</f>
        <v>360</v>
      </c>
      <c r="H51" s="625"/>
      <c r="J51" s="138"/>
      <c r="K51" s="138">
        <f>F51</f>
        <v>360</v>
      </c>
      <c r="L51" s="138"/>
      <c r="M51" s="138"/>
      <c r="N51" s="138"/>
      <c r="O51" s="138"/>
      <c r="P51" s="138"/>
      <c r="Q51" s="138"/>
      <c r="R51" s="138"/>
      <c r="S51" s="138"/>
      <c r="T51" s="138"/>
      <c r="U51" s="191"/>
      <c r="V51" s="195"/>
    </row>
    <row r="52" spans="1:22" ht="15">
      <c r="A52" s="626"/>
      <c r="B52" s="625"/>
      <c r="C52" s="127" t="s">
        <v>9</v>
      </c>
      <c r="D52" s="193">
        <f>'Calculo No. aulas'!AW66</f>
        <v>0</v>
      </c>
      <c r="E52" s="109">
        <f t="shared" si="8"/>
        <v>180</v>
      </c>
      <c r="F52" s="59">
        <f t="shared" si="9"/>
        <v>0</v>
      </c>
      <c r="G52" s="196">
        <f>F52*1</f>
        <v>0</v>
      </c>
      <c r="H52" s="625"/>
      <c r="J52" s="138"/>
      <c r="K52" s="138">
        <f>F52</f>
        <v>0</v>
      </c>
      <c r="L52" s="138"/>
      <c r="M52" s="138"/>
      <c r="N52" s="138"/>
      <c r="O52" s="138"/>
      <c r="P52" s="138"/>
      <c r="Q52" s="138"/>
      <c r="R52" s="138"/>
      <c r="S52" s="138"/>
      <c r="T52" s="138"/>
      <c r="U52" s="191"/>
      <c r="V52" s="195"/>
    </row>
    <row r="53" spans="1:22" ht="15">
      <c r="A53" s="626"/>
      <c r="B53" s="625" t="s">
        <v>22</v>
      </c>
      <c r="C53" s="127" t="s">
        <v>6</v>
      </c>
      <c r="D53" s="193">
        <f>'Calculo No. aulas'!AX66</f>
        <v>9</v>
      </c>
      <c r="E53" s="109">
        <f t="shared" si="8"/>
        <v>180</v>
      </c>
      <c r="F53" s="59">
        <f t="shared" si="9"/>
        <v>1620</v>
      </c>
      <c r="G53" s="190">
        <f>F53*3</f>
        <v>4860</v>
      </c>
      <c r="H53" s="625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>
        <f>F53</f>
        <v>1620</v>
      </c>
      <c r="U53" s="191">
        <f>F53</f>
        <v>1620</v>
      </c>
      <c r="V53" s="195"/>
    </row>
    <row r="54" spans="1:22" ht="15">
      <c r="A54" s="626"/>
      <c r="B54" s="625"/>
      <c r="C54" s="127" t="s">
        <v>7</v>
      </c>
      <c r="D54" s="193">
        <f>'Calculo No. aulas'!AY66</f>
        <v>4</v>
      </c>
      <c r="E54" s="109">
        <f t="shared" si="8"/>
        <v>180</v>
      </c>
      <c r="F54" s="59">
        <f t="shared" si="9"/>
        <v>720</v>
      </c>
      <c r="G54" s="194">
        <f>F54*2</f>
        <v>1440</v>
      </c>
      <c r="H54" s="625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>
        <f>F54</f>
        <v>720</v>
      </c>
      <c r="U54" s="191">
        <f>F54</f>
        <v>720</v>
      </c>
      <c r="V54" s="195"/>
    </row>
    <row r="55" spans="1:22" ht="15">
      <c r="A55" s="626"/>
      <c r="B55" s="625"/>
      <c r="C55" s="127" t="s">
        <v>16</v>
      </c>
      <c r="D55" s="193">
        <f>'Calculo No. aulas'!AZ66</f>
        <v>3</v>
      </c>
      <c r="E55" s="109">
        <f t="shared" si="8"/>
        <v>180</v>
      </c>
      <c r="F55" s="59">
        <f t="shared" si="9"/>
        <v>540</v>
      </c>
      <c r="G55" s="194">
        <f>F55*1</f>
        <v>540</v>
      </c>
      <c r="H55" s="625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>
        <f>F55</f>
        <v>540</v>
      </c>
      <c r="U55" s="191"/>
      <c r="V55" s="195"/>
    </row>
    <row r="56" spans="1:22" ht="15">
      <c r="A56" s="626"/>
      <c r="B56" s="625"/>
      <c r="C56" s="127" t="s">
        <v>9</v>
      </c>
      <c r="D56" s="193">
        <f>'Calculo No. aulas'!BA66</f>
        <v>2</v>
      </c>
      <c r="E56" s="109">
        <f t="shared" si="8"/>
        <v>180</v>
      </c>
      <c r="F56" s="59">
        <f t="shared" si="9"/>
        <v>360</v>
      </c>
      <c r="G56" s="194">
        <f>F56*1</f>
        <v>360</v>
      </c>
      <c r="H56" s="625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>
        <f>F56</f>
        <v>360</v>
      </c>
      <c r="U56" s="191"/>
      <c r="V56" s="195"/>
    </row>
    <row r="57" spans="1:22" ht="15">
      <c r="A57" s="626"/>
      <c r="B57" s="625"/>
      <c r="C57" s="103" t="s">
        <v>34</v>
      </c>
      <c r="D57" s="193">
        <f>'Calculo No. aulas'!BB66</f>
        <v>3</v>
      </c>
      <c r="E57" s="109">
        <f t="shared" si="8"/>
        <v>180</v>
      </c>
      <c r="F57" s="59">
        <f t="shared" si="9"/>
        <v>540</v>
      </c>
      <c r="G57" s="196">
        <f>F57*1</f>
        <v>540</v>
      </c>
      <c r="H57" s="625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>
        <f>F57</f>
        <v>540</v>
      </c>
      <c r="U57" s="191"/>
      <c r="V57" s="195"/>
    </row>
    <row r="58" spans="1:22" ht="15">
      <c r="A58" s="626"/>
      <c r="B58" s="627" t="s">
        <v>23</v>
      </c>
      <c r="C58" s="127" t="s">
        <v>6</v>
      </c>
      <c r="D58" s="193">
        <f>'Calculo No. aulas'!BC66</f>
        <v>6</v>
      </c>
      <c r="E58" s="109">
        <f t="shared" si="8"/>
        <v>180</v>
      </c>
      <c r="F58" s="59">
        <f t="shared" si="9"/>
        <v>1080</v>
      </c>
      <c r="G58" s="190">
        <f>F58*3</f>
        <v>3240</v>
      </c>
      <c r="H58" s="625"/>
      <c r="J58" s="138"/>
      <c r="K58" s="138"/>
      <c r="L58" s="138"/>
      <c r="M58" s="138"/>
      <c r="N58" s="138"/>
      <c r="O58" s="138"/>
      <c r="P58" s="138">
        <f>F58</f>
        <v>1080</v>
      </c>
      <c r="Q58" s="138">
        <f>F58</f>
        <v>1080</v>
      </c>
      <c r="R58" s="138">
        <f>F58</f>
        <v>1080</v>
      </c>
      <c r="S58" s="138"/>
      <c r="T58" s="138"/>
      <c r="U58" s="191"/>
      <c r="V58" s="195"/>
    </row>
    <row r="59" spans="1:22" ht="15">
      <c r="A59" s="626"/>
      <c r="B59" s="628"/>
      <c r="C59" s="127" t="s">
        <v>7</v>
      </c>
      <c r="D59" s="193">
        <f>'Calculo No. aulas'!BD66</f>
        <v>4</v>
      </c>
      <c r="E59" s="109">
        <f t="shared" si="8"/>
        <v>180</v>
      </c>
      <c r="F59" s="59">
        <f t="shared" si="9"/>
        <v>720</v>
      </c>
      <c r="G59" s="194">
        <f>F59*2</f>
        <v>1440</v>
      </c>
      <c r="H59" s="625"/>
      <c r="J59" s="138"/>
      <c r="K59" s="138"/>
      <c r="L59" s="138"/>
      <c r="M59" s="138"/>
      <c r="N59" s="138"/>
      <c r="O59" s="138"/>
      <c r="P59" s="138">
        <f>F59</f>
        <v>720</v>
      </c>
      <c r="Q59" s="138">
        <f>F59</f>
        <v>720</v>
      </c>
      <c r="R59" s="138"/>
      <c r="S59" s="138"/>
      <c r="T59" s="138"/>
      <c r="U59" s="191"/>
      <c r="V59" s="195"/>
    </row>
    <row r="60" spans="1:22" ht="15">
      <c r="A60" s="626"/>
      <c r="B60" s="628"/>
      <c r="C60" s="127" t="s">
        <v>16</v>
      </c>
      <c r="D60" s="193">
        <f>'Calculo No. aulas'!BE66</f>
        <v>2</v>
      </c>
      <c r="E60" s="109">
        <f t="shared" si="8"/>
        <v>180</v>
      </c>
      <c r="F60" s="59">
        <f t="shared" si="9"/>
        <v>360</v>
      </c>
      <c r="G60" s="194">
        <f>F60*1</f>
        <v>360</v>
      </c>
      <c r="H60" s="625"/>
      <c r="J60" s="138"/>
      <c r="K60" s="138"/>
      <c r="L60" s="138"/>
      <c r="M60" s="138"/>
      <c r="N60" s="138"/>
      <c r="O60" s="138"/>
      <c r="P60" s="138">
        <f>F60</f>
        <v>360</v>
      </c>
      <c r="Q60" s="138"/>
      <c r="R60" s="138"/>
      <c r="S60" s="138"/>
      <c r="T60" s="138"/>
      <c r="U60" s="191"/>
      <c r="V60" s="195"/>
    </row>
    <row r="61" spans="1:22" ht="15">
      <c r="A61" s="626"/>
      <c r="B61" s="628"/>
      <c r="C61" s="127" t="s">
        <v>9</v>
      </c>
      <c r="D61" s="193">
        <f>'Calculo No. aulas'!BF66</f>
        <v>1</v>
      </c>
      <c r="E61" s="109">
        <f t="shared" si="8"/>
        <v>180</v>
      </c>
      <c r="F61" s="59">
        <f t="shared" si="9"/>
        <v>180</v>
      </c>
      <c r="G61" s="194">
        <f>F61*1</f>
        <v>180</v>
      </c>
      <c r="H61" s="625"/>
      <c r="J61" s="138"/>
      <c r="K61" s="138"/>
      <c r="L61" s="138"/>
      <c r="M61" s="138"/>
      <c r="N61" s="138"/>
      <c r="O61" s="138"/>
      <c r="P61" s="138">
        <f>F61</f>
        <v>180</v>
      </c>
      <c r="Q61" s="138"/>
      <c r="R61" s="138"/>
      <c r="S61" s="138"/>
      <c r="T61" s="138"/>
      <c r="U61" s="191"/>
      <c r="V61" s="195"/>
    </row>
    <row r="62" spans="1:22" ht="15.75" thickBot="1">
      <c r="A62" s="626"/>
      <c r="B62" s="629"/>
      <c r="C62" s="103" t="s">
        <v>34</v>
      </c>
      <c r="D62" s="193">
        <f>'Calculo No. aulas'!BG66</f>
        <v>1</v>
      </c>
      <c r="E62" s="109">
        <f t="shared" si="8"/>
        <v>180</v>
      </c>
      <c r="F62" s="59">
        <f t="shared" si="9"/>
        <v>180</v>
      </c>
      <c r="G62" s="196">
        <f>F62*1</f>
        <v>180</v>
      </c>
      <c r="H62" s="625"/>
      <c r="J62" s="138"/>
      <c r="K62" s="138"/>
      <c r="L62" s="138"/>
      <c r="M62" s="138"/>
      <c r="N62" s="138"/>
      <c r="O62" s="138"/>
      <c r="P62" s="138">
        <f>F62</f>
        <v>180</v>
      </c>
      <c r="Q62" s="138"/>
      <c r="R62" s="138"/>
      <c r="S62" s="138"/>
      <c r="T62" s="138"/>
      <c r="U62" s="191"/>
      <c r="V62" s="197"/>
    </row>
    <row r="63" spans="1:22" ht="15.75" thickBot="1">
      <c r="A63" s="198"/>
      <c r="B63" s="199"/>
      <c r="C63" s="103"/>
      <c r="D63" s="193"/>
      <c r="E63" s="109"/>
      <c r="F63" s="59"/>
      <c r="G63" s="194"/>
      <c r="H63" s="104"/>
      <c r="J63" s="104">
        <f t="shared" ref="J63:U63" si="10">SUM(J49:J62)</f>
        <v>1620</v>
      </c>
      <c r="K63" s="104">
        <f t="shared" si="10"/>
        <v>1620</v>
      </c>
      <c r="L63" s="104">
        <f t="shared" si="10"/>
        <v>1260</v>
      </c>
      <c r="M63" s="104">
        <f t="shared" si="10"/>
        <v>720</v>
      </c>
      <c r="N63" s="104">
        <f t="shared" si="10"/>
        <v>0</v>
      </c>
      <c r="O63" s="104">
        <f t="shared" si="10"/>
        <v>0</v>
      </c>
      <c r="P63" s="104">
        <f t="shared" si="10"/>
        <v>2520</v>
      </c>
      <c r="Q63" s="104">
        <f t="shared" si="10"/>
        <v>1800</v>
      </c>
      <c r="R63" s="104">
        <f t="shared" si="10"/>
        <v>1080</v>
      </c>
      <c r="S63" s="104">
        <f t="shared" si="10"/>
        <v>0</v>
      </c>
      <c r="T63" s="104">
        <f t="shared" si="10"/>
        <v>3780</v>
      </c>
      <c r="U63" s="200">
        <f t="shared" si="10"/>
        <v>2340</v>
      </c>
      <c r="V63" s="201">
        <f>SUM(J63:U63)</f>
        <v>16740</v>
      </c>
    </row>
    <row r="64" spans="1:22" ht="15">
      <c r="A64" s="626" t="s">
        <v>29</v>
      </c>
      <c r="B64" s="625" t="s">
        <v>13</v>
      </c>
      <c r="C64" s="127" t="s">
        <v>6</v>
      </c>
      <c r="D64" s="193">
        <f>'Calculo No. aulas'!BH66</f>
        <v>4</v>
      </c>
      <c r="E64" s="109">
        <f t="shared" ref="E64:E77" si="11">30*$C$2</f>
        <v>180</v>
      </c>
      <c r="F64" s="59">
        <f t="shared" ref="F64:F77" si="12">D64*E64</f>
        <v>720</v>
      </c>
      <c r="G64" s="190">
        <f>F64*3</f>
        <v>2160</v>
      </c>
      <c r="H64" s="625">
        <f>SUM(G64:G77)</f>
        <v>16740</v>
      </c>
      <c r="J64" s="138">
        <f>F53</f>
        <v>1620</v>
      </c>
      <c r="K64" s="138">
        <f>F64</f>
        <v>720</v>
      </c>
      <c r="L64" s="138">
        <f>F64</f>
        <v>720</v>
      </c>
      <c r="M64" s="138">
        <f>F64</f>
        <v>720</v>
      </c>
      <c r="N64" s="138"/>
      <c r="O64" s="138"/>
      <c r="P64" s="138"/>
      <c r="Q64" s="138"/>
      <c r="R64" s="138"/>
      <c r="S64" s="138"/>
      <c r="T64" s="138"/>
      <c r="U64" s="191"/>
      <c r="V64" s="203"/>
    </row>
    <row r="65" spans="1:22" ht="15">
      <c r="A65" s="626"/>
      <c r="B65" s="625"/>
      <c r="C65" s="127" t="s">
        <v>7</v>
      </c>
      <c r="D65" s="193">
        <f>'Calculo No. aulas'!BI66</f>
        <v>3</v>
      </c>
      <c r="E65" s="109">
        <f t="shared" si="11"/>
        <v>180</v>
      </c>
      <c r="F65" s="59">
        <f t="shared" si="12"/>
        <v>540</v>
      </c>
      <c r="G65" s="194">
        <f>F65*2</f>
        <v>1080</v>
      </c>
      <c r="H65" s="625"/>
      <c r="J65" s="138"/>
      <c r="K65" s="138">
        <f>F65</f>
        <v>540</v>
      </c>
      <c r="L65" s="138">
        <f>F65</f>
        <v>540</v>
      </c>
      <c r="M65" s="138"/>
      <c r="N65" s="138"/>
      <c r="O65" s="138"/>
      <c r="P65" s="138"/>
      <c r="Q65" s="138"/>
      <c r="R65" s="138"/>
      <c r="S65" s="138"/>
      <c r="T65" s="138"/>
      <c r="U65" s="191"/>
      <c r="V65" s="195"/>
    </row>
    <row r="66" spans="1:22" ht="15">
      <c r="A66" s="626"/>
      <c r="B66" s="625"/>
      <c r="C66" s="127" t="s">
        <v>16</v>
      </c>
      <c r="D66" s="193">
        <f>'Calculo No. aulas'!BJ66</f>
        <v>2</v>
      </c>
      <c r="E66" s="109">
        <f>30*$C$2</f>
        <v>180</v>
      </c>
      <c r="F66" s="59">
        <f t="shared" si="12"/>
        <v>360</v>
      </c>
      <c r="G66" s="194">
        <f>F66*1</f>
        <v>360</v>
      </c>
      <c r="H66" s="625"/>
      <c r="J66" s="138"/>
      <c r="K66" s="138">
        <f>F66</f>
        <v>360</v>
      </c>
      <c r="L66" s="138"/>
      <c r="M66" s="138"/>
      <c r="N66" s="138"/>
      <c r="O66" s="138"/>
      <c r="P66" s="138"/>
      <c r="Q66" s="138"/>
      <c r="R66" s="138"/>
      <c r="S66" s="138"/>
      <c r="T66" s="138"/>
      <c r="U66" s="191"/>
      <c r="V66" s="195"/>
    </row>
    <row r="67" spans="1:22" ht="15">
      <c r="A67" s="626"/>
      <c r="B67" s="625"/>
      <c r="C67" s="127" t="s">
        <v>9</v>
      </c>
      <c r="D67" s="193">
        <f>'Calculo No. aulas'!BK66</f>
        <v>0</v>
      </c>
      <c r="E67" s="109">
        <f t="shared" si="11"/>
        <v>180</v>
      </c>
      <c r="F67" s="59">
        <f t="shared" si="12"/>
        <v>0</v>
      </c>
      <c r="G67" s="196">
        <f>F67*1</f>
        <v>0</v>
      </c>
      <c r="H67" s="625"/>
      <c r="J67" s="138"/>
      <c r="K67" s="138">
        <f>F67</f>
        <v>0</v>
      </c>
      <c r="L67" s="138"/>
      <c r="M67" s="138"/>
      <c r="N67" s="138"/>
      <c r="O67" s="138"/>
      <c r="P67" s="138"/>
      <c r="Q67" s="138"/>
      <c r="R67" s="138"/>
      <c r="S67" s="138"/>
      <c r="T67" s="138"/>
      <c r="U67" s="191"/>
      <c r="V67" s="195"/>
    </row>
    <row r="68" spans="1:22" ht="15">
      <c r="A68" s="626"/>
      <c r="B68" s="625" t="s">
        <v>22</v>
      </c>
      <c r="C68" s="127" t="s">
        <v>6</v>
      </c>
      <c r="D68" s="193">
        <f>'Calculo No. aulas'!BL66</f>
        <v>9</v>
      </c>
      <c r="E68" s="109">
        <f t="shared" si="11"/>
        <v>180</v>
      </c>
      <c r="F68" s="59">
        <f t="shared" si="12"/>
        <v>1620</v>
      </c>
      <c r="G68" s="190">
        <f>F68*3</f>
        <v>4860</v>
      </c>
      <c r="H68" s="625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>
        <f>F68</f>
        <v>1620</v>
      </c>
      <c r="U68" s="191">
        <f>F68</f>
        <v>1620</v>
      </c>
      <c r="V68" s="195"/>
    </row>
    <row r="69" spans="1:22" ht="15">
      <c r="A69" s="626"/>
      <c r="B69" s="625"/>
      <c r="C69" s="127" t="s">
        <v>7</v>
      </c>
      <c r="D69" s="193">
        <f>'Calculo No. aulas'!BM66</f>
        <v>4</v>
      </c>
      <c r="E69" s="109">
        <f t="shared" si="11"/>
        <v>180</v>
      </c>
      <c r="F69" s="59">
        <f t="shared" si="12"/>
        <v>720</v>
      </c>
      <c r="G69" s="194">
        <f>F69*2</f>
        <v>1440</v>
      </c>
      <c r="H69" s="625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>
        <f>F69</f>
        <v>720</v>
      </c>
      <c r="U69" s="191">
        <f>F69</f>
        <v>720</v>
      </c>
      <c r="V69" s="195"/>
    </row>
    <row r="70" spans="1:22" ht="15">
      <c r="A70" s="626"/>
      <c r="B70" s="625"/>
      <c r="C70" s="127" t="s">
        <v>16</v>
      </c>
      <c r="D70" s="193">
        <f>'Calculo No. aulas'!BN66</f>
        <v>3</v>
      </c>
      <c r="E70" s="109">
        <f t="shared" si="11"/>
        <v>180</v>
      </c>
      <c r="F70" s="59">
        <f t="shared" si="12"/>
        <v>540</v>
      </c>
      <c r="G70" s="194">
        <f>F70*1</f>
        <v>540</v>
      </c>
      <c r="H70" s="625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>
        <f>F70</f>
        <v>540</v>
      </c>
      <c r="U70" s="191"/>
      <c r="V70" s="195"/>
    </row>
    <row r="71" spans="1:22" ht="15">
      <c r="A71" s="626"/>
      <c r="B71" s="625"/>
      <c r="C71" s="127" t="s">
        <v>9</v>
      </c>
      <c r="D71" s="193">
        <f>'Calculo No. aulas'!BO66</f>
        <v>2</v>
      </c>
      <c r="E71" s="109">
        <f t="shared" si="11"/>
        <v>180</v>
      </c>
      <c r="F71" s="59">
        <f t="shared" si="12"/>
        <v>360</v>
      </c>
      <c r="G71" s="194">
        <f>F71*1</f>
        <v>360</v>
      </c>
      <c r="H71" s="625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>
        <f>F71</f>
        <v>360</v>
      </c>
      <c r="U71" s="191"/>
      <c r="V71" s="195"/>
    </row>
    <row r="72" spans="1:22" ht="15">
      <c r="A72" s="626"/>
      <c r="B72" s="625"/>
      <c r="C72" s="103" t="s">
        <v>34</v>
      </c>
      <c r="D72" s="193">
        <f>'Calculo No. aulas'!BP66</f>
        <v>3</v>
      </c>
      <c r="E72" s="109">
        <f t="shared" si="11"/>
        <v>180</v>
      </c>
      <c r="F72" s="59">
        <f t="shared" si="12"/>
        <v>540</v>
      </c>
      <c r="G72" s="196">
        <f>F72*1</f>
        <v>540</v>
      </c>
      <c r="H72" s="625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>
        <f>F72</f>
        <v>540</v>
      </c>
      <c r="U72" s="191"/>
      <c r="V72" s="195"/>
    </row>
    <row r="73" spans="1:22" ht="15">
      <c r="A73" s="626"/>
      <c r="B73" s="627" t="s">
        <v>23</v>
      </c>
      <c r="C73" s="127" t="s">
        <v>6</v>
      </c>
      <c r="D73" s="193">
        <f>'Calculo No. aulas'!BQ66</f>
        <v>6</v>
      </c>
      <c r="E73" s="109">
        <f t="shared" si="11"/>
        <v>180</v>
      </c>
      <c r="F73" s="59">
        <f t="shared" si="12"/>
        <v>1080</v>
      </c>
      <c r="G73" s="190">
        <f>F73*3</f>
        <v>3240</v>
      </c>
      <c r="H73" s="625"/>
      <c r="J73" s="138"/>
      <c r="K73" s="138"/>
      <c r="L73" s="138"/>
      <c r="M73" s="138"/>
      <c r="N73" s="138"/>
      <c r="O73" s="138"/>
      <c r="P73" s="138">
        <f>F73</f>
        <v>1080</v>
      </c>
      <c r="Q73" s="138">
        <f>F73</f>
        <v>1080</v>
      </c>
      <c r="R73" s="138">
        <f>F73</f>
        <v>1080</v>
      </c>
      <c r="S73" s="138"/>
      <c r="T73" s="138"/>
      <c r="U73" s="191"/>
      <c r="V73" s="195"/>
    </row>
    <row r="74" spans="1:22" ht="15">
      <c r="A74" s="626"/>
      <c r="B74" s="628"/>
      <c r="C74" s="127" t="s">
        <v>7</v>
      </c>
      <c r="D74" s="193">
        <f>'Calculo No. aulas'!BR66</f>
        <v>4</v>
      </c>
      <c r="E74" s="109">
        <f t="shared" si="11"/>
        <v>180</v>
      </c>
      <c r="F74" s="59">
        <f t="shared" si="12"/>
        <v>720</v>
      </c>
      <c r="G74" s="194">
        <f>F74*2</f>
        <v>1440</v>
      </c>
      <c r="H74" s="625"/>
      <c r="J74" s="138"/>
      <c r="K74" s="138"/>
      <c r="L74" s="138"/>
      <c r="M74" s="138"/>
      <c r="N74" s="138"/>
      <c r="O74" s="138"/>
      <c r="P74" s="138">
        <f>F74</f>
        <v>720</v>
      </c>
      <c r="Q74" s="138">
        <f>F74</f>
        <v>720</v>
      </c>
      <c r="R74" s="138"/>
      <c r="S74" s="138"/>
      <c r="T74" s="138"/>
      <c r="U74" s="191"/>
      <c r="V74" s="195"/>
    </row>
    <row r="75" spans="1:22" ht="15">
      <c r="A75" s="626"/>
      <c r="B75" s="628"/>
      <c r="C75" s="127" t="s">
        <v>16</v>
      </c>
      <c r="D75" s="193">
        <f>'Calculo No. aulas'!BS66</f>
        <v>2</v>
      </c>
      <c r="E75" s="109">
        <f t="shared" si="11"/>
        <v>180</v>
      </c>
      <c r="F75" s="59">
        <f t="shared" si="12"/>
        <v>360</v>
      </c>
      <c r="G75" s="194">
        <f>F75*1</f>
        <v>360</v>
      </c>
      <c r="H75" s="625"/>
      <c r="J75" s="138"/>
      <c r="K75" s="138"/>
      <c r="L75" s="138"/>
      <c r="M75" s="138"/>
      <c r="N75" s="138"/>
      <c r="O75" s="138"/>
      <c r="P75" s="138">
        <f>F75</f>
        <v>360</v>
      </c>
      <c r="Q75" s="138"/>
      <c r="R75" s="138"/>
      <c r="S75" s="138"/>
      <c r="T75" s="138"/>
      <c r="U75" s="191"/>
      <c r="V75" s="195"/>
    </row>
    <row r="76" spans="1:22" ht="15">
      <c r="A76" s="626"/>
      <c r="B76" s="628"/>
      <c r="C76" s="127" t="s">
        <v>9</v>
      </c>
      <c r="D76" s="193">
        <f>'Calculo No. aulas'!BT66</f>
        <v>1</v>
      </c>
      <c r="E76" s="109">
        <f t="shared" si="11"/>
        <v>180</v>
      </c>
      <c r="F76" s="59">
        <f t="shared" si="12"/>
        <v>180</v>
      </c>
      <c r="G76" s="194">
        <f>F76*1</f>
        <v>180</v>
      </c>
      <c r="H76" s="625"/>
      <c r="J76" s="138"/>
      <c r="K76" s="138"/>
      <c r="L76" s="138"/>
      <c r="M76" s="138"/>
      <c r="N76" s="138"/>
      <c r="O76" s="138"/>
      <c r="P76" s="138">
        <f>F76</f>
        <v>180</v>
      </c>
      <c r="Q76" s="138"/>
      <c r="R76" s="138"/>
      <c r="S76" s="138"/>
      <c r="T76" s="138"/>
      <c r="U76" s="191"/>
      <c r="V76" s="195"/>
    </row>
    <row r="77" spans="1:22" ht="15.75" thickBot="1">
      <c r="A77" s="626"/>
      <c r="B77" s="629"/>
      <c r="C77" s="103" t="s">
        <v>34</v>
      </c>
      <c r="D77" s="193">
        <f>'Calculo No. aulas'!BU66</f>
        <v>1</v>
      </c>
      <c r="E77" s="109">
        <f t="shared" si="11"/>
        <v>180</v>
      </c>
      <c r="F77" s="59">
        <f t="shared" si="12"/>
        <v>180</v>
      </c>
      <c r="G77" s="196">
        <f>F77*1</f>
        <v>180</v>
      </c>
      <c r="H77" s="625"/>
      <c r="J77" s="138"/>
      <c r="K77" s="138"/>
      <c r="L77" s="138"/>
      <c r="M77" s="138"/>
      <c r="N77" s="138"/>
      <c r="O77" s="138"/>
      <c r="P77" s="138">
        <f>F77</f>
        <v>180</v>
      </c>
      <c r="Q77" s="138"/>
      <c r="R77" s="138"/>
      <c r="S77" s="138"/>
      <c r="T77" s="138"/>
      <c r="U77" s="191"/>
      <c r="V77" s="197"/>
    </row>
    <row r="78" spans="1:22" ht="15.75" thickBot="1">
      <c r="G78" s="204"/>
      <c r="J78" s="104">
        <f t="shared" ref="J78:U78" si="13">SUM(J64:J77)</f>
        <v>1620</v>
      </c>
      <c r="K78" s="104">
        <f t="shared" si="13"/>
        <v>1620</v>
      </c>
      <c r="L78" s="104">
        <f t="shared" si="13"/>
        <v>1260</v>
      </c>
      <c r="M78" s="104">
        <f t="shared" si="13"/>
        <v>720</v>
      </c>
      <c r="N78" s="104">
        <f t="shared" si="13"/>
        <v>0</v>
      </c>
      <c r="O78" s="104">
        <f t="shared" si="13"/>
        <v>0</v>
      </c>
      <c r="P78" s="104">
        <f t="shared" si="13"/>
        <v>2520</v>
      </c>
      <c r="Q78" s="104">
        <f t="shared" si="13"/>
        <v>1800</v>
      </c>
      <c r="R78" s="104">
        <f t="shared" si="13"/>
        <v>1080</v>
      </c>
      <c r="S78" s="104">
        <f t="shared" si="13"/>
        <v>0</v>
      </c>
      <c r="T78" s="104">
        <f t="shared" si="13"/>
        <v>3780</v>
      </c>
      <c r="U78" s="200">
        <f t="shared" si="13"/>
        <v>2340</v>
      </c>
      <c r="V78" s="201">
        <f>SUM(J78:U78)</f>
        <v>16740</v>
      </c>
    </row>
    <row r="79" spans="1:22" ht="15.75" thickBot="1">
      <c r="G79" s="204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</row>
    <row r="80" spans="1:22" ht="15.75" thickBot="1">
      <c r="A80" s="582" t="s">
        <v>335</v>
      </c>
      <c r="B80" s="583"/>
      <c r="C80" s="583"/>
      <c r="D80" s="583"/>
      <c r="E80" s="584"/>
      <c r="G80" s="204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</row>
    <row r="81" spans="1:22" ht="15.75" thickBot="1">
      <c r="A81" s="99"/>
      <c r="G81" s="204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</row>
    <row r="82" spans="1:22" ht="15.75" thickBot="1">
      <c r="A82" s="582" t="s">
        <v>17</v>
      </c>
      <c r="B82" s="583"/>
      <c r="C82" s="583"/>
      <c r="D82" s="583"/>
      <c r="E82" s="584"/>
      <c r="G82" s="204"/>
    </row>
    <row r="83" spans="1:22" ht="15.75" thickBot="1">
      <c r="A83" s="179" t="s">
        <v>342</v>
      </c>
      <c r="B83" s="179" t="s">
        <v>340</v>
      </c>
      <c r="C83" s="205" t="s">
        <v>39</v>
      </c>
      <c r="D83" s="179" t="s">
        <v>40</v>
      </c>
      <c r="E83" s="206" t="s">
        <v>341</v>
      </c>
      <c r="G83" s="204"/>
    </row>
    <row r="84" spans="1:22">
      <c r="A84" s="207" t="s">
        <v>338</v>
      </c>
      <c r="B84" s="182">
        <v>2</v>
      </c>
      <c r="C84" s="208">
        <f>30*$C$2</f>
        <v>180</v>
      </c>
      <c r="D84" s="209">
        <f>B84*C84</f>
        <v>360</v>
      </c>
      <c r="E84" s="619">
        <f>SUM(D84:D86)</f>
        <v>1080</v>
      </c>
      <c r="G84" s="204"/>
    </row>
    <row r="85" spans="1:22">
      <c r="A85" s="207" t="s">
        <v>339</v>
      </c>
      <c r="B85" s="182">
        <v>2</v>
      </c>
      <c r="C85" s="208">
        <f>30*$C$2</f>
        <v>180</v>
      </c>
      <c r="D85" s="209">
        <f>B85*C85</f>
        <v>360</v>
      </c>
      <c r="E85" s="620"/>
      <c r="G85" s="204"/>
    </row>
    <row r="86" spans="1:22" ht="15" thickBot="1">
      <c r="A86" s="210" t="s">
        <v>51</v>
      </c>
      <c r="B86" s="184">
        <v>2</v>
      </c>
      <c r="C86" s="211">
        <f>30*$C$2</f>
        <v>180</v>
      </c>
      <c r="D86" s="212">
        <f>B86*C86</f>
        <v>360</v>
      </c>
      <c r="E86" s="621"/>
      <c r="G86" s="204"/>
    </row>
    <row r="87" spans="1:22" ht="15" thickBot="1">
      <c r="G87" s="204"/>
    </row>
    <row r="88" spans="1:22" ht="15.75" thickBot="1">
      <c r="A88" s="582" t="s">
        <v>18</v>
      </c>
      <c r="B88" s="583"/>
      <c r="C88" s="583"/>
      <c r="D88" s="583"/>
      <c r="E88" s="584"/>
      <c r="G88" s="204"/>
    </row>
    <row r="89" spans="1:22" ht="15.75" thickBot="1">
      <c r="A89" s="179" t="s">
        <v>342</v>
      </c>
      <c r="B89" s="179" t="s">
        <v>340</v>
      </c>
      <c r="C89" s="205" t="s">
        <v>39</v>
      </c>
      <c r="D89" s="179" t="s">
        <v>40</v>
      </c>
      <c r="E89" s="206" t="s">
        <v>341</v>
      </c>
      <c r="G89" s="204"/>
    </row>
    <row r="90" spans="1:22">
      <c r="A90" s="207" t="s">
        <v>338</v>
      </c>
      <c r="B90" s="182">
        <v>2</v>
      </c>
      <c r="C90" s="213">
        <f>30*$C$2</f>
        <v>180</v>
      </c>
      <c r="D90" s="214">
        <f>B90*C90</f>
        <v>360</v>
      </c>
      <c r="E90" s="619">
        <f>SUM(D90:D92)</f>
        <v>1080</v>
      </c>
      <c r="G90" s="204"/>
    </row>
    <row r="91" spans="1:22">
      <c r="A91" s="207" t="s">
        <v>339</v>
      </c>
      <c r="B91" s="182">
        <v>2</v>
      </c>
      <c r="C91" s="213">
        <f>30*$C$2</f>
        <v>180</v>
      </c>
      <c r="D91" s="214">
        <f>B91*C91</f>
        <v>360</v>
      </c>
      <c r="E91" s="620"/>
      <c r="G91" s="204"/>
    </row>
    <row r="92" spans="1:22" ht="15" thickBot="1">
      <c r="A92" s="210" t="s">
        <v>51</v>
      </c>
      <c r="B92" s="184">
        <v>2</v>
      </c>
      <c r="C92" s="215">
        <f>30*$C$2</f>
        <v>180</v>
      </c>
      <c r="D92" s="216">
        <f>B92*C92</f>
        <v>360</v>
      </c>
      <c r="E92" s="621"/>
      <c r="G92" s="204"/>
    </row>
    <row r="93" spans="1:22" ht="15" thickBot="1">
      <c r="G93" s="204"/>
    </row>
    <row r="94" spans="1:22" ht="15.75" thickBot="1">
      <c r="A94" s="582" t="s">
        <v>19</v>
      </c>
      <c r="B94" s="583"/>
      <c r="C94" s="583"/>
      <c r="D94" s="583"/>
      <c r="E94" s="584"/>
      <c r="G94" s="204"/>
    </row>
    <row r="95" spans="1:22" ht="15.75" thickBot="1">
      <c r="A95" s="179" t="s">
        <v>342</v>
      </c>
      <c r="B95" s="179" t="s">
        <v>340</v>
      </c>
      <c r="C95" s="205" t="s">
        <v>39</v>
      </c>
      <c r="D95" s="179" t="s">
        <v>40</v>
      </c>
      <c r="E95" s="206" t="s">
        <v>341</v>
      </c>
      <c r="G95" s="204"/>
    </row>
    <row r="96" spans="1:22">
      <c r="A96" s="207" t="s">
        <v>338</v>
      </c>
      <c r="B96" s="182">
        <v>2</v>
      </c>
      <c r="C96" s="217">
        <f>30*$C$2</f>
        <v>180</v>
      </c>
      <c r="D96" s="218">
        <f>B96*C96</f>
        <v>360</v>
      </c>
      <c r="E96" s="619">
        <f>SUM(D96:D98)</f>
        <v>1080</v>
      </c>
      <c r="G96" s="204"/>
    </row>
    <row r="97" spans="1:7">
      <c r="A97" s="207" t="s">
        <v>339</v>
      </c>
      <c r="B97" s="182">
        <v>2</v>
      </c>
      <c r="C97" s="217">
        <f>30*$C$2</f>
        <v>180</v>
      </c>
      <c r="D97" s="218">
        <f>B97*C97</f>
        <v>360</v>
      </c>
      <c r="E97" s="620"/>
      <c r="G97" s="204"/>
    </row>
    <row r="98" spans="1:7" ht="15" thickBot="1">
      <c r="A98" s="210" t="s">
        <v>51</v>
      </c>
      <c r="B98" s="184">
        <v>2</v>
      </c>
      <c r="C98" s="219">
        <f>30*$C$2</f>
        <v>180</v>
      </c>
      <c r="D98" s="220">
        <f>B98*C98</f>
        <v>360</v>
      </c>
      <c r="E98" s="621"/>
      <c r="G98" s="204"/>
    </row>
    <row r="99" spans="1:7" ht="15" thickBot="1">
      <c r="G99" s="204"/>
    </row>
    <row r="100" spans="1:7" ht="15.75" thickBot="1">
      <c r="A100" s="582" t="s">
        <v>20</v>
      </c>
      <c r="B100" s="583"/>
      <c r="C100" s="583"/>
      <c r="D100" s="583"/>
      <c r="E100" s="584"/>
      <c r="G100" s="204"/>
    </row>
    <row r="101" spans="1:7" ht="15.75" thickBot="1">
      <c r="A101" s="179" t="s">
        <v>342</v>
      </c>
      <c r="B101" s="179" t="s">
        <v>340</v>
      </c>
      <c r="C101" s="205" t="s">
        <v>39</v>
      </c>
      <c r="D101" s="179" t="s">
        <v>40</v>
      </c>
      <c r="E101" s="206" t="s">
        <v>341</v>
      </c>
      <c r="G101" s="204"/>
    </row>
    <row r="102" spans="1:7">
      <c r="A102" s="207" t="s">
        <v>338</v>
      </c>
      <c r="B102" s="182">
        <v>2</v>
      </c>
      <c r="C102" s="217">
        <f>30*$C$2</f>
        <v>180</v>
      </c>
      <c r="D102" s="218">
        <f>B102*C102</f>
        <v>360</v>
      </c>
      <c r="E102" s="619">
        <f>SUM(D102:D104)</f>
        <v>1080</v>
      </c>
      <c r="G102" s="204"/>
    </row>
    <row r="103" spans="1:7">
      <c r="A103" s="207" t="s">
        <v>339</v>
      </c>
      <c r="B103" s="182">
        <v>2</v>
      </c>
      <c r="C103" s="217">
        <f>30*$C$2</f>
        <v>180</v>
      </c>
      <c r="D103" s="218">
        <f>B103*C103</f>
        <v>360</v>
      </c>
      <c r="E103" s="620"/>
      <c r="G103" s="204"/>
    </row>
    <row r="104" spans="1:7" ht="15" thickBot="1">
      <c r="A104" s="210" t="s">
        <v>51</v>
      </c>
      <c r="B104" s="184">
        <v>2</v>
      </c>
      <c r="C104" s="219">
        <f>30*$C$2</f>
        <v>180</v>
      </c>
      <c r="D104" s="220">
        <f>B104*C104</f>
        <v>360</v>
      </c>
      <c r="E104" s="621"/>
      <c r="G104" s="204"/>
    </row>
    <row r="105" spans="1:7" ht="15" thickBot="1">
      <c r="G105" s="204"/>
    </row>
    <row r="106" spans="1:7" ht="15.75" thickBot="1">
      <c r="A106" s="582" t="s">
        <v>21</v>
      </c>
      <c r="B106" s="583"/>
      <c r="C106" s="583"/>
      <c r="D106" s="583"/>
      <c r="E106" s="584"/>
      <c r="G106" s="204"/>
    </row>
    <row r="107" spans="1:7" ht="15.75" thickBot="1">
      <c r="A107" s="179" t="s">
        <v>342</v>
      </c>
      <c r="B107" s="179" t="s">
        <v>340</v>
      </c>
      <c r="C107" s="205" t="s">
        <v>39</v>
      </c>
      <c r="D107" s="179" t="s">
        <v>40</v>
      </c>
      <c r="E107" s="206" t="s">
        <v>341</v>
      </c>
      <c r="G107" s="204"/>
    </row>
    <row r="108" spans="1:7">
      <c r="A108" s="207" t="s">
        <v>338</v>
      </c>
      <c r="B108" s="182">
        <v>2</v>
      </c>
      <c r="C108" s="217">
        <f>30*$C$2</f>
        <v>180</v>
      </c>
      <c r="D108" s="218">
        <f>B108*C108</f>
        <v>360</v>
      </c>
      <c r="E108" s="622">
        <f>SUM(D108:D110)</f>
        <v>1080</v>
      </c>
      <c r="G108" s="204"/>
    </row>
    <row r="109" spans="1:7">
      <c r="A109" s="207" t="s">
        <v>339</v>
      </c>
      <c r="B109" s="182">
        <v>2</v>
      </c>
      <c r="C109" s="217">
        <f>30*$C$2</f>
        <v>180</v>
      </c>
      <c r="D109" s="218">
        <f>B109*C109</f>
        <v>360</v>
      </c>
      <c r="E109" s="623"/>
      <c r="G109" s="204"/>
    </row>
    <row r="110" spans="1:7" ht="15" thickBot="1">
      <c r="A110" s="210" t="s">
        <v>51</v>
      </c>
      <c r="B110" s="184">
        <v>2</v>
      </c>
      <c r="C110" s="219">
        <f>30*$C$2</f>
        <v>180</v>
      </c>
      <c r="D110" s="220">
        <f>B110*C110</f>
        <v>360</v>
      </c>
      <c r="E110" s="624"/>
      <c r="G110" s="204"/>
    </row>
    <row r="111" spans="1:7">
      <c r="G111" s="204"/>
    </row>
    <row r="112" spans="1:7">
      <c r="G112" s="204"/>
    </row>
    <row r="113" spans="7:7">
      <c r="G113" s="204"/>
    </row>
    <row r="114" spans="7:7">
      <c r="G114" s="204"/>
    </row>
    <row r="115" spans="7:7">
      <c r="G115" s="204"/>
    </row>
    <row r="116" spans="7:7">
      <c r="G116" s="204"/>
    </row>
    <row r="117" spans="7:7">
      <c r="G117" s="204"/>
    </row>
    <row r="118" spans="7:7">
      <c r="G118" s="204"/>
    </row>
    <row r="119" spans="7:7">
      <c r="G119" s="204"/>
    </row>
    <row r="120" spans="7:7">
      <c r="G120" s="204"/>
    </row>
    <row r="121" spans="7:7">
      <c r="G121" s="204"/>
    </row>
    <row r="122" spans="7:7">
      <c r="G122" s="204"/>
    </row>
  </sheetData>
  <mergeCells count="40">
    <mergeCell ref="A19:A32"/>
    <mergeCell ref="A4:A17"/>
    <mergeCell ref="B43:B47"/>
    <mergeCell ref="A49:A62"/>
    <mergeCell ref="B49:B52"/>
    <mergeCell ref="B53:B57"/>
    <mergeCell ref="B58:B62"/>
    <mergeCell ref="A34:A47"/>
    <mergeCell ref="B34:B37"/>
    <mergeCell ref="B38:B42"/>
    <mergeCell ref="B23:B27"/>
    <mergeCell ref="B28:B32"/>
    <mergeCell ref="E2:E3"/>
    <mergeCell ref="F2:F3"/>
    <mergeCell ref="B4:B7"/>
    <mergeCell ref="B8:B12"/>
    <mergeCell ref="B13:B17"/>
    <mergeCell ref="H2:H3"/>
    <mergeCell ref="H4:H17"/>
    <mergeCell ref="H19:H32"/>
    <mergeCell ref="H34:H47"/>
    <mergeCell ref="A64:A77"/>
    <mergeCell ref="B64:B67"/>
    <mergeCell ref="B68:B72"/>
    <mergeCell ref="B73:B77"/>
    <mergeCell ref="G2:G3"/>
    <mergeCell ref="B19:B22"/>
    <mergeCell ref="E84:E86"/>
    <mergeCell ref="A82:E82"/>
    <mergeCell ref="A88:E88"/>
    <mergeCell ref="E90:E92"/>
    <mergeCell ref="H49:H62"/>
    <mergeCell ref="H64:H77"/>
    <mergeCell ref="A80:E80"/>
    <mergeCell ref="A94:E94"/>
    <mergeCell ref="E96:E98"/>
    <mergeCell ref="A100:E100"/>
    <mergeCell ref="E102:E104"/>
    <mergeCell ref="A106:E106"/>
    <mergeCell ref="E108:E110"/>
  </mergeCells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5:I37"/>
  <sheetViews>
    <sheetView topLeftCell="A4" workbookViewId="0">
      <selection activeCell="F24" sqref="F24"/>
    </sheetView>
  </sheetViews>
  <sheetFormatPr baseColWidth="10" defaultRowHeight="12.75"/>
  <cols>
    <col min="1" max="1" width="11.42578125" style="444"/>
    <col min="2" max="2" width="43.42578125" style="444" customWidth="1"/>
    <col min="3" max="3" width="9.85546875" style="444" customWidth="1"/>
    <col min="4" max="4" width="12.7109375" style="444" customWidth="1"/>
    <col min="5" max="5" width="11.85546875" style="444" customWidth="1"/>
    <col min="6" max="6" width="8.85546875" style="444" customWidth="1"/>
    <col min="7" max="7" width="11.140625" style="444" customWidth="1"/>
    <col min="8" max="16384" width="11.42578125" style="444"/>
  </cols>
  <sheetData>
    <row r="5" spans="2:9" ht="13.5" thickBot="1"/>
    <row r="6" spans="2:9" ht="15.75" thickBot="1">
      <c r="B6" s="634" t="s">
        <v>350</v>
      </c>
      <c r="C6" s="611"/>
      <c r="D6" s="611"/>
      <c r="E6" s="611"/>
      <c r="F6" s="611"/>
      <c r="G6" s="612"/>
    </row>
    <row r="7" spans="2:9" ht="42.75" customHeight="1" thickBot="1">
      <c r="B7" s="445" t="s">
        <v>125</v>
      </c>
      <c r="C7" s="446" t="s">
        <v>126</v>
      </c>
      <c r="D7" s="447" t="s">
        <v>127</v>
      </c>
      <c r="E7" s="447" t="s">
        <v>128</v>
      </c>
      <c r="F7" s="447" t="s">
        <v>351</v>
      </c>
      <c r="G7" s="448" t="s">
        <v>132</v>
      </c>
    </row>
    <row r="8" spans="2:9" ht="14.25">
      <c r="B8" s="449" t="s">
        <v>133</v>
      </c>
      <c r="C8" s="450">
        <v>2</v>
      </c>
      <c r="D8" s="450">
        <v>155</v>
      </c>
      <c r="E8" s="450">
        <f>+D8*C8</f>
        <v>310</v>
      </c>
      <c r="F8" s="451">
        <v>10</v>
      </c>
      <c r="G8" s="452">
        <v>0</v>
      </c>
      <c r="H8" s="453"/>
      <c r="I8" s="453"/>
    </row>
    <row r="9" spans="2:9" ht="14.25">
      <c r="B9" s="454" t="s">
        <v>134</v>
      </c>
      <c r="C9" s="455">
        <v>1</v>
      </c>
      <c r="D9" s="455">
        <v>238</v>
      </c>
      <c r="E9" s="455">
        <f t="shared" ref="E9:E20" si="0">+D9*C9</f>
        <v>238</v>
      </c>
      <c r="F9" s="456">
        <v>10</v>
      </c>
      <c r="G9" s="457">
        <v>0</v>
      </c>
      <c r="H9" s="453"/>
      <c r="I9" s="453"/>
    </row>
    <row r="10" spans="2:9" ht="14.25">
      <c r="B10" s="454" t="s">
        <v>135</v>
      </c>
      <c r="C10" s="455">
        <v>1</v>
      </c>
      <c r="D10" s="455">
        <v>110</v>
      </c>
      <c r="E10" s="455">
        <f t="shared" si="0"/>
        <v>110</v>
      </c>
      <c r="F10" s="456">
        <v>10</v>
      </c>
      <c r="G10" s="457">
        <v>0</v>
      </c>
      <c r="H10" s="453"/>
      <c r="I10" s="453"/>
    </row>
    <row r="11" spans="2:9" ht="14.25">
      <c r="B11" s="454" t="s">
        <v>136</v>
      </c>
      <c r="C11" s="455">
        <v>1</v>
      </c>
      <c r="D11" s="455">
        <f>530</f>
        <v>530</v>
      </c>
      <c r="E11" s="455">
        <f t="shared" si="0"/>
        <v>530</v>
      </c>
      <c r="F11" s="456">
        <v>3</v>
      </c>
      <c r="G11" s="457">
        <v>0</v>
      </c>
      <c r="H11" s="453"/>
      <c r="I11" s="453"/>
    </row>
    <row r="12" spans="2:9" ht="14.25">
      <c r="B12" s="454" t="s">
        <v>137</v>
      </c>
      <c r="C12" s="455">
        <v>6</v>
      </c>
      <c r="D12" s="458">
        <v>180.4</v>
      </c>
      <c r="E12" s="455">
        <f t="shared" si="0"/>
        <v>1082.4000000000001</v>
      </c>
      <c r="F12" s="456">
        <v>10</v>
      </c>
      <c r="G12" s="457">
        <v>0</v>
      </c>
      <c r="H12" s="453"/>
      <c r="I12" s="453"/>
    </row>
    <row r="13" spans="2:9" ht="14.25">
      <c r="B13" s="454" t="s">
        <v>138</v>
      </c>
      <c r="C13" s="455">
        <v>7</v>
      </c>
      <c r="D13" s="455">
        <v>85</v>
      </c>
      <c r="E13" s="455">
        <f t="shared" si="0"/>
        <v>595</v>
      </c>
      <c r="F13" s="456">
        <v>10</v>
      </c>
      <c r="G13" s="457">
        <v>0</v>
      </c>
      <c r="H13" s="453"/>
      <c r="I13" s="453"/>
    </row>
    <row r="14" spans="2:9" ht="14.25">
      <c r="B14" s="454" t="s">
        <v>139</v>
      </c>
      <c r="C14" s="455">
        <v>5</v>
      </c>
      <c r="D14" s="455">
        <v>45</v>
      </c>
      <c r="E14" s="455">
        <f t="shared" si="0"/>
        <v>225</v>
      </c>
      <c r="F14" s="456">
        <v>10</v>
      </c>
      <c r="G14" s="457">
        <v>0</v>
      </c>
      <c r="H14" s="453"/>
      <c r="I14" s="453"/>
    </row>
    <row r="15" spans="2:9" ht="14.25">
      <c r="B15" s="454" t="s">
        <v>140</v>
      </c>
      <c r="C15" s="455">
        <v>100</v>
      </c>
      <c r="D15" s="455">
        <v>35</v>
      </c>
      <c r="E15" s="455">
        <f t="shared" si="0"/>
        <v>3500</v>
      </c>
      <c r="F15" s="456">
        <v>10</v>
      </c>
      <c r="G15" s="457">
        <v>0</v>
      </c>
      <c r="H15" s="453"/>
      <c r="I15" s="453"/>
    </row>
    <row r="16" spans="2:9" ht="14.25">
      <c r="B16" s="454" t="s">
        <v>141</v>
      </c>
      <c r="C16" s="455">
        <v>1</v>
      </c>
      <c r="D16" s="455">
        <v>90</v>
      </c>
      <c r="E16" s="455">
        <f t="shared" si="0"/>
        <v>90</v>
      </c>
      <c r="F16" s="456">
        <v>10</v>
      </c>
      <c r="G16" s="457">
        <v>0</v>
      </c>
      <c r="H16" s="453"/>
      <c r="I16" s="453"/>
    </row>
    <row r="17" spans="2:9" ht="14.25">
      <c r="B17" s="454" t="s">
        <v>142</v>
      </c>
      <c r="C17" s="455">
        <v>1</v>
      </c>
      <c r="D17" s="455">
        <v>1500</v>
      </c>
      <c r="E17" s="455">
        <f t="shared" si="0"/>
        <v>1500</v>
      </c>
      <c r="F17" s="456">
        <v>10</v>
      </c>
      <c r="G17" s="457">
        <v>0</v>
      </c>
      <c r="H17" s="459"/>
      <c r="I17" s="459"/>
    </row>
    <row r="18" spans="2:9" ht="14.25">
      <c r="B18" s="454" t="s">
        <v>143</v>
      </c>
      <c r="C18" s="455">
        <v>2</v>
      </c>
      <c r="D18" s="458">
        <v>18.38</v>
      </c>
      <c r="E18" s="455">
        <f t="shared" si="0"/>
        <v>36.76</v>
      </c>
      <c r="F18" s="456">
        <v>10</v>
      </c>
      <c r="G18" s="457">
        <v>0</v>
      </c>
      <c r="H18" s="459"/>
      <c r="I18" s="459"/>
    </row>
    <row r="19" spans="2:9" ht="14.25">
      <c r="B19" s="454" t="s">
        <v>313</v>
      </c>
      <c r="C19" s="460">
        <v>2</v>
      </c>
      <c r="D19" s="461">
        <v>18</v>
      </c>
      <c r="E19" s="460">
        <f t="shared" si="0"/>
        <v>36</v>
      </c>
      <c r="F19" s="462">
        <v>10</v>
      </c>
      <c r="G19" s="457">
        <v>0</v>
      </c>
      <c r="H19" s="463"/>
      <c r="I19" s="464"/>
    </row>
    <row r="20" spans="2:9" ht="15" thickBot="1">
      <c r="B20" s="465" t="s">
        <v>144</v>
      </c>
      <c r="C20" s="466">
        <v>6</v>
      </c>
      <c r="D20" s="466">
        <v>25</v>
      </c>
      <c r="E20" s="466">
        <f t="shared" si="0"/>
        <v>150</v>
      </c>
      <c r="F20" s="456">
        <v>10</v>
      </c>
      <c r="G20" s="467">
        <v>0</v>
      </c>
      <c r="H20" s="459"/>
      <c r="I20" s="459"/>
    </row>
    <row r="21" spans="2:9" ht="15.75" thickBot="1">
      <c r="B21" s="587" t="s">
        <v>352</v>
      </c>
      <c r="C21" s="588"/>
      <c r="D21" s="589"/>
      <c r="E21" s="468">
        <f>SUM(E8:E20)</f>
        <v>8403.16</v>
      </c>
      <c r="F21" s="469"/>
      <c r="G21" s="470">
        <f>SUM(G8:G20)</f>
        <v>0</v>
      </c>
    </row>
    <row r="28" spans="2:9" ht="15.75">
      <c r="E28" s="471"/>
    </row>
    <row r="29" spans="2:9" ht="15.75">
      <c r="D29" s="471"/>
    </row>
    <row r="30" spans="2:9" ht="15.75">
      <c r="D30" s="471"/>
    </row>
    <row r="31" spans="2:9" ht="15.75">
      <c r="E31" s="471"/>
    </row>
    <row r="32" spans="2:9" ht="15.75">
      <c r="E32" s="471"/>
    </row>
    <row r="33" spans="2:4" ht="15.75">
      <c r="D33" s="471"/>
    </row>
    <row r="35" spans="2:4" ht="15.75">
      <c r="D35" s="471"/>
    </row>
    <row r="36" spans="2:4" ht="15.75">
      <c r="C36" s="471"/>
    </row>
    <row r="37" spans="2:4" ht="15.75">
      <c r="B37" s="471"/>
      <c r="C37" s="471"/>
    </row>
  </sheetData>
  <mergeCells count="2">
    <mergeCell ref="B6:G6"/>
    <mergeCell ref="B21:D21"/>
  </mergeCells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5:L21"/>
  <sheetViews>
    <sheetView workbookViewId="0">
      <selection activeCell="B23" sqref="B23"/>
    </sheetView>
  </sheetViews>
  <sheetFormatPr baseColWidth="10" defaultRowHeight="12.75"/>
  <cols>
    <col min="1" max="1" width="11.42578125" style="444"/>
    <col min="2" max="2" width="41.42578125" style="444" bestFit="1" customWidth="1"/>
    <col min="3" max="4" width="6.85546875" style="444" bestFit="1" customWidth="1"/>
    <col min="5" max="5" width="9.140625" style="444" bestFit="1" customWidth="1"/>
    <col min="6" max="7" width="6.7109375" style="444" customWidth="1"/>
    <col min="8" max="8" width="9.140625" style="444" bestFit="1" customWidth="1"/>
    <col min="9" max="9" width="6.85546875" style="444" bestFit="1" customWidth="1"/>
    <col min="10" max="10" width="6.7109375" style="444" customWidth="1"/>
    <col min="11" max="11" width="9.140625" style="444" bestFit="1" customWidth="1"/>
    <col min="12" max="12" width="10.85546875" style="444" bestFit="1" customWidth="1"/>
    <col min="13" max="16384" width="11.42578125" style="444"/>
  </cols>
  <sheetData>
    <row r="5" spans="2:12" ht="13.5" thickBot="1"/>
    <row r="6" spans="2:12" ht="15.75" thickBot="1">
      <c r="B6" s="587" t="s">
        <v>349</v>
      </c>
      <c r="C6" s="588"/>
      <c r="D6" s="588"/>
      <c r="E6" s="588"/>
      <c r="F6" s="588"/>
      <c r="G6" s="588"/>
      <c r="H6" s="588"/>
      <c r="I6" s="588"/>
      <c r="J6" s="588"/>
      <c r="K6" s="588"/>
      <c r="L6" s="589"/>
    </row>
    <row r="7" spans="2:12" ht="15.75" thickBot="1">
      <c r="B7" s="473" t="s">
        <v>276</v>
      </c>
      <c r="C7" s="447">
        <v>1</v>
      </c>
      <c r="D7" s="447">
        <v>2</v>
      </c>
      <c r="E7" s="447">
        <v>3</v>
      </c>
      <c r="F7" s="447">
        <v>4</v>
      </c>
      <c r="G7" s="447">
        <v>5</v>
      </c>
      <c r="H7" s="447">
        <v>6</v>
      </c>
      <c r="I7" s="447">
        <v>7</v>
      </c>
      <c r="J7" s="447">
        <v>8</v>
      </c>
      <c r="K7" s="447">
        <v>9</v>
      </c>
      <c r="L7" s="448">
        <v>10</v>
      </c>
    </row>
    <row r="8" spans="2:12" ht="14.25">
      <c r="B8" s="449" t="s">
        <v>133</v>
      </c>
      <c r="C8" s="474"/>
      <c r="D8" s="474"/>
      <c r="E8" s="474"/>
      <c r="F8" s="475"/>
      <c r="G8" s="474"/>
      <c r="H8" s="474"/>
      <c r="I8" s="474"/>
      <c r="J8" s="474"/>
      <c r="K8" s="474"/>
      <c r="L8" s="476">
        <v>310</v>
      </c>
    </row>
    <row r="9" spans="2:12" ht="14.25">
      <c r="B9" s="454" t="s">
        <v>134</v>
      </c>
      <c r="C9" s="477"/>
      <c r="D9" s="477"/>
      <c r="E9" s="477"/>
      <c r="F9" s="478"/>
      <c r="G9" s="477"/>
      <c r="H9" s="477"/>
      <c r="I9" s="477"/>
      <c r="J9" s="477"/>
      <c r="K9" s="477"/>
      <c r="L9" s="479">
        <v>238</v>
      </c>
    </row>
    <row r="10" spans="2:12" ht="14.25">
      <c r="B10" s="454" t="s">
        <v>135</v>
      </c>
      <c r="C10" s="477"/>
      <c r="D10" s="477"/>
      <c r="E10" s="477"/>
      <c r="F10" s="478"/>
      <c r="G10" s="477"/>
      <c r="H10" s="477"/>
      <c r="I10" s="477"/>
      <c r="J10" s="477"/>
      <c r="K10" s="477"/>
      <c r="L10" s="479">
        <v>110</v>
      </c>
    </row>
    <row r="11" spans="2:12" ht="14.25">
      <c r="B11" s="454" t="s">
        <v>136</v>
      </c>
      <c r="C11" s="477"/>
      <c r="D11" s="477"/>
      <c r="E11" s="477">
        <v>530</v>
      </c>
      <c r="F11" s="478"/>
      <c r="G11" s="477"/>
      <c r="H11" s="477">
        <v>530</v>
      </c>
      <c r="I11" s="477"/>
      <c r="J11" s="477"/>
      <c r="K11" s="477">
        <v>530</v>
      </c>
      <c r="L11" s="479"/>
    </row>
    <row r="12" spans="2:12" ht="14.25">
      <c r="B12" s="454" t="s">
        <v>137</v>
      </c>
      <c r="C12" s="477"/>
      <c r="D12" s="477"/>
      <c r="E12" s="477"/>
      <c r="F12" s="478"/>
      <c r="G12" s="477"/>
      <c r="H12" s="477"/>
      <c r="I12" s="477"/>
      <c r="J12" s="477"/>
      <c r="K12" s="477"/>
      <c r="L12" s="479">
        <v>1082.4000000000001</v>
      </c>
    </row>
    <row r="13" spans="2:12" ht="14.25">
      <c r="B13" s="454" t="s">
        <v>138</v>
      </c>
      <c r="C13" s="477"/>
      <c r="D13" s="477"/>
      <c r="E13" s="477"/>
      <c r="F13" s="478"/>
      <c r="G13" s="477"/>
      <c r="H13" s="477"/>
      <c r="I13" s="477"/>
      <c r="J13" s="477"/>
      <c r="K13" s="477"/>
      <c r="L13" s="479">
        <v>595</v>
      </c>
    </row>
    <row r="14" spans="2:12" ht="14.25">
      <c r="B14" s="454" t="s">
        <v>139</v>
      </c>
      <c r="C14" s="477"/>
      <c r="D14" s="477"/>
      <c r="E14" s="477"/>
      <c r="F14" s="478"/>
      <c r="G14" s="477"/>
      <c r="H14" s="477"/>
      <c r="I14" s="477"/>
      <c r="J14" s="477"/>
      <c r="K14" s="477"/>
      <c r="L14" s="479">
        <v>225</v>
      </c>
    </row>
    <row r="15" spans="2:12" ht="14.25">
      <c r="B15" s="454" t="s">
        <v>140</v>
      </c>
      <c r="C15" s="477"/>
      <c r="D15" s="477"/>
      <c r="E15" s="477"/>
      <c r="F15" s="478"/>
      <c r="G15" s="477"/>
      <c r="H15" s="477"/>
      <c r="I15" s="477"/>
      <c r="J15" s="477"/>
      <c r="K15" s="477"/>
      <c r="L15" s="479">
        <v>3500</v>
      </c>
    </row>
    <row r="16" spans="2:12" ht="14.25">
      <c r="B16" s="454" t="s">
        <v>141</v>
      </c>
      <c r="C16" s="477"/>
      <c r="D16" s="477"/>
      <c r="E16" s="477"/>
      <c r="F16" s="478"/>
      <c r="G16" s="477"/>
      <c r="H16" s="477"/>
      <c r="I16" s="477"/>
      <c r="J16" s="477"/>
      <c r="K16" s="477"/>
      <c r="L16" s="479">
        <v>90</v>
      </c>
    </row>
    <row r="17" spans="2:12" ht="14.25">
      <c r="B17" s="454" t="s">
        <v>142</v>
      </c>
      <c r="C17" s="477"/>
      <c r="D17" s="477"/>
      <c r="E17" s="477"/>
      <c r="F17" s="478"/>
      <c r="G17" s="477"/>
      <c r="H17" s="477"/>
      <c r="I17" s="477"/>
      <c r="J17" s="477"/>
      <c r="K17" s="477"/>
      <c r="L17" s="479">
        <v>1500</v>
      </c>
    </row>
    <row r="18" spans="2:12" ht="14.25">
      <c r="B18" s="454" t="s">
        <v>143</v>
      </c>
      <c r="C18" s="477"/>
      <c r="D18" s="477"/>
      <c r="E18" s="477"/>
      <c r="F18" s="478"/>
      <c r="G18" s="477"/>
      <c r="H18" s="477"/>
      <c r="I18" s="477"/>
      <c r="J18" s="477"/>
      <c r="K18" s="477"/>
      <c r="L18" s="479">
        <v>36.76</v>
      </c>
    </row>
    <row r="19" spans="2:12" ht="14.25">
      <c r="B19" s="454" t="s">
        <v>313</v>
      </c>
      <c r="C19" s="477"/>
      <c r="D19" s="477"/>
      <c r="E19" s="477"/>
      <c r="F19" s="478"/>
      <c r="G19" s="477"/>
      <c r="H19" s="477"/>
      <c r="I19" s="477"/>
      <c r="J19" s="477"/>
      <c r="K19" s="477"/>
      <c r="L19" s="479">
        <v>36</v>
      </c>
    </row>
    <row r="20" spans="2:12" ht="15" thickBot="1">
      <c r="B20" s="465" t="s">
        <v>144</v>
      </c>
      <c r="C20" s="480"/>
      <c r="D20" s="480"/>
      <c r="E20" s="480"/>
      <c r="F20" s="481"/>
      <c r="G20" s="480"/>
      <c r="H20" s="480"/>
      <c r="I20" s="480"/>
      <c r="J20" s="480"/>
      <c r="K20" s="480"/>
      <c r="L20" s="482">
        <v>150</v>
      </c>
    </row>
    <row r="21" spans="2:12" ht="15.75" thickBot="1">
      <c r="B21" s="483" t="s">
        <v>56</v>
      </c>
      <c r="C21" s="484">
        <f>+SUM(C8:C20)</f>
        <v>0</v>
      </c>
      <c r="D21" s="484">
        <f t="shared" ref="D21:L21" si="0">+SUM(D8:D20)</f>
        <v>0</v>
      </c>
      <c r="E21" s="484">
        <f t="shared" si="0"/>
        <v>530</v>
      </c>
      <c r="F21" s="484">
        <f t="shared" si="0"/>
        <v>0</v>
      </c>
      <c r="G21" s="484">
        <f t="shared" si="0"/>
        <v>0</v>
      </c>
      <c r="H21" s="484">
        <f t="shared" si="0"/>
        <v>530</v>
      </c>
      <c r="I21" s="484">
        <f t="shared" si="0"/>
        <v>0</v>
      </c>
      <c r="J21" s="484">
        <f t="shared" si="0"/>
        <v>0</v>
      </c>
      <c r="K21" s="484">
        <f t="shared" si="0"/>
        <v>530</v>
      </c>
      <c r="L21" s="485">
        <f t="shared" si="0"/>
        <v>7873.16</v>
      </c>
    </row>
  </sheetData>
  <mergeCells count="1">
    <mergeCell ref="B6:L6"/>
  </mergeCells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4:I157"/>
  <sheetViews>
    <sheetView topLeftCell="A125" zoomScale="80" zoomScaleNormal="80" workbookViewId="0">
      <selection activeCell="B153" sqref="B153:C155"/>
    </sheetView>
  </sheetViews>
  <sheetFormatPr baseColWidth="10" defaultRowHeight="14.25"/>
  <cols>
    <col min="1" max="1" width="11.42578125" style="30"/>
    <col min="2" max="2" width="19.140625" style="30" customWidth="1"/>
    <col min="3" max="3" width="21.140625" style="30" customWidth="1"/>
    <col min="4" max="5" width="11.42578125" style="30"/>
    <col min="6" max="6" width="14.85546875" style="30" customWidth="1"/>
    <col min="7" max="7" width="18" style="30" bestFit="1" customWidth="1"/>
    <col min="8" max="16384" width="11.42578125" style="30"/>
  </cols>
  <sheetData>
    <row r="4" spans="2:8" ht="15" thickBot="1"/>
    <row r="5" spans="2:8" ht="15.75" thickBot="1">
      <c r="B5" s="657" t="s">
        <v>211</v>
      </c>
      <c r="C5" s="658"/>
      <c r="D5" s="658"/>
      <c r="E5" s="658"/>
      <c r="F5" s="658"/>
      <c r="G5" s="659"/>
    </row>
    <row r="6" spans="2:8" ht="15" thickBot="1">
      <c r="B6" s="31"/>
      <c r="C6" s="32"/>
      <c r="D6" s="32"/>
      <c r="E6" s="32"/>
      <c r="F6" s="32"/>
      <c r="G6" s="32"/>
    </row>
    <row r="7" spans="2:8" ht="15.75" thickBot="1">
      <c r="B7" s="33"/>
      <c r="C7" s="34" t="s">
        <v>25</v>
      </c>
      <c r="D7" s="35" t="s">
        <v>26</v>
      </c>
      <c r="E7" s="35" t="s">
        <v>27</v>
      </c>
      <c r="F7" s="35" t="s">
        <v>28</v>
      </c>
      <c r="G7" s="36" t="s">
        <v>29</v>
      </c>
    </row>
    <row r="8" spans="2:8" ht="15.75" thickBot="1">
      <c r="B8" s="37" t="s">
        <v>212</v>
      </c>
      <c r="C8" s="38">
        <v>503.94960000000003</v>
      </c>
      <c r="D8" s="39">
        <v>510.64001370224798</v>
      </c>
      <c r="E8" s="39">
        <v>517.41924905552401</v>
      </c>
      <c r="F8" s="39">
        <v>524.28848525233434</v>
      </c>
      <c r="G8" s="40">
        <v>531.24891714009254</v>
      </c>
    </row>
    <row r="11" spans="2:8" ht="15">
      <c r="B11" s="41" t="s">
        <v>213</v>
      </c>
      <c r="C11" s="42"/>
      <c r="D11" s="43"/>
    </row>
    <row r="12" spans="2:8" ht="15">
      <c r="B12" s="44"/>
      <c r="C12" s="45" t="s">
        <v>214</v>
      </c>
      <c r="D12" s="46">
        <v>25</v>
      </c>
      <c r="F12" s="47" t="s">
        <v>215</v>
      </c>
    </row>
    <row r="13" spans="2:8">
      <c r="B13" s="44"/>
      <c r="C13" s="45" t="s">
        <v>216</v>
      </c>
      <c r="D13" s="46">
        <v>15</v>
      </c>
      <c r="F13" s="660" t="s">
        <v>217</v>
      </c>
      <c r="G13" s="660"/>
      <c r="H13" s="660"/>
    </row>
    <row r="14" spans="2:8">
      <c r="B14" s="44"/>
      <c r="C14" s="45" t="s">
        <v>218</v>
      </c>
      <c r="D14" s="46">
        <v>30</v>
      </c>
      <c r="F14" s="48" t="s">
        <v>219</v>
      </c>
      <c r="G14" s="48" t="s">
        <v>220</v>
      </c>
      <c r="H14" s="661" t="s">
        <v>221</v>
      </c>
    </row>
    <row r="15" spans="2:8" ht="15">
      <c r="B15" s="44"/>
      <c r="C15" s="49" t="s">
        <v>56</v>
      </c>
      <c r="D15" s="50">
        <f>SUM(D12:D14)</f>
        <v>70</v>
      </c>
      <c r="F15" s="48" t="s">
        <v>222</v>
      </c>
      <c r="G15" s="48" t="s">
        <v>223</v>
      </c>
      <c r="H15" s="661"/>
    </row>
    <row r="16" spans="2:8" ht="15">
      <c r="B16" s="51" t="s">
        <v>224</v>
      </c>
      <c r="C16" s="45"/>
      <c r="D16" s="46"/>
      <c r="F16" s="48" t="s">
        <v>328</v>
      </c>
      <c r="G16" s="48" t="s">
        <v>225</v>
      </c>
      <c r="H16" s="52"/>
    </row>
    <row r="17" spans="2:9">
      <c r="B17" s="44"/>
      <c r="C17" s="45" t="s">
        <v>226</v>
      </c>
      <c r="D17" s="46">
        <v>15</v>
      </c>
      <c r="F17" s="48" t="s">
        <v>227</v>
      </c>
      <c r="G17" s="48" t="s">
        <v>220</v>
      </c>
      <c r="H17" s="661" t="s">
        <v>228</v>
      </c>
    </row>
    <row r="18" spans="2:9">
      <c r="B18" s="44"/>
      <c r="C18" s="45" t="s">
        <v>229</v>
      </c>
      <c r="D18" s="46">
        <v>15</v>
      </c>
      <c r="F18" s="48" t="s">
        <v>230</v>
      </c>
      <c r="G18" s="48" t="s">
        <v>223</v>
      </c>
      <c r="H18" s="661"/>
    </row>
    <row r="19" spans="2:9" ht="15">
      <c r="B19" s="44"/>
      <c r="C19" s="49" t="s">
        <v>56</v>
      </c>
      <c r="D19" s="50">
        <f>SUM(D17:D18)</f>
        <v>30</v>
      </c>
      <c r="F19" s="45"/>
      <c r="G19" s="45" t="s">
        <v>231</v>
      </c>
    </row>
    <row r="20" spans="2:9">
      <c r="B20" s="44"/>
      <c r="C20" s="45"/>
      <c r="D20" s="46"/>
      <c r="F20" s="45" t="s">
        <v>232</v>
      </c>
      <c r="I20" s="30">
        <v>2</v>
      </c>
    </row>
    <row r="21" spans="2:9" ht="15">
      <c r="B21" s="53" t="s">
        <v>56</v>
      </c>
      <c r="C21" s="54"/>
      <c r="D21" s="55">
        <f>D19+D15</f>
        <v>100</v>
      </c>
      <c r="F21" s="30" t="s">
        <v>233</v>
      </c>
      <c r="I21" s="30" t="s">
        <v>234</v>
      </c>
    </row>
    <row r="22" spans="2:9">
      <c r="F22" s="30" t="s">
        <v>235</v>
      </c>
      <c r="I22" s="30" t="s">
        <v>236</v>
      </c>
    </row>
    <row r="24" spans="2:9">
      <c r="B24" s="30" t="s">
        <v>237</v>
      </c>
      <c r="D24" s="30">
        <v>504</v>
      </c>
    </row>
    <row r="25" spans="2:9">
      <c r="B25" s="30" t="s">
        <v>238</v>
      </c>
    </row>
    <row r="27" spans="2:9">
      <c r="B27" s="30" t="s">
        <v>239</v>
      </c>
    </row>
    <row r="28" spans="2:9">
      <c r="B28" s="30" t="s">
        <v>240</v>
      </c>
    </row>
    <row r="29" spans="2:9">
      <c r="C29" s="30" t="s">
        <v>241</v>
      </c>
      <c r="E29" s="56">
        <f>100/300</f>
        <v>0.33333333333333331</v>
      </c>
      <c r="F29" s="30" t="s">
        <v>242</v>
      </c>
    </row>
    <row r="30" spans="2:9">
      <c r="C30" s="30" t="s">
        <v>243</v>
      </c>
      <c r="E30" s="56">
        <f>200/300</f>
        <v>0.66666666666666663</v>
      </c>
      <c r="F30" s="30" t="s">
        <v>242</v>
      </c>
    </row>
    <row r="31" spans="2:9">
      <c r="E31" s="56"/>
    </row>
    <row r="32" spans="2:9">
      <c r="B32" s="30" t="s">
        <v>244</v>
      </c>
      <c r="E32" s="56"/>
    </row>
    <row r="33" spans="2:8">
      <c r="E33" s="56"/>
    </row>
    <row r="34" spans="2:8">
      <c r="C34" s="30" t="s">
        <v>245</v>
      </c>
      <c r="E34" s="56"/>
      <c r="F34" s="30">
        <f>E29*C8</f>
        <v>167.98320000000001</v>
      </c>
      <c r="G34" s="30">
        <v>168</v>
      </c>
      <c r="H34" s="30" t="s">
        <v>246</v>
      </c>
    </row>
    <row r="35" spans="2:8">
      <c r="C35" s="30" t="s">
        <v>247</v>
      </c>
      <c r="E35" s="56"/>
      <c r="F35" s="30">
        <f>E30*C8</f>
        <v>335.96640000000002</v>
      </c>
      <c r="G35" s="30">
        <v>336</v>
      </c>
      <c r="H35" s="30" t="s">
        <v>248</v>
      </c>
    </row>
    <row r="36" spans="2:8">
      <c r="E36" s="56"/>
    </row>
    <row r="37" spans="2:8">
      <c r="B37" s="30" t="s">
        <v>249</v>
      </c>
      <c r="E37" s="56"/>
    </row>
    <row r="38" spans="2:8">
      <c r="B38" s="30" t="s">
        <v>250</v>
      </c>
      <c r="E38" s="56"/>
    </row>
    <row r="39" spans="2:8">
      <c r="E39" s="56"/>
    </row>
    <row r="40" spans="2:8">
      <c r="C40" s="30" t="s">
        <v>251</v>
      </c>
      <c r="E40" s="56"/>
      <c r="F40" s="30">
        <f>G35/2</f>
        <v>168</v>
      </c>
      <c r="G40" s="30" t="s">
        <v>248</v>
      </c>
    </row>
    <row r="41" spans="2:8">
      <c r="C41" s="30" t="s">
        <v>252</v>
      </c>
      <c r="E41" s="56"/>
      <c r="F41" s="30">
        <f>G35/2</f>
        <v>168</v>
      </c>
      <c r="G41" s="30" t="s">
        <v>248</v>
      </c>
    </row>
    <row r="42" spans="2:8">
      <c r="E42" s="56"/>
    </row>
    <row r="43" spans="2:8">
      <c r="B43" s="30" t="s">
        <v>253</v>
      </c>
      <c r="E43" s="56"/>
    </row>
    <row r="44" spans="2:8">
      <c r="B44" s="30" t="s">
        <v>254</v>
      </c>
      <c r="E44" s="56"/>
    </row>
    <row r="45" spans="2:8">
      <c r="E45" s="56"/>
    </row>
    <row r="46" spans="2:8">
      <c r="E46" s="56"/>
    </row>
    <row r="47" spans="2:8">
      <c r="E47" s="56"/>
    </row>
    <row r="48" spans="2:8">
      <c r="B48" s="30" t="s">
        <v>255</v>
      </c>
      <c r="E48" s="56"/>
    </row>
    <row r="49" spans="2:6">
      <c r="B49" s="30" t="s">
        <v>256</v>
      </c>
      <c r="E49" s="56"/>
    </row>
    <row r="50" spans="2:6">
      <c r="E50" s="56"/>
    </row>
    <row r="51" spans="2:6">
      <c r="B51" s="30" t="s">
        <v>257</v>
      </c>
      <c r="E51" s="56"/>
    </row>
    <row r="52" spans="2:6">
      <c r="B52" s="30" t="s">
        <v>258</v>
      </c>
      <c r="E52" s="56"/>
    </row>
    <row r="53" spans="2:6">
      <c r="B53" s="30" t="s">
        <v>259</v>
      </c>
      <c r="E53" s="56"/>
    </row>
    <row r="54" spans="2:6">
      <c r="E54" s="56"/>
    </row>
    <row r="55" spans="2:6">
      <c r="E55" s="56"/>
    </row>
    <row r="56" spans="2:6">
      <c r="B56" s="30" t="s">
        <v>260</v>
      </c>
      <c r="D56" s="30" t="s">
        <v>261</v>
      </c>
      <c r="E56" s="56"/>
      <c r="F56" s="30" t="s">
        <v>262</v>
      </c>
    </row>
    <row r="57" spans="2:6">
      <c r="B57" s="30" t="s">
        <v>263</v>
      </c>
      <c r="E57" s="57">
        <v>6</v>
      </c>
      <c r="F57" s="30" t="s">
        <v>302</v>
      </c>
    </row>
    <row r="58" spans="2:6">
      <c r="E58" s="56"/>
    </row>
    <row r="60" spans="2:6" ht="30">
      <c r="B60" s="58" t="s">
        <v>264</v>
      </c>
      <c r="C60" s="58" t="s">
        <v>265</v>
      </c>
      <c r="D60" s="58" t="s">
        <v>266</v>
      </c>
      <c r="E60" s="58" t="s">
        <v>469</v>
      </c>
      <c r="F60" s="58" t="s">
        <v>470</v>
      </c>
    </row>
    <row r="61" spans="2:6">
      <c r="B61" s="59" t="s">
        <v>267</v>
      </c>
      <c r="C61" s="59">
        <v>504</v>
      </c>
      <c r="D61" s="60">
        <f>'Otros Costos Fijos'!B97</f>
        <v>33493.08933333333</v>
      </c>
      <c r="E61" s="59">
        <f>'Costos Variables'!$C$25</f>
        <v>16740</v>
      </c>
      <c r="F61" s="61">
        <f>$E$70</f>
        <v>10393.16</v>
      </c>
    </row>
    <row r="62" spans="2:6">
      <c r="B62" s="59" t="s">
        <v>268</v>
      </c>
      <c r="C62" s="59">
        <v>517</v>
      </c>
      <c r="D62" s="60">
        <f>D61</f>
        <v>33493.08933333333</v>
      </c>
      <c r="E62" s="59">
        <f>'Costos Variables'!E25</f>
        <v>18540</v>
      </c>
      <c r="F62" s="61">
        <f>$E$70</f>
        <v>10393.16</v>
      </c>
    </row>
    <row r="63" spans="2:6">
      <c r="B63" s="59" t="s">
        <v>269</v>
      </c>
      <c r="C63" s="59">
        <v>531</v>
      </c>
      <c r="D63" s="60">
        <f>D62</f>
        <v>33493.08933333333</v>
      </c>
      <c r="E63" s="59">
        <f>'Costos Variables'!G25</f>
        <v>17820</v>
      </c>
      <c r="F63" s="61">
        <f>$E$70</f>
        <v>10393.16</v>
      </c>
    </row>
    <row r="64" spans="2:6">
      <c r="B64" s="62" t="s">
        <v>270</v>
      </c>
    </row>
    <row r="66" spans="2:8">
      <c r="B66" s="30" t="s">
        <v>271</v>
      </c>
    </row>
    <row r="67" spans="2:8">
      <c r="C67" s="30" t="s">
        <v>272</v>
      </c>
      <c r="E67" s="57">
        <f>'Valor de desecho e I.I.'!B20</f>
        <v>8403.16</v>
      </c>
    </row>
    <row r="68" spans="2:8">
      <c r="C68" s="30" t="s">
        <v>303</v>
      </c>
      <c r="E68" s="57">
        <f>'Valor de desecho e I.I.'!B21</f>
        <v>990</v>
      </c>
    </row>
    <row r="69" spans="2:8" ht="15" thickBot="1">
      <c r="C69" s="30" t="s">
        <v>304</v>
      </c>
      <c r="E69" s="63">
        <f>'Valor de desecho e I.I.'!B22</f>
        <v>1000</v>
      </c>
    </row>
    <row r="70" spans="2:8">
      <c r="C70" s="64" t="s">
        <v>273</v>
      </c>
      <c r="E70" s="57">
        <f>SUM(E67:E69)</f>
        <v>10393.16</v>
      </c>
    </row>
    <row r="71" spans="2:8">
      <c r="E71" s="57"/>
    </row>
    <row r="73" spans="2:8">
      <c r="B73" s="65" t="s">
        <v>274</v>
      </c>
      <c r="C73" s="30" t="s">
        <v>305</v>
      </c>
    </row>
    <row r="74" spans="2:8">
      <c r="B74" s="65"/>
    </row>
    <row r="75" spans="2:8" ht="15">
      <c r="C75" s="66"/>
      <c r="F75" s="67"/>
    </row>
    <row r="76" spans="2:8" ht="15">
      <c r="C76" s="66"/>
      <c r="F76" s="68"/>
    </row>
    <row r="78" spans="2:8" ht="15" thickBot="1"/>
    <row r="79" spans="2:8" ht="15.75" thickBot="1">
      <c r="B79" s="651" t="s">
        <v>275</v>
      </c>
      <c r="C79" s="652"/>
      <c r="D79" s="652"/>
      <c r="E79" s="652"/>
      <c r="F79" s="652"/>
      <c r="G79" s="652"/>
      <c r="H79" s="653"/>
    </row>
    <row r="80" spans="2:8" ht="15">
      <c r="B80" s="69" t="s">
        <v>276</v>
      </c>
      <c r="C80" s="70">
        <v>0</v>
      </c>
      <c r="D80" s="70">
        <v>1</v>
      </c>
      <c r="E80" s="70">
        <v>2</v>
      </c>
      <c r="F80" s="70">
        <v>3</v>
      </c>
      <c r="G80" s="70">
        <v>4</v>
      </c>
      <c r="H80" s="71">
        <v>5</v>
      </c>
    </row>
    <row r="81" spans="2:8" ht="15">
      <c r="B81" s="72" t="s">
        <v>277</v>
      </c>
      <c r="C81" s="73"/>
      <c r="D81" s="73">
        <f>C61</f>
        <v>504</v>
      </c>
      <c r="E81" s="73">
        <f>D81</f>
        <v>504</v>
      </c>
      <c r="F81" s="73">
        <f>E81</f>
        <v>504</v>
      </c>
      <c r="G81" s="73">
        <f>F81</f>
        <v>504</v>
      </c>
      <c r="H81" s="74">
        <f>G81</f>
        <v>504</v>
      </c>
    </row>
    <row r="82" spans="2:8" ht="15">
      <c r="B82" s="72" t="s">
        <v>278</v>
      </c>
      <c r="C82" s="73"/>
      <c r="D82" s="73">
        <f>Ingresos!J69</f>
        <v>54480.313441237842</v>
      </c>
      <c r="E82" s="73">
        <f>Ingresos!H69</f>
        <v>64496.230143266497</v>
      </c>
      <c r="F82" s="73">
        <f>E82</f>
        <v>64496.230143266497</v>
      </c>
      <c r="G82" s="73">
        <f>F82</f>
        <v>64496.230143266497</v>
      </c>
      <c r="H82" s="73">
        <f>G82</f>
        <v>64496.230143266497</v>
      </c>
    </row>
    <row r="83" spans="2:8" ht="15">
      <c r="B83" s="72" t="s">
        <v>279</v>
      </c>
      <c r="C83" s="73"/>
      <c r="D83" s="73">
        <f>$D$61</f>
        <v>33493.08933333333</v>
      </c>
      <c r="E83" s="73">
        <f>$D$61</f>
        <v>33493.08933333333</v>
      </c>
      <c r="F83" s="73">
        <f>$D$61</f>
        <v>33493.08933333333</v>
      </c>
      <c r="G83" s="73">
        <f>$D$61</f>
        <v>33493.08933333333</v>
      </c>
      <c r="H83" s="74">
        <f>$D$61</f>
        <v>33493.08933333333</v>
      </c>
    </row>
    <row r="84" spans="2:8" ht="15">
      <c r="B84" s="72" t="s">
        <v>280</v>
      </c>
      <c r="C84" s="73"/>
      <c r="D84" s="73">
        <f>'Costos Variables'!$C$25</f>
        <v>16740</v>
      </c>
      <c r="E84" s="73">
        <f>'Costos Variables'!$C$25</f>
        <v>16740</v>
      </c>
      <c r="F84" s="73">
        <f>'Costos Variables'!$C$25</f>
        <v>16740</v>
      </c>
      <c r="G84" s="73">
        <f>'Costos Variables'!$C$25</f>
        <v>16740</v>
      </c>
      <c r="H84" s="74">
        <f>'Costos Variables'!$C$25</f>
        <v>16740</v>
      </c>
    </row>
    <row r="85" spans="2:8" ht="15.75" thickBot="1">
      <c r="B85" s="72" t="s">
        <v>281</v>
      </c>
      <c r="C85" s="75"/>
      <c r="D85" s="75">
        <f>'Valor de desecho e I.I.'!$F$18</f>
        <v>963.98266666666677</v>
      </c>
      <c r="E85" s="75">
        <f>D85</f>
        <v>963.98266666666677</v>
      </c>
      <c r="F85" s="75">
        <f>E85</f>
        <v>963.98266666666677</v>
      </c>
      <c r="G85" s="75">
        <f>F85</f>
        <v>963.98266666666677</v>
      </c>
      <c r="H85" s="76">
        <f>G85</f>
        <v>963.98266666666677</v>
      </c>
    </row>
    <row r="86" spans="2:8" ht="15">
      <c r="B86" s="72" t="s">
        <v>282</v>
      </c>
      <c r="C86" s="77"/>
      <c r="D86" s="77">
        <f>D82-D83-D84-D85</f>
        <v>3283.2414412378457</v>
      </c>
      <c r="E86" s="77">
        <f>E82-E83-E84-E85</f>
        <v>13299.158143266501</v>
      </c>
      <c r="F86" s="77">
        <f>F82-F83-F84-F85</f>
        <v>13299.158143266501</v>
      </c>
      <c r="G86" s="77">
        <f>G82-G83-G84-G85</f>
        <v>13299.158143266501</v>
      </c>
      <c r="H86" s="78">
        <f>H82-H83-H84-H85</f>
        <v>13299.158143266501</v>
      </c>
    </row>
    <row r="87" spans="2:8" ht="15">
      <c r="B87" s="72" t="s">
        <v>310</v>
      </c>
      <c r="C87" s="79"/>
      <c r="D87" s="79">
        <f>D86*0.15</f>
        <v>492.48621618567682</v>
      </c>
      <c r="E87" s="79">
        <f>E86*0.15</f>
        <v>1994.873721489975</v>
      </c>
      <c r="F87" s="79">
        <f>F86*0.15</f>
        <v>1994.873721489975</v>
      </c>
      <c r="G87" s="79">
        <f>G86*0.15</f>
        <v>1994.873721489975</v>
      </c>
      <c r="H87" s="80">
        <f>H86*0.15</f>
        <v>1994.873721489975</v>
      </c>
    </row>
    <row r="88" spans="2:8" ht="15.75" thickBot="1">
      <c r="B88" s="72" t="s">
        <v>283</v>
      </c>
      <c r="C88" s="75"/>
      <c r="D88" s="75">
        <f>(D86-D87)*0.25</f>
        <v>697.68880626304224</v>
      </c>
      <c r="E88" s="75">
        <f>(E86-E87)*0.25</f>
        <v>2826.0711054441313</v>
      </c>
      <c r="F88" s="75">
        <f>(F86-F87)*0.25</f>
        <v>2826.0711054441313</v>
      </c>
      <c r="G88" s="75">
        <f>(G86-G87)*0.25</f>
        <v>2826.0711054441313</v>
      </c>
      <c r="H88" s="76">
        <f>(H86-H87)*0.25</f>
        <v>2826.0711054441313</v>
      </c>
    </row>
    <row r="89" spans="2:8" ht="15">
      <c r="B89" s="72" t="s">
        <v>284</v>
      </c>
      <c r="C89" s="77"/>
      <c r="D89" s="77">
        <f>D86-D87-D88</f>
        <v>2093.0664187891266</v>
      </c>
      <c r="E89" s="77">
        <f>E86-E87-E88</f>
        <v>8478.2133163323942</v>
      </c>
      <c r="F89" s="77">
        <f>F86-F87-F88</f>
        <v>8478.2133163323942</v>
      </c>
      <c r="G89" s="77">
        <f>G86-G87-G88</f>
        <v>8478.2133163323942</v>
      </c>
      <c r="H89" s="78">
        <f>H86-H87-H88</f>
        <v>8478.2133163323942</v>
      </c>
    </row>
    <row r="90" spans="2:8" ht="15">
      <c r="B90" s="72" t="s">
        <v>285</v>
      </c>
      <c r="C90" s="73"/>
      <c r="D90" s="73">
        <f>D85</f>
        <v>963.98266666666677</v>
      </c>
      <c r="E90" s="73">
        <f>E85</f>
        <v>963.98266666666677</v>
      </c>
      <c r="F90" s="73">
        <f>F85</f>
        <v>963.98266666666677</v>
      </c>
      <c r="G90" s="73">
        <f>G85</f>
        <v>963.98266666666677</v>
      </c>
      <c r="H90" s="74">
        <f>H85</f>
        <v>963.98266666666677</v>
      </c>
    </row>
    <row r="91" spans="2:8" ht="15.75" thickBot="1">
      <c r="B91" s="72" t="s">
        <v>286</v>
      </c>
      <c r="C91" s="75">
        <f>E70</f>
        <v>10393.16</v>
      </c>
      <c r="D91" s="75"/>
      <c r="E91" s="75"/>
      <c r="F91" s="75">
        <v>530</v>
      </c>
      <c r="G91" s="75"/>
      <c r="H91" s="76"/>
    </row>
    <row r="92" spans="2:8" ht="15.75" thickBot="1">
      <c r="B92" s="81" t="s">
        <v>287</v>
      </c>
      <c r="C92" s="82">
        <f t="shared" ref="C92:H92" si="0">C89+C90-C91</f>
        <v>-10393.16</v>
      </c>
      <c r="D92" s="82">
        <f t="shared" si="0"/>
        <v>3057.0490854557934</v>
      </c>
      <c r="E92" s="82">
        <f t="shared" si="0"/>
        <v>9442.195982999061</v>
      </c>
      <c r="F92" s="82">
        <f>F89+F90-F91</f>
        <v>8912.195982999061</v>
      </c>
      <c r="G92" s="82">
        <f t="shared" si="0"/>
        <v>9442.195982999061</v>
      </c>
      <c r="H92" s="83">
        <f t="shared" si="0"/>
        <v>9442.195982999061</v>
      </c>
    </row>
    <row r="93" spans="2:8" ht="15.75" thickBot="1">
      <c r="B93" s="49"/>
      <c r="C93" s="84"/>
      <c r="D93" s="84"/>
      <c r="E93" s="84"/>
      <c r="F93" s="84"/>
      <c r="G93" s="84"/>
      <c r="H93" s="84"/>
    </row>
    <row r="94" spans="2:8" ht="15.75" thickBot="1">
      <c r="B94" s="85" t="s">
        <v>288</v>
      </c>
      <c r="C94" s="86">
        <f>E146</f>
        <v>0.23096857142857141</v>
      </c>
      <c r="D94" s="84"/>
      <c r="E94" s="84"/>
      <c r="F94" s="84"/>
      <c r="G94" s="84"/>
      <c r="H94" s="84"/>
    </row>
    <row r="95" spans="2:8" ht="15.75" thickBot="1">
      <c r="B95" s="87" t="s">
        <v>289</v>
      </c>
      <c r="C95" s="88">
        <f>NPV(C94,D92:H92)+C92</f>
        <v>10552.579625244103</v>
      </c>
      <c r="D95" s="84"/>
      <c r="E95" s="84"/>
      <c r="F95" s="84"/>
      <c r="G95" s="84"/>
      <c r="H95" s="84"/>
    </row>
    <row r="97" spans="2:8">
      <c r="B97" s="67"/>
      <c r="C97" s="67"/>
      <c r="D97" s="67"/>
      <c r="E97" s="67"/>
      <c r="F97" s="67"/>
      <c r="G97" s="67"/>
      <c r="H97" s="67"/>
    </row>
    <row r="98" spans="2:8" ht="15" thickBot="1">
      <c r="B98" s="67"/>
      <c r="C98" s="67"/>
      <c r="D98" s="67"/>
      <c r="E98" s="67"/>
      <c r="F98" s="67"/>
      <c r="G98" s="67"/>
      <c r="H98" s="67"/>
    </row>
    <row r="99" spans="2:8" ht="15.75" thickBot="1">
      <c r="B99" s="651" t="s">
        <v>290</v>
      </c>
      <c r="C99" s="652"/>
      <c r="D99" s="652"/>
      <c r="E99" s="652"/>
      <c r="F99" s="652"/>
      <c r="G99" s="652"/>
      <c r="H99" s="653"/>
    </row>
    <row r="100" spans="2:8" ht="15">
      <c r="B100" s="69" t="s">
        <v>276</v>
      </c>
      <c r="C100" s="70">
        <v>0</v>
      </c>
      <c r="D100" s="70">
        <v>1</v>
      </c>
      <c r="E100" s="70">
        <v>2</v>
      </c>
      <c r="F100" s="70">
        <v>3</v>
      </c>
      <c r="G100" s="70">
        <v>4</v>
      </c>
      <c r="H100" s="71">
        <v>5</v>
      </c>
    </row>
    <row r="101" spans="2:8" ht="15">
      <c r="B101" s="72" t="s">
        <v>277</v>
      </c>
      <c r="C101" s="73"/>
      <c r="D101" s="73">
        <v>504</v>
      </c>
      <c r="E101" s="73">
        <v>511</v>
      </c>
      <c r="F101" s="73">
        <v>517</v>
      </c>
      <c r="G101" s="73">
        <v>517</v>
      </c>
      <c r="H101" s="74">
        <v>517</v>
      </c>
    </row>
    <row r="102" spans="2:8" ht="15">
      <c r="B102" s="72" t="s">
        <v>291</v>
      </c>
      <c r="C102" s="73"/>
      <c r="D102" s="73">
        <f>Ingresos!J69</f>
        <v>54480.313441237842</v>
      </c>
      <c r="E102" s="73">
        <f>Ingresos!J73</f>
        <v>65086.261077117662</v>
      </c>
      <c r="F102" s="73">
        <f>Ingresos!J77</f>
        <v>65860.957593297964</v>
      </c>
      <c r="G102" s="73">
        <f>+F102</f>
        <v>65860.957593297964</v>
      </c>
      <c r="H102" s="74">
        <f>F102</f>
        <v>65860.957593297964</v>
      </c>
    </row>
    <row r="103" spans="2:8" ht="15">
      <c r="B103" s="72" t="s">
        <v>279</v>
      </c>
      <c r="C103" s="73"/>
      <c r="D103" s="73">
        <f>$D$61</f>
        <v>33493.08933333333</v>
      </c>
      <c r="E103" s="73">
        <f>$D$61</f>
        <v>33493.08933333333</v>
      </c>
      <c r="F103" s="73">
        <f>$D$61</f>
        <v>33493.08933333333</v>
      </c>
      <c r="G103" s="73">
        <f>$D$61</f>
        <v>33493.08933333333</v>
      </c>
      <c r="H103" s="74">
        <f>$D$61</f>
        <v>33493.08933333333</v>
      </c>
    </row>
    <row r="104" spans="2:8" ht="15">
      <c r="B104" s="72" t="s">
        <v>280</v>
      </c>
      <c r="C104" s="73"/>
      <c r="D104" s="73">
        <f>'Costos Variables'!C25</f>
        <v>16740</v>
      </c>
      <c r="E104" s="73">
        <f>'Costos Variables'!D25</f>
        <v>18540</v>
      </c>
      <c r="F104" s="73">
        <f>'Costos Variables'!$E$25</f>
        <v>18540</v>
      </c>
      <c r="G104" s="73">
        <f>'Costos Variables'!$E$25</f>
        <v>18540</v>
      </c>
      <c r="H104" s="74">
        <f>'Costos Variables'!$E$25</f>
        <v>18540</v>
      </c>
    </row>
    <row r="105" spans="2:8" ht="15.75" thickBot="1">
      <c r="B105" s="72" t="s">
        <v>281</v>
      </c>
      <c r="C105" s="75"/>
      <c r="D105" s="75">
        <f>'Valor de desecho e I.I.'!$F$18</f>
        <v>963.98266666666677</v>
      </c>
      <c r="E105" s="75">
        <f>D105</f>
        <v>963.98266666666677</v>
      </c>
      <c r="F105" s="75">
        <f>E105</f>
        <v>963.98266666666677</v>
      </c>
      <c r="G105" s="75">
        <f>F105</f>
        <v>963.98266666666677</v>
      </c>
      <c r="H105" s="76">
        <f>G105</f>
        <v>963.98266666666677</v>
      </c>
    </row>
    <row r="106" spans="2:8" ht="15">
      <c r="B106" s="72" t="s">
        <v>282</v>
      </c>
      <c r="C106" s="77"/>
      <c r="D106" s="77">
        <f>D102-D103-D104-D105</f>
        <v>3283.2414412378457</v>
      </c>
      <c r="E106" s="77">
        <f>E102-E103-E104-E105</f>
        <v>12089.189077117666</v>
      </c>
      <c r="F106" s="77">
        <f>F102-F103-F104-F105</f>
        <v>12863.885593297968</v>
      </c>
      <c r="G106" s="77">
        <f>G102-G103-G104-G105</f>
        <v>12863.885593297968</v>
      </c>
      <c r="H106" s="78">
        <f>H102-H103-H104-H105</f>
        <v>12863.885593297968</v>
      </c>
    </row>
    <row r="107" spans="2:8" ht="15">
      <c r="B107" s="72" t="s">
        <v>310</v>
      </c>
      <c r="C107" s="79"/>
      <c r="D107" s="79">
        <f>D106*0.15</f>
        <v>492.48621618567682</v>
      </c>
      <c r="E107" s="79">
        <f>E106*0.15</f>
        <v>1813.3783615676498</v>
      </c>
      <c r="F107" s="79">
        <f>F106*0.15</f>
        <v>1929.5828389946951</v>
      </c>
      <c r="G107" s="79">
        <f>G106*0.15</f>
        <v>1929.5828389946951</v>
      </c>
      <c r="H107" s="80">
        <f>H106*0.15</f>
        <v>1929.5828389946951</v>
      </c>
    </row>
    <row r="108" spans="2:8" ht="15.75" thickBot="1">
      <c r="B108" s="72" t="s">
        <v>283</v>
      </c>
      <c r="C108" s="75"/>
      <c r="D108" s="75">
        <f>(D106-D107)*0.25</f>
        <v>697.68880626304224</v>
      </c>
      <c r="E108" s="75">
        <f>(E106-E107)*0.25</f>
        <v>2568.9526788875041</v>
      </c>
      <c r="F108" s="75">
        <f>(F106-F107)*0.25</f>
        <v>2733.5756885758183</v>
      </c>
      <c r="G108" s="75">
        <f>(G106-G107)*0.25</f>
        <v>2733.5756885758183</v>
      </c>
      <c r="H108" s="76">
        <f>(H106-H107)*0.25</f>
        <v>2733.5756885758183</v>
      </c>
    </row>
    <row r="109" spans="2:8" ht="15">
      <c r="B109" s="72" t="s">
        <v>284</v>
      </c>
      <c r="C109" s="77"/>
      <c r="D109" s="77">
        <f>D106-D107-D108</f>
        <v>2093.0664187891266</v>
      </c>
      <c r="E109" s="77">
        <f>E106-E107-E108</f>
        <v>7706.8580366625119</v>
      </c>
      <c r="F109" s="77">
        <f>F106-F107-F108</f>
        <v>8200.7270657274548</v>
      </c>
      <c r="G109" s="77">
        <f>G106-G107-G108</f>
        <v>8200.7270657274548</v>
      </c>
      <c r="H109" s="78">
        <f>H106-H107-H108</f>
        <v>8200.7270657274548</v>
      </c>
    </row>
    <row r="110" spans="2:8" ht="15">
      <c r="B110" s="72" t="s">
        <v>285</v>
      </c>
      <c r="C110" s="73"/>
      <c r="D110" s="73">
        <f>D105</f>
        <v>963.98266666666677</v>
      </c>
      <c r="E110" s="73">
        <f>E105</f>
        <v>963.98266666666677</v>
      </c>
      <c r="F110" s="73">
        <f>F105</f>
        <v>963.98266666666677</v>
      </c>
      <c r="G110" s="73">
        <f>G105</f>
        <v>963.98266666666677</v>
      </c>
      <c r="H110" s="74">
        <f>H105</f>
        <v>963.98266666666677</v>
      </c>
    </row>
    <row r="111" spans="2:8" ht="15.75" thickBot="1">
      <c r="B111" s="72" t="s">
        <v>286</v>
      </c>
      <c r="C111" s="75">
        <f>E70</f>
        <v>10393.16</v>
      </c>
      <c r="D111" s="75"/>
      <c r="E111" s="75"/>
      <c r="F111" s="75">
        <v>530</v>
      </c>
      <c r="G111" s="75"/>
      <c r="H111" s="76"/>
    </row>
    <row r="112" spans="2:8" ht="15.75" thickBot="1">
      <c r="B112" s="81" t="s">
        <v>287</v>
      </c>
      <c r="C112" s="82">
        <f t="shared" ref="C112:H112" si="1">C109+C110-C111</f>
        <v>-10393.16</v>
      </c>
      <c r="D112" s="82">
        <f t="shared" si="1"/>
        <v>3057.0490854557934</v>
      </c>
      <c r="E112" s="82">
        <f t="shared" si="1"/>
        <v>8670.8407033291787</v>
      </c>
      <c r="F112" s="82">
        <f t="shared" si="1"/>
        <v>8634.7097323941216</v>
      </c>
      <c r="G112" s="82">
        <f t="shared" si="1"/>
        <v>9164.7097323941216</v>
      </c>
      <c r="H112" s="83">
        <f t="shared" si="1"/>
        <v>9164.7097323941216</v>
      </c>
    </row>
    <row r="113" spans="2:8" ht="15.75" thickBot="1">
      <c r="B113" s="49"/>
      <c r="C113" s="84"/>
      <c r="D113" s="84"/>
      <c r="E113" s="84"/>
      <c r="F113" s="84"/>
      <c r="G113" s="84"/>
      <c r="H113" s="84"/>
    </row>
    <row r="114" spans="2:8" ht="15.75" thickBot="1">
      <c r="B114" s="85" t="s">
        <v>288</v>
      </c>
      <c r="C114" s="86">
        <f>E146</f>
        <v>0.23096857142857141</v>
      </c>
      <c r="D114" s="84"/>
      <c r="E114" s="84"/>
      <c r="F114" s="84"/>
      <c r="G114" s="84"/>
      <c r="H114" s="84"/>
    </row>
    <row r="115" spans="2:8" ht="15.75" thickBot="1">
      <c r="B115" s="87" t="s">
        <v>292</v>
      </c>
      <c r="C115" s="88">
        <f>NPV(C114,D112:H112)+C112</f>
        <v>9675.7363599052551</v>
      </c>
      <c r="D115" s="84"/>
      <c r="E115" s="84"/>
      <c r="F115" s="84"/>
      <c r="G115" s="84"/>
      <c r="H115" s="84"/>
    </row>
    <row r="116" spans="2:8">
      <c r="B116" s="67"/>
      <c r="C116" s="67"/>
      <c r="D116" s="67"/>
      <c r="E116" s="67"/>
      <c r="F116" s="67"/>
      <c r="G116" s="67"/>
      <c r="H116" s="67"/>
    </row>
    <row r="117" spans="2:8" ht="15" thickBot="1">
      <c r="B117" s="67"/>
      <c r="C117" s="67"/>
      <c r="D117" s="67"/>
      <c r="E117" s="67"/>
      <c r="F117" s="67"/>
      <c r="G117" s="67"/>
      <c r="H117" s="67"/>
    </row>
    <row r="118" spans="2:8" ht="15.75" thickBot="1">
      <c r="B118" s="651" t="s">
        <v>293</v>
      </c>
      <c r="C118" s="652"/>
      <c r="D118" s="652"/>
      <c r="E118" s="652"/>
      <c r="F118" s="652"/>
      <c r="G118" s="652"/>
      <c r="H118" s="653"/>
    </row>
    <row r="119" spans="2:8" ht="15">
      <c r="B119" s="69" t="s">
        <v>276</v>
      </c>
      <c r="C119" s="70">
        <v>0</v>
      </c>
      <c r="D119" s="70">
        <v>1</v>
      </c>
      <c r="E119" s="70">
        <v>2</v>
      </c>
      <c r="F119" s="70">
        <v>3</v>
      </c>
      <c r="G119" s="70">
        <v>4</v>
      </c>
      <c r="H119" s="71">
        <v>5</v>
      </c>
    </row>
    <row r="120" spans="2:8" ht="15">
      <c r="B120" s="72" t="s">
        <v>277</v>
      </c>
      <c r="C120" s="73"/>
      <c r="D120" s="73">
        <v>504</v>
      </c>
      <c r="E120" s="73">
        <v>511</v>
      </c>
      <c r="F120" s="73">
        <v>517</v>
      </c>
      <c r="G120" s="73">
        <v>524</v>
      </c>
      <c r="H120" s="74">
        <v>531</v>
      </c>
    </row>
    <row r="121" spans="2:8" ht="15">
      <c r="B121" s="72" t="s">
        <v>291</v>
      </c>
      <c r="C121" s="73"/>
      <c r="D121" s="73">
        <f>Ingresos!J69</f>
        <v>54480.313441237842</v>
      </c>
      <c r="E121" s="73">
        <f>Ingresos!J73</f>
        <v>65086.261077117662</v>
      </c>
      <c r="F121" s="73">
        <f>Ingresos!J77</f>
        <v>65860.957593297964</v>
      </c>
      <c r="G121" s="73">
        <f>Ingresos!J81</f>
        <v>66689.233173628716</v>
      </c>
      <c r="H121" s="74">
        <f>Ingresos!J85</f>
        <v>67528.50490574108</v>
      </c>
    </row>
    <row r="122" spans="2:8" ht="15">
      <c r="B122" s="72" t="s">
        <v>279</v>
      </c>
      <c r="C122" s="73"/>
      <c r="D122" s="73">
        <f>$D$61</f>
        <v>33493.08933333333</v>
      </c>
      <c r="E122" s="73">
        <f>$D$61</f>
        <v>33493.08933333333</v>
      </c>
      <c r="F122" s="73">
        <f>$D$61</f>
        <v>33493.08933333333</v>
      </c>
      <c r="G122" s="73">
        <f>$D$61</f>
        <v>33493.08933333333</v>
      </c>
      <c r="H122" s="74">
        <f>$D$61</f>
        <v>33493.08933333333</v>
      </c>
    </row>
    <row r="123" spans="2:8" ht="15">
      <c r="B123" s="72" t="s">
        <v>280</v>
      </c>
      <c r="C123" s="73"/>
      <c r="D123" s="73">
        <f>'Costos Variables'!C25</f>
        <v>16740</v>
      </c>
      <c r="E123" s="73">
        <f>'Costos Variables'!D25</f>
        <v>18540</v>
      </c>
      <c r="F123" s="73">
        <f>'Costos Variables'!E25</f>
        <v>18540</v>
      </c>
      <c r="G123" s="73">
        <f>'Costos Variables'!F25</f>
        <v>17820</v>
      </c>
      <c r="H123" s="74">
        <f>'Costos Variables'!G25</f>
        <v>17820</v>
      </c>
    </row>
    <row r="124" spans="2:8" ht="15.75" thickBot="1">
      <c r="B124" s="72" t="s">
        <v>281</v>
      </c>
      <c r="C124" s="75"/>
      <c r="D124" s="75">
        <f>'Valor de desecho e I.I.'!$F$18</f>
        <v>963.98266666666677</v>
      </c>
      <c r="E124" s="75">
        <f>D124</f>
        <v>963.98266666666677</v>
      </c>
      <c r="F124" s="75">
        <f>E124</f>
        <v>963.98266666666677</v>
      </c>
      <c r="G124" s="75">
        <f>F124</f>
        <v>963.98266666666677</v>
      </c>
      <c r="H124" s="76">
        <f>G124</f>
        <v>963.98266666666677</v>
      </c>
    </row>
    <row r="125" spans="2:8" ht="15">
      <c r="B125" s="72" t="s">
        <v>282</v>
      </c>
      <c r="C125" s="77"/>
      <c r="D125" s="77">
        <f>D121-D122-D123-D124</f>
        <v>3283.2414412378457</v>
      </c>
      <c r="E125" s="77">
        <f>E121-E122-E123-E124</f>
        <v>12089.189077117666</v>
      </c>
      <c r="F125" s="77">
        <f>F121-F122-F123-F124</f>
        <v>12863.885593297968</v>
      </c>
      <c r="G125" s="77">
        <f>G121-G122-G123-G124</f>
        <v>14412.16117362872</v>
      </c>
      <c r="H125" s="78">
        <f>H121-H122-H123-H124</f>
        <v>15251.432905741083</v>
      </c>
    </row>
    <row r="126" spans="2:8" ht="15">
      <c r="B126" s="72" t="s">
        <v>310</v>
      </c>
      <c r="C126" s="79"/>
      <c r="D126" s="79">
        <f>D125*0.15</f>
        <v>492.48621618567682</v>
      </c>
      <c r="E126" s="79">
        <f>E125*0.15</f>
        <v>1813.3783615676498</v>
      </c>
      <c r="F126" s="79">
        <f>F125*0.15</f>
        <v>1929.5828389946951</v>
      </c>
      <c r="G126" s="79">
        <f>G125*0.15</f>
        <v>2161.8241760443079</v>
      </c>
      <c r="H126" s="80">
        <f>H125*0.15</f>
        <v>2287.7149358611623</v>
      </c>
    </row>
    <row r="127" spans="2:8" ht="15.75" thickBot="1">
      <c r="B127" s="72" t="s">
        <v>283</v>
      </c>
      <c r="C127" s="75"/>
      <c r="D127" s="75">
        <f>(D125-D126)*0.25</f>
        <v>697.68880626304224</v>
      </c>
      <c r="E127" s="75">
        <f>(E125-E126)*0.25</f>
        <v>2568.9526788875041</v>
      </c>
      <c r="F127" s="75">
        <f>(F125-F126)*0.25</f>
        <v>2733.5756885758183</v>
      </c>
      <c r="G127" s="75">
        <f>(G125-G126)*0.25</f>
        <v>3062.5842493961027</v>
      </c>
      <c r="H127" s="76">
        <f>(H125-H126)*0.25</f>
        <v>3240.9294924699802</v>
      </c>
    </row>
    <row r="128" spans="2:8" ht="15">
      <c r="B128" s="72" t="s">
        <v>284</v>
      </c>
      <c r="C128" s="77"/>
      <c r="D128" s="77">
        <f>D125-D126-D127</f>
        <v>2093.0664187891266</v>
      </c>
      <c r="E128" s="77">
        <f>E125-E126-E127</f>
        <v>7706.8580366625119</v>
      </c>
      <c r="F128" s="77">
        <f>F125-F126-F127</f>
        <v>8200.7270657274548</v>
      </c>
      <c r="G128" s="77">
        <f>G125-G126-G127</f>
        <v>9187.752748188308</v>
      </c>
      <c r="H128" s="78">
        <f>H125-H126-H127</f>
        <v>9722.7884774099402</v>
      </c>
    </row>
    <row r="129" spans="2:8" ht="15">
      <c r="B129" s="72" t="s">
        <v>285</v>
      </c>
      <c r="C129" s="73"/>
      <c r="D129" s="73">
        <f>D124</f>
        <v>963.98266666666677</v>
      </c>
      <c r="E129" s="73">
        <f>E124</f>
        <v>963.98266666666677</v>
      </c>
      <c r="F129" s="73">
        <f>F124</f>
        <v>963.98266666666677</v>
      </c>
      <c r="G129" s="73">
        <f>G124</f>
        <v>963.98266666666677</v>
      </c>
      <c r="H129" s="74">
        <f>H124</f>
        <v>963.98266666666677</v>
      </c>
    </row>
    <row r="130" spans="2:8" ht="15.75" thickBot="1">
      <c r="B130" s="72" t="s">
        <v>286</v>
      </c>
      <c r="C130" s="75">
        <f>E70</f>
        <v>10393.16</v>
      </c>
      <c r="D130" s="75"/>
      <c r="E130" s="75"/>
      <c r="F130" s="75">
        <v>530</v>
      </c>
      <c r="G130" s="75"/>
      <c r="H130" s="76"/>
    </row>
    <row r="131" spans="2:8" ht="15.75" thickBot="1">
      <c r="B131" s="81" t="s">
        <v>287</v>
      </c>
      <c r="C131" s="82">
        <f t="shared" ref="C131:H131" si="2">C128+C129-C130</f>
        <v>-10393.16</v>
      </c>
      <c r="D131" s="82">
        <f t="shared" si="2"/>
        <v>3057.0490854557934</v>
      </c>
      <c r="E131" s="82">
        <f t="shared" si="2"/>
        <v>8670.8407033291787</v>
      </c>
      <c r="F131" s="82">
        <f t="shared" si="2"/>
        <v>8634.7097323941216</v>
      </c>
      <c r="G131" s="82">
        <f t="shared" si="2"/>
        <v>10151.735414854975</v>
      </c>
      <c r="H131" s="83">
        <f t="shared" si="2"/>
        <v>10686.771144076607</v>
      </c>
    </row>
    <row r="132" spans="2:8" ht="15" thickBot="1">
      <c r="B132" s="67"/>
      <c r="C132" s="67"/>
      <c r="D132" s="67"/>
      <c r="E132" s="67"/>
      <c r="F132" s="67"/>
      <c r="G132" s="67"/>
      <c r="H132" s="67"/>
    </row>
    <row r="133" spans="2:8" ht="15.75" thickBot="1">
      <c r="B133" s="85" t="s">
        <v>288</v>
      </c>
      <c r="C133" s="86">
        <f>E146</f>
        <v>0.23096857142857141</v>
      </c>
      <c r="D133" s="67"/>
      <c r="E133" s="67"/>
      <c r="F133" s="67"/>
      <c r="G133" s="67"/>
      <c r="H133" s="67"/>
    </row>
    <row r="134" spans="2:8" ht="15.75" thickBot="1">
      <c r="B134" s="87" t="s">
        <v>294</v>
      </c>
      <c r="C134" s="88">
        <f>NPV(C133,D131:H131)+C131</f>
        <v>10644.124218795961</v>
      </c>
    </row>
    <row r="136" spans="2:8" ht="15" thickBot="1"/>
    <row r="137" spans="2:8" ht="15">
      <c r="C137" s="654" t="s">
        <v>333</v>
      </c>
      <c r="D137" s="655"/>
      <c r="E137" s="656"/>
    </row>
    <row r="138" spans="2:8">
      <c r="C138" s="649" t="s">
        <v>295</v>
      </c>
      <c r="D138" s="650"/>
      <c r="E138" s="89">
        <v>0.3</v>
      </c>
    </row>
    <row r="139" spans="2:8">
      <c r="C139" s="649" t="s">
        <v>296</v>
      </c>
      <c r="D139" s="650"/>
      <c r="E139" s="89">
        <v>0.7</v>
      </c>
    </row>
    <row r="140" spans="2:8">
      <c r="C140" s="649" t="s">
        <v>297</v>
      </c>
      <c r="D140" s="650"/>
      <c r="E140" s="89">
        <v>0.25</v>
      </c>
    </row>
    <row r="141" spans="2:8" ht="30" customHeight="1">
      <c r="C141" s="645" t="s">
        <v>298</v>
      </c>
      <c r="D141" s="646"/>
      <c r="E141" s="90">
        <v>0.72</v>
      </c>
    </row>
    <row r="142" spans="2:8">
      <c r="C142" s="645" t="s">
        <v>299</v>
      </c>
      <c r="D142" s="646"/>
      <c r="E142" s="74">
        <f>(E141*(1-(E138*E140)))/E139</f>
        <v>0.95142857142857151</v>
      </c>
    </row>
    <row r="143" spans="2:8" ht="15">
      <c r="C143" s="647" t="s">
        <v>300</v>
      </c>
      <c r="D143" s="648"/>
      <c r="E143" s="91">
        <v>3.6639999999999999E-2</v>
      </c>
    </row>
    <row r="144" spans="2:8" ht="15">
      <c r="C144" s="647" t="s">
        <v>322</v>
      </c>
      <c r="D144" s="648"/>
      <c r="E144" s="91">
        <v>0.1087</v>
      </c>
    </row>
    <row r="145" spans="2:6" ht="15.75" thickBot="1">
      <c r="C145" s="638" t="s">
        <v>347</v>
      </c>
      <c r="D145" s="639"/>
      <c r="E145" s="92">
        <v>0.09</v>
      </c>
    </row>
    <row r="146" spans="2:6" ht="15.75" thickBot="1">
      <c r="C146" s="640" t="s">
        <v>334</v>
      </c>
      <c r="D146" s="641"/>
      <c r="E146" s="93">
        <f>E143+E144+(E142*E145)</f>
        <v>0.23096857142857141</v>
      </c>
    </row>
    <row r="147" spans="2:6">
      <c r="C147" s="642" t="s">
        <v>323</v>
      </c>
      <c r="D147" s="643"/>
      <c r="E147" s="644"/>
    </row>
    <row r="148" spans="2:6">
      <c r="C148" s="642"/>
      <c r="D148" s="643"/>
      <c r="E148" s="644"/>
    </row>
    <row r="149" spans="2:6" ht="15">
      <c r="C149" s="635" t="s">
        <v>301</v>
      </c>
      <c r="D149" s="636"/>
      <c r="E149" s="637"/>
    </row>
    <row r="150" spans="2:6" ht="15.75" thickBot="1">
      <c r="C150" s="94" t="s">
        <v>348</v>
      </c>
      <c r="D150" s="95"/>
      <c r="E150" s="96"/>
    </row>
    <row r="152" spans="2:6" ht="15" thickBot="1"/>
    <row r="153" spans="2:6" ht="15.75" thickBot="1">
      <c r="B153" s="97" t="s">
        <v>289</v>
      </c>
      <c r="C153" s="98">
        <f>C95</f>
        <v>10552.579625244103</v>
      </c>
    </row>
    <row r="154" spans="2:6" ht="15.75" thickBot="1">
      <c r="B154" s="97" t="s">
        <v>292</v>
      </c>
      <c r="C154" s="98">
        <f>C115</f>
        <v>9675.7363599052551</v>
      </c>
    </row>
    <row r="155" spans="2:6" ht="15.75" thickBot="1">
      <c r="B155" s="504" t="s">
        <v>294</v>
      </c>
      <c r="C155" s="503">
        <f>C134</f>
        <v>10644.124218795961</v>
      </c>
    </row>
    <row r="157" spans="2:6" ht="15">
      <c r="B157" s="49" t="s">
        <v>315</v>
      </c>
      <c r="C157" s="99"/>
      <c r="D157" s="99"/>
      <c r="E157" s="99"/>
      <c r="F157" s="99"/>
    </row>
  </sheetData>
  <mergeCells count="19">
    <mergeCell ref="B5:G5"/>
    <mergeCell ref="F13:H13"/>
    <mergeCell ref="H14:H15"/>
    <mergeCell ref="H17:H18"/>
    <mergeCell ref="C138:D138"/>
    <mergeCell ref="C139:D139"/>
    <mergeCell ref="C140:D140"/>
    <mergeCell ref="C141:D141"/>
    <mergeCell ref="B79:H79"/>
    <mergeCell ref="B99:H99"/>
    <mergeCell ref="B118:H118"/>
    <mergeCell ref="C137:E137"/>
    <mergeCell ref="C149:E149"/>
    <mergeCell ref="C145:D145"/>
    <mergeCell ref="C146:D146"/>
    <mergeCell ref="C147:E148"/>
    <mergeCell ref="C142:D142"/>
    <mergeCell ref="C143:D143"/>
    <mergeCell ref="C144:D144"/>
  </mergeCells>
  <phoneticPr fontId="13" type="noConversion"/>
  <hyperlinks>
    <hyperlink ref="C149" r:id="rId1" display="www.damodaran.com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DEMANDA COLEGIAL</vt:lpstr>
      <vt:lpstr>DEMANDA UNI Y PRE</vt:lpstr>
      <vt:lpstr>Localizacion</vt:lpstr>
      <vt:lpstr>Balance de Obras Fisicas</vt:lpstr>
      <vt:lpstr>Balance Personal</vt:lpstr>
      <vt:lpstr>Calculo Sueldo Profesores</vt:lpstr>
      <vt:lpstr>Balance Maquinaria</vt:lpstr>
      <vt:lpstr>Reinversion</vt:lpstr>
      <vt:lpstr>Determinación del tamaño</vt:lpstr>
      <vt:lpstr>Ingresos</vt:lpstr>
      <vt:lpstr>Costos Fijos Administrativos</vt:lpstr>
      <vt:lpstr>Otros Costos Fijos</vt:lpstr>
      <vt:lpstr>Calculo No. aulas</vt:lpstr>
      <vt:lpstr>Costos Variables</vt:lpstr>
      <vt:lpstr>Capital de Trabajo</vt:lpstr>
      <vt:lpstr>Flujo de Caja</vt:lpstr>
      <vt:lpstr>Valor de desecho e I.I.</vt:lpstr>
      <vt:lpstr>Prestamo</vt:lpstr>
      <vt:lpstr>Payback</vt:lpstr>
      <vt:lpstr>SENSIBILIDAD</vt:lpstr>
      <vt:lpstr>Crystal Ball</vt:lpstr>
      <vt:lpstr>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Raúl González J.</cp:lastModifiedBy>
  <dcterms:created xsi:type="dcterms:W3CDTF">2009-08-23T23:00:00Z</dcterms:created>
  <dcterms:modified xsi:type="dcterms:W3CDTF">2009-09-19T04:41:44Z</dcterms:modified>
</cp:coreProperties>
</file>