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8640" firstSheet="6" activeTab="9"/>
  </bookViews>
  <sheets>
    <sheet name="BALANCE" sheetId="1" r:id="rId1"/>
    <sheet name="CF-CV" sheetId="3" r:id="rId2"/>
    <sheet name="METODO DEL DEFICIT ACUMULADO" sheetId="4" r:id="rId3"/>
    <sheet name="VALOR DESECHO" sheetId="6" r:id="rId4"/>
    <sheet name="INGRESOS" sheetId="5" r:id="rId5"/>
    <sheet name="FINANCIAMIENTO" sheetId="7" r:id="rId6"/>
    <sheet name="CCPP, MODELO CAPM" sheetId="8" r:id="rId7"/>
    <sheet name="FLUJO DE CAJA" sheetId="9" r:id="rId8"/>
    <sheet name="PAYBACK" sheetId="10" r:id="rId9"/>
    <sheet name="SENSIBILIDAD" sheetId="11" r:id="rId10"/>
  </sheets>
  <externalReferences>
    <externalReference r:id="rId11"/>
  </externalReferences>
  <definedNames>
    <definedName name="_ZA100" localSheetId="0">BALANCE!$D$27+"bD27"+16929+22500+25000+27500</definedName>
    <definedName name="_ZA100" localSheetId="1">'CF-CV'!$L$8+"aL8"+16929+1140+114</definedName>
    <definedName name="_ZA101" localSheetId="0">BALANCE!$D$30+"bD30"+16929+42300+47000+51700</definedName>
    <definedName name="_ZA101" localSheetId="4">INGRESOS!$G$5+"BPVP"+553+7.2+8+8.8+7.2+8.8</definedName>
    <definedName name="_ZA102" localSheetId="0">BALANCE!$D$36+"bD36"+16929+23400+26000+28600</definedName>
    <definedName name="_ZA102" localSheetId="4">INGRESOS!$G$6+"bG6"+16937+4.5+5+5.5</definedName>
    <definedName name="_ZA103" localSheetId="0">BALANCE!$E$54+"aCU"+545+85+8.5</definedName>
    <definedName name="_ZA103" localSheetId="4">INGRESOS!$G$7+"bG7"+16937+9+10+11</definedName>
    <definedName name="_ZA104" localSheetId="0">BALANCE!$E$55+"aE55"+16929+500+50</definedName>
    <definedName name="_ZA104" localSheetId="4">INGRESOS!$B$17+"aDemanda Estimada"+545+98947.97+9894.797</definedName>
    <definedName name="_ZA105" localSheetId="0">BALANCE!$E$56+"aE56"+16929+180+18</definedName>
    <definedName name="_ZF100" localSheetId="7">'FLUJO DE CAJA'!$D$26+"D26"+"dolares"+16937+553+473+0+0+0+0+4+3+"-"+"+"+2.6+50+2+4+95+49974.5076697997+5+2+"-"+"+"+-1+-1+0</definedName>
    <definedName name="_xlnm.Print_Area" localSheetId="9">SENSIBILIDAD!$A$1:$J$254</definedName>
    <definedName name="ZA0" localSheetId="0">"Crystal Ball Data : Ver. 5.2"</definedName>
    <definedName name="ZA0" localSheetId="1">"Crystal Ball Data : Ver. 5.2"</definedName>
    <definedName name="ZA0" localSheetId="7">"Crystal Ball Data : Ver. 5.2"</definedName>
    <definedName name="ZA0" localSheetId="4">"Crystal Ball Data : Ver. 5.2"</definedName>
    <definedName name="ZA0A" localSheetId="0">6+105</definedName>
    <definedName name="ZA0A" localSheetId="1">1+100</definedName>
    <definedName name="ZA0A" localSheetId="4">4+104</definedName>
    <definedName name="ZA0C" localSheetId="4">0+0</definedName>
    <definedName name="ZA0D" localSheetId="4">0+0</definedName>
    <definedName name="ZA0F" localSheetId="7">1+100</definedName>
    <definedName name="ZA0F" localSheetId="4">0+0</definedName>
    <definedName name="ZA0T" localSheetId="0">24111734+0</definedName>
    <definedName name="ZA0T" localSheetId="1">24144468+0</definedName>
    <definedName name="ZA0T" localSheetId="7">24285125+0</definedName>
    <definedName name="ZA0T" localSheetId="4">24238250+0</definedName>
  </definedNames>
  <calcPr calcId="125725"/>
</workbook>
</file>

<file path=xl/calcChain.xml><?xml version="1.0" encoding="utf-8"?>
<calcChain xmlns="http://schemas.openxmlformats.org/spreadsheetml/2006/main">
  <c r="D14" i="8"/>
  <c r="E27" i="1" l="1"/>
  <c r="E30"/>
  <c r="E36"/>
  <c r="F54"/>
  <c r="F55"/>
  <c r="F56"/>
  <c r="B18" i="5"/>
  <c r="B19"/>
  <c r="B20"/>
  <c r="B21"/>
  <c r="D19" i="4"/>
  <c r="C17" i="5"/>
  <c r="M8" i="3"/>
  <c r="E19" i="4"/>
  <c r="D17" i="5"/>
  <c r="D4" i="9"/>
  <c r="D3" i="6"/>
  <c r="J4"/>
  <c r="K4"/>
  <c r="N4"/>
  <c r="D4"/>
  <c r="J5"/>
  <c r="K5"/>
  <c r="N5"/>
  <c r="N6"/>
  <c r="D8" i="9"/>
  <c r="D11" i="6"/>
  <c r="J23"/>
  <c r="K23"/>
  <c r="N23"/>
  <c r="D17"/>
  <c r="J29"/>
  <c r="K29"/>
  <c r="N29"/>
  <c r="D8"/>
  <c r="J9"/>
  <c r="K9"/>
  <c r="N9"/>
  <c r="D10" i="9"/>
  <c r="D17"/>
  <c r="D19"/>
  <c r="C18" i="5"/>
  <c r="C19"/>
  <c r="C20"/>
  <c r="C21"/>
  <c r="E4" i="9"/>
  <c r="E8"/>
  <c r="E10"/>
  <c r="E17"/>
  <c r="E19"/>
  <c r="D18" i="5"/>
  <c r="D19"/>
  <c r="D20"/>
  <c r="D21"/>
  <c r="F4" i="9"/>
  <c r="F8"/>
  <c r="F10"/>
  <c r="F17"/>
  <c r="F19"/>
  <c r="E17" i="5"/>
  <c r="E18"/>
  <c r="E19"/>
  <c r="E20"/>
  <c r="E21"/>
  <c r="G4" i="9"/>
  <c r="G8"/>
  <c r="G10"/>
  <c r="G17"/>
  <c r="G19"/>
  <c r="F17" i="5"/>
  <c r="F18"/>
  <c r="F19"/>
  <c r="F20"/>
  <c r="F21"/>
  <c r="H4" i="9"/>
  <c r="H8"/>
  <c r="H10"/>
  <c r="H17"/>
  <c r="H19"/>
  <c r="G17" i="5"/>
  <c r="G18"/>
  <c r="G19"/>
  <c r="G20"/>
  <c r="G21"/>
  <c r="I4" i="9"/>
  <c r="I8"/>
  <c r="I10"/>
  <c r="I17"/>
  <c r="I19"/>
  <c r="H17" i="5"/>
  <c r="H18"/>
  <c r="H19"/>
  <c r="H20"/>
  <c r="H21"/>
  <c r="J4" i="9"/>
  <c r="J8"/>
  <c r="J10"/>
  <c r="J17"/>
  <c r="J19"/>
  <c r="I17" i="5"/>
  <c r="I18"/>
  <c r="I19"/>
  <c r="I20"/>
  <c r="I21"/>
  <c r="K4" i="9"/>
  <c r="K8"/>
  <c r="K10"/>
  <c r="K17"/>
  <c r="K19"/>
  <c r="J17" i="5"/>
  <c r="J18"/>
  <c r="J19"/>
  <c r="J20"/>
  <c r="J21"/>
  <c r="L4" i="9"/>
  <c r="L8"/>
  <c r="L10"/>
  <c r="L17"/>
  <c r="L19"/>
  <c r="K17" i="5"/>
  <c r="K18"/>
  <c r="K19"/>
  <c r="K20"/>
  <c r="K21"/>
  <c r="M4" i="9"/>
  <c r="M8"/>
  <c r="M10"/>
  <c r="M17"/>
  <c r="K6" i="6"/>
  <c r="M19" i="9"/>
  <c r="D8" i="8"/>
  <c r="D12"/>
  <c r="C7" s="1"/>
  <c r="L17" i="5"/>
  <c r="L18"/>
  <c r="L19"/>
  <c r="L20"/>
  <c r="L21"/>
  <c r="D36" i="6"/>
  <c r="D38"/>
  <c r="E15" i="4"/>
  <c r="E16"/>
  <c r="I18"/>
  <c r="C19"/>
  <c r="F19"/>
  <c r="G19"/>
  <c r="H19"/>
  <c r="I19"/>
  <c r="D5" i="3"/>
  <c r="D6"/>
  <c r="M6"/>
  <c r="D7"/>
  <c r="L7"/>
  <c r="M7"/>
  <c r="D8"/>
  <c r="M9"/>
  <c r="D10"/>
  <c r="M10"/>
  <c r="D11"/>
  <c r="M11"/>
  <c r="D13"/>
  <c r="C14"/>
  <c r="D14"/>
  <c r="D15"/>
  <c r="C23"/>
  <c r="D24"/>
  <c r="D25"/>
  <c r="C26"/>
  <c r="D26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E4" i="1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C4" i="3" s="1"/>
  <c r="F20" i="1"/>
  <c r="D4" i="3" s="1"/>
  <c r="E24" i="1"/>
  <c r="E25"/>
  <c r="D6" i="6" s="1"/>
  <c r="J19" s="1"/>
  <c r="E26" i="1"/>
  <c r="D7" i="6" s="1"/>
  <c r="J20" s="1"/>
  <c r="E28" i="1"/>
  <c r="D9" i="6" s="1"/>
  <c r="J21" s="1"/>
  <c r="E29" i="1"/>
  <c r="D10" i="6" s="1"/>
  <c r="J22" s="1"/>
  <c r="E31" i="1"/>
  <c r="D12" i="6" s="1"/>
  <c r="J24" s="1"/>
  <c r="E32" i="1"/>
  <c r="D13" i="6" s="1"/>
  <c r="J25" s="1"/>
  <c r="E33" i="1"/>
  <c r="D14" i="6" s="1"/>
  <c r="J26" s="1"/>
  <c r="E34" i="1"/>
  <c r="D15" i="6" s="1"/>
  <c r="J27" s="1"/>
  <c r="E35" i="1"/>
  <c r="D16" i="6" s="1"/>
  <c r="J28" s="1"/>
  <c r="E37" i="1"/>
  <c r="D18" i="6" s="1"/>
  <c r="J30" s="1"/>
  <c r="E38" i="1"/>
  <c r="D19" i="6" s="1"/>
  <c r="J31" s="1"/>
  <c r="E39" i="1"/>
  <c r="D20" i="6" s="1"/>
  <c r="J32" s="1"/>
  <c r="E40" i="1"/>
  <c r="D21" i="6" s="1"/>
  <c r="J13" s="1"/>
  <c r="E41" i="1"/>
  <c r="D22" i="6" s="1"/>
  <c r="J14" s="1"/>
  <c r="E42" i="1"/>
  <c r="D23" i="6" s="1"/>
  <c r="J33" s="1"/>
  <c r="E43" i="1"/>
  <c r="D24" i="6" s="1"/>
  <c r="J34" s="1"/>
  <c r="E44" i="1"/>
  <c r="D25" i="6" s="1"/>
  <c r="J35" s="1"/>
  <c r="E45" i="1"/>
  <c r="D26" i="6" s="1"/>
  <c r="J36" s="1"/>
  <c r="E46" i="1"/>
  <c r="D27" i="6" s="1"/>
  <c r="J37" s="1"/>
  <c r="E47" i="1"/>
  <c r="D28" i="6" s="1"/>
  <c r="J38" s="1"/>
  <c r="E48" i="1"/>
  <c r="D29" i="6" s="1"/>
  <c r="J39" s="1"/>
  <c r="F57" i="1"/>
  <c r="F58" s="1"/>
  <c r="D5" i="4" s="1"/>
  <c r="K39" i="6" l="1"/>
  <c r="N39"/>
  <c r="K38"/>
  <c r="N38"/>
  <c r="K37"/>
  <c r="N37"/>
  <c r="K36"/>
  <c r="N36"/>
  <c r="K35"/>
  <c r="N35"/>
  <c r="K34"/>
  <c r="N34"/>
  <c r="K33"/>
  <c r="N33"/>
  <c r="K14"/>
  <c r="N14"/>
  <c r="K13"/>
  <c r="K15" s="1"/>
  <c r="N13"/>
  <c r="N15" s="1"/>
  <c r="K32"/>
  <c r="N32"/>
  <c r="K31"/>
  <c r="N31"/>
  <c r="K30"/>
  <c r="N30"/>
  <c r="K28"/>
  <c r="N28"/>
  <c r="K27"/>
  <c r="N27"/>
  <c r="K26"/>
  <c r="N26"/>
  <c r="K25"/>
  <c r="N25"/>
  <c r="K24"/>
  <c r="N24"/>
  <c r="K22"/>
  <c r="N22"/>
  <c r="K21"/>
  <c r="N21"/>
  <c r="K20"/>
  <c r="N20"/>
  <c r="K19"/>
  <c r="N19"/>
  <c r="E49" i="1"/>
  <c r="D4" i="4" s="1"/>
  <c r="D5" i="6"/>
  <c r="D34" i="3"/>
  <c r="D37" s="1"/>
  <c r="E34"/>
  <c r="E37" s="1"/>
  <c r="C34"/>
  <c r="C37" s="1"/>
  <c r="F34"/>
  <c r="F37" s="1"/>
  <c r="G34"/>
  <c r="G37" s="1"/>
  <c r="H34"/>
  <c r="H37" s="1"/>
  <c r="I34"/>
  <c r="I37" s="1"/>
  <c r="J34"/>
  <c r="J37" s="1"/>
  <c r="K6" i="9" s="1"/>
  <c r="M12" i="3"/>
  <c r="C9" s="1"/>
  <c r="D9" s="1"/>
  <c r="D16" s="1"/>
  <c r="J15" i="6"/>
  <c r="L34" i="3"/>
  <c r="L37" s="1"/>
  <c r="M6" i="9" s="1"/>
  <c r="K34" i="3"/>
  <c r="K37" s="1"/>
  <c r="L6" i="9" s="1"/>
  <c r="D21" i="4" l="1"/>
  <c r="E21"/>
  <c r="D7" i="9"/>
  <c r="E7" s="1"/>
  <c r="F7" s="1"/>
  <c r="G7" s="1"/>
  <c r="H7" s="1"/>
  <c r="I7" s="1"/>
  <c r="J7" s="1"/>
  <c r="K7" s="1"/>
  <c r="L7" s="1"/>
  <c r="M7" s="1"/>
  <c r="C21" i="4"/>
  <c r="F21"/>
  <c r="G21"/>
  <c r="H21"/>
  <c r="I21"/>
  <c r="J6" i="9"/>
  <c r="I20" i="4"/>
  <c r="I22" s="1"/>
  <c r="I6" i="9"/>
  <c r="H20" i="4"/>
  <c r="H22" s="1"/>
  <c r="I23" s="1"/>
  <c r="H6" i="9"/>
  <c r="G20" i="4"/>
  <c r="G22" s="1"/>
  <c r="H23" s="1"/>
  <c r="G6" i="9"/>
  <c r="F20" i="4"/>
  <c r="F22" s="1"/>
  <c r="G23" s="1"/>
  <c r="D6" i="9"/>
  <c r="C20" i="4"/>
  <c r="C22" s="1"/>
  <c r="E20"/>
  <c r="E22" s="1"/>
  <c r="F23" s="1"/>
  <c r="F6" i="9"/>
  <c r="D20" i="4"/>
  <c r="D22" s="1"/>
  <c r="E23" s="1"/>
  <c r="D8" s="1"/>
  <c r="E6" i="9"/>
  <c r="J18" i="6"/>
  <c r="D30"/>
  <c r="D11" i="9"/>
  <c r="D20" s="1"/>
  <c r="E11"/>
  <c r="E20" s="1"/>
  <c r="F11"/>
  <c r="F20" s="1"/>
  <c r="G11"/>
  <c r="G20" s="1"/>
  <c r="H11"/>
  <c r="H20" s="1"/>
  <c r="I11"/>
  <c r="I20" s="1"/>
  <c r="J11"/>
  <c r="J20" s="1"/>
  <c r="K11"/>
  <c r="K20" s="1"/>
  <c r="L11"/>
  <c r="L20" s="1"/>
  <c r="M11"/>
  <c r="M20" s="1"/>
  <c r="D9" i="4"/>
  <c r="C6" i="7" s="1"/>
  <c r="C16" i="3"/>
  <c r="B15" i="7" l="1"/>
  <c r="C21" i="9" s="1"/>
  <c r="C24" s="1"/>
  <c r="B14" i="7"/>
  <c r="K18" i="6"/>
  <c r="K40" s="1"/>
  <c r="K42" s="1"/>
  <c r="M23" i="9" s="1"/>
  <c r="N18" i="6"/>
  <c r="N40" s="1"/>
  <c r="C23" i="4"/>
  <c r="D23"/>
  <c r="B19" i="7" l="1"/>
  <c r="B18"/>
  <c r="D9" i="9"/>
  <c r="D18" s="1"/>
  <c r="E9"/>
  <c r="E18" s="1"/>
  <c r="F9"/>
  <c r="F18" s="1"/>
  <c r="G9"/>
  <c r="G18" s="1"/>
  <c r="H9"/>
  <c r="H18" s="1"/>
  <c r="I9"/>
  <c r="I18" s="1"/>
  <c r="J9"/>
  <c r="J18" s="1"/>
  <c r="K9"/>
  <c r="K18" s="1"/>
  <c r="L9"/>
  <c r="L18" s="1"/>
  <c r="M9"/>
  <c r="M18" s="1"/>
  <c r="D12"/>
  <c r="D13" s="1"/>
  <c r="D22"/>
  <c r="C18" i="7"/>
  <c r="E12" i="9" s="1"/>
  <c r="E13" s="1"/>
  <c r="C19" i="7"/>
  <c r="E22" i="9" s="1"/>
  <c r="D18" i="7"/>
  <c r="F12" i="9" s="1"/>
  <c r="F13" s="1"/>
  <c r="D19" i="7"/>
  <c r="F22" i="9" s="1"/>
  <c r="E18" i="7"/>
  <c r="G12" i="9" s="1"/>
  <c r="G13" s="1"/>
  <c r="E19" i="7"/>
  <c r="G22" i="9" s="1"/>
  <c r="F18" i="7"/>
  <c r="H12" i="9" s="1"/>
  <c r="H13" s="1"/>
  <c r="F19" i="7"/>
  <c r="H22" i="9" s="1"/>
  <c r="G18" i="7"/>
  <c r="I12" i="9" s="1"/>
  <c r="I13" s="1"/>
  <c r="G19" i="7"/>
  <c r="I22" i="9" s="1"/>
  <c r="H18" i="7"/>
  <c r="J12" i="9" s="1"/>
  <c r="J13" s="1"/>
  <c r="H19" i="7"/>
  <c r="J22" i="9" s="1"/>
  <c r="I18" i="7"/>
  <c r="K12" i="9" s="1"/>
  <c r="K13" s="1"/>
  <c r="I19" i="7"/>
  <c r="K22" i="9" s="1"/>
  <c r="J18" i="7"/>
  <c r="L12" i="9" s="1"/>
  <c r="L13" s="1"/>
  <c r="J19" i="7"/>
  <c r="L22" i="9" s="1"/>
  <c r="K18" i="7"/>
  <c r="M12" i="9" s="1"/>
  <c r="M13" s="1"/>
  <c r="K19" i="7"/>
  <c r="M22" i="9" s="1"/>
  <c r="C3" i="10"/>
  <c r="M15" i="9" l="1"/>
  <c r="M14"/>
  <c r="M16"/>
  <c r="M24" s="1"/>
  <c r="M3" i="10" s="1"/>
  <c r="L15" i="9"/>
  <c r="L14"/>
  <c r="L16"/>
  <c r="L24" s="1"/>
  <c r="L3" i="10" s="1"/>
  <c r="K15" i="9"/>
  <c r="K14"/>
  <c r="K16"/>
  <c r="K24" s="1"/>
  <c r="K3" i="10" s="1"/>
  <c r="J15" i="9"/>
  <c r="J14"/>
  <c r="J16"/>
  <c r="J24" s="1"/>
  <c r="J3" i="10" s="1"/>
  <c r="I15" i="9"/>
  <c r="I14"/>
  <c r="I16"/>
  <c r="I24" s="1"/>
  <c r="I3" i="10" s="1"/>
  <c r="H15" i="9"/>
  <c r="H14"/>
  <c r="H16"/>
  <c r="H24" s="1"/>
  <c r="H3" i="10" s="1"/>
  <c r="G15" i="9"/>
  <c r="G14"/>
  <c r="G16"/>
  <c r="G24" s="1"/>
  <c r="G3" i="10" s="1"/>
  <c r="F15" i="9"/>
  <c r="F14"/>
  <c r="F16"/>
  <c r="F24" s="1"/>
  <c r="F3" i="10" s="1"/>
  <c r="E15" i="9"/>
  <c r="E14"/>
  <c r="E16"/>
  <c r="E24" s="1"/>
  <c r="E3" i="10" s="1"/>
  <c r="D15" i="9"/>
  <c r="D14"/>
  <c r="D16"/>
  <c r="D24" s="1"/>
  <c r="D3" i="10" s="1"/>
  <c r="D4" s="1"/>
  <c r="E4" l="1"/>
  <c r="F4" s="1"/>
  <c r="G4" s="1"/>
  <c r="H4" s="1"/>
  <c r="I4" s="1"/>
  <c r="J4" s="1"/>
  <c r="K4" s="1"/>
  <c r="L4" s="1"/>
  <c r="G8" s="1"/>
  <c r="D26" i="9"/>
  <c r="D27"/>
  <c r="M4" i="10" l="1"/>
</calcChain>
</file>

<file path=xl/comments1.xml><?xml version="1.0" encoding="utf-8"?>
<comments xmlns="http://schemas.openxmlformats.org/spreadsheetml/2006/main">
  <authors>
    <author>usuario</author>
  </authors>
  <commentList>
    <comment ref="B44" authorId="0">
      <text>
        <r>
          <rPr>
            <sz val="9"/>
            <color indexed="81"/>
            <rFont val="Tahoma"/>
            <family val="2"/>
          </rPr>
          <t xml:space="preserve">Se ubicaran en la parte del bar.
</t>
        </r>
      </text>
    </comment>
  </commentList>
</comments>
</file>

<file path=xl/comments2.xml><?xml version="1.0" encoding="utf-8"?>
<comments xmlns="http://schemas.openxmlformats.org/spreadsheetml/2006/main">
  <authors>
    <author>Anna López</author>
    <author>usuario</author>
  </authors>
  <commentList>
    <comment ref="C5" authorId="0">
      <text>
        <r>
          <rPr>
            <sz val="8"/>
            <color indexed="81"/>
            <rFont val="Tahoma"/>
            <family val="2"/>
          </rPr>
          <t>8 LITROS POR CADA 100 M2 CADA DOS SEMANAS SE DEBE APLICAR A LA PISTA DE HIELO.</t>
        </r>
      </text>
    </comment>
    <comment ref="C6" authorId="1">
      <text>
        <r>
          <rPr>
            <sz val="9"/>
            <color indexed="81"/>
            <rFont val="Tahoma"/>
            <family val="2"/>
          </rPr>
          <t>80 m3 (80,000 litros). Por cada 10m2 se usan 10m3
$0,36 c/m3.
Resultado incluye consumo normal de agua del establecimiento.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Anna López:</t>
        </r>
        <r>
          <rPr>
            <sz val="8"/>
            <color indexed="81"/>
            <rFont val="Tahoma"/>
            <family val="2"/>
          </rPr>
          <t xml:space="preserve">
LUNES A DOMINGO - HORARIO DEFINIDO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Anna López:</t>
        </r>
        <r>
          <rPr>
            <sz val="8"/>
            <color indexed="81"/>
            <rFont val="Tahoma"/>
            <family val="2"/>
          </rPr>
          <t xml:space="preserve">
LUNES A VIERNES - DE 8H00 A 19H59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>Anna López:</t>
        </r>
        <r>
          <rPr>
            <sz val="8"/>
            <color indexed="81"/>
            <rFont val="Tahoma"/>
            <family val="2"/>
          </rPr>
          <t xml:space="preserve">
TERCIO DE PAGINA VERTICAL
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>Anna López:</t>
        </r>
        <r>
          <rPr>
            <sz val="8"/>
            <color indexed="81"/>
            <rFont val="Tahoma"/>
            <family val="2"/>
          </rPr>
          <t xml:space="preserve">
CUARTO DE PAGINA HORIZONTAL.</t>
        </r>
      </text>
    </comment>
    <comment ref="I11" authorId="0">
      <text>
        <r>
          <rPr>
            <b/>
            <sz val="8"/>
            <color indexed="81"/>
            <rFont val="Tahoma"/>
            <family val="2"/>
          </rPr>
          <t>Anna López:</t>
        </r>
        <r>
          <rPr>
            <sz val="8"/>
            <color indexed="81"/>
            <rFont val="Tahoma"/>
            <family val="2"/>
          </rPr>
          <t xml:space="preserve">
4/4 COLORES - LAS 1000 UNIDADES A $120
</t>
        </r>
      </text>
    </comment>
    <comment ref="C24" authorId="1">
      <text>
        <r>
          <rPr>
            <sz val="9"/>
            <color indexed="81"/>
            <rFont val="Tahoma"/>
            <family val="2"/>
          </rPr>
          <t>Papel higiénico (15 rollos, $4,20 c/u, jabón líquido (10 litros $1,20 c/u), desinfectante (10 galones, $3,24 c/u).</t>
        </r>
      </text>
    </comment>
  </commentList>
</comments>
</file>

<file path=xl/comments3.xml><?xml version="1.0" encoding="utf-8"?>
<comments xmlns="http://schemas.openxmlformats.org/spreadsheetml/2006/main">
  <authors>
    <author>Anna López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Anna López:</t>
        </r>
        <r>
          <rPr>
            <sz val="8"/>
            <color indexed="81"/>
            <rFont val="Tahoma"/>
            <family val="2"/>
          </rPr>
          <t xml:space="preserve">
PERMISOS DE CONSTRUCCION Y FUNCIONAMIENTO
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Anna López:</t>
        </r>
        <r>
          <rPr>
            <sz val="8"/>
            <color indexed="81"/>
            <rFont val="Tahoma"/>
            <family val="2"/>
          </rPr>
          <t xml:space="preserve">
TRANSPORTE, TRAMITES ADUANEROS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C25" authorId="0">
      <text>
        <r>
          <rPr>
            <sz val="9"/>
            <color indexed="81"/>
            <rFont val="Tahoma"/>
            <family val="2"/>
          </rPr>
          <t xml:space="preserve">Se ubicaran en la parte del bar.
</t>
        </r>
      </text>
    </comment>
    <comment ref="I35" authorId="0">
      <text>
        <r>
          <rPr>
            <sz val="9"/>
            <color indexed="81"/>
            <rFont val="Tahoma"/>
            <family val="2"/>
          </rPr>
          <t xml:space="preserve">Se ubicaran en la parte del bar.
</t>
        </r>
      </text>
    </comment>
  </commentList>
</comments>
</file>

<file path=xl/sharedStrings.xml><?xml version="1.0" encoding="utf-8"?>
<sst xmlns="http://schemas.openxmlformats.org/spreadsheetml/2006/main" count="405" uniqueCount="252">
  <si>
    <t>BALANCE DE PERSONAL</t>
  </si>
  <si>
    <t>EMPLEADOS</t>
  </si>
  <si>
    <t>CANTIDAD</t>
  </si>
  <si>
    <t>SUELDOS Y SALARIOS</t>
  </si>
  <si>
    <t>ANUAL</t>
  </si>
  <si>
    <t>GERENTE ADMINISTRATIVO</t>
  </si>
  <si>
    <t>TECNICO PARA MAQUINARIA</t>
  </si>
  <si>
    <t>AYUDANTE PARA PISTA</t>
  </si>
  <si>
    <t>CAJA</t>
  </si>
  <si>
    <t>GUARDIAS</t>
  </si>
  <si>
    <t>TOTAL</t>
  </si>
  <si>
    <t>JEFE DE MARKETING Y VENTAS</t>
  </si>
  <si>
    <t>CONTADOR</t>
  </si>
  <si>
    <t>EMPLEADOS MANTENIMIENTO</t>
  </si>
  <si>
    <t>JEFE DE LOGISTICA</t>
  </si>
  <si>
    <t>EMPLEADO M/E PATINES</t>
  </si>
  <si>
    <t>M/E=</t>
  </si>
  <si>
    <t>MANTENIMIENTO ENTREGA</t>
  </si>
  <si>
    <t>INSTRUCTOR</t>
  </si>
  <si>
    <t>MENSUAL</t>
  </si>
  <si>
    <t>EQUIPOS</t>
  </si>
  <si>
    <t>CABINA DE PATINES</t>
  </si>
  <si>
    <t>PATINES</t>
  </si>
  <si>
    <t>MAQUINA AFILAR PATINES</t>
  </si>
  <si>
    <t>LIQUIDO DESLIZANTE</t>
  </si>
  <si>
    <t>MANTA FRIGORIFICA</t>
  </si>
  <si>
    <t>BUFFERTANK</t>
  </si>
  <si>
    <t>VALLAS</t>
  </si>
  <si>
    <t>TRANSFORMADOR</t>
  </si>
  <si>
    <t>BANCOS</t>
  </si>
  <si>
    <t>MAQUINA ENFRIADORA</t>
  </si>
  <si>
    <t>TELEVISORES</t>
  </si>
  <si>
    <t>MESAS DE BILLAR</t>
  </si>
  <si>
    <t>IMPRESORA</t>
  </si>
  <si>
    <t>COMPUTADORA</t>
  </si>
  <si>
    <t>ESCRITORIO</t>
  </si>
  <si>
    <t>ARCHIVADORES</t>
  </si>
  <si>
    <t>TELEFONO</t>
  </si>
  <si>
    <t>CU</t>
  </si>
  <si>
    <t>CT</t>
  </si>
  <si>
    <t>ZAMBONI</t>
  </si>
  <si>
    <t>BALANCE OBRAS FISICAS</t>
  </si>
  <si>
    <t xml:space="preserve">UNIDAD </t>
  </si>
  <si>
    <t>TERRENO</t>
  </si>
  <si>
    <t>M2</t>
  </si>
  <si>
    <t>EDIFICIO</t>
  </si>
  <si>
    <t>ESTACIONAMIENTO</t>
  </si>
  <si>
    <t>INSTALACION PISTA DE HIELO</t>
  </si>
  <si>
    <t>COSTOS FIJOS</t>
  </si>
  <si>
    <t xml:space="preserve">LUZ </t>
  </si>
  <si>
    <t>PUBLICIDAD</t>
  </si>
  <si>
    <t>ALFA SUPER STEREO</t>
  </si>
  <si>
    <t>PUNTO ROJO</t>
  </si>
  <si>
    <t>DIARIO EL UNIVERSO- MI MUNDO</t>
  </si>
  <si>
    <t>FLYERS</t>
  </si>
  <si>
    <t>COSTOS VARIABLES</t>
  </si>
  <si>
    <t>DESCRIPCION</t>
  </si>
  <si>
    <t>UNIDADES</t>
  </si>
  <si>
    <t>PRECIO</t>
  </si>
  <si>
    <t>TOTAL MENSUAL</t>
  </si>
  <si>
    <t>TOTAL COSTOS FIJOS MENSUAL</t>
  </si>
  <si>
    <t>SISTEMA DE LUCES</t>
  </si>
  <si>
    <t>INVERSION INICIAL</t>
  </si>
  <si>
    <t>OBRAS FISICAS</t>
  </si>
  <si>
    <t>IMPORTACION DE EQUIPOS</t>
  </si>
  <si>
    <t>INGRESOS MENSUALES</t>
  </si>
  <si>
    <t>INGRESOS</t>
  </si>
  <si>
    <t>CONSUMO DE BAR</t>
  </si>
  <si>
    <t>CLASES DE PATINAJE</t>
  </si>
  <si>
    <t>COCINERO</t>
  </si>
  <si>
    <t>BAR TENDER</t>
  </si>
  <si>
    <t>PERSONAL DE LIMPIEZA</t>
  </si>
  <si>
    <t>MESEROS</t>
  </si>
  <si>
    <t>DJ</t>
  </si>
  <si>
    <t>COSTO CONSUMO PERSONA/DÍA (PROMEDIO)</t>
  </si>
  <si>
    <t>SUMINISTROS Y MATERIALES DE LIMPIEZA</t>
  </si>
  <si>
    <t>MATERIALES DE HIGIENE (BAÑOS)</t>
  </si>
  <si>
    <t>COCINA</t>
  </si>
  <si>
    <t>SILLAS DE OFICINA</t>
  </si>
  <si>
    <t>APOYADORES</t>
  </si>
  <si>
    <t>ASIENTOS Y SILLAS/ESTABLECIMIENTO</t>
  </si>
  <si>
    <t>ROUTER</t>
  </si>
  <si>
    <t>INTERNET</t>
  </si>
  <si>
    <t>UNIFORMES</t>
  </si>
  <si>
    <t xml:space="preserve">COSTOS DE MANTENIMIENTO </t>
  </si>
  <si>
    <t>EXPRESO PARA EMPLEADOS (NOCTURNO)</t>
  </si>
  <si>
    <t>MESAS PARA EL BAR</t>
  </si>
  <si>
    <t>CONCEPTO</t>
  </si>
  <si>
    <t>TOTAL COSTOS VARIABLES</t>
  </si>
  <si>
    <t>TOTAL DE EQUIPOS</t>
  </si>
  <si>
    <t>SECADOR DE MANO</t>
  </si>
  <si>
    <t>ACTIVO</t>
  </si>
  <si>
    <t xml:space="preserve">VALOR TOTAL </t>
  </si>
  <si>
    <t>VIDA UTIL</t>
  </si>
  <si>
    <t>% DE DEPREC.</t>
  </si>
  <si>
    <t>DEPREC. ANUAL</t>
  </si>
  <si>
    <t xml:space="preserve">TOTAL </t>
  </si>
  <si>
    <t>*Permisos de construccion y funcionamiento</t>
  </si>
  <si>
    <t>TRAMITES LEGALES*</t>
  </si>
  <si>
    <t>PVP</t>
  </si>
  <si>
    <t>VENTA DE ENTRADAS*</t>
  </si>
  <si>
    <t>Supuetos:</t>
  </si>
  <si>
    <t>* se estima la venta de entradas de acuerdo al numero de personas que visitarian la pista de hielo durante el ano 2009</t>
  </si>
  <si>
    <t>** Se asume que 2 personas consumen $5 en alimentos del bar</t>
  </si>
  <si>
    <t>AGUA*</t>
  </si>
  <si>
    <t>** costo 14.50/m2, tamano de publicidad standar 1.17m*1.80m</t>
  </si>
  <si>
    <t>800 m2(8000lt). Por cada 10m3 se usan 10m3=$0.36c/m3. resultado incluye consumo normal de agua del establecimiento</t>
  </si>
  <si>
    <t>IMPRESION DE VINIL POR M2**</t>
  </si>
  <si>
    <t>COLOCACION DE VINIL</t>
  </si>
  <si>
    <t>DETALLE DEL PRESTAMO</t>
  </si>
  <si>
    <t>INTERES</t>
  </si>
  <si>
    <t>CAPITAL</t>
  </si>
  <si>
    <t>DESTINO</t>
  </si>
  <si>
    <t>ACT. FIJOS</t>
  </si>
  <si>
    <t>PLAZO</t>
  </si>
  <si>
    <t>Re= (Rf +B (Rm-Rf))+ RIESGO PAIS</t>
  </si>
  <si>
    <t>Rd</t>
  </si>
  <si>
    <t>RF</t>
  </si>
  <si>
    <t>RM</t>
  </si>
  <si>
    <t>BETA</t>
  </si>
  <si>
    <t>RIESGO PAIS</t>
  </si>
  <si>
    <t>AÑOS</t>
  </si>
  <si>
    <t>(-) COSTOS VARIABLES</t>
  </si>
  <si>
    <t>(-) COSTOS FIJOS</t>
  </si>
  <si>
    <t>UT. ANTES DE IMPUESTOS</t>
  </si>
  <si>
    <t>15% APORT.</t>
  </si>
  <si>
    <t>(-) IMPUESTOS 25%</t>
  </si>
  <si>
    <t>UT. NETA</t>
  </si>
  <si>
    <t>(-) AMORTIZACION</t>
  </si>
  <si>
    <t>VALOR DE DESECHO</t>
  </si>
  <si>
    <t>FLUJO DE EFECTIVO</t>
  </si>
  <si>
    <t>VAN</t>
  </si>
  <si>
    <t>*** Se asume que el 0.05% del estimado en el ano 2009 cogera clases de patinaje</t>
  </si>
  <si>
    <t>cantidad</t>
  </si>
  <si>
    <t>ingreso entradas</t>
  </si>
  <si>
    <t>ingreso bar</t>
  </si>
  <si>
    <t>ingreso patinaje</t>
  </si>
  <si>
    <t>INGRESO TOTAL</t>
  </si>
  <si>
    <t>COSTO IN</t>
  </si>
  <si>
    <t>VS</t>
  </si>
  <si>
    <t>DEP</t>
  </si>
  <si>
    <t>40% DEUDA</t>
  </si>
  <si>
    <t>60% PATRIMONIO</t>
  </si>
  <si>
    <t>(-) INTERESES</t>
  </si>
  <si>
    <t>capital de trabajo</t>
  </si>
  <si>
    <t>ccpp</t>
  </si>
  <si>
    <t>10 AÑOS</t>
  </si>
  <si>
    <t>DEPRECIACION 20 AÑOS</t>
  </si>
  <si>
    <t>DEPRECIACION 5 AÑOS</t>
  </si>
  <si>
    <t>COSTO ACTIVO</t>
  </si>
  <si>
    <t>(-) DEPRECIACION 20 AÑOS</t>
  </si>
  <si>
    <t>(+) DEPRECIACION 20 AÑOS</t>
  </si>
  <si>
    <t>(-) DEPRECIACION 10 AÑOS</t>
  </si>
  <si>
    <t>(-) DEPRECIACION 5 AÑOS</t>
  </si>
  <si>
    <t>(-) DEPRECIACION 3 AÑOS</t>
  </si>
  <si>
    <t>DEPRECIACION 3 AÑOS</t>
  </si>
  <si>
    <t>DEPRECIACION 10 AÑOS</t>
  </si>
  <si>
    <t>(+) DEPRECIACION 10 AÑOS</t>
  </si>
  <si>
    <t>(+) DEPRECIACION 5 AÑOS</t>
  </si>
  <si>
    <t>(+) DEPRECIACION 3 AÑOS</t>
  </si>
  <si>
    <t>LA REVISTA</t>
  </si>
  <si>
    <t>VIDA Y ESTILO CUARTO DE PAGINA</t>
  </si>
  <si>
    <t>VP FLUJO</t>
  </si>
  <si>
    <t>PAYBACK</t>
  </si>
  <si>
    <t>ACUMULADO</t>
  </si>
  <si>
    <t>5 AÑOS 7 MESES</t>
  </si>
  <si>
    <t>ANO</t>
  </si>
  <si>
    <t>COSTO CONSUMO PERSONA/DÍA (PROM.)</t>
  </si>
  <si>
    <t>SALDO MENSUAL</t>
  </si>
  <si>
    <t>SALDO ACUMULADO</t>
  </si>
  <si>
    <t>Enero</t>
  </si>
  <si>
    <t>Febrero</t>
  </si>
  <si>
    <t xml:space="preserve">Marzo </t>
  </si>
  <si>
    <t>Abril</t>
  </si>
  <si>
    <t>Mayo</t>
  </si>
  <si>
    <t>Junio</t>
  </si>
  <si>
    <t>Julio</t>
  </si>
  <si>
    <t>Ano</t>
  </si>
  <si>
    <t>Demanda Estimada</t>
  </si>
  <si>
    <t>re=</t>
  </si>
  <si>
    <t>(-) INVERSION PATRIMONIO</t>
  </si>
  <si>
    <t xml:space="preserve"> TIR</t>
  </si>
  <si>
    <t>PERIODO</t>
  </si>
  <si>
    <t>Crystal Ball Report</t>
  </si>
  <si>
    <t>Simulation started on 9/15/09 at 19:58:14</t>
  </si>
  <si>
    <t>Simulation stopped on 9/15/09 at 19:58:17</t>
  </si>
  <si>
    <t>Forecast:  D26</t>
  </si>
  <si>
    <t>Cell:  D26</t>
  </si>
  <si>
    <t>Summary:</t>
  </si>
  <si>
    <t>Certainty Level is 99.47%</t>
  </si>
  <si>
    <t>Certainty Range is from $5,227.61 to +Infinity  dolares</t>
  </si>
  <si>
    <t>Display Range is from ($103,859.92) to $2,077,890.62 dolares</t>
  </si>
  <si>
    <t>Entire Range is from ($206,284.50) to $2,507,604.78 dolares</t>
  </si>
  <si>
    <t>After 3,000 Trials, the Std. Error of the Mean is $7,530.67</t>
  </si>
  <si>
    <t>Statistics:</t>
  </si>
  <si>
    <t>Value</t>
  </si>
  <si>
    <t>Trials</t>
  </si>
  <si>
    <t>Mean</t>
  </si>
  <si>
    <t>Median</t>
  </si>
  <si>
    <t>Mode</t>
  </si>
  <si>
    <t>---</t>
  </si>
  <si>
    <t>Standard Deviation</t>
  </si>
  <si>
    <t>Variance</t>
  </si>
  <si>
    <t>Skewness</t>
  </si>
  <si>
    <t>Kurtosis</t>
  </si>
  <si>
    <t>Coeff. of Variability</t>
  </si>
  <si>
    <t>Range Minimum</t>
  </si>
  <si>
    <t>Range Maximum</t>
  </si>
  <si>
    <t>Range Width</t>
  </si>
  <si>
    <t>Mean Std. Error</t>
  </si>
  <si>
    <t>Forecast:  D26  (cont'd)</t>
  </si>
  <si>
    <t>Percentiles:</t>
  </si>
  <si>
    <t>Percentile</t>
  </si>
  <si>
    <t>dolares</t>
  </si>
  <si>
    <t>End of Forecast</t>
  </si>
  <si>
    <t>Assumptions</t>
  </si>
  <si>
    <t>Assumption:  D27</t>
  </si>
  <si>
    <t>[correccion.xlsx]BALANCE - Cell:  D27</t>
  </si>
  <si>
    <t xml:space="preserve"> Triangular distribution with parameters:</t>
  </si>
  <si>
    <t>Minimum</t>
  </si>
  <si>
    <t>Likeliest</t>
  </si>
  <si>
    <t>Maximum</t>
  </si>
  <si>
    <t>Selected range is from 22,500.00 to 27,500.00</t>
  </si>
  <si>
    <t>Assumption:  D30</t>
  </si>
  <si>
    <t>[correccion.xlsx]BALANCE - Cell:  D30</t>
  </si>
  <si>
    <t>Selected range is from 42,300.00 to 51,700.00</t>
  </si>
  <si>
    <t>Assumption:  D36</t>
  </si>
  <si>
    <t>[correccion.xlsx]BALANCE - Cell:  D36</t>
  </si>
  <si>
    <t>Selected range is from 23,400.00 to 28,600.00</t>
  </si>
  <si>
    <t>Assumption:  CU</t>
  </si>
  <si>
    <t>[correccion.xlsx]BALANCE - Cell:  E54</t>
  </si>
  <si>
    <t xml:space="preserve"> Normal distribution with parameters:</t>
  </si>
  <si>
    <t>Standard Dev.</t>
  </si>
  <si>
    <t>Selected range is from -Infinity to +Infinity</t>
  </si>
  <si>
    <t>Assumption:  E55</t>
  </si>
  <si>
    <t>[correccion.xlsx]BALANCE - Cell:  E55</t>
  </si>
  <si>
    <t>Assumption:  E56</t>
  </si>
  <si>
    <t>[correccion.xlsx]BALANCE - Cell:  E56</t>
  </si>
  <si>
    <t>Assumption:  L8</t>
  </si>
  <si>
    <t>[correccion.xlsx]CF-CV - Cell:  L8</t>
  </si>
  <si>
    <t>Assumption:  PVP</t>
  </si>
  <si>
    <t>[correccion.xlsx]Ingresos Del Proyecto - Cell:  G5</t>
  </si>
  <si>
    <t>Selected range is from $7.20 to $8.80</t>
  </si>
  <si>
    <t>Assumption:  G6</t>
  </si>
  <si>
    <t>[correccion.xlsx]Ingresos Del Proyecto - Cell:  G6</t>
  </si>
  <si>
    <t>Selected range is from $4.50 to $5.50</t>
  </si>
  <si>
    <t>Assumption:  G7</t>
  </si>
  <si>
    <t>[correccion.xlsx]Ingresos Del Proyecto - Cell:  G7</t>
  </si>
  <si>
    <t>Selected range is from $9.00 to $11.00</t>
  </si>
  <si>
    <t>Assumption:  Demanda Estimada</t>
  </si>
  <si>
    <t>[correccion.xlsx]Ingresos Del Proyecto - Cell:  B23</t>
  </si>
  <si>
    <t>End of Assumptions</t>
  </si>
</sst>
</file>

<file path=xl/styles.xml><?xml version="1.0" encoding="utf-8"?>
<styleSheet xmlns="http://schemas.openxmlformats.org/spreadsheetml/2006/main">
  <numFmts count="10"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-300A]\ #,##0.00"/>
    <numFmt numFmtId="169" formatCode="_(&quot;$&quot;* #,##0_);_(&quot;$&quot;* \(#,##0\);_(&quot;$&quot;* &quot;-&quot;??_);_(@_)"/>
    <numFmt numFmtId="170" formatCode="0.000%"/>
    <numFmt numFmtId="171" formatCode="0.0000"/>
    <numFmt numFmtId="172" formatCode="0.0"/>
    <numFmt numFmtId="173" formatCode="0.0%"/>
    <numFmt numFmtId="174" formatCode="&quot;$&quot;#,##0.00_);\(&quot;$&quot;#,##0.00\)"/>
  </numFmts>
  <fonts count="2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</font>
    <font>
      <b/>
      <sz val="10"/>
      <name val="MS Sans Serif"/>
      <family val="2"/>
    </font>
    <font>
      <u/>
      <sz val="10"/>
      <name val="MS Sans Serif"/>
      <family val="2"/>
    </font>
    <font>
      <b/>
      <u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9"/>
      </patternFill>
    </fill>
    <fill>
      <patternFill patternType="solid">
        <fgColor indexed="15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7" fontId="16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</cellStyleXfs>
  <cellXfs count="170">
    <xf numFmtId="0" fontId="0" fillId="0" borderId="0" xfId="0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justify"/>
    </xf>
    <xf numFmtId="0" fontId="3" fillId="0" borderId="1" xfId="0" applyFont="1" applyBorder="1" applyAlignment="1">
      <alignment horizontal="center"/>
    </xf>
    <xf numFmtId="168" fontId="0" fillId="0" borderId="1" xfId="0" applyNumberFormat="1" applyBorder="1"/>
    <xf numFmtId="0" fontId="6" fillId="0" borderId="0" xfId="0" applyFont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2" fontId="0" fillId="0" borderId="1" xfId="0" applyNumberFormat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0" fillId="0" borderId="0" xfId="0" applyBorder="1"/>
    <xf numFmtId="168" fontId="0" fillId="0" borderId="0" xfId="0" applyNumberFormat="1" applyBorder="1"/>
    <xf numFmtId="168" fontId="0" fillId="0" borderId="0" xfId="0" applyNumberFormat="1" applyFill="1"/>
    <xf numFmtId="0" fontId="0" fillId="2" borderId="0" xfId="0" applyFill="1" applyBorder="1"/>
    <xf numFmtId="0" fontId="0" fillId="0" borderId="0" xfId="0" applyFill="1"/>
    <xf numFmtId="1" fontId="0" fillId="0" borderId="0" xfId="0" applyNumberFormat="1" applyFill="1"/>
    <xf numFmtId="168" fontId="0" fillId="0" borderId="2" xfId="0" applyNumberFormat="1" applyFill="1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168" fontId="3" fillId="0" borderId="2" xfId="0" applyNumberFormat="1" applyFont="1" applyFill="1" applyBorder="1"/>
    <xf numFmtId="168" fontId="3" fillId="2" borderId="1" xfId="0" applyNumberFormat="1" applyFont="1" applyFill="1" applyBorder="1" applyAlignment="1">
      <alignment horizontal="right"/>
    </xf>
    <xf numFmtId="9" fontId="0" fillId="0" borderId="1" xfId="0" applyNumberFormat="1" applyBorder="1"/>
    <xf numFmtId="10" fontId="0" fillId="0" borderId="1" xfId="0" applyNumberFormat="1" applyBorder="1"/>
    <xf numFmtId="0" fontId="0" fillId="0" borderId="0" xfId="0" applyFill="1" applyBorder="1"/>
    <xf numFmtId="166" fontId="3" fillId="0" borderId="1" xfId="2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166" fontId="0" fillId="0" borderId="0" xfId="2" applyFont="1"/>
    <xf numFmtId="166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/>
    <xf numFmtId="0" fontId="3" fillId="2" borderId="2" xfId="0" applyFont="1" applyFill="1" applyBorder="1" applyAlignment="1">
      <alignment horizontal="center"/>
    </xf>
    <xf numFmtId="0" fontId="0" fillId="2" borderId="2" xfId="0" applyFont="1" applyFill="1" applyBorder="1"/>
    <xf numFmtId="168" fontId="0" fillId="2" borderId="2" xfId="0" applyNumberFormat="1" applyFill="1" applyBorder="1"/>
    <xf numFmtId="0" fontId="0" fillId="2" borderId="2" xfId="0" applyFill="1" applyBorder="1"/>
    <xf numFmtId="168" fontId="3" fillId="2" borderId="2" xfId="0" applyNumberFormat="1" applyFont="1" applyFill="1" applyBorder="1"/>
    <xf numFmtId="0" fontId="0" fillId="2" borderId="0" xfId="0" applyFill="1"/>
    <xf numFmtId="168" fontId="0" fillId="2" borderId="0" xfId="0" applyNumberForma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10" fontId="0" fillId="0" borderId="0" xfId="0" applyNumberFormat="1"/>
    <xf numFmtId="2" fontId="0" fillId="0" borderId="0" xfId="0" applyNumberFormat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/>
    <xf numFmtId="172" fontId="0" fillId="0" borderId="0" xfId="0" applyNumberFormat="1"/>
    <xf numFmtId="0" fontId="5" fillId="0" borderId="0" xfId="0" applyFont="1"/>
    <xf numFmtId="0" fontId="5" fillId="2" borderId="0" xfId="0" applyFont="1" applyFill="1"/>
    <xf numFmtId="0" fontId="14" fillId="2" borderId="0" xfId="0" applyFont="1" applyFill="1" applyAlignment="1"/>
    <xf numFmtId="10" fontId="5" fillId="2" borderId="0" xfId="0" applyNumberFormat="1" applyFont="1" applyFill="1" applyAlignment="1">
      <alignment horizontal="left"/>
    </xf>
    <xf numFmtId="10" fontId="5" fillId="2" borderId="0" xfId="0" applyNumberFormat="1" applyFont="1" applyFill="1"/>
    <xf numFmtId="0" fontId="5" fillId="2" borderId="1" xfId="0" applyFont="1" applyFill="1" applyBorder="1"/>
    <xf numFmtId="10" fontId="5" fillId="2" borderId="1" xfId="0" applyNumberFormat="1" applyFont="1" applyFill="1" applyBorder="1"/>
    <xf numFmtId="0" fontId="14" fillId="2" borderId="0" xfId="0" applyFont="1" applyFill="1"/>
    <xf numFmtId="2" fontId="5" fillId="2" borderId="0" xfId="0" applyNumberFormat="1" applyFont="1" applyFill="1"/>
    <xf numFmtId="2" fontId="5" fillId="2" borderId="1" xfId="0" applyNumberFormat="1" applyFont="1" applyFill="1" applyBorder="1"/>
    <xf numFmtId="170" fontId="5" fillId="2" borderId="1" xfId="0" applyNumberFormat="1" applyFont="1" applyFill="1" applyBorder="1"/>
    <xf numFmtId="171" fontId="5" fillId="2" borderId="1" xfId="0" applyNumberFormat="1" applyFont="1" applyFill="1" applyBorder="1"/>
    <xf numFmtId="0" fontId="0" fillId="2" borderId="3" xfId="0" applyFill="1" applyBorder="1"/>
    <xf numFmtId="0" fontId="0" fillId="0" borderId="1" xfId="0" applyBorder="1" applyAlignment="1">
      <alignment horizontal="center" vertical="center"/>
    </xf>
    <xf numFmtId="166" fontId="0" fillId="0" borderId="1" xfId="2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" fontId="10" fillId="0" borderId="0" xfId="0" applyNumberFormat="1" applyFont="1" applyFill="1"/>
    <xf numFmtId="167" fontId="0" fillId="0" borderId="0" xfId="1" applyFont="1"/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0" fontId="11" fillId="0" borderId="0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9" fontId="9" fillId="0" borderId="1" xfId="0" applyNumberFormat="1" applyFont="1" applyBorder="1" applyAlignment="1">
      <alignment horizontal="right"/>
    </xf>
    <xf numFmtId="0" fontId="17" fillId="0" borderId="1" xfId="0" applyFont="1" applyBorder="1"/>
    <xf numFmtId="0" fontId="0" fillId="0" borderId="4" xfId="0" applyFill="1" applyBorder="1"/>
    <xf numFmtId="168" fontId="0" fillId="0" borderId="4" xfId="0" applyNumberFormat="1" applyFill="1" applyBorder="1"/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7" fontId="0" fillId="3" borderId="1" xfId="0" applyNumberFormat="1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7" fontId="0" fillId="2" borderId="1" xfId="0" applyNumberFormat="1" applyFill="1" applyBorder="1"/>
    <xf numFmtId="169" fontId="0" fillId="2" borderId="1" xfId="2" applyNumberFormat="1" applyFont="1" applyFill="1" applyBorder="1"/>
    <xf numFmtId="0" fontId="0" fillId="2" borderId="1" xfId="0" applyFill="1" applyBorder="1" applyAlignment="1">
      <alignment horizontal="right"/>
    </xf>
    <xf numFmtId="9" fontId="0" fillId="2" borderId="1" xfId="0" applyNumberFormat="1" applyFill="1" applyBorder="1"/>
    <xf numFmtId="173" fontId="0" fillId="2" borderId="1" xfId="3" applyNumberFormat="1" applyFont="1" applyFill="1" applyBorder="1"/>
    <xf numFmtId="167" fontId="0" fillId="2" borderId="1" xfId="1" applyFont="1" applyFill="1" applyBorder="1"/>
    <xf numFmtId="167" fontId="0" fillId="0" borderId="1" xfId="1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9" fontId="9" fillId="2" borderId="1" xfId="2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9" fontId="9" fillId="2" borderId="1" xfId="0" applyNumberFormat="1" applyFont="1" applyFill="1" applyBorder="1" applyAlignment="1">
      <alignment horizontal="right"/>
    </xf>
    <xf numFmtId="1" fontId="0" fillId="2" borderId="1" xfId="0" applyNumberFormat="1" applyFill="1" applyBorder="1"/>
    <xf numFmtId="10" fontId="0" fillId="2" borderId="1" xfId="0" applyNumberFormat="1" applyFill="1" applyBorder="1"/>
    <xf numFmtId="166" fontId="0" fillId="2" borderId="1" xfId="2" applyFont="1" applyFill="1" applyBorder="1"/>
    <xf numFmtId="166" fontId="0" fillId="2" borderId="1" xfId="2" applyNumberFormat="1" applyFont="1" applyFill="1" applyBorder="1"/>
    <xf numFmtId="166" fontId="17" fillId="2" borderId="1" xfId="2" applyFont="1" applyFill="1" applyBorder="1"/>
    <xf numFmtId="0" fontId="5" fillId="2" borderId="0" xfId="0" applyFont="1" applyFill="1" applyAlignment="1">
      <alignment horizontal="right"/>
    </xf>
    <xf numFmtId="10" fontId="5" fillId="2" borderId="0" xfId="3" applyNumberFormat="1" applyFont="1" applyFill="1" applyAlignment="1">
      <alignment horizontal="left"/>
    </xf>
    <xf numFmtId="0" fontId="12" fillId="2" borderId="1" xfId="0" applyFont="1" applyFill="1" applyBorder="1"/>
    <xf numFmtId="10" fontId="12" fillId="2" borderId="1" xfId="3" applyNumberFormat="1" applyFont="1" applyFill="1" applyBorder="1"/>
    <xf numFmtId="166" fontId="0" fillId="0" borderId="1" xfId="0" applyNumberFormat="1" applyBorder="1"/>
    <xf numFmtId="165" fontId="0" fillId="0" borderId="1" xfId="0" applyNumberFormat="1" applyBorder="1"/>
    <xf numFmtId="165" fontId="0" fillId="2" borderId="1" xfId="2" applyNumberFormat="1" applyFont="1" applyFill="1" applyBorder="1"/>
    <xf numFmtId="166" fontId="0" fillId="2" borderId="0" xfId="2" applyFont="1" applyFill="1"/>
    <xf numFmtId="10" fontId="17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 vertical="center"/>
    </xf>
    <xf numFmtId="172" fontId="0" fillId="2" borderId="7" xfId="0" applyNumberFormat="1" applyFill="1" applyBorder="1"/>
    <xf numFmtId="0" fontId="0" fillId="2" borderId="7" xfId="0" applyFill="1" applyBorder="1"/>
    <xf numFmtId="0" fontId="0" fillId="2" borderId="6" xfId="0" applyFill="1" applyBorder="1"/>
    <xf numFmtId="0" fontId="0" fillId="4" borderId="1" xfId="0" applyFill="1" applyBorder="1"/>
    <xf numFmtId="168" fontId="0" fillId="4" borderId="0" xfId="0" applyNumberFormat="1" applyFill="1"/>
    <xf numFmtId="166" fontId="0" fillId="4" borderId="0" xfId="2" applyFont="1" applyFill="1"/>
    <xf numFmtId="167" fontId="10" fillId="4" borderId="1" xfId="1" applyFont="1" applyFill="1" applyBorder="1"/>
    <xf numFmtId="166" fontId="17" fillId="5" borderId="1" xfId="2" applyFont="1" applyFill="1" applyBorder="1"/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6" fontId="17" fillId="2" borderId="1" xfId="2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 wrapText="1"/>
    </xf>
    <xf numFmtId="173" fontId="0" fillId="0" borderId="0" xfId="3" applyNumberFormat="1" applyFont="1" applyBorder="1"/>
    <xf numFmtId="174" fontId="18" fillId="0" borderId="0" xfId="4" applyNumberFormat="1"/>
    <xf numFmtId="0" fontId="18" fillId="0" borderId="0" xfId="4"/>
    <xf numFmtId="0" fontId="19" fillId="0" borderId="0" xfId="4" applyFont="1" applyAlignment="1">
      <alignment horizontal="center"/>
    </xf>
    <xf numFmtId="0" fontId="18" fillId="0" borderId="0" xfId="4" applyAlignment="1">
      <alignment horizontal="center"/>
    </xf>
    <xf numFmtId="0" fontId="19" fillId="0" borderId="0" xfId="4" applyFont="1" applyAlignment="1">
      <alignment horizontal="left"/>
    </xf>
    <xf numFmtId="0" fontId="19" fillId="0" borderId="0" xfId="4" applyFont="1" applyAlignment="1">
      <alignment horizontal="right"/>
    </xf>
    <xf numFmtId="0" fontId="18" fillId="0" borderId="0" xfId="4" applyAlignment="1">
      <alignment horizontal="left"/>
    </xf>
    <xf numFmtId="0" fontId="20" fillId="0" borderId="0" xfId="4" applyFont="1" applyAlignment="1">
      <alignment horizontal="right"/>
    </xf>
    <xf numFmtId="0" fontId="18" fillId="0" borderId="0" xfId="4" applyAlignment="1">
      <alignment horizontal="right"/>
    </xf>
    <xf numFmtId="11" fontId="18" fillId="0" borderId="0" xfId="4" applyNumberFormat="1"/>
    <xf numFmtId="4" fontId="18" fillId="0" borderId="0" xfId="4" applyNumberFormat="1"/>
    <xf numFmtId="9" fontId="18" fillId="0" borderId="0" xfId="4" applyNumberFormat="1"/>
    <xf numFmtId="0" fontId="21" fillId="0" borderId="0" xfId="4" applyFont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85725</xdr:rowOff>
    </xdr:from>
    <xdr:to>
      <xdr:col>7</xdr:col>
      <xdr:colOff>638175</xdr:colOff>
      <xdr:row>7</xdr:row>
      <xdr:rowOff>87313</xdr:rowOff>
    </xdr:to>
    <xdr:cxnSp macro="">
      <xdr:nvCxnSpPr>
        <xdr:cNvPr id="5" name="4 Conector recto de flecha"/>
        <xdr:cNvCxnSpPr/>
      </xdr:nvCxnSpPr>
      <xdr:spPr>
        <a:xfrm>
          <a:off x="6515100" y="1419225"/>
          <a:ext cx="5619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9</xdr:row>
      <xdr:rowOff>0</xdr:rowOff>
    </xdr:from>
    <xdr:to>
      <xdr:col>9</xdr:col>
      <xdr:colOff>114300</xdr:colOff>
      <xdr:row>24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1457325"/>
          <a:ext cx="4438650" cy="2447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31</xdr:row>
      <xdr:rowOff>0</xdr:rowOff>
    </xdr:from>
    <xdr:to>
      <xdr:col>10</xdr:col>
      <xdr:colOff>47625</xdr:colOff>
      <xdr:row>48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5019675"/>
          <a:ext cx="5114925" cy="2752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55</xdr:row>
      <xdr:rowOff>0</xdr:rowOff>
    </xdr:from>
    <xdr:to>
      <xdr:col>10</xdr:col>
      <xdr:colOff>47625</xdr:colOff>
      <xdr:row>73</xdr:row>
      <xdr:rowOff>152400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8905875"/>
          <a:ext cx="5114925" cy="3067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9</xdr:col>
      <xdr:colOff>180975</xdr:colOff>
      <xdr:row>115</xdr:row>
      <xdr:rowOff>57150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4350" y="16354425"/>
          <a:ext cx="4562475" cy="2324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141</xdr:row>
      <xdr:rowOff>0</xdr:rowOff>
    </xdr:from>
    <xdr:to>
      <xdr:col>10</xdr:col>
      <xdr:colOff>9525</xdr:colOff>
      <xdr:row>147</xdr:row>
      <xdr:rowOff>28575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8000" y="22831425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152</xdr:row>
      <xdr:rowOff>0</xdr:rowOff>
    </xdr:from>
    <xdr:to>
      <xdr:col>10</xdr:col>
      <xdr:colOff>9525</xdr:colOff>
      <xdr:row>158</xdr:row>
      <xdr:rowOff>28575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612600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163</xdr:row>
      <xdr:rowOff>0</xdr:rowOff>
    </xdr:from>
    <xdr:to>
      <xdr:col>10</xdr:col>
      <xdr:colOff>9525</xdr:colOff>
      <xdr:row>169</xdr:row>
      <xdr:rowOff>28575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048000" y="26393775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174</xdr:row>
      <xdr:rowOff>0</xdr:rowOff>
    </xdr:from>
    <xdr:to>
      <xdr:col>10</xdr:col>
      <xdr:colOff>9525</xdr:colOff>
      <xdr:row>180</xdr:row>
      <xdr:rowOff>28575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048000" y="28174950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183</xdr:row>
      <xdr:rowOff>0</xdr:rowOff>
    </xdr:from>
    <xdr:to>
      <xdr:col>10</xdr:col>
      <xdr:colOff>9525</xdr:colOff>
      <xdr:row>189</xdr:row>
      <xdr:rowOff>28575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048000" y="29632275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193</xdr:row>
      <xdr:rowOff>0</xdr:rowOff>
    </xdr:from>
    <xdr:to>
      <xdr:col>10</xdr:col>
      <xdr:colOff>9525</xdr:colOff>
      <xdr:row>199</xdr:row>
      <xdr:rowOff>28575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31251525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203</xdr:row>
      <xdr:rowOff>0</xdr:rowOff>
    </xdr:from>
    <xdr:to>
      <xdr:col>10</xdr:col>
      <xdr:colOff>9525</xdr:colOff>
      <xdr:row>209</xdr:row>
      <xdr:rowOff>28575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048000" y="32870775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213</xdr:row>
      <xdr:rowOff>0</xdr:rowOff>
    </xdr:from>
    <xdr:to>
      <xdr:col>10</xdr:col>
      <xdr:colOff>9525</xdr:colOff>
      <xdr:row>219</xdr:row>
      <xdr:rowOff>28575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34490025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223</xdr:row>
      <xdr:rowOff>0</xdr:rowOff>
    </xdr:from>
    <xdr:to>
      <xdr:col>10</xdr:col>
      <xdr:colOff>9525</xdr:colOff>
      <xdr:row>229</xdr:row>
      <xdr:rowOff>28575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048000" y="36109275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234</xdr:row>
      <xdr:rowOff>0</xdr:rowOff>
    </xdr:from>
    <xdr:to>
      <xdr:col>10</xdr:col>
      <xdr:colOff>9525</xdr:colOff>
      <xdr:row>240</xdr:row>
      <xdr:rowOff>28575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37890450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245</xdr:row>
      <xdr:rowOff>0</xdr:rowOff>
    </xdr:from>
    <xdr:to>
      <xdr:col>10</xdr:col>
      <xdr:colOff>9525</xdr:colOff>
      <xdr:row>251</xdr:row>
      <xdr:rowOff>28575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048000" y="39671625"/>
          <a:ext cx="22764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uario/CONFIG~1/Temp/Users/mafer/AppData/Local/Temp/PROYECTO%20APLICADO%20CAPITULO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F-CV"/>
      <sheetName val="METODO DEL DEFICIT ACUMULADO"/>
      <sheetName val="Ingresos Del Proyecto"/>
      <sheetName val="VALOR DESECHO"/>
      <sheetName val="FINANCIAMIENTO"/>
      <sheetName val="CCPP, MODELO CAPM"/>
      <sheetName val="FLUJO DE CAJA"/>
      <sheetName val="PAYBACK"/>
      <sheetName val="ANALISIS DE SENSI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C9">
            <v>0.1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topLeftCell="A34" workbookViewId="0">
      <selection activeCell="E56" sqref="E56"/>
    </sheetView>
  </sheetViews>
  <sheetFormatPr baseColWidth="10" defaultColWidth="11.42578125" defaultRowHeight="15"/>
  <cols>
    <col min="2" max="2" width="34.140625" customWidth="1"/>
    <col min="4" max="4" width="20.28515625" customWidth="1"/>
    <col min="5" max="5" width="12.7109375" customWidth="1"/>
    <col min="6" max="6" width="13.7109375" customWidth="1"/>
  </cols>
  <sheetData>
    <row r="2" spans="2:8">
      <c r="B2" s="131" t="s">
        <v>0</v>
      </c>
      <c r="C2" s="131"/>
      <c r="D2" s="131"/>
      <c r="E2" s="131"/>
      <c r="F2" s="131"/>
    </row>
    <row r="3" spans="2:8">
      <c r="B3" s="2" t="s">
        <v>1</v>
      </c>
      <c r="C3" s="2" t="s">
        <v>2</v>
      </c>
      <c r="D3" s="2" t="s">
        <v>3</v>
      </c>
      <c r="E3" s="2" t="s">
        <v>19</v>
      </c>
      <c r="F3" s="2" t="s">
        <v>4</v>
      </c>
    </row>
    <row r="4" spans="2:8">
      <c r="B4" s="1" t="s">
        <v>5</v>
      </c>
      <c r="C4" s="11">
        <v>1</v>
      </c>
      <c r="D4" s="12">
        <v>2000</v>
      </c>
      <c r="E4" s="12">
        <f>D4*C4</f>
        <v>2000</v>
      </c>
      <c r="F4" s="13">
        <f>E4*12</f>
        <v>24000</v>
      </c>
    </row>
    <row r="5" spans="2:8">
      <c r="B5" s="1" t="s">
        <v>11</v>
      </c>
      <c r="C5" s="11">
        <v>1</v>
      </c>
      <c r="D5" s="12">
        <v>750</v>
      </c>
      <c r="E5" s="12">
        <f t="shared" ref="E5:E19" si="0">D5*C5</f>
        <v>750</v>
      </c>
      <c r="F5" s="13">
        <f t="shared" ref="F5:F15" si="1">E5*12</f>
        <v>9000</v>
      </c>
    </row>
    <row r="6" spans="2:8">
      <c r="B6" s="1" t="s">
        <v>12</v>
      </c>
      <c r="C6" s="11">
        <v>1</v>
      </c>
      <c r="D6" s="12">
        <v>650</v>
      </c>
      <c r="E6" s="12">
        <f t="shared" si="0"/>
        <v>650</v>
      </c>
      <c r="F6" s="13">
        <f t="shared" si="1"/>
        <v>7800</v>
      </c>
    </row>
    <row r="7" spans="2:8">
      <c r="B7" s="1" t="s">
        <v>14</v>
      </c>
      <c r="C7" s="11">
        <v>1</v>
      </c>
      <c r="D7" s="12">
        <v>650</v>
      </c>
      <c r="E7" s="12">
        <f t="shared" si="0"/>
        <v>650</v>
      </c>
      <c r="F7" s="13">
        <f t="shared" si="1"/>
        <v>7800</v>
      </c>
    </row>
    <row r="8" spans="2:8">
      <c r="B8" s="1" t="s">
        <v>18</v>
      </c>
      <c r="C8" s="11">
        <v>1</v>
      </c>
      <c r="D8" s="12">
        <v>1000</v>
      </c>
      <c r="E8" s="12">
        <f t="shared" si="0"/>
        <v>1000</v>
      </c>
      <c r="F8" s="13">
        <f t="shared" si="1"/>
        <v>12000</v>
      </c>
    </row>
    <row r="9" spans="2:8">
      <c r="B9" s="1" t="s">
        <v>13</v>
      </c>
      <c r="C9" s="11">
        <v>2</v>
      </c>
      <c r="D9" s="12">
        <v>400</v>
      </c>
      <c r="E9" s="12">
        <f t="shared" si="0"/>
        <v>800</v>
      </c>
      <c r="F9" s="13">
        <f t="shared" si="1"/>
        <v>9600</v>
      </c>
    </row>
    <row r="10" spans="2:8">
      <c r="B10" s="1" t="s">
        <v>6</v>
      </c>
      <c r="C10" s="11">
        <v>1</v>
      </c>
      <c r="D10" s="12">
        <v>1200</v>
      </c>
      <c r="E10" s="12">
        <f t="shared" si="0"/>
        <v>1200</v>
      </c>
      <c r="F10" s="13">
        <f t="shared" si="1"/>
        <v>14400</v>
      </c>
    </row>
    <row r="11" spans="2:8">
      <c r="B11" s="1" t="s">
        <v>7</v>
      </c>
      <c r="C11" s="11">
        <v>2</v>
      </c>
      <c r="D11" s="12">
        <v>350</v>
      </c>
      <c r="E11" s="12">
        <f t="shared" si="0"/>
        <v>700</v>
      </c>
      <c r="F11" s="13">
        <f t="shared" si="1"/>
        <v>8400</v>
      </c>
    </row>
    <row r="12" spans="2:8">
      <c r="B12" s="1" t="s">
        <v>15</v>
      </c>
      <c r="C12" s="11">
        <v>1</v>
      </c>
      <c r="D12" s="12">
        <v>450</v>
      </c>
      <c r="E12" s="12">
        <f t="shared" si="0"/>
        <v>450</v>
      </c>
      <c r="F12" s="13">
        <f t="shared" si="1"/>
        <v>5400</v>
      </c>
      <c r="G12" t="s">
        <v>16</v>
      </c>
      <c r="H12" t="s">
        <v>17</v>
      </c>
    </row>
    <row r="13" spans="2:8">
      <c r="B13" s="1" t="s">
        <v>70</v>
      </c>
      <c r="C13" s="11">
        <v>1</v>
      </c>
      <c r="D13" s="12">
        <v>400</v>
      </c>
      <c r="E13" s="12">
        <f t="shared" si="0"/>
        <v>400</v>
      </c>
      <c r="F13" s="13">
        <f t="shared" si="1"/>
        <v>4800</v>
      </c>
    </row>
    <row r="14" spans="2:8">
      <c r="B14" s="1" t="s">
        <v>71</v>
      </c>
      <c r="C14" s="11">
        <v>2</v>
      </c>
      <c r="D14" s="12">
        <v>350</v>
      </c>
      <c r="E14" s="12">
        <f t="shared" si="0"/>
        <v>700</v>
      </c>
      <c r="F14" s="13">
        <f t="shared" si="1"/>
        <v>8400</v>
      </c>
    </row>
    <row r="15" spans="2:8">
      <c r="B15" s="1" t="s">
        <v>8</v>
      </c>
      <c r="C15" s="11">
        <v>2</v>
      </c>
      <c r="D15" s="12">
        <v>350</v>
      </c>
      <c r="E15" s="12">
        <f t="shared" si="0"/>
        <v>700</v>
      </c>
      <c r="F15" s="13">
        <f t="shared" si="1"/>
        <v>8400</v>
      </c>
    </row>
    <row r="16" spans="2:8">
      <c r="B16" s="1" t="s">
        <v>9</v>
      </c>
      <c r="C16" s="11">
        <v>3</v>
      </c>
      <c r="D16" s="12">
        <v>300</v>
      </c>
      <c r="E16" s="12">
        <f t="shared" si="0"/>
        <v>900</v>
      </c>
      <c r="F16" s="13">
        <f>E16*12</f>
        <v>10800</v>
      </c>
    </row>
    <row r="17" spans="2:7">
      <c r="B17" s="1" t="s">
        <v>69</v>
      </c>
      <c r="C17" s="11">
        <v>1</v>
      </c>
      <c r="D17" s="12">
        <v>350</v>
      </c>
      <c r="E17" s="12">
        <f t="shared" si="0"/>
        <v>350</v>
      </c>
      <c r="F17" s="13">
        <f>D17*12</f>
        <v>4200</v>
      </c>
    </row>
    <row r="18" spans="2:7">
      <c r="B18" s="1" t="s">
        <v>72</v>
      </c>
      <c r="C18" s="11">
        <v>2</v>
      </c>
      <c r="D18" s="12">
        <v>300</v>
      </c>
      <c r="E18" s="12">
        <f t="shared" si="0"/>
        <v>600</v>
      </c>
      <c r="F18" s="13">
        <f>D18*12</f>
        <v>3600</v>
      </c>
    </row>
    <row r="19" spans="2:7">
      <c r="B19" s="1" t="s">
        <v>73</v>
      </c>
      <c r="C19" s="11">
        <v>1</v>
      </c>
      <c r="D19" s="12">
        <v>350</v>
      </c>
      <c r="E19" s="12">
        <f t="shared" si="0"/>
        <v>350</v>
      </c>
      <c r="F19" s="13">
        <f>E19*12</f>
        <v>4200</v>
      </c>
    </row>
    <row r="20" spans="2:7">
      <c r="B20" s="2" t="s">
        <v>10</v>
      </c>
      <c r="C20" s="10"/>
      <c r="D20" s="14"/>
      <c r="E20" s="14">
        <f>SUM(E4:E19)</f>
        <v>12200</v>
      </c>
      <c r="F20" s="15">
        <f>SUM(F4:F19)</f>
        <v>142800</v>
      </c>
    </row>
    <row r="23" spans="2:7">
      <c r="B23" s="4" t="s">
        <v>20</v>
      </c>
      <c r="C23" s="4" t="s">
        <v>2</v>
      </c>
      <c r="D23" s="4" t="s">
        <v>38</v>
      </c>
      <c r="E23" s="4" t="s">
        <v>39</v>
      </c>
    </row>
    <row r="24" spans="2:7">
      <c r="B24" s="1" t="s">
        <v>21</v>
      </c>
      <c r="C24" s="1">
        <v>3</v>
      </c>
      <c r="D24" s="1">
        <v>300</v>
      </c>
      <c r="E24" s="1">
        <f>D24*C24</f>
        <v>900</v>
      </c>
    </row>
    <row r="25" spans="2:7">
      <c r="B25" s="1" t="s">
        <v>22</v>
      </c>
      <c r="C25" s="1">
        <v>400</v>
      </c>
      <c r="D25" s="1">
        <v>35</v>
      </c>
      <c r="E25" s="1">
        <f t="shared" ref="E25:E48" si="2">D25*C25</f>
        <v>14000</v>
      </c>
    </row>
    <row r="26" spans="2:7">
      <c r="B26" s="1" t="s">
        <v>23</v>
      </c>
      <c r="C26" s="1">
        <v>3</v>
      </c>
      <c r="D26" s="1">
        <v>40</v>
      </c>
      <c r="E26" s="1">
        <f t="shared" si="2"/>
        <v>120</v>
      </c>
    </row>
    <row r="27" spans="2:7">
      <c r="B27" s="1" t="s">
        <v>40</v>
      </c>
      <c r="C27" s="1">
        <v>1</v>
      </c>
      <c r="D27" s="126">
        <v>25000</v>
      </c>
      <c r="E27" s="1">
        <f t="shared" si="2"/>
        <v>25000</v>
      </c>
    </row>
    <row r="28" spans="2:7">
      <c r="B28" s="3" t="s">
        <v>90</v>
      </c>
      <c r="C28" s="1">
        <v>2</v>
      </c>
      <c r="D28" s="1">
        <v>40</v>
      </c>
      <c r="E28" s="1">
        <f t="shared" si="2"/>
        <v>80</v>
      </c>
    </row>
    <row r="29" spans="2:7">
      <c r="B29" s="1" t="s">
        <v>61</v>
      </c>
      <c r="C29" s="1">
        <v>1</v>
      </c>
      <c r="D29" s="1">
        <v>2000</v>
      </c>
      <c r="E29" s="1">
        <f t="shared" si="2"/>
        <v>2000</v>
      </c>
      <c r="G29" s="66"/>
    </row>
    <row r="30" spans="2:7">
      <c r="B30" s="1" t="s">
        <v>25</v>
      </c>
      <c r="C30" s="1">
        <v>1</v>
      </c>
      <c r="D30" s="126">
        <v>47000</v>
      </c>
      <c r="E30" s="1">
        <f t="shared" si="2"/>
        <v>47000</v>
      </c>
      <c r="G30" s="31"/>
    </row>
    <row r="31" spans="2:7">
      <c r="B31" s="1" t="s">
        <v>26</v>
      </c>
      <c r="C31" s="1">
        <v>1</v>
      </c>
      <c r="D31" s="1">
        <v>8000</v>
      </c>
      <c r="E31" s="1">
        <f t="shared" si="2"/>
        <v>8000</v>
      </c>
    </row>
    <row r="32" spans="2:7">
      <c r="B32" s="1" t="s">
        <v>27</v>
      </c>
      <c r="C32" s="1">
        <v>4</v>
      </c>
      <c r="D32" s="1">
        <v>600</v>
      </c>
      <c r="E32" s="1">
        <f t="shared" si="2"/>
        <v>2400</v>
      </c>
    </row>
    <row r="33" spans="2:5">
      <c r="B33" s="1" t="s">
        <v>28</v>
      </c>
      <c r="C33" s="1">
        <v>1</v>
      </c>
      <c r="D33" s="1">
        <v>4000</v>
      </c>
      <c r="E33" s="1">
        <f t="shared" si="2"/>
        <v>4000</v>
      </c>
    </row>
    <row r="34" spans="2:5">
      <c r="B34" s="1" t="s">
        <v>79</v>
      </c>
      <c r="C34" s="1">
        <v>100</v>
      </c>
      <c r="D34" s="1">
        <v>60</v>
      </c>
      <c r="E34" s="1">
        <f t="shared" si="2"/>
        <v>6000</v>
      </c>
    </row>
    <row r="35" spans="2:5">
      <c r="B35" s="1" t="s">
        <v>29</v>
      </c>
      <c r="C35" s="1">
        <v>10</v>
      </c>
      <c r="D35" s="1">
        <v>40</v>
      </c>
      <c r="E35" s="1">
        <f t="shared" si="2"/>
        <v>400</v>
      </c>
    </row>
    <row r="36" spans="2:5">
      <c r="B36" s="1" t="s">
        <v>30</v>
      </c>
      <c r="C36" s="1">
        <v>1</v>
      </c>
      <c r="D36" s="126">
        <v>26000</v>
      </c>
      <c r="E36" s="1">
        <f t="shared" si="2"/>
        <v>26000</v>
      </c>
    </row>
    <row r="37" spans="2:5">
      <c r="B37" s="1" t="s">
        <v>31</v>
      </c>
      <c r="C37" s="1">
        <v>4</v>
      </c>
      <c r="D37" s="1">
        <v>900</v>
      </c>
      <c r="E37" s="1">
        <f t="shared" si="2"/>
        <v>3600</v>
      </c>
    </row>
    <row r="38" spans="2:5">
      <c r="B38" s="1" t="s">
        <v>32</v>
      </c>
      <c r="C38" s="1">
        <v>2</v>
      </c>
      <c r="D38" s="1">
        <v>2000</v>
      </c>
      <c r="E38" s="1">
        <f t="shared" si="2"/>
        <v>4000</v>
      </c>
    </row>
    <row r="39" spans="2:5">
      <c r="B39" s="1" t="s">
        <v>77</v>
      </c>
      <c r="C39" s="1">
        <v>1</v>
      </c>
      <c r="D39" s="1">
        <v>350</v>
      </c>
      <c r="E39" s="1">
        <f t="shared" si="2"/>
        <v>350</v>
      </c>
    </row>
    <row r="40" spans="2:5">
      <c r="B40" s="1" t="s">
        <v>33</v>
      </c>
      <c r="C40" s="1">
        <v>4</v>
      </c>
      <c r="D40" s="1">
        <v>50</v>
      </c>
      <c r="E40" s="1">
        <f t="shared" si="2"/>
        <v>200</v>
      </c>
    </row>
    <row r="41" spans="2:5">
      <c r="B41" s="1" t="s">
        <v>34</v>
      </c>
      <c r="C41" s="1">
        <v>4</v>
      </c>
      <c r="D41" s="1">
        <v>900</v>
      </c>
      <c r="E41" s="1">
        <f t="shared" si="2"/>
        <v>3600</v>
      </c>
    </row>
    <row r="42" spans="2:5">
      <c r="B42" s="1" t="s">
        <v>35</v>
      </c>
      <c r="C42" s="1">
        <v>4</v>
      </c>
      <c r="D42" s="1">
        <v>80</v>
      </c>
      <c r="E42" s="1">
        <f t="shared" si="2"/>
        <v>320</v>
      </c>
    </row>
    <row r="43" spans="2:5">
      <c r="B43" s="1" t="s">
        <v>78</v>
      </c>
      <c r="C43" s="1">
        <v>4</v>
      </c>
      <c r="D43" s="1">
        <v>45</v>
      </c>
      <c r="E43" s="1">
        <f t="shared" si="2"/>
        <v>180</v>
      </c>
    </row>
    <row r="44" spans="2:5">
      <c r="B44" s="1" t="s">
        <v>80</v>
      </c>
      <c r="C44" s="1">
        <v>28</v>
      </c>
      <c r="D44" s="1">
        <v>40</v>
      </c>
      <c r="E44" s="1">
        <f t="shared" si="2"/>
        <v>1120</v>
      </c>
    </row>
    <row r="45" spans="2:5">
      <c r="B45" s="1" t="s">
        <v>86</v>
      </c>
      <c r="C45" s="1">
        <v>7</v>
      </c>
      <c r="D45" s="1">
        <v>150</v>
      </c>
      <c r="E45" s="1">
        <f t="shared" si="2"/>
        <v>1050</v>
      </c>
    </row>
    <row r="46" spans="2:5">
      <c r="B46" s="1" t="s">
        <v>36</v>
      </c>
      <c r="C46" s="1">
        <v>4</v>
      </c>
      <c r="D46" s="1">
        <v>40</v>
      </c>
      <c r="E46" s="1">
        <f t="shared" si="2"/>
        <v>160</v>
      </c>
    </row>
    <row r="47" spans="2:5">
      <c r="B47" s="1" t="s">
        <v>81</v>
      </c>
      <c r="C47" s="1">
        <v>1</v>
      </c>
      <c r="D47" s="1">
        <v>109</v>
      </c>
      <c r="E47" s="1">
        <f t="shared" si="2"/>
        <v>109</v>
      </c>
    </row>
    <row r="48" spans="2:5">
      <c r="B48" s="1" t="s">
        <v>37</v>
      </c>
      <c r="C48" s="1">
        <v>4</v>
      </c>
      <c r="D48" s="1">
        <v>30</v>
      </c>
      <c r="E48" s="1">
        <f t="shared" si="2"/>
        <v>120</v>
      </c>
    </row>
    <row r="49" spans="2:6">
      <c r="B49" s="2" t="s">
        <v>89</v>
      </c>
      <c r="C49" s="2"/>
      <c r="D49" s="2"/>
      <c r="E49" s="28">
        <f>SUM(E24:E48)</f>
        <v>150709</v>
      </c>
    </row>
    <row r="50" spans="2:6">
      <c r="B50" s="19"/>
      <c r="C50" s="19"/>
      <c r="D50" s="19"/>
      <c r="E50" s="19"/>
    </row>
    <row r="52" spans="2:6">
      <c r="B52" s="131" t="s">
        <v>41</v>
      </c>
      <c r="C52" s="131"/>
      <c r="D52" s="131"/>
      <c r="E52" s="131"/>
      <c r="F52" s="131"/>
    </row>
    <row r="53" spans="2:6">
      <c r="B53" s="1"/>
      <c r="C53" s="2" t="s">
        <v>42</v>
      </c>
      <c r="D53" s="2" t="s">
        <v>2</v>
      </c>
      <c r="E53" s="2" t="s">
        <v>38</v>
      </c>
      <c r="F53" s="2" t="s">
        <v>39</v>
      </c>
    </row>
    <row r="54" spans="2:6">
      <c r="B54" s="1" t="s">
        <v>43</v>
      </c>
      <c r="C54" s="1" t="s">
        <v>44</v>
      </c>
      <c r="D54" s="1">
        <v>4000</v>
      </c>
      <c r="E54" s="126">
        <v>85</v>
      </c>
      <c r="F54" s="1">
        <f>D54*E54</f>
        <v>340000</v>
      </c>
    </row>
    <row r="55" spans="2:6">
      <c r="B55" s="1" t="s">
        <v>45</v>
      </c>
      <c r="C55" s="1" t="s">
        <v>44</v>
      </c>
      <c r="D55" s="1">
        <v>2500</v>
      </c>
      <c r="E55" s="126">
        <v>500</v>
      </c>
      <c r="F55" s="1">
        <f>D55*E55</f>
        <v>1250000</v>
      </c>
    </row>
    <row r="56" spans="2:6">
      <c r="B56" s="1" t="s">
        <v>46</v>
      </c>
      <c r="C56" s="1" t="s">
        <v>44</v>
      </c>
      <c r="D56" s="1">
        <v>700</v>
      </c>
      <c r="E56" s="126">
        <v>180</v>
      </c>
      <c r="F56" s="1">
        <f>D56*E56</f>
        <v>126000</v>
      </c>
    </row>
    <row r="57" spans="2:6">
      <c r="B57" s="1" t="s">
        <v>47</v>
      </c>
      <c r="C57" s="1"/>
      <c r="D57" s="1"/>
      <c r="E57" s="1">
        <v>15000</v>
      </c>
      <c r="F57" s="1">
        <f>E57</f>
        <v>15000</v>
      </c>
    </row>
    <row r="58" spans="2:6">
      <c r="B58" s="132" t="s">
        <v>10</v>
      </c>
      <c r="C58" s="132"/>
      <c r="D58" s="132"/>
      <c r="E58" s="132"/>
      <c r="F58" s="1">
        <f>SUM(F54:F57)</f>
        <v>1731000</v>
      </c>
    </row>
  </sheetData>
  <mergeCells count="3">
    <mergeCell ref="B2:F2"/>
    <mergeCell ref="B52:F52"/>
    <mergeCell ref="B58:E58"/>
  </mergeCells>
  <phoneticPr fontId="15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4"/>
  <sheetViews>
    <sheetView showGridLines="0" showRowColHeaders="0" tabSelected="1" zoomScale="90" zoomScaleNormal="90" workbookViewId="0">
      <selection activeCell="E1" sqref="E1"/>
    </sheetView>
  </sheetViews>
  <sheetFormatPr baseColWidth="10" defaultColWidth="9.140625" defaultRowHeight="12.75"/>
  <cols>
    <col min="1" max="2" width="3.85546875" style="158" customWidth="1"/>
    <col min="3" max="3" width="5.28515625" style="158" customWidth="1"/>
    <col min="4" max="4" width="12.28515625" style="158" customWidth="1"/>
    <col min="5" max="5" width="15.7109375" style="158" customWidth="1"/>
    <col min="6" max="6" width="1.7109375" style="158" customWidth="1"/>
    <col min="7" max="7" width="5.28515625" style="158" customWidth="1"/>
    <col min="8" max="8" width="15.7109375" style="158" customWidth="1"/>
    <col min="9" max="9" width="9.7109375" style="158" customWidth="1"/>
    <col min="10" max="10" width="6.28515625" style="158" customWidth="1"/>
    <col min="11" max="11" width="80.7109375" style="158" customWidth="1"/>
    <col min="12" max="256" width="9.140625" style="158"/>
    <col min="257" max="258" width="3.85546875" style="158" customWidth="1"/>
    <col min="259" max="259" width="5.28515625" style="158" customWidth="1"/>
    <col min="260" max="260" width="12.28515625" style="158" customWidth="1"/>
    <col min="261" max="261" width="15.7109375" style="158" customWidth="1"/>
    <col min="262" max="262" width="1.7109375" style="158" customWidth="1"/>
    <col min="263" max="263" width="5.28515625" style="158" customWidth="1"/>
    <col min="264" max="264" width="15.7109375" style="158" customWidth="1"/>
    <col min="265" max="265" width="9.7109375" style="158" customWidth="1"/>
    <col min="266" max="266" width="6.28515625" style="158" customWidth="1"/>
    <col min="267" max="267" width="80.7109375" style="158" customWidth="1"/>
    <col min="268" max="512" width="9.140625" style="158"/>
    <col min="513" max="514" width="3.85546875" style="158" customWidth="1"/>
    <col min="515" max="515" width="5.28515625" style="158" customWidth="1"/>
    <col min="516" max="516" width="12.28515625" style="158" customWidth="1"/>
    <col min="517" max="517" width="15.7109375" style="158" customWidth="1"/>
    <col min="518" max="518" width="1.7109375" style="158" customWidth="1"/>
    <col min="519" max="519" width="5.28515625" style="158" customWidth="1"/>
    <col min="520" max="520" width="15.7109375" style="158" customWidth="1"/>
    <col min="521" max="521" width="9.7109375" style="158" customWidth="1"/>
    <col min="522" max="522" width="6.28515625" style="158" customWidth="1"/>
    <col min="523" max="523" width="80.7109375" style="158" customWidth="1"/>
    <col min="524" max="768" width="9.140625" style="158"/>
    <col min="769" max="770" width="3.85546875" style="158" customWidth="1"/>
    <col min="771" max="771" width="5.28515625" style="158" customWidth="1"/>
    <col min="772" max="772" width="12.28515625" style="158" customWidth="1"/>
    <col min="773" max="773" width="15.7109375" style="158" customWidth="1"/>
    <col min="774" max="774" width="1.7109375" style="158" customWidth="1"/>
    <col min="775" max="775" width="5.28515625" style="158" customWidth="1"/>
    <col min="776" max="776" width="15.7109375" style="158" customWidth="1"/>
    <col min="777" max="777" width="9.7109375" style="158" customWidth="1"/>
    <col min="778" max="778" width="6.28515625" style="158" customWidth="1"/>
    <col min="779" max="779" width="80.7109375" style="158" customWidth="1"/>
    <col min="780" max="1024" width="9.140625" style="158"/>
    <col min="1025" max="1026" width="3.85546875" style="158" customWidth="1"/>
    <col min="1027" max="1027" width="5.28515625" style="158" customWidth="1"/>
    <col min="1028" max="1028" width="12.28515625" style="158" customWidth="1"/>
    <col min="1029" max="1029" width="15.7109375" style="158" customWidth="1"/>
    <col min="1030" max="1030" width="1.7109375" style="158" customWidth="1"/>
    <col min="1031" max="1031" width="5.28515625" style="158" customWidth="1"/>
    <col min="1032" max="1032" width="15.7109375" style="158" customWidth="1"/>
    <col min="1033" max="1033" width="9.7109375" style="158" customWidth="1"/>
    <col min="1034" max="1034" width="6.28515625" style="158" customWidth="1"/>
    <col min="1035" max="1035" width="80.7109375" style="158" customWidth="1"/>
    <col min="1036" max="1280" width="9.140625" style="158"/>
    <col min="1281" max="1282" width="3.85546875" style="158" customWidth="1"/>
    <col min="1283" max="1283" width="5.28515625" style="158" customWidth="1"/>
    <col min="1284" max="1284" width="12.28515625" style="158" customWidth="1"/>
    <col min="1285" max="1285" width="15.7109375" style="158" customWidth="1"/>
    <col min="1286" max="1286" width="1.7109375" style="158" customWidth="1"/>
    <col min="1287" max="1287" width="5.28515625" style="158" customWidth="1"/>
    <col min="1288" max="1288" width="15.7109375" style="158" customWidth="1"/>
    <col min="1289" max="1289" width="9.7109375" style="158" customWidth="1"/>
    <col min="1290" max="1290" width="6.28515625" style="158" customWidth="1"/>
    <col min="1291" max="1291" width="80.7109375" style="158" customWidth="1"/>
    <col min="1292" max="1536" width="9.140625" style="158"/>
    <col min="1537" max="1538" width="3.85546875" style="158" customWidth="1"/>
    <col min="1539" max="1539" width="5.28515625" style="158" customWidth="1"/>
    <col min="1540" max="1540" width="12.28515625" style="158" customWidth="1"/>
    <col min="1541" max="1541" width="15.7109375" style="158" customWidth="1"/>
    <col min="1542" max="1542" width="1.7109375" style="158" customWidth="1"/>
    <col min="1543" max="1543" width="5.28515625" style="158" customWidth="1"/>
    <col min="1544" max="1544" width="15.7109375" style="158" customWidth="1"/>
    <col min="1545" max="1545" width="9.7109375" style="158" customWidth="1"/>
    <col min="1546" max="1546" width="6.28515625" style="158" customWidth="1"/>
    <col min="1547" max="1547" width="80.7109375" style="158" customWidth="1"/>
    <col min="1548" max="1792" width="9.140625" style="158"/>
    <col min="1793" max="1794" width="3.85546875" style="158" customWidth="1"/>
    <col min="1795" max="1795" width="5.28515625" style="158" customWidth="1"/>
    <col min="1796" max="1796" width="12.28515625" style="158" customWidth="1"/>
    <col min="1797" max="1797" width="15.7109375" style="158" customWidth="1"/>
    <col min="1798" max="1798" width="1.7109375" style="158" customWidth="1"/>
    <col min="1799" max="1799" width="5.28515625" style="158" customWidth="1"/>
    <col min="1800" max="1800" width="15.7109375" style="158" customWidth="1"/>
    <col min="1801" max="1801" width="9.7109375" style="158" customWidth="1"/>
    <col min="1802" max="1802" width="6.28515625" style="158" customWidth="1"/>
    <col min="1803" max="1803" width="80.7109375" style="158" customWidth="1"/>
    <col min="1804" max="2048" width="9.140625" style="158"/>
    <col min="2049" max="2050" width="3.85546875" style="158" customWidth="1"/>
    <col min="2051" max="2051" width="5.28515625" style="158" customWidth="1"/>
    <col min="2052" max="2052" width="12.28515625" style="158" customWidth="1"/>
    <col min="2053" max="2053" width="15.7109375" style="158" customWidth="1"/>
    <col min="2054" max="2054" width="1.7109375" style="158" customWidth="1"/>
    <col min="2055" max="2055" width="5.28515625" style="158" customWidth="1"/>
    <col min="2056" max="2056" width="15.7109375" style="158" customWidth="1"/>
    <col min="2057" max="2057" width="9.7109375" style="158" customWidth="1"/>
    <col min="2058" max="2058" width="6.28515625" style="158" customWidth="1"/>
    <col min="2059" max="2059" width="80.7109375" style="158" customWidth="1"/>
    <col min="2060" max="2304" width="9.140625" style="158"/>
    <col min="2305" max="2306" width="3.85546875" style="158" customWidth="1"/>
    <col min="2307" max="2307" width="5.28515625" style="158" customWidth="1"/>
    <col min="2308" max="2308" width="12.28515625" style="158" customWidth="1"/>
    <col min="2309" max="2309" width="15.7109375" style="158" customWidth="1"/>
    <col min="2310" max="2310" width="1.7109375" style="158" customWidth="1"/>
    <col min="2311" max="2311" width="5.28515625" style="158" customWidth="1"/>
    <col min="2312" max="2312" width="15.7109375" style="158" customWidth="1"/>
    <col min="2313" max="2313" width="9.7109375" style="158" customWidth="1"/>
    <col min="2314" max="2314" width="6.28515625" style="158" customWidth="1"/>
    <col min="2315" max="2315" width="80.7109375" style="158" customWidth="1"/>
    <col min="2316" max="2560" width="9.140625" style="158"/>
    <col min="2561" max="2562" width="3.85546875" style="158" customWidth="1"/>
    <col min="2563" max="2563" width="5.28515625" style="158" customWidth="1"/>
    <col min="2564" max="2564" width="12.28515625" style="158" customWidth="1"/>
    <col min="2565" max="2565" width="15.7109375" style="158" customWidth="1"/>
    <col min="2566" max="2566" width="1.7109375" style="158" customWidth="1"/>
    <col min="2567" max="2567" width="5.28515625" style="158" customWidth="1"/>
    <col min="2568" max="2568" width="15.7109375" style="158" customWidth="1"/>
    <col min="2569" max="2569" width="9.7109375" style="158" customWidth="1"/>
    <col min="2570" max="2570" width="6.28515625" style="158" customWidth="1"/>
    <col min="2571" max="2571" width="80.7109375" style="158" customWidth="1"/>
    <col min="2572" max="2816" width="9.140625" style="158"/>
    <col min="2817" max="2818" width="3.85546875" style="158" customWidth="1"/>
    <col min="2819" max="2819" width="5.28515625" style="158" customWidth="1"/>
    <col min="2820" max="2820" width="12.28515625" style="158" customWidth="1"/>
    <col min="2821" max="2821" width="15.7109375" style="158" customWidth="1"/>
    <col min="2822" max="2822" width="1.7109375" style="158" customWidth="1"/>
    <col min="2823" max="2823" width="5.28515625" style="158" customWidth="1"/>
    <col min="2824" max="2824" width="15.7109375" style="158" customWidth="1"/>
    <col min="2825" max="2825" width="9.7109375" style="158" customWidth="1"/>
    <col min="2826" max="2826" width="6.28515625" style="158" customWidth="1"/>
    <col min="2827" max="2827" width="80.7109375" style="158" customWidth="1"/>
    <col min="2828" max="3072" width="9.140625" style="158"/>
    <col min="3073" max="3074" width="3.85546875" style="158" customWidth="1"/>
    <col min="3075" max="3075" width="5.28515625" style="158" customWidth="1"/>
    <col min="3076" max="3076" width="12.28515625" style="158" customWidth="1"/>
    <col min="3077" max="3077" width="15.7109375" style="158" customWidth="1"/>
    <col min="3078" max="3078" width="1.7109375" style="158" customWidth="1"/>
    <col min="3079" max="3079" width="5.28515625" style="158" customWidth="1"/>
    <col min="3080" max="3080" width="15.7109375" style="158" customWidth="1"/>
    <col min="3081" max="3081" width="9.7109375" style="158" customWidth="1"/>
    <col min="3082" max="3082" width="6.28515625" style="158" customWidth="1"/>
    <col min="3083" max="3083" width="80.7109375" style="158" customWidth="1"/>
    <col min="3084" max="3328" width="9.140625" style="158"/>
    <col min="3329" max="3330" width="3.85546875" style="158" customWidth="1"/>
    <col min="3331" max="3331" width="5.28515625" style="158" customWidth="1"/>
    <col min="3332" max="3332" width="12.28515625" style="158" customWidth="1"/>
    <col min="3333" max="3333" width="15.7109375" style="158" customWidth="1"/>
    <col min="3334" max="3334" width="1.7109375" style="158" customWidth="1"/>
    <col min="3335" max="3335" width="5.28515625" style="158" customWidth="1"/>
    <col min="3336" max="3336" width="15.7109375" style="158" customWidth="1"/>
    <col min="3337" max="3337" width="9.7109375" style="158" customWidth="1"/>
    <col min="3338" max="3338" width="6.28515625" style="158" customWidth="1"/>
    <col min="3339" max="3339" width="80.7109375" style="158" customWidth="1"/>
    <col min="3340" max="3584" width="9.140625" style="158"/>
    <col min="3585" max="3586" width="3.85546875" style="158" customWidth="1"/>
    <col min="3587" max="3587" width="5.28515625" style="158" customWidth="1"/>
    <col min="3588" max="3588" width="12.28515625" style="158" customWidth="1"/>
    <col min="3589" max="3589" width="15.7109375" style="158" customWidth="1"/>
    <col min="3590" max="3590" width="1.7109375" style="158" customWidth="1"/>
    <col min="3591" max="3591" width="5.28515625" style="158" customWidth="1"/>
    <col min="3592" max="3592" width="15.7109375" style="158" customWidth="1"/>
    <col min="3593" max="3593" width="9.7109375" style="158" customWidth="1"/>
    <col min="3594" max="3594" width="6.28515625" style="158" customWidth="1"/>
    <col min="3595" max="3595" width="80.7109375" style="158" customWidth="1"/>
    <col min="3596" max="3840" width="9.140625" style="158"/>
    <col min="3841" max="3842" width="3.85546875" style="158" customWidth="1"/>
    <col min="3843" max="3843" width="5.28515625" style="158" customWidth="1"/>
    <col min="3844" max="3844" width="12.28515625" style="158" customWidth="1"/>
    <col min="3845" max="3845" width="15.7109375" style="158" customWidth="1"/>
    <col min="3846" max="3846" width="1.7109375" style="158" customWidth="1"/>
    <col min="3847" max="3847" width="5.28515625" style="158" customWidth="1"/>
    <col min="3848" max="3848" width="15.7109375" style="158" customWidth="1"/>
    <col min="3849" max="3849" width="9.7109375" style="158" customWidth="1"/>
    <col min="3850" max="3850" width="6.28515625" style="158" customWidth="1"/>
    <col min="3851" max="3851" width="80.7109375" style="158" customWidth="1"/>
    <col min="3852" max="4096" width="9.140625" style="158"/>
    <col min="4097" max="4098" width="3.85546875" style="158" customWidth="1"/>
    <col min="4099" max="4099" width="5.28515625" style="158" customWidth="1"/>
    <col min="4100" max="4100" width="12.28515625" style="158" customWidth="1"/>
    <col min="4101" max="4101" width="15.7109375" style="158" customWidth="1"/>
    <col min="4102" max="4102" width="1.7109375" style="158" customWidth="1"/>
    <col min="4103" max="4103" width="5.28515625" style="158" customWidth="1"/>
    <col min="4104" max="4104" width="15.7109375" style="158" customWidth="1"/>
    <col min="4105" max="4105" width="9.7109375" style="158" customWidth="1"/>
    <col min="4106" max="4106" width="6.28515625" style="158" customWidth="1"/>
    <col min="4107" max="4107" width="80.7109375" style="158" customWidth="1"/>
    <col min="4108" max="4352" width="9.140625" style="158"/>
    <col min="4353" max="4354" width="3.85546875" style="158" customWidth="1"/>
    <col min="4355" max="4355" width="5.28515625" style="158" customWidth="1"/>
    <col min="4356" max="4356" width="12.28515625" style="158" customWidth="1"/>
    <col min="4357" max="4357" width="15.7109375" style="158" customWidth="1"/>
    <col min="4358" max="4358" width="1.7109375" style="158" customWidth="1"/>
    <col min="4359" max="4359" width="5.28515625" style="158" customWidth="1"/>
    <col min="4360" max="4360" width="15.7109375" style="158" customWidth="1"/>
    <col min="4361" max="4361" width="9.7109375" style="158" customWidth="1"/>
    <col min="4362" max="4362" width="6.28515625" style="158" customWidth="1"/>
    <col min="4363" max="4363" width="80.7109375" style="158" customWidth="1"/>
    <col min="4364" max="4608" width="9.140625" style="158"/>
    <col min="4609" max="4610" width="3.85546875" style="158" customWidth="1"/>
    <col min="4611" max="4611" width="5.28515625" style="158" customWidth="1"/>
    <col min="4612" max="4612" width="12.28515625" style="158" customWidth="1"/>
    <col min="4613" max="4613" width="15.7109375" style="158" customWidth="1"/>
    <col min="4614" max="4614" width="1.7109375" style="158" customWidth="1"/>
    <col min="4615" max="4615" width="5.28515625" style="158" customWidth="1"/>
    <col min="4616" max="4616" width="15.7109375" style="158" customWidth="1"/>
    <col min="4617" max="4617" width="9.7109375" style="158" customWidth="1"/>
    <col min="4618" max="4618" width="6.28515625" style="158" customWidth="1"/>
    <col min="4619" max="4619" width="80.7109375" style="158" customWidth="1"/>
    <col min="4620" max="4864" width="9.140625" style="158"/>
    <col min="4865" max="4866" width="3.85546875" style="158" customWidth="1"/>
    <col min="4867" max="4867" width="5.28515625" style="158" customWidth="1"/>
    <col min="4868" max="4868" width="12.28515625" style="158" customWidth="1"/>
    <col min="4869" max="4869" width="15.7109375" style="158" customWidth="1"/>
    <col min="4870" max="4870" width="1.7109375" style="158" customWidth="1"/>
    <col min="4871" max="4871" width="5.28515625" style="158" customWidth="1"/>
    <col min="4872" max="4872" width="15.7109375" style="158" customWidth="1"/>
    <col min="4873" max="4873" width="9.7109375" style="158" customWidth="1"/>
    <col min="4874" max="4874" width="6.28515625" style="158" customWidth="1"/>
    <col min="4875" max="4875" width="80.7109375" style="158" customWidth="1"/>
    <col min="4876" max="5120" width="9.140625" style="158"/>
    <col min="5121" max="5122" width="3.85546875" style="158" customWidth="1"/>
    <col min="5123" max="5123" width="5.28515625" style="158" customWidth="1"/>
    <col min="5124" max="5124" width="12.28515625" style="158" customWidth="1"/>
    <col min="5125" max="5125" width="15.7109375" style="158" customWidth="1"/>
    <col min="5126" max="5126" width="1.7109375" style="158" customWidth="1"/>
    <col min="5127" max="5127" width="5.28515625" style="158" customWidth="1"/>
    <col min="5128" max="5128" width="15.7109375" style="158" customWidth="1"/>
    <col min="5129" max="5129" width="9.7109375" style="158" customWidth="1"/>
    <col min="5130" max="5130" width="6.28515625" style="158" customWidth="1"/>
    <col min="5131" max="5131" width="80.7109375" style="158" customWidth="1"/>
    <col min="5132" max="5376" width="9.140625" style="158"/>
    <col min="5377" max="5378" width="3.85546875" style="158" customWidth="1"/>
    <col min="5379" max="5379" width="5.28515625" style="158" customWidth="1"/>
    <col min="5380" max="5380" width="12.28515625" style="158" customWidth="1"/>
    <col min="5381" max="5381" width="15.7109375" style="158" customWidth="1"/>
    <col min="5382" max="5382" width="1.7109375" style="158" customWidth="1"/>
    <col min="5383" max="5383" width="5.28515625" style="158" customWidth="1"/>
    <col min="5384" max="5384" width="15.7109375" style="158" customWidth="1"/>
    <col min="5385" max="5385" width="9.7109375" style="158" customWidth="1"/>
    <col min="5386" max="5386" width="6.28515625" style="158" customWidth="1"/>
    <col min="5387" max="5387" width="80.7109375" style="158" customWidth="1"/>
    <col min="5388" max="5632" width="9.140625" style="158"/>
    <col min="5633" max="5634" width="3.85546875" style="158" customWidth="1"/>
    <col min="5635" max="5635" width="5.28515625" style="158" customWidth="1"/>
    <col min="5636" max="5636" width="12.28515625" style="158" customWidth="1"/>
    <col min="5637" max="5637" width="15.7109375" style="158" customWidth="1"/>
    <col min="5638" max="5638" width="1.7109375" style="158" customWidth="1"/>
    <col min="5639" max="5639" width="5.28515625" style="158" customWidth="1"/>
    <col min="5640" max="5640" width="15.7109375" style="158" customWidth="1"/>
    <col min="5641" max="5641" width="9.7109375" style="158" customWidth="1"/>
    <col min="5642" max="5642" width="6.28515625" style="158" customWidth="1"/>
    <col min="5643" max="5643" width="80.7109375" style="158" customWidth="1"/>
    <col min="5644" max="5888" width="9.140625" style="158"/>
    <col min="5889" max="5890" width="3.85546875" style="158" customWidth="1"/>
    <col min="5891" max="5891" width="5.28515625" style="158" customWidth="1"/>
    <col min="5892" max="5892" width="12.28515625" style="158" customWidth="1"/>
    <col min="5893" max="5893" width="15.7109375" style="158" customWidth="1"/>
    <col min="5894" max="5894" width="1.7109375" style="158" customWidth="1"/>
    <col min="5895" max="5895" width="5.28515625" style="158" customWidth="1"/>
    <col min="5896" max="5896" width="15.7109375" style="158" customWidth="1"/>
    <col min="5897" max="5897" width="9.7109375" style="158" customWidth="1"/>
    <col min="5898" max="5898" width="6.28515625" style="158" customWidth="1"/>
    <col min="5899" max="5899" width="80.7109375" style="158" customWidth="1"/>
    <col min="5900" max="6144" width="9.140625" style="158"/>
    <col min="6145" max="6146" width="3.85546875" style="158" customWidth="1"/>
    <col min="6147" max="6147" width="5.28515625" style="158" customWidth="1"/>
    <col min="6148" max="6148" width="12.28515625" style="158" customWidth="1"/>
    <col min="6149" max="6149" width="15.7109375" style="158" customWidth="1"/>
    <col min="6150" max="6150" width="1.7109375" style="158" customWidth="1"/>
    <col min="6151" max="6151" width="5.28515625" style="158" customWidth="1"/>
    <col min="6152" max="6152" width="15.7109375" style="158" customWidth="1"/>
    <col min="6153" max="6153" width="9.7109375" style="158" customWidth="1"/>
    <col min="6154" max="6154" width="6.28515625" style="158" customWidth="1"/>
    <col min="6155" max="6155" width="80.7109375" style="158" customWidth="1"/>
    <col min="6156" max="6400" width="9.140625" style="158"/>
    <col min="6401" max="6402" width="3.85546875" style="158" customWidth="1"/>
    <col min="6403" max="6403" width="5.28515625" style="158" customWidth="1"/>
    <col min="6404" max="6404" width="12.28515625" style="158" customWidth="1"/>
    <col min="6405" max="6405" width="15.7109375" style="158" customWidth="1"/>
    <col min="6406" max="6406" width="1.7109375" style="158" customWidth="1"/>
    <col min="6407" max="6407" width="5.28515625" style="158" customWidth="1"/>
    <col min="6408" max="6408" width="15.7109375" style="158" customWidth="1"/>
    <col min="6409" max="6409" width="9.7109375" style="158" customWidth="1"/>
    <col min="6410" max="6410" width="6.28515625" style="158" customWidth="1"/>
    <col min="6411" max="6411" width="80.7109375" style="158" customWidth="1"/>
    <col min="6412" max="6656" width="9.140625" style="158"/>
    <col min="6657" max="6658" width="3.85546875" style="158" customWidth="1"/>
    <col min="6659" max="6659" width="5.28515625" style="158" customWidth="1"/>
    <col min="6660" max="6660" width="12.28515625" style="158" customWidth="1"/>
    <col min="6661" max="6661" width="15.7109375" style="158" customWidth="1"/>
    <col min="6662" max="6662" width="1.7109375" style="158" customWidth="1"/>
    <col min="6663" max="6663" width="5.28515625" style="158" customWidth="1"/>
    <col min="6664" max="6664" width="15.7109375" style="158" customWidth="1"/>
    <col min="6665" max="6665" width="9.7109375" style="158" customWidth="1"/>
    <col min="6666" max="6666" width="6.28515625" style="158" customWidth="1"/>
    <col min="6667" max="6667" width="80.7109375" style="158" customWidth="1"/>
    <col min="6668" max="6912" width="9.140625" style="158"/>
    <col min="6913" max="6914" width="3.85546875" style="158" customWidth="1"/>
    <col min="6915" max="6915" width="5.28515625" style="158" customWidth="1"/>
    <col min="6916" max="6916" width="12.28515625" style="158" customWidth="1"/>
    <col min="6917" max="6917" width="15.7109375" style="158" customWidth="1"/>
    <col min="6918" max="6918" width="1.7109375" style="158" customWidth="1"/>
    <col min="6919" max="6919" width="5.28515625" style="158" customWidth="1"/>
    <col min="6920" max="6920" width="15.7109375" style="158" customWidth="1"/>
    <col min="6921" max="6921" width="9.7109375" style="158" customWidth="1"/>
    <col min="6922" max="6922" width="6.28515625" style="158" customWidth="1"/>
    <col min="6923" max="6923" width="80.7109375" style="158" customWidth="1"/>
    <col min="6924" max="7168" width="9.140625" style="158"/>
    <col min="7169" max="7170" width="3.85546875" style="158" customWidth="1"/>
    <col min="7171" max="7171" width="5.28515625" style="158" customWidth="1"/>
    <col min="7172" max="7172" width="12.28515625" style="158" customWidth="1"/>
    <col min="7173" max="7173" width="15.7109375" style="158" customWidth="1"/>
    <col min="7174" max="7174" width="1.7109375" style="158" customWidth="1"/>
    <col min="7175" max="7175" width="5.28515625" style="158" customWidth="1"/>
    <col min="7176" max="7176" width="15.7109375" style="158" customWidth="1"/>
    <col min="7177" max="7177" width="9.7109375" style="158" customWidth="1"/>
    <col min="7178" max="7178" width="6.28515625" style="158" customWidth="1"/>
    <col min="7179" max="7179" width="80.7109375" style="158" customWidth="1"/>
    <col min="7180" max="7424" width="9.140625" style="158"/>
    <col min="7425" max="7426" width="3.85546875" style="158" customWidth="1"/>
    <col min="7427" max="7427" width="5.28515625" style="158" customWidth="1"/>
    <col min="7428" max="7428" width="12.28515625" style="158" customWidth="1"/>
    <col min="7429" max="7429" width="15.7109375" style="158" customWidth="1"/>
    <col min="7430" max="7430" width="1.7109375" style="158" customWidth="1"/>
    <col min="7431" max="7431" width="5.28515625" style="158" customWidth="1"/>
    <col min="7432" max="7432" width="15.7109375" style="158" customWidth="1"/>
    <col min="7433" max="7433" width="9.7109375" style="158" customWidth="1"/>
    <col min="7434" max="7434" width="6.28515625" style="158" customWidth="1"/>
    <col min="7435" max="7435" width="80.7109375" style="158" customWidth="1"/>
    <col min="7436" max="7680" width="9.140625" style="158"/>
    <col min="7681" max="7682" width="3.85546875" style="158" customWidth="1"/>
    <col min="7683" max="7683" width="5.28515625" style="158" customWidth="1"/>
    <col min="7684" max="7684" width="12.28515625" style="158" customWidth="1"/>
    <col min="7685" max="7685" width="15.7109375" style="158" customWidth="1"/>
    <col min="7686" max="7686" width="1.7109375" style="158" customWidth="1"/>
    <col min="7687" max="7687" width="5.28515625" style="158" customWidth="1"/>
    <col min="7688" max="7688" width="15.7109375" style="158" customWidth="1"/>
    <col min="7689" max="7689" width="9.7109375" style="158" customWidth="1"/>
    <col min="7690" max="7690" width="6.28515625" style="158" customWidth="1"/>
    <col min="7691" max="7691" width="80.7109375" style="158" customWidth="1"/>
    <col min="7692" max="7936" width="9.140625" style="158"/>
    <col min="7937" max="7938" width="3.85546875" style="158" customWidth="1"/>
    <col min="7939" max="7939" width="5.28515625" style="158" customWidth="1"/>
    <col min="7940" max="7940" width="12.28515625" style="158" customWidth="1"/>
    <col min="7941" max="7941" width="15.7109375" style="158" customWidth="1"/>
    <col min="7942" max="7942" width="1.7109375" style="158" customWidth="1"/>
    <col min="7943" max="7943" width="5.28515625" style="158" customWidth="1"/>
    <col min="7944" max="7944" width="15.7109375" style="158" customWidth="1"/>
    <col min="7945" max="7945" width="9.7109375" style="158" customWidth="1"/>
    <col min="7946" max="7946" width="6.28515625" style="158" customWidth="1"/>
    <col min="7947" max="7947" width="80.7109375" style="158" customWidth="1"/>
    <col min="7948" max="8192" width="9.140625" style="158"/>
    <col min="8193" max="8194" width="3.85546875" style="158" customWidth="1"/>
    <col min="8195" max="8195" width="5.28515625" style="158" customWidth="1"/>
    <col min="8196" max="8196" width="12.28515625" style="158" customWidth="1"/>
    <col min="8197" max="8197" width="15.7109375" style="158" customWidth="1"/>
    <col min="8198" max="8198" width="1.7109375" style="158" customWidth="1"/>
    <col min="8199" max="8199" width="5.28515625" style="158" customWidth="1"/>
    <col min="8200" max="8200" width="15.7109375" style="158" customWidth="1"/>
    <col min="8201" max="8201" width="9.7109375" style="158" customWidth="1"/>
    <col min="8202" max="8202" width="6.28515625" style="158" customWidth="1"/>
    <col min="8203" max="8203" width="80.7109375" style="158" customWidth="1"/>
    <col min="8204" max="8448" width="9.140625" style="158"/>
    <col min="8449" max="8450" width="3.85546875" style="158" customWidth="1"/>
    <col min="8451" max="8451" width="5.28515625" style="158" customWidth="1"/>
    <col min="8452" max="8452" width="12.28515625" style="158" customWidth="1"/>
    <col min="8453" max="8453" width="15.7109375" style="158" customWidth="1"/>
    <col min="8454" max="8454" width="1.7109375" style="158" customWidth="1"/>
    <col min="8455" max="8455" width="5.28515625" style="158" customWidth="1"/>
    <col min="8456" max="8456" width="15.7109375" style="158" customWidth="1"/>
    <col min="8457" max="8457" width="9.7109375" style="158" customWidth="1"/>
    <col min="8458" max="8458" width="6.28515625" style="158" customWidth="1"/>
    <col min="8459" max="8459" width="80.7109375" style="158" customWidth="1"/>
    <col min="8460" max="8704" width="9.140625" style="158"/>
    <col min="8705" max="8706" width="3.85546875" style="158" customWidth="1"/>
    <col min="8707" max="8707" width="5.28515625" style="158" customWidth="1"/>
    <col min="8708" max="8708" width="12.28515625" style="158" customWidth="1"/>
    <col min="8709" max="8709" width="15.7109375" style="158" customWidth="1"/>
    <col min="8710" max="8710" width="1.7109375" style="158" customWidth="1"/>
    <col min="8711" max="8711" width="5.28515625" style="158" customWidth="1"/>
    <col min="8712" max="8712" width="15.7109375" style="158" customWidth="1"/>
    <col min="8713" max="8713" width="9.7109375" style="158" customWidth="1"/>
    <col min="8714" max="8714" width="6.28515625" style="158" customWidth="1"/>
    <col min="8715" max="8715" width="80.7109375" style="158" customWidth="1"/>
    <col min="8716" max="8960" width="9.140625" style="158"/>
    <col min="8961" max="8962" width="3.85546875" style="158" customWidth="1"/>
    <col min="8963" max="8963" width="5.28515625" style="158" customWidth="1"/>
    <col min="8964" max="8964" width="12.28515625" style="158" customWidth="1"/>
    <col min="8965" max="8965" width="15.7109375" style="158" customWidth="1"/>
    <col min="8966" max="8966" width="1.7109375" style="158" customWidth="1"/>
    <col min="8967" max="8967" width="5.28515625" style="158" customWidth="1"/>
    <col min="8968" max="8968" width="15.7109375" style="158" customWidth="1"/>
    <col min="8969" max="8969" width="9.7109375" style="158" customWidth="1"/>
    <col min="8970" max="8970" width="6.28515625" style="158" customWidth="1"/>
    <col min="8971" max="8971" width="80.7109375" style="158" customWidth="1"/>
    <col min="8972" max="9216" width="9.140625" style="158"/>
    <col min="9217" max="9218" width="3.85546875" style="158" customWidth="1"/>
    <col min="9219" max="9219" width="5.28515625" style="158" customWidth="1"/>
    <col min="9220" max="9220" width="12.28515625" style="158" customWidth="1"/>
    <col min="9221" max="9221" width="15.7109375" style="158" customWidth="1"/>
    <col min="9222" max="9222" width="1.7109375" style="158" customWidth="1"/>
    <col min="9223" max="9223" width="5.28515625" style="158" customWidth="1"/>
    <col min="9224" max="9224" width="15.7109375" style="158" customWidth="1"/>
    <col min="9225" max="9225" width="9.7109375" style="158" customWidth="1"/>
    <col min="9226" max="9226" width="6.28515625" style="158" customWidth="1"/>
    <col min="9227" max="9227" width="80.7109375" style="158" customWidth="1"/>
    <col min="9228" max="9472" width="9.140625" style="158"/>
    <col min="9473" max="9474" width="3.85546875" style="158" customWidth="1"/>
    <col min="9475" max="9475" width="5.28515625" style="158" customWidth="1"/>
    <col min="9476" max="9476" width="12.28515625" style="158" customWidth="1"/>
    <col min="9477" max="9477" width="15.7109375" style="158" customWidth="1"/>
    <col min="9478" max="9478" width="1.7109375" style="158" customWidth="1"/>
    <col min="9479" max="9479" width="5.28515625" style="158" customWidth="1"/>
    <col min="9480" max="9480" width="15.7109375" style="158" customWidth="1"/>
    <col min="9481" max="9481" width="9.7109375" style="158" customWidth="1"/>
    <col min="9482" max="9482" width="6.28515625" style="158" customWidth="1"/>
    <col min="9483" max="9483" width="80.7109375" style="158" customWidth="1"/>
    <col min="9484" max="9728" width="9.140625" style="158"/>
    <col min="9729" max="9730" width="3.85546875" style="158" customWidth="1"/>
    <col min="9731" max="9731" width="5.28515625" style="158" customWidth="1"/>
    <col min="9732" max="9732" width="12.28515625" style="158" customWidth="1"/>
    <col min="9733" max="9733" width="15.7109375" style="158" customWidth="1"/>
    <col min="9734" max="9734" width="1.7109375" style="158" customWidth="1"/>
    <col min="9735" max="9735" width="5.28515625" style="158" customWidth="1"/>
    <col min="9736" max="9736" width="15.7109375" style="158" customWidth="1"/>
    <col min="9737" max="9737" width="9.7109375" style="158" customWidth="1"/>
    <col min="9738" max="9738" width="6.28515625" style="158" customWidth="1"/>
    <col min="9739" max="9739" width="80.7109375" style="158" customWidth="1"/>
    <col min="9740" max="9984" width="9.140625" style="158"/>
    <col min="9985" max="9986" width="3.85546875" style="158" customWidth="1"/>
    <col min="9987" max="9987" width="5.28515625" style="158" customWidth="1"/>
    <col min="9988" max="9988" width="12.28515625" style="158" customWidth="1"/>
    <col min="9989" max="9989" width="15.7109375" style="158" customWidth="1"/>
    <col min="9990" max="9990" width="1.7109375" style="158" customWidth="1"/>
    <col min="9991" max="9991" width="5.28515625" style="158" customWidth="1"/>
    <col min="9992" max="9992" width="15.7109375" style="158" customWidth="1"/>
    <col min="9993" max="9993" width="9.7109375" style="158" customWidth="1"/>
    <col min="9994" max="9994" width="6.28515625" style="158" customWidth="1"/>
    <col min="9995" max="9995" width="80.7109375" style="158" customWidth="1"/>
    <col min="9996" max="10240" width="9.140625" style="158"/>
    <col min="10241" max="10242" width="3.85546875" style="158" customWidth="1"/>
    <col min="10243" max="10243" width="5.28515625" style="158" customWidth="1"/>
    <col min="10244" max="10244" width="12.28515625" style="158" customWidth="1"/>
    <col min="10245" max="10245" width="15.7109375" style="158" customWidth="1"/>
    <col min="10246" max="10246" width="1.7109375" style="158" customWidth="1"/>
    <col min="10247" max="10247" width="5.28515625" style="158" customWidth="1"/>
    <col min="10248" max="10248" width="15.7109375" style="158" customWidth="1"/>
    <col min="10249" max="10249" width="9.7109375" style="158" customWidth="1"/>
    <col min="10250" max="10250" width="6.28515625" style="158" customWidth="1"/>
    <col min="10251" max="10251" width="80.7109375" style="158" customWidth="1"/>
    <col min="10252" max="10496" width="9.140625" style="158"/>
    <col min="10497" max="10498" width="3.85546875" style="158" customWidth="1"/>
    <col min="10499" max="10499" width="5.28515625" style="158" customWidth="1"/>
    <col min="10500" max="10500" width="12.28515625" style="158" customWidth="1"/>
    <col min="10501" max="10501" width="15.7109375" style="158" customWidth="1"/>
    <col min="10502" max="10502" width="1.7109375" style="158" customWidth="1"/>
    <col min="10503" max="10503" width="5.28515625" style="158" customWidth="1"/>
    <col min="10504" max="10504" width="15.7109375" style="158" customWidth="1"/>
    <col min="10505" max="10505" width="9.7109375" style="158" customWidth="1"/>
    <col min="10506" max="10506" width="6.28515625" style="158" customWidth="1"/>
    <col min="10507" max="10507" width="80.7109375" style="158" customWidth="1"/>
    <col min="10508" max="10752" width="9.140625" style="158"/>
    <col min="10753" max="10754" width="3.85546875" style="158" customWidth="1"/>
    <col min="10755" max="10755" width="5.28515625" style="158" customWidth="1"/>
    <col min="10756" max="10756" width="12.28515625" style="158" customWidth="1"/>
    <col min="10757" max="10757" width="15.7109375" style="158" customWidth="1"/>
    <col min="10758" max="10758" width="1.7109375" style="158" customWidth="1"/>
    <col min="10759" max="10759" width="5.28515625" style="158" customWidth="1"/>
    <col min="10760" max="10760" width="15.7109375" style="158" customWidth="1"/>
    <col min="10761" max="10761" width="9.7109375" style="158" customWidth="1"/>
    <col min="10762" max="10762" width="6.28515625" style="158" customWidth="1"/>
    <col min="10763" max="10763" width="80.7109375" style="158" customWidth="1"/>
    <col min="10764" max="11008" width="9.140625" style="158"/>
    <col min="11009" max="11010" width="3.85546875" style="158" customWidth="1"/>
    <col min="11011" max="11011" width="5.28515625" style="158" customWidth="1"/>
    <col min="11012" max="11012" width="12.28515625" style="158" customWidth="1"/>
    <col min="11013" max="11013" width="15.7109375" style="158" customWidth="1"/>
    <col min="11014" max="11014" width="1.7109375" style="158" customWidth="1"/>
    <col min="11015" max="11015" width="5.28515625" style="158" customWidth="1"/>
    <col min="11016" max="11016" width="15.7109375" style="158" customWidth="1"/>
    <col min="11017" max="11017" width="9.7109375" style="158" customWidth="1"/>
    <col min="11018" max="11018" width="6.28515625" style="158" customWidth="1"/>
    <col min="11019" max="11019" width="80.7109375" style="158" customWidth="1"/>
    <col min="11020" max="11264" width="9.140625" style="158"/>
    <col min="11265" max="11266" width="3.85546875" style="158" customWidth="1"/>
    <col min="11267" max="11267" width="5.28515625" style="158" customWidth="1"/>
    <col min="11268" max="11268" width="12.28515625" style="158" customWidth="1"/>
    <col min="11269" max="11269" width="15.7109375" style="158" customWidth="1"/>
    <col min="11270" max="11270" width="1.7109375" style="158" customWidth="1"/>
    <col min="11271" max="11271" width="5.28515625" style="158" customWidth="1"/>
    <col min="11272" max="11272" width="15.7109375" style="158" customWidth="1"/>
    <col min="11273" max="11273" width="9.7109375" style="158" customWidth="1"/>
    <col min="11274" max="11274" width="6.28515625" style="158" customWidth="1"/>
    <col min="11275" max="11275" width="80.7109375" style="158" customWidth="1"/>
    <col min="11276" max="11520" width="9.140625" style="158"/>
    <col min="11521" max="11522" width="3.85546875" style="158" customWidth="1"/>
    <col min="11523" max="11523" width="5.28515625" style="158" customWidth="1"/>
    <col min="11524" max="11524" width="12.28515625" style="158" customWidth="1"/>
    <col min="11525" max="11525" width="15.7109375" style="158" customWidth="1"/>
    <col min="11526" max="11526" width="1.7109375" style="158" customWidth="1"/>
    <col min="11527" max="11527" width="5.28515625" style="158" customWidth="1"/>
    <col min="11528" max="11528" width="15.7109375" style="158" customWidth="1"/>
    <col min="11529" max="11529" width="9.7109375" style="158" customWidth="1"/>
    <col min="11530" max="11530" width="6.28515625" style="158" customWidth="1"/>
    <col min="11531" max="11531" width="80.7109375" style="158" customWidth="1"/>
    <col min="11532" max="11776" width="9.140625" style="158"/>
    <col min="11777" max="11778" width="3.85546875" style="158" customWidth="1"/>
    <col min="11779" max="11779" width="5.28515625" style="158" customWidth="1"/>
    <col min="11780" max="11780" width="12.28515625" style="158" customWidth="1"/>
    <col min="11781" max="11781" width="15.7109375" style="158" customWidth="1"/>
    <col min="11782" max="11782" width="1.7109375" style="158" customWidth="1"/>
    <col min="11783" max="11783" width="5.28515625" style="158" customWidth="1"/>
    <col min="11784" max="11784" width="15.7109375" style="158" customWidth="1"/>
    <col min="11785" max="11785" width="9.7109375" style="158" customWidth="1"/>
    <col min="11786" max="11786" width="6.28515625" style="158" customWidth="1"/>
    <col min="11787" max="11787" width="80.7109375" style="158" customWidth="1"/>
    <col min="11788" max="12032" width="9.140625" style="158"/>
    <col min="12033" max="12034" width="3.85546875" style="158" customWidth="1"/>
    <col min="12035" max="12035" width="5.28515625" style="158" customWidth="1"/>
    <col min="12036" max="12036" width="12.28515625" style="158" customWidth="1"/>
    <col min="12037" max="12037" width="15.7109375" style="158" customWidth="1"/>
    <col min="12038" max="12038" width="1.7109375" style="158" customWidth="1"/>
    <col min="12039" max="12039" width="5.28515625" style="158" customWidth="1"/>
    <col min="12040" max="12040" width="15.7109375" style="158" customWidth="1"/>
    <col min="12041" max="12041" width="9.7109375" style="158" customWidth="1"/>
    <col min="12042" max="12042" width="6.28515625" style="158" customWidth="1"/>
    <col min="12043" max="12043" width="80.7109375" style="158" customWidth="1"/>
    <col min="12044" max="12288" width="9.140625" style="158"/>
    <col min="12289" max="12290" width="3.85546875" style="158" customWidth="1"/>
    <col min="12291" max="12291" width="5.28515625" style="158" customWidth="1"/>
    <col min="12292" max="12292" width="12.28515625" style="158" customWidth="1"/>
    <col min="12293" max="12293" width="15.7109375" style="158" customWidth="1"/>
    <col min="12294" max="12294" width="1.7109375" style="158" customWidth="1"/>
    <col min="12295" max="12295" width="5.28515625" style="158" customWidth="1"/>
    <col min="12296" max="12296" width="15.7109375" style="158" customWidth="1"/>
    <col min="12297" max="12297" width="9.7109375" style="158" customWidth="1"/>
    <col min="12298" max="12298" width="6.28515625" style="158" customWidth="1"/>
    <col min="12299" max="12299" width="80.7109375" style="158" customWidth="1"/>
    <col min="12300" max="12544" width="9.140625" style="158"/>
    <col min="12545" max="12546" width="3.85546875" style="158" customWidth="1"/>
    <col min="12547" max="12547" width="5.28515625" style="158" customWidth="1"/>
    <col min="12548" max="12548" width="12.28515625" style="158" customWidth="1"/>
    <col min="12549" max="12549" width="15.7109375" style="158" customWidth="1"/>
    <col min="12550" max="12550" width="1.7109375" style="158" customWidth="1"/>
    <col min="12551" max="12551" width="5.28515625" style="158" customWidth="1"/>
    <col min="12552" max="12552" width="15.7109375" style="158" customWidth="1"/>
    <col min="12553" max="12553" width="9.7109375" style="158" customWidth="1"/>
    <col min="12554" max="12554" width="6.28515625" style="158" customWidth="1"/>
    <col min="12555" max="12555" width="80.7109375" style="158" customWidth="1"/>
    <col min="12556" max="12800" width="9.140625" style="158"/>
    <col min="12801" max="12802" width="3.85546875" style="158" customWidth="1"/>
    <col min="12803" max="12803" width="5.28515625" style="158" customWidth="1"/>
    <col min="12804" max="12804" width="12.28515625" style="158" customWidth="1"/>
    <col min="12805" max="12805" width="15.7109375" style="158" customWidth="1"/>
    <col min="12806" max="12806" width="1.7109375" style="158" customWidth="1"/>
    <col min="12807" max="12807" width="5.28515625" style="158" customWidth="1"/>
    <col min="12808" max="12808" width="15.7109375" style="158" customWidth="1"/>
    <col min="12809" max="12809" width="9.7109375" style="158" customWidth="1"/>
    <col min="12810" max="12810" width="6.28515625" style="158" customWidth="1"/>
    <col min="12811" max="12811" width="80.7109375" style="158" customWidth="1"/>
    <col min="12812" max="13056" width="9.140625" style="158"/>
    <col min="13057" max="13058" width="3.85546875" style="158" customWidth="1"/>
    <col min="13059" max="13059" width="5.28515625" style="158" customWidth="1"/>
    <col min="13060" max="13060" width="12.28515625" style="158" customWidth="1"/>
    <col min="13061" max="13061" width="15.7109375" style="158" customWidth="1"/>
    <col min="13062" max="13062" width="1.7109375" style="158" customWidth="1"/>
    <col min="13063" max="13063" width="5.28515625" style="158" customWidth="1"/>
    <col min="13064" max="13064" width="15.7109375" style="158" customWidth="1"/>
    <col min="13065" max="13065" width="9.7109375" style="158" customWidth="1"/>
    <col min="13066" max="13066" width="6.28515625" style="158" customWidth="1"/>
    <col min="13067" max="13067" width="80.7109375" style="158" customWidth="1"/>
    <col min="13068" max="13312" width="9.140625" style="158"/>
    <col min="13313" max="13314" width="3.85546875" style="158" customWidth="1"/>
    <col min="13315" max="13315" width="5.28515625" style="158" customWidth="1"/>
    <col min="13316" max="13316" width="12.28515625" style="158" customWidth="1"/>
    <col min="13317" max="13317" width="15.7109375" style="158" customWidth="1"/>
    <col min="13318" max="13318" width="1.7109375" style="158" customWidth="1"/>
    <col min="13319" max="13319" width="5.28515625" style="158" customWidth="1"/>
    <col min="13320" max="13320" width="15.7109375" style="158" customWidth="1"/>
    <col min="13321" max="13321" width="9.7109375" style="158" customWidth="1"/>
    <col min="13322" max="13322" width="6.28515625" style="158" customWidth="1"/>
    <col min="13323" max="13323" width="80.7109375" style="158" customWidth="1"/>
    <col min="13324" max="13568" width="9.140625" style="158"/>
    <col min="13569" max="13570" width="3.85546875" style="158" customWidth="1"/>
    <col min="13571" max="13571" width="5.28515625" style="158" customWidth="1"/>
    <col min="13572" max="13572" width="12.28515625" style="158" customWidth="1"/>
    <col min="13573" max="13573" width="15.7109375" style="158" customWidth="1"/>
    <col min="13574" max="13574" width="1.7109375" style="158" customWidth="1"/>
    <col min="13575" max="13575" width="5.28515625" style="158" customWidth="1"/>
    <col min="13576" max="13576" width="15.7109375" style="158" customWidth="1"/>
    <col min="13577" max="13577" width="9.7109375" style="158" customWidth="1"/>
    <col min="13578" max="13578" width="6.28515625" style="158" customWidth="1"/>
    <col min="13579" max="13579" width="80.7109375" style="158" customWidth="1"/>
    <col min="13580" max="13824" width="9.140625" style="158"/>
    <col min="13825" max="13826" width="3.85546875" style="158" customWidth="1"/>
    <col min="13827" max="13827" width="5.28515625" style="158" customWidth="1"/>
    <col min="13828" max="13828" width="12.28515625" style="158" customWidth="1"/>
    <col min="13829" max="13829" width="15.7109375" style="158" customWidth="1"/>
    <col min="13830" max="13830" width="1.7109375" style="158" customWidth="1"/>
    <col min="13831" max="13831" width="5.28515625" style="158" customWidth="1"/>
    <col min="13832" max="13832" width="15.7109375" style="158" customWidth="1"/>
    <col min="13833" max="13833" width="9.7109375" style="158" customWidth="1"/>
    <col min="13834" max="13834" width="6.28515625" style="158" customWidth="1"/>
    <col min="13835" max="13835" width="80.7109375" style="158" customWidth="1"/>
    <col min="13836" max="14080" width="9.140625" style="158"/>
    <col min="14081" max="14082" width="3.85546875" style="158" customWidth="1"/>
    <col min="14083" max="14083" width="5.28515625" style="158" customWidth="1"/>
    <col min="14084" max="14084" width="12.28515625" style="158" customWidth="1"/>
    <col min="14085" max="14085" width="15.7109375" style="158" customWidth="1"/>
    <col min="14086" max="14086" width="1.7109375" style="158" customWidth="1"/>
    <col min="14087" max="14087" width="5.28515625" style="158" customWidth="1"/>
    <col min="14088" max="14088" width="15.7109375" style="158" customWidth="1"/>
    <col min="14089" max="14089" width="9.7109375" style="158" customWidth="1"/>
    <col min="14090" max="14090" width="6.28515625" style="158" customWidth="1"/>
    <col min="14091" max="14091" width="80.7109375" style="158" customWidth="1"/>
    <col min="14092" max="14336" width="9.140625" style="158"/>
    <col min="14337" max="14338" width="3.85546875" style="158" customWidth="1"/>
    <col min="14339" max="14339" width="5.28515625" style="158" customWidth="1"/>
    <col min="14340" max="14340" width="12.28515625" style="158" customWidth="1"/>
    <col min="14341" max="14341" width="15.7109375" style="158" customWidth="1"/>
    <col min="14342" max="14342" width="1.7109375" style="158" customWidth="1"/>
    <col min="14343" max="14343" width="5.28515625" style="158" customWidth="1"/>
    <col min="14344" max="14344" width="15.7109375" style="158" customWidth="1"/>
    <col min="14345" max="14345" width="9.7109375" style="158" customWidth="1"/>
    <col min="14346" max="14346" width="6.28515625" style="158" customWidth="1"/>
    <col min="14347" max="14347" width="80.7109375" style="158" customWidth="1"/>
    <col min="14348" max="14592" width="9.140625" style="158"/>
    <col min="14593" max="14594" width="3.85546875" style="158" customWidth="1"/>
    <col min="14595" max="14595" width="5.28515625" style="158" customWidth="1"/>
    <col min="14596" max="14596" width="12.28515625" style="158" customWidth="1"/>
    <col min="14597" max="14597" width="15.7109375" style="158" customWidth="1"/>
    <col min="14598" max="14598" width="1.7109375" style="158" customWidth="1"/>
    <col min="14599" max="14599" width="5.28515625" style="158" customWidth="1"/>
    <col min="14600" max="14600" width="15.7109375" style="158" customWidth="1"/>
    <col min="14601" max="14601" width="9.7109375" style="158" customWidth="1"/>
    <col min="14602" max="14602" width="6.28515625" style="158" customWidth="1"/>
    <col min="14603" max="14603" width="80.7109375" style="158" customWidth="1"/>
    <col min="14604" max="14848" width="9.140625" style="158"/>
    <col min="14849" max="14850" width="3.85546875" style="158" customWidth="1"/>
    <col min="14851" max="14851" width="5.28515625" style="158" customWidth="1"/>
    <col min="14852" max="14852" width="12.28515625" style="158" customWidth="1"/>
    <col min="14853" max="14853" width="15.7109375" style="158" customWidth="1"/>
    <col min="14854" max="14854" width="1.7109375" style="158" customWidth="1"/>
    <col min="14855" max="14855" width="5.28515625" style="158" customWidth="1"/>
    <col min="14856" max="14856" width="15.7109375" style="158" customWidth="1"/>
    <col min="14857" max="14857" width="9.7109375" style="158" customWidth="1"/>
    <col min="14858" max="14858" width="6.28515625" style="158" customWidth="1"/>
    <col min="14859" max="14859" width="80.7109375" style="158" customWidth="1"/>
    <col min="14860" max="15104" width="9.140625" style="158"/>
    <col min="15105" max="15106" width="3.85546875" style="158" customWidth="1"/>
    <col min="15107" max="15107" width="5.28515625" style="158" customWidth="1"/>
    <col min="15108" max="15108" width="12.28515625" style="158" customWidth="1"/>
    <col min="15109" max="15109" width="15.7109375" style="158" customWidth="1"/>
    <col min="15110" max="15110" width="1.7109375" style="158" customWidth="1"/>
    <col min="15111" max="15111" width="5.28515625" style="158" customWidth="1"/>
    <col min="15112" max="15112" width="15.7109375" style="158" customWidth="1"/>
    <col min="15113" max="15113" width="9.7109375" style="158" customWidth="1"/>
    <col min="15114" max="15114" width="6.28515625" style="158" customWidth="1"/>
    <col min="15115" max="15115" width="80.7109375" style="158" customWidth="1"/>
    <col min="15116" max="15360" width="9.140625" style="158"/>
    <col min="15361" max="15362" width="3.85546875" style="158" customWidth="1"/>
    <col min="15363" max="15363" width="5.28515625" style="158" customWidth="1"/>
    <col min="15364" max="15364" width="12.28515625" style="158" customWidth="1"/>
    <col min="15365" max="15365" width="15.7109375" style="158" customWidth="1"/>
    <col min="15366" max="15366" width="1.7109375" style="158" customWidth="1"/>
    <col min="15367" max="15367" width="5.28515625" style="158" customWidth="1"/>
    <col min="15368" max="15368" width="15.7109375" style="158" customWidth="1"/>
    <col min="15369" max="15369" width="9.7109375" style="158" customWidth="1"/>
    <col min="15370" max="15370" width="6.28515625" style="158" customWidth="1"/>
    <col min="15371" max="15371" width="80.7109375" style="158" customWidth="1"/>
    <col min="15372" max="15616" width="9.140625" style="158"/>
    <col min="15617" max="15618" width="3.85546875" style="158" customWidth="1"/>
    <col min="15619" max="15619" width="5.28515625" style="158" customWidth="1"/>
    <col min="15620" max="15620" width="12.28515625" style="158" customWidth="1"/>
    <col min="15621" max="15621" width="15.7109375" style="158" customWidth="1"/>
    <col min="15622" max="15622" width="1.7109375" style="158" customWidth="1"/>
    <col min="15623" max="15623" width="5.28515625" style="158" customWidth="1"/>
    <col min="15624" max="15624" width="15.7109375" style="158" customWidth="1"/>
    <col min="15625" max="15625" width="9.7109375" style="158" customWidth="1"/>
    <col min="15626" max="15626" width="6.28515625" style="158" customWidth="1"/>
    <col min="15627" max="15627" width="80.7109375" style="158" customWidth="1"/>
    <col min="15628" max="15872" width="9.140625" style="158"/>
    <col min="15873" max="15874" width="3.85546875" style="158" customWidth="1"/>
    <col min="15875" max="15875" width="5.28515625" style="158" customWidth="1"/>
    <col min="15876" max="15876" width="12.28515625" style="158" customWidth="1"/>
    <col min="15877" max="15877" width="15.7109375" style="158" customWidth="1"/>
    <col min="15878" max="15878" width="1.7109375" style="158" customWidth="1"/>
    <col min="15879" max="15879" width="5.28515625" style="158" customWidth="1"/>
    <col min="15880" max="15880" width="15.7109375" style="158" customWidth="1"/>
    <col min="15881" max="15881" width="9.7109375" style="158" customWidth="1"/>
    <col min="15882" max="15882" width="6.28515625" style="158" customWidth="1"/>
    <col min="15883" max="15883" width="80.7109375" style="158" customWidth="1"/>
    <col min="15884" max="16128" width="9.140625" style="158"/>
    <col min="16129" max="16130" width="3.85546875" style="158" customWidth="1"/>
    <col min="16131" max="16131" width="5.28515625" style="158" customWidth="1"/>
    <col min="16132" max="16132" width="12.28515625" style="158" customWidth="1"/>
    <col min="16133" max="16133" width="15.7109375" style="158" customWidth="1"/>
    <col min="16134" max="16134" width="1.7109375" style="158" customWidth="1"/>
    <col min="16135" max="16135" width="5.28515625" style="158" customWidth="1"/>
    <col min="16136" max="16136" width="15.7109375" style="158" customWidth="1"/>
    <col min="16137" max="16137" width="9.7109375" style="158" customWidth="1"/>
    <col min="16138" max="16138" width="6.28515625" style="158" customWidth="1"/>
    <col min="16139" max="16139" width="80.7109375" style="158" customWidth="1"/>
    <col min="16140" max="16384" width="9.140625" style="158"/>
  </cols>
  <sheetData>
    <row r="1" spans="5:6">
      <c r="E1" s="157"/>
    </row>
    <row r="2" spans="5:6">
      <c r="F2" s="159" t="s">
        <v>183</v>
      </c>
    </row>
    <row r="3" spans="5:6">
      <c r="F3" s="160" t="s">
        <v>184</v>
      </c>
    </row>
    <row r="4" spans="5:6">
      <c r="F4" s="160" t="s">
        <v>185</v>
      </c>
    </row>
    <row r="77" spans="1:10">
      <c r="A77" s="161" t="s">
        <v>186</v>
      </c>
      <c r="J77" s="162" t="s">
        <v>187</v>
      </c>
    </row>
    <row r="79" spans="1:10">
      <c r="B79" s="163" t="s">
        <v>188</v>
      </c>
    </row>
    <row r="80" spans="1:10">
      <c r="C80" s="163" t="s">
        <v>189</v>
      </c>
    </row>
    <row r="81" spans="2:8">
      <c r="C81" s="163" t="s">
        <v>190</v>
      </c>
    </row>
    <row r="82" spans="2:8">
      <c r="C82" s="163" t="s">
        <v>191</v>
      </c>
    </row>
    <row r="83" spans="2:8">
      <c r="C83" s="163" t="s">
        <v>192</v>
      </c>
    </row>
    <row r="84" spans="2:8">
      <c r="C84" s="163" t="s">
        <v>193</v>
      </c>
    </row>
    <row r="86" spans="2:8">
      <c r="B86" s="163" t="s">
        <v>194</v>
      </c>
      <c r="H86" s="164" t="s">
        <v>195</v>
      </c>
    </row>
    <row r="87" spans="2:8">
      <c r="C87" s="163" t="s">
        <v>196</v>
      </c>
      <c r="H87" s="158">
        <v>3000</v>
      </c>
    </row>
    <row r="88" spans="2:8">
      <c r="C88" s="163" t="s">
        <v>197</v>
      </c>
      <c r="H88" s="157">
        <v>1001057.5096647516</v>
      </c>
    </row>
    <row r="89" spans="2:8">
      <c r="C89" s="163" t="s">
        <v>198</v>
      </c>
      <c r="H89" s="157">
        <v>996582.48811658844</v>
      </c>
    </row>
    <row r="90" spans="2:8">
      <c r="C90" s="163" t="s">
        <v>199</v>
      </c>
      <c r="H90" s="165" t="s">
        <v>200</v>
      </c>
    </row>
    <row r="91" spans="2:8">
      <c r="C91" s="163" t="s">
        <v>201</v>
      </c>
      <c r="H91" s="157">
        <v>412471.71073802654</v>
      </c>
    </row>
    <row r="92" spans="2:8">
      <c r="C92" s="163" t="s">
        <v>202</v>
      </c>
      <c r="H92" s="166">
        <v>170132912159.15424</v>
      </c>
    </row>
    <row r="93" spans="2:8">
      <c r="C93" s="163" t="s">
        <v>203</v>
      </c>
      <c r="H93" s="167">
        <v>0.12093637880667643</v>
      </c>
    </row>
    <row r="94" spans="2:8">
      <c r="C94" s="163" t="s">
        <v>204</v>
      </c>
      <c r="H94" s="167">
        <v>2.990139882635547</v>
      </c>
    </row>
    <row r="95" spans="2:8">
      <c r="C95" s="163" t="s">
        <v>205</v>
      </c>
      <c r="H95" s="167">
        <v>0.41203597870831715</v>
      </c>
    </row>
    <row r="96" spans="2:8">
      <c r="C96" s="163" t="s">
        <v>206</v>
      </c>
      <c r="H96" s="157">
        <v>-206284.5011001589</v>
      </c>
    </row>
    <row r="97" spans="3:8">
      <c r="C97" s="163" t="s">
        <v>207</v>
      </c>
      <c r="H97" s="157">
        <v>2507604.7793555968</v>
      </c>
    </row>
    <row r="98" spans="3:8">
      <c r="C98" s="163" t="s">
        <v>208</v>
      </c>
      <c r="H98" s="157">
        <v>2713889.2804557555</v>
      </c>
    </row>
    <row r="99" spans="3:8">
      <c r="C99" s="163" t="s">
        <v>209</v>
      </c>
      <c r="H99" s="157">
        <v>7530.6686767987667</v>
      </c>
    </row>
    <row r="118" spans="1:10">
      <c r="A118" s="161" t="s">
        <v>210</v>
      </c>
      <c r="J118" s="162" t="s">
        <v>187</v>
      </c>
    </row>
    <row r="120" spans="1:10">
      <c r="B120" s="163" t="s">
        <v>211</v>
      </c>
    </row>
    <row r="122" spans="1:10">
      <c r="D122" s="164" t="s">
        <v>212</v>
      </c>
      <c r="H122" s="164" t="s">
        <v>213</v>
      </c>
    </row>
    <row r="123" spans="1:10">
      <c r="D123" s="168">
        <v>1</v>
      </c>
      <c r="H123" s="157">
        <v>-206284.5011001589</v>
      </c>
    </row>
    <row r="124" spans="1:10">
      <c r="D124" s="168">
        <v>0.9</v>
      </c>
      <c r="H124" s="157">
        <v>470621.6344890364</v>
      </c>
    </row>
    <row r="125" spans="1:10">
      <c r="D125" s="168">
        <v>0.8</v>
      </c>
      <c r="H125" s="157">
        <v>642825.73570236005</v>
      </c>
    </row>
    <row r="126" spans="1:10">
      <c r="D126" s="168">
        <v>0.7</v>
      </c>
      <c r="H126" s="157">
        <v>783628.5036544865</v>
      </c>
    </row>
    <row r="127" spans="1:10">
      <c r="D127" s="168">
        <v>0.6</v>
      </c>
      <c r="H127" s="157">
        <v>893619.48917595274</v>
      </c>
    </row>
    <row r="128" spans="1:10">
      <c r="D128" s="168">
        <v>0.5</v>
      </c>
      <c r="H128" s="157">
        <v>996582.48811658844</v>
      </c>
    </row>
    <row r="129" spans="1:10">
      <c r="D129" s="168">
        <v>0.4</v>
      </c>
      <c r="H129" s="157">
        <v>1104743.8606343716</v>
      </c>
    </row>
    <row r="130" spans="1:10">
      <c r="D130" s="168">
        <v>0.3</v>
      </c>
      <c r="H130" s="157">
        <v>1212928.5829462837</v>
      </c>
    </row>
    <row r="131" spans="1:10">
      <c r="D131" s="168">
        <v>0.2</v>
      </c>
      <c r="H131" s="157">
        <v>1337860.7055885424</v>
      </c>
    </row>
    <row r="132" spans="1:10">
      <c r="D132" s="168">
        <v>0.1</v>
      </c>
      <c r="H132" s="157">
        <v>1512004.1782330533</v>
      </c>
    </row>
    <row r="133" spans="1:10">
      <c r="D133" s="168">
        <v>0</v>
      </c>
      <c r="H133" s="157">
        <v>2507604.7793555968</v>
      </c>
    </row>
    <row r="135" spans="1:10">
      <c r="A135" s="163" t="s">
        <v>214</v>
      </c>
    </row>
    <row r="137" spans="1:10">
      <c r="F137" s="169" t="s">
        <v>215</v>
      </c>
    </row>
    <row r="140" spans="1:10">
      <c r="A140" s="161" t="s">
        <v>216</v>
      </c>
      <c r="J140" s="162" t="s">
        <v>217</v>
      </c>
    </row>
    <row r="142" spans="1:10">
      <c r="B142" s="163" t="s">
        <v>218</v>
      </c>
    </row>
    <row r="143" spans="1:10">
      <c r="C143" s="163" t="s">
        <v>219</v>
      </c>
      <c r="E143" s="167">
        <v>22500</v>
      </c>
    </row>
    <row r="144" spans="1:10">
      <c r="C144" s="163" t="s">
        <v>220</v>
      </c>
      <c r="E144" s="167">
        <v>25000</v>
      </c>
    </row>
    <row r="145" spans="1:10">
      <c r="C145" s="163" t="s">
        <v>221</v>
      </c>
      <c r="E145" s="167">
        <v>27500</v>
      </c>
    </row>
    <row r="147" spans="1:10">
      <c r="B147" s="163" t="s">
        <v>222</v>
      </c>
    </row>
    <row r="151" spans="1:10">
      <c r="A151" s="161" t="s">
        <v>223</v>
      </c>
      <c r="J151" s="162" t="s">
        <v>224</v>
      </c>
    </row>
    <row r="153" spans="1:10">
      <c r="B153" s="163" t="s">
        <v>218</v>
      </c>
    </row>
    <row r="154" spans="1:10">
      <c r="C154" s="163" t="s">
        <v>219</v>
      </c>
      <c r="E154" s="167">
        <v>42300</v>
      </c>
    </row>
    <row r="155" spans="1:10">
      <c r="C155" s="163" t="s">
        <v>220</v>
      </c>
      <c r="E155" s="167">
        <v>47000</v>
      </c>
    </row>
    <row r="156" spans="1:10">
      <c r="C156" s="163" t="s">
        <v>221</v>
      </c>
      <c r="E156" s="167">
        <v>51700</v>
      </c>
    </row>
    <row r="158" spans="1:10">
      <c r="B158" s="163" t="s">
        <v>225</v>
      </c>
    </row>
    <row r="162" spans="1:10">
      <c r="A162" s="161" t="s">
        <v>226</v>
      </c>
      <c r="J162" s="162" t="s">
        <v>227</v>
      </c>
    </row>
    <row r="164" spans="1:10">
      <c r="B164" s="163" t="s">
        <v>218</v>
      </c>
    </row>
    <row r="165" spans="1:10">
      <c r="C165" s="163" t="s">
        <v>219</v>
      </c>
      <c r="E165" s="167">
        <v>23400</v>
      </c>
    </row>
    <row r="166" spans="1:10">
      <c r="C166" s="163" t="s">
        <v>220</v>
      </c>
      <c r="E166" s="167">
        <v>26000</v>
      </c>
    </row>
    <row r="167" spans="1:10">
      <c r="C167" s="163" t="s">
        <v>221</v>
      </c>
      <c r="E167" s="167">
        <v>28600</v>
      </c>
    </row>
    <row r="169" spans="1:10">
      <c r="B169" s="163" t="s">
        <v>228</v>
      </c>
    </row>
    <row r="173" spans="1:10">
      <c r="A173" s="161" t="s">
        <v>229</v>
      </c>
      <c r="J173" s="162" t="s">
        <v>230</v>
      </c>
    </row>
    <row r="175" spans="1:10">
      <c r="B175" s="163" t="s">
        <v>231</v>
      </c>
    </row>
    <row r="176" spans="1:10">
      <c r="C176" s="163" t="s">
        <v>197</v>
      </c>
      <c r="E176" s="167">
        <v>85</v>
      </c>
    </row>
    <row r="177" spans="1:10">
      <c r="C177" s="163" t="s">
        <v>232</v>
      </c>
      <c r="E177" s="167">
        <v>8.5</v>
      </c>
    </row>
    <row r="179" spans="1:10">
      <c r="B179" s="163" t="s">
        <v>233</v>
      </c>
    </row>
    <row r="182" spans="1:10">
      <c r="A182" s="161" t="s">
        <v>234</v>
      </c>
      <c r="J182" s="162" t="s">
        <v>235</v>
      </c>
    </row>
    <row r="184" spans="1:10">
      <c r="B184" s="163" t="s">
        <v>231</v>
      </c>
    </row>
    <row r="185" spans="1:10">
      <c r="C185" s="163" t="s">
        <v>197</v>
      </c>
      <c r="E185" s="167">
        <v>500</v>
      </c>
    </row>
    <row r="186" spans="1:10">
      <c r="C186" s="163" t="s">
        <v>232</v>
      </c>
      <c r="E186" s="167">
        <v>50</v>
      </c>
    </row>
    <row r="188" spans="1:10">
      <c r="B188" s="163" t="s">
        <v>233</v>
      </c>
    </row>
    <row r="192" spans="1:10">
      <c r="A192" s="161" t="s">
        <v>236</v>
      </c>
      <c r="J192" s="162" t="s">
        <v>237</v>
      </c>
    </row>
    <row r="194" spans="1:10">
      <c r="B194" s="163" t="s">
        <v>231</v>
      </c>
    </row>
    <row r="195" spans="1:10">
      <c r="C195" s="163" t="s">
        <v>197</v>
      </c>
      <c r="E195" s="167">
        <v>180</v>
      </c>
    </row>
    <row r="196" spans="1:10">
      <c r="C196" s="163" t="s">
        <v>232</v>
      </c>
      <c r="E196" s="167">
        <v>18</v>
      </c>
    </row>
    <row r="198" spans="1:10">
      <c r="B198" s="163" t="s">
        <v>233</v>
      </c>
    </row>
    <row r="202" spans="1:10">
      <c r="A202" s="161" t="s">
        <v>238</v>
      </c>
      <c r="J202" s="162" t="s">
        <v>239</v>
      </c>
    </row>
    <row r="204" spans="1:10">
      <c r="B204" s="163" t="s">
        <v>231</v>
      </c>
    </row>
    <row r="205" spans="1:10">
      <c r="C205" s="163" t="s">
        <v>197</v>
      </c>
      <c r="E205" s="167">
        <v>1140</v>
      </c>
    </row>
    <row r="206" spans="1:10">
      <c r="C206" s="163" t="s">
        <v>232</v>
      </c>
      <c r="E206" s="167">
        <v>114</v>
      </c>
    </row>
    <row r="208" spans="1:10">
      <c r="B208" s="163" t="s">
        <v>233</v>
      </c>
    </row>
    <row r="212" spans="1:10">
      <c r="A212" s="161" t="s">
        <v>240</v>
      </c>
      <c r="J212" s="162" t="s">
        <v>241</v>
      </c>
    </row>
    <row r="214" spans="1:10">
      <c r="B214" s="163" t="s">
        <v>218</v>
      </c>
    </row>
    <row r="215" spans="1:10">
      <c r="C215" s="163" t="s">
        <v>219</v>
      </c>
      <c r="E215" s="157">
        <v>7.2</v>
      </c>
    </row>
    <row r="216" spans="1:10">
      <c r="C216" s="163" t="s">
        <v>220</v>
      </c>
      <c r="E216" s="157">
        <v>8</v>
      </c>
    </row>
    <row r="217" spans="1:10">
      <c r="C217" s="163" t="s">
        <v>221</v>
      </c>
      <c r="E217" s="157">
        <v>8.8000000000000007</v>
      </c>
    </row>
    <row r="219" spans="1:10">
      <c r="B219" s="163" t="s">
        <v>242</v>
      </c>
    </row>
    <row r="222" spans="1:10">
      <c r="A222" s="161" t="s">
        <v>243</v>
      </c>
      <c r="J222" s="162" t="s">
        <v>244</v>
      </c>
    </row>
    <row r="224" spans="1:10">
      <c r="B224" s="163" t="s">
        <v>218</v>
      </c>
    </row>
    <row r="225" spans="1:10">
      <c r="C225" s="163" t="s">
        <v>219</v>
      </c>
      <c r="E225" s="157">
        <v>4.5</v>
      </c>
    </row>
    <row r="226" spans="1:10">
      <c r="C226" s="163" t="s">
        <v>220</v>
      </c>
      <c r="E226" s="157">
        <v>5</v>
      </c>
    </row>
    <row r="227" spans="1:10">
      <c r="C227" s="163" t="s">
        <v>221</v>
      </c>
      <c r="E227" s="157">
        <v>5.5</v>
      </c>
    </row>
    <row r="229" spans="1:10">
      <c r="B229" s="163" t="s">
        <v>245</v>
      </c>
    </row>
    <row r="233" spans="1:10">
      <c r="A233" s="161" t="s">
        <v>246</v>
      </c>
      <c r="J233" s="162" t="s">
        <v>247</v>
      </c>
    </row>
    <row r="235" spans="1:10">
      <c r="B235" s="163" t="s">
        <v>218</v>
      </c>
    </row>
    <row r="236" spans="1:10">
      <c r="C236" s="163" t="s">
        <v>219</v>
      </c>
      <c r="E236" s="157">
        <v>9</v>
      </c>
    </row>
    <row r="237" spans="1:10">
      <c r="C237" s="163" t="s">
        <v>220</v>
      </c>
      <c r="E237" s="157">
        <v>10</v>
      </c>
    </row>
    <row r="238" spans="1:10">
      <c r="C238" s="163" t="s">
        <v>221</v>
      </c>
      <c r="E238" s="157">
        <v>11</v>
      </c>
    </row>
    <row r="240" spans="1:10">
      <c r="B240" s="163" t="s">
        <v>248</v>
      </c>
    </row>
    <row r="244" spans="1:10">
      <c r="A244" s="161" t="s">
        <v>249</v>
      </c>
      <c r="J244" s="162" t="s">
        <v>250</v>
      </c>
    </row>
    <row r="246" spans="1:10">
      <c r="B246" s="163" t="s">
        <v>231</v>
      </c>
    </row>
    <row r="247" spans="1:10">
      <c r="C247" s="163" t="s">
        <v>197</v>
      </c>
      <c r="E247" s="167">
        <v>98947.97</v>
      </c>
    </row>
    <row r="248" spans="1:10">
      <c r="C248" s="163" t="s">
        <v>232</v>
      </c>
      <c r="E248" s="167">
        <v>9894.7970000000005</v>
      </c>
    </row>
    <row r="250" spans="1:10">
      <c r="B250" s="163" t="s">
        <v>233</v>
      </c>
    </row>
    <row r="254" spans="1:10">
      <c r="A254" s="163" t="s">
        <v>251</v>
      </c>
    </row>
  </sheetData>
  <printOptions gridLinesSet="0"/>
  <pageMargins left="0.75" right="0.75" top="1" bottom="1" header="0.5" footer="0.5"/>
  <pageSetup paperSize="9" orientation="portrait" r:id="rId1"/>
  <headerFooter alignWithMargins="0">
    <oddHeader>&amp;F</oddHeader>
    <oddFooter>Page &amp;P</oddFooter>
  </headerFooter>
  <rowBreaks count="8" manualBreakCount="8">
    <brk id="26" max="65535" man="1"/>
    <brk id="50" max="65535" man="1"/>
    <brk id="75" max="65535" man="1"/>
    <brk id="116" max="65535" man="1"/>
    <brk id="135" max="65535" man="1"/>
    <brk id="180" max="65535" man="1"/>
    <brk id="220" max="65535" man="1"/>
    <brk id="254" max="65535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F20" sqref="F19:F20"/>
    </sheetView>
  </sheetViews>
  <sheetFormatPr baseColWidth="10" defaultColWidth="11.42578125" defaultRowHeight="15"/>
  <cols>
    <col min="1" max="1" width="7.7109375" customWidth="1"/>
    <col min="2" max="2" width="29.42578125" customWidth="1"/>
    <col min="3" max="4" width="13.85546875" customWidth="1"/>
    <col min="5" max="5" width="15" customWidth="1"/>
    <col min="6" max="8" width="12.5703125" bestFit="1" customWidth="1"/>
    <col min="9" max="9" width="12.42578125" customWidth="1"/>
    <col min="10" max="12" width="12.5703125" bestFit="1" customWidth="1"/>
    <col min="13" max="13" width="16" customWidth="1"/>
  </cols>
  <sheetData>
    <row r="1" spans="1:13">
      <c r="A1" s="20"/>
      <c r="B1" s="20"/>
      <c r="C1" s="20"/>
      <c r="D1" s="20"/>
      <c r="E1" s="20"/>
      <c r="F1" s="20"/>
    </row>
    <row r="2" spans="1:13" ht="15.75" thickBot="1">
      <c r="A2" s="44"/>
      <c r="B2" s="133" t="s">
        <v>48</v>
      </c>
      <c r="C2" s="133"/>
      <c r="D2" s="38"/>
      <c r="E2" s="38"/>
      <c r="F2" s="20"/>
    </row>
    <row r="3" spans="1:13" ht="15.75" thickBot="1">
      <c r="A3" s="44"/>
      <c r="B3" s="39" t="s">
        <v>87</v>
      </c>
      <c r="C3" s="39" t="s">
        <v>19</v>
      </c>
      <c r="D3" s="39" t="s">
        <v>4</v>
      </c>
      <c r="E3" s="44"/>
      <c r="F3" s="20"/>
    </row>
    <row r="4" spans="1:13" ht="15.75" thickBot="1">
      <c r="A4" s="44"/>
      <c r="B4" s="40" t="s">
        <v>3</v>
      </c>
      <c r="C4" s="41">
        <f>BALANCE!E20</f>
        <v>12200</v>
      </c>
      <c r="D4" s="41">
        <f>BALANCE!F20</f>
        <v>142800</v>
      </c>
      <c r="E4" s="44"/>
      <c r="F4" s="20"/>
      <c r="I4" s="134" t="s">
        <v>50</v>
      </c>
      <c r="J4" s="134"/>
      <c r="K4" s="134"/>
      <c r="L4" s="134"/>
      <c r="M4" s="134"/>
    </row>
    <row r="5" spans="1:13" ht="15.75" thickBot="1">
      <c r="A5" s="44"/>
      <c r="B5" s="42" t="s">
        <v>24</v>
      </c>
      <c r="C5" s="41">
        <v>480</v>
      </c>
      <c r="D5" s="41">
        <f t="shared" ref="D5:D11" si="0">C5*12</f>
        <v>5760</v>
      </c>
      <c r="E5" s="44"/>
      <c r="F5" s="20"/>
      <c r="I5" s="7" t="s">
        <v>56</v>
      </c>
      <c r="J5" s="7"/>
      <c r="K5" s="7" t="s">
        <v>57</v>
      </c>
      <c r="L5" s="7" t="s">
        <v>58</v>
      </c>
      <c r="M5" s="7" t="s">
        <v>59</v>
      </c>
    </row>
    <row r="6" spans="1:13" ht="15.75" thickBot="1">
      <c r="A6" s="44"/>
      <c r="B6" s="42" t="s">
        <v>104</v>
      </c>
      <c r="C6" s="41">
        <v>126.72</v>
      </c>
      <c r="D6" s="41">
        <f t="shared" si="0"/>
        <v>1520.6399999999999</v>
      </c>
      <c r="E6" s="47"/>
      <c r="F6" s="25"/>
      <c r="G6" s="5"/>
      <c r="I6" s="3" t="s">
        <v>51</v>
      </c>
      <c r="J6" s="3"/>
      <c r="K6" s="3">
        <v>30</v>
      </c>
      <c r="L6" s="3">
        <v>12.1</v>
      </c>
      <c r="M6" s="8">
        <f>L6*K6</f>
        <v>363</v>
      </c>
    </row>
    <row r="7" spans="1:13" ht="15.75" thickBot="1">
      <c r="A7" s="44"/>
      <c r="B7" s="42" t="s">
        <v>49</v>
      </c>
      <c r="C7" s="41">
        <v>1355</v>
      </c>
      <c r="D7" s="41">
        <f t="shared" si="0"/>
        <v>16260</v>
      </c>
      <c r="E7" s="44"/>
      <c r="F7" s="20"/>
      <c r="I7" s="3" t="s">
        <v>52</v>
      </c>
      <c r="J7" s="3"/>
      <c r="K7" s="3">
        <v>30</v>
      </c>
      <c r="L7" s="3">
        <f>28.8+(28.8*0.12)</f>
        <v>32.256</v>
      </c>
      <c r="M7" s="8">
        <f>L7*K7</f>
        <v>967.68000000000006</v>
      </c>
    </row>
    <row r="8" spans="1:13" ht="15.75" thickBot="1">
      <c r="A8" s="44"/>
      <c r="B8" s="42" t="s">
        <v>37</v>
      </c>
      <c r="C8" s="41">
        <v>300</v>
      </c>
      <c r="D8" s="41">
        <f t="shared" si="0"/>
        <v>3600</v>
      </c>
      <c r="E8" s="44"/>
      <c r="F8" s="20"/>
      <c r="I8" s="3" t="s">
        <v>160</v>
      </c>
      <c r="J8" s="3"/>
      <c r="K8" s="3">
        <v>4</v>
      </c>
      <c r="L8" s="126">
        <v>1140</v>
      </c>
      <c r="M8" s="8">
        <f>L8*K8</f>
        <v>4560</v>
      </c>
    </row>
    <row r="9" spans="1:13" ht="15.75" thickBot="1">
      <c r="A9" s="44"/>
      <c r="B9" s="42" t="s">
        <v>50</v>
      </c>
      <c r="C9" s="41">
        <f>M12</f>
        <v>19020.68</v>
      </c>
      <c r="D9" s="41">
        <f t="shared" si="0"/>
        <v>228248.16</v>
      </c>
      <c r="E9" s="44"/>
      <c r="F9" s="20"/>
      <c r="I9" s="3" t="s">
        <v>53</v>
      </c>
      <c r="J9" s="3"/>
      <c r="K9" s="3">
        <v>4</v>
      </c>
      <c r="L9" s="3">
        <v>650</v>
      </c>
      <c r="M9" s="8">
        <f>L9*K9</f>
        <v>2600</v>
      </c>
    </row>
    <row r="10" spans="1:13" ht="15.75" thickBot="1">
      <c r="A10" s="44"/>
      <c r="B10" s="42" t="s">
        <v>75</v>
      </c>
      <c r="C10" s="41">
        <v>600</v>
      </c>
      <c r="D10" s="41">
        <f t="shared" si="0"/>
        <v>7200</v>
      </c>
      <c r="E10" s="44"/>
      <c r="F10" s="20"/>
      <c r="I10" s="80" t="s">
        <v>161</v>
      </c>
      <c r="K10" s="80">
        <v>3</v>
      </c>
      <c r="L10" s="80">
        <v>3430</v>
      </c>
      <c r="M10" s="81">
        <f>L10*K10</f>
        <v>10290</v>
      </c>
    </row>
    <row r="11" spans="1:13" ht="15.75" thickBot="1">
      <c r="A11" s="44"/>
      <c r="B11" s="42" t="s">
        <v>82</v>
      </c>
      <c r="C11" s="41">
        <v>114.9</v>
      </c>
      <c r="D11" s="41">
        <f t="shared" si="0"/>
        <v>1378.8000000000002</v>
      </c>
      <c r="E11" s="44"/>
      <c r="F11" s="20"/>
      <c r="I11" s="3" t="s">
        <v>54</v>
      </c>
      <c r="J11" s="3"/>
      <c r="K11" s="3">
        <v>2000</v>
      </c>
      <c r="L11" s="3">
        <v>240</v>
      </c>
      <c r="M11" s="8">
        <f>L11</f>
        <v>240</v>
      </c>
    </row>
    <row r="12" spans="1:13" ht="15.75" thickBot="1">
      <c r="A12" s="44"/>
      <c r="B12" s="42" t="s">
        <v>83</v>
      </c>
      <c r="C12" s="41"/>
      <c r="D12" s="41">
        <v>495</v>
      </c>
      <c r="E12" s="44"/>
      <c r="F12" s="20"/>
      <c r="I12" s="3" t="s">
        <v>10</v>
      </c>
      <c r="J12" s="3"/>
      <c r="K12" s="3"/>
      <c r="L12" s="3"/>
      <c r="M12" s="8">
        <f>SUM(M6:M11)</f>
        <v>19020.68</v>
      </c>
    </row>
    <row r="13" spans="1:13" ht="15.75" thickBot="1">
      <c r="A13" s="44"/>
      <c r="B13" s="42" t="s">
        <v>85</v>
      </c>
      <c r="C13" s="41">
        <v>200</v>
      </c>
      <c r="D13" s="41">
        <f>C13*12</f>
        <v>2400</v>
      </c>
      <c r="E13" s="44"/>
      <c r="F13" s="20"/>
      <c r="I13" s="16"/>
      <c r="J13" s="16"/>
      <c r="K13" s="16"/>
      <c r="L13" s="16"/>
      <c r="M13" s="17"/>
    </row>
    <row r="14" spans="1:13" ht="15.75" thickBot="1">
      <c r="A14" s="44"/>
      <c r="B14" s="42" t="s">
        <v>107</v>
      </c>
      <c r="C14" s="41">
        <f>(14.5*2.106)</f>
        <v>30.536999999999999</v>
      </c>
      <c r="D14" s="41">
        <f>C14*30</f>
        <v>916.11</v>
      </c>
      <c r="E14" s="44"/>
      <c r="F14" s="20"/>
      <c r="I14" s="16"/>
      <c r="J14" s="16"/>
      <c r="K14" s="16"/>
      <c r="L14" s="16"/>
      <c r="M14" s="17"/>
    </row>
    <row r="15" spans="1:13" ht="15.75" thickBot="1">
      <c r="A15" s="44"/>
      <c r="B15" s="42" t="s">
        <v>108</v>
      </c>
      <c r="C15" s="41">
        <v>2000</v>
      </c>
      <c r="D15" s="41">
        <f>C15*30</f>
        <v>60000</v>
      </c>
      <c r="E15" s="44"/>
      <c r="F15" s="20"/>
      <c r="I15" s="16"/>
      <c r="J15" s="16"/>
      <c r="K15" s="16"/>
      <c r="L15" s="16"/>
      <c r="M15" s="17"/>
    </row>
    <row r="16" spans="1:13" ht="15.75" thickBot="1">
      <c r="A16" s="44"/>
      <c r="B16" s="39" t="s">
        <v>60</v>
      </c>
      <c r="C16" s="43">
        <f>SUM(C4:C15)</f>
        <v>36427.837</v>
      </c>
      <c r="D16" s="43">
        <f>SUM(D4:D15)</f>
        <v>470578.71</v>
      </c>
      <c r="E16" s="44"/>
      <c r="F16" s="20"/>
    </row>
    <row r="17" spans="1:8">
      <c r="A17" s="44"/>
      <c r="B17" s="44"/>
      <c r="C17" s="45"/>
      <c r="D17" s="45"/>
      <c r="E17" s="44"/>
      <c r="F17" s="20"/>
    </row>
    <row r="18" spans="1:8" ht="32.25" customHeight="1">
      <c r="A18" s="44"/>
      <c r="B18" s="136" t="s">
        <v>106</v>
      </c>
      <c r="C18" s="136"/>
      <c r="D18" s="136"/>
      <c r="E18" s="44"/>
      <c r="F18" s="20"/>
    </row>
    <row r="19" spans="1:8">
      <c r="A19" s="44"/>
      <c r="B19" s="46" t="s">
        <v>105</v>
      </c>
      <c r="C19" s="44"/>
      <c r="D19" s="44"/>
      <c r="E19" s="44"/>
      <c r="F19" s="20"/>
    </row>
    <row r="20" spans="1:8">
      <c r="A20" s="20"/>
      <c r="B20" s="20"/>
      <c r="C20" s="20"/>
      <c r="D20" s="20"/>
      <c r="E20" s="20"/>
      <c r="F20" s="20"/>
    </row>
    <row r="21" spans="1:8" ht="15.75" thickBot="1">
      <c r="A21" s="20"/>
      <c r="B21" s="135" t="s">
        <v>55</v>
      </c>
      <c r="C21" s="135"/>
      <c r="D21" s="25"/>
      <c r="E21" s="20"/>
      <c r="F21" s="20"/>
    </row>
    <row r="22" spans="1:8" ht="15.75" thickBot="1">
      <c r="A22" s="20"/>
      <c r="B22" s="24" t="s">
        <v>87</v>
      </c>
      <c r="C22" s="24" t="s">
        <v>19</v>
      </c>
      <c r="D22" s="24" t="s">
        <v>4</v>
      </c>
      <c r="E22" s="20"/>
      <c r="F22" s="20"/>
    </row>
    <row r="23" spans="1:8" ht="15.75" thickBot="1">
      <c r="A23" s="20"/>
      <c r="B23" s="23" t="s">
        <v>74</v>
      </c>
      <c r="C23" s="22">
        <f>2.5</f>
        <v>2.5</v>
      </c>
      <c r="D23" s="22"/>
      <c r="E23" s="26"/>
      <c r="F23" s="20"/>
      <c r="G23" s="5"/>
    </row>
    <row r="24" spans="1:8" ht="15.75" thickBot="1">
      <c r="A24" s="20"/>
      <c r="B24" s="23" t="s">
        <v>76</v>
      </c>
      <c r="C24" s="22">
        <v>107.4</v>
      </c>
      <c r="D24" s="22">
        <f>C24*12</f>
        <v>1288.8000000000002</v>
      </c>
      <c r="E24" s="20"/>
      <c r="F24" s="20"/>
    </row>
    <row r="25" spans="1:8" ht="15.75" thickBot="1">
      <c r="A25" s="20"/>
      <c r="B25" s="23" t="s">
        <v>84</v>
      </c>
      <c r="C25" s="22">
        <v>100</v>
      </c>
      <c r="D25" s="22">
        <f>C25*12</f>
        <v>1200</v>
      </c>
      <c r="E25" s="20"/>
      <c r="F25" s="20"/>
      <c r="G25" s="16"/>
      <c r="H25" s="16"/>
    </row>
    <row r="26" spans="1:8" ht="15.75" thickBot="1">
      <c r="A26" s="20"/>
      <c r="B26" s="24" t="s">
        <v>88</v>
      </c>
      <c r="C26" s="27">
        <f>SUM(C23:C25)</f>
        <v>209.9</v>
      </c>
      <c r="D26" s="27">
        <f>SUM(D23:D25)</f>
        <v>2488.8000000000002</v>
      </c>
      <c r="E26" s="20"/>
      <c r="F26" s="20"/>
      <c r="G26" s="155"/>
      <c r="H26" s="16"/>
    </row>
    <row r="27" spans="1:8">
      <c r="A27" s="20"/>
      <c r="B27" s="20"/>
      <c r="C27" s="20"/>
      <c r="D27" s="20"/>
      <c r="E27" s="20"/>
      <c r="F27" s="20"/>
      <c r="G27" s="155"/>
      <c r="H27" s="156"/>
    </row>
    <row r="28" spans="1:8">
      <c r="A28" s="20"/>
      <c r="B28" s="31"/>
      <c r="C28" s="18"/>
      <c r="D28" s="18"/>
      <c r="E28" s="20"/>
      <c r="F28" s="20"/>
      <c r="G28" s="155"/>
      <c r="H28" s="156"/>
    </row>
    <row r="29" spans="1:8">
      <c r="A29" s="20"/>
      <c r="B29" s="20"/>
      <c r="C29" s="20"/>
      <c r="D29" s="20"/>
      <c r="E29" s="20"/>
      <c r="F29" s="20"/>
      <c r="G29" s="155"/>
      <c r="H29" s="156"/>
    </row>
    <row r="30" spans="1:8">
      <c r="A30" s="20"/>
      <c r="B30" s="20"/>
      <c r="C30" s="20"/>
      <c r="D30" s="20"/>
      <c r="E30" s="20"/>
      <c r="F30" s="20"/>
      <c r="G30" s="16"/>
      <c r="H30" s="16"/>
    </row>
    <row r="31" spans="1:8">
      <c r="B31" s="20"/>
      <c r="C31" s="20"/>
      <c r="D31" s="20"/>
    </row>
    <row r="32" spans="1:8">
      <c r="B32" s="20"/>
      <c r="C32" s="21"/>
      <c r="D32" s="20"/>
    </row>
    <row r="33" spans="2:12">
      <c r="B33" s="85" t="s">
        <v>166</v>
      </c>
      <c r="C33" s="85">
        <v>2010</v>
      </c>
      <c r="D33" s="85">
        <v>2011</v>
      </c>
      <c r="E33" s="85">
        <v>2012</v>
      </c>
      <c r="F33" s="85">
        <v>2013</v>
      </c>
      <c r="G33" s="85">
        <v>2014</v>
      </c>
      <c r="H33" s="85">
        <v>2015</v>
      </c>
      <c r="I33" s="85">
        <v>2016</v>
      </c>
      <c r="J33" s="85">
        <v>2017</v>
      </c>
      <c r="K33" s="85">
        <v>2018</v>
      </c>
      <c r="L33" s="85">
        <v>2019</v>
      </c>
    </row>
    <row r="34" spans="2:12" ht="30">
      <c r="B34" s="86" t="s">
        <v>167</v>
      </c>
      <c r="C34" s="68">
        <f>$C$23*INGRESOS!B17/2</f>
        <v>123684.96249999999</v>
      </c>
      <c r="D34" s="68">
        <f>$C$23*INGRESOS!C17/2</f>
        <v>126777.08656249999</v>
      </c>
      <c r="E34" s="68">
        <f>$C$23*INGRESOS!D17/2</f>
        <v>129946.51372656248</v>
      </c>
      <c r="F34" s="68">
        <f>$C$23*INGRESOS!E17/2</f>
        <v>133195.17656972655</v>
      </c>
      <c r="G34" s="68">
        <f>$C$23*INGRESOS!F17/2</f>
        <v>136525.05598396968</v>
      </c>
      <c r="H34" s="68">
        <f>$C$23*INGRESOS!G17/2</f>
        <v>139938.1823835689</v>
      </c>
      <c r="I34" s="68">
        <f>$C$23*INGRESOS!H17/2</f>
        <v>143436.63694315811</v>
      </c>
      <c r="J34" s="68">
        <f>$C$23*INGRESOS!I17/2</f>
        <v>147022.55286673707</v>
      </c>
      <c r="K34" s="68">
        <f>$C$23*INGRESOS!J17/2</f>
        <v>150698.11668840548</v>
      </c>
      <c r="L34" s="68">
        <f>$C$23*INGRESOS!K17/2</f>
        <v>154465.5696056156</v>
      </c>
    </row>
    <row r="35" spans="2:12" ht="30">
      <c r="B35" s="86" t="s">
        <v>76</v>
      </c>
      <c r="C35" s="68">
        <f>$D$24</f>
        <v>1288.8000000000002</v>
      </c>
      <c r="D35" s="68">
        <f t="shared" ref="D35:L35" si="1">$D$24</f>
        <v>1288.8000000000002</v>
      </c>
      <c r="E35" s="68">
        <f t="shared" si="1"/>
        <v>1288.8000000000002</v>
      </c>
      <c r="F35" s="68">
        <f t="shared" si="1"/>
        <v>1288.8000000000002</v>
      </c>
      <c r="G35" s="68">
        <f t="shared" si="1"/>
        <v>1288.8000000000002</v>
      </c>
      <c r="H35" s="68">
        <f t="shared" si="1"/>
        <v>1288.8000000000002</v>
      </c>
      <c r="I35" s="68">
        <f t="shared" si="1"/>
        <v>1288.8000000000002</v>
      </c>
      <c r="J35" s="68">
        <f t="shared" si="1"/>
        <v>1288.8000000000002</v>
      </c>
      <c r="K35" s="68">
        <f t="shared" si="1"/>
        <v>1288.8000000000002</v>
      </c>
      <c r="L35" s="68">
        <f t="shared" si="1"/>
        <v>1288.8000000000002</v>
      </c>
    </row>
    <row r="36" spans="2:12">
      <c r="B36" s="87" t="s">
        <v>84</v>
      </c>
      <c r="C36" s="68">
        <f>+$D$25</f>
        <v>1200</v>
      </c>
      <c r="D36" s="68">
        <f t="shared" ref="D36:L36" si="2">+$D$25</f>
        <v>1200</v>
      </c>
      <c r="E36" s="68">
        <f t="shared" si="2"/>
        <v>1200</v>
      </c>
      <c r="F36" s="68">
        <f t="shared" si="2"/>
        <v>1200</v>
      </c>
      <c r="G36" s="68">
        <f t="shared" si="2"/>
        <v>1200</v>
      </c>
      <c r="H36" s="68">
        <f t="shared" si="2"/>
        <v>1200</v>
      </c>
      <c r="I36" s="68">
        <f t="shared" si="2"/>
        <v>1200</v>
      </c>
      <c r="J36" s="68">
        <f t="shared" si="2"/>
        <v>1200</v>
      </c>
      <c r="K36" s="68">
        <f t="shared" si="2"/>
        <v>1200</v>
      </c>
      <c r="L36" s="68">
        <f t="shared" si="2"/>
        <v>1200</v>
      </c>
    </row>
    <row r="37" spans="2:12">
      <c r="B37" s="88" t="s">
        <v>10</v>
      </c>
      <c r="C37" s="68">
        <f>SUM(C34:C36)</f>
        <v>126173.7625</v>
      </c>
      <c r="D37" s="68">
        <f t="shared" ref="D37:L37" si="3">SUM(D34:D36)</f>
        <v>129265.88656249999</v>
      </c>
      <c r="E37" s="68">
        <f t="shared" si="3"/>
        <v>132435.31372656248</v>
      </c>
      <c r="F37" s="68">
        <f t="shared" si="3"/>
        <v>135683.97656972654</v>
      </c>
      <c r="G37" s="68">
        <f t="shared" si="3"/>
        <v>139013.85598396967</v>
      </c>
      <c r="H37" s="68">
        <f t="shared" si="3"/>
        <v>142426.98238356889</v>
      </c>
      <c r="I37" s="68">
        <f t="shared" si="3"/>
        <v>145925.4369431581</v>
      </c>
      <c r="J37" s="68">
        <f t="shared" si="3"/>
        <v>149511.35286673706</v>
      </c>
      <c r="K37" s="68">
        <f t="shared" si="3"/>
        <v>153186.91668840547</v>
      </c>
      <c r="L37" s="68">
        <f t="shared" si="3"/>
        <v>156954.36960561559</v>
      </c>
    </row>
    <row r="40" spans="2:12" ht="15.75">
      <c r="B40" s="6"/>
      <c r="C40" s="36"/>
    </row>
    <row r="42" spans="2:12">
      <c r="D42" s="36"/>
    </row>
    <row r="43" spans="2:12" ht="15.75">
      <c r="B43" s="6"/>
    </row>
  </sheetData>
  <mergeCells count="4">
    <mergeCell ref="B2:C2"/>
    <mergeCell ref="I4:M4"/>
    <mergeCell ref="B21:C21"/>
    <mergeCell ref="B18:D18"/>
  </mergeCells>
  <phoneticPr fontId="15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workbookViewId="0">
      <selection activeCell="G20" sqref="G20"/>
    </sheetView>
  </sheetViews>
  <sheetFormatPr baseColWidth="10" defaultColWidth="11.42578125" defaultRowHeight="15"/>
  <cols>
    <col min="2" max="2" width="24.85546875" customWidth="1"/>
    <col min="3" max="3" width="13.28515625" bestFit="1" customWidth="1"/>
    <col min="4" max="9" width="14.28515625" bestFit="1" customWidth="1"/>
  </cols>
  <sheetData>
    <row r="2" spans="1:5">
      <c r="E2" s="33"/>
    </row>
    <row r="3" spans="1:5">
      <c r="A3" s="44"/>
      <c r="B3" s="133" t="s">
        <v>62</v>
      </c>
      <c r="C3" s="133"/>
      <c r="D3" s="133"/>
      <c r="E3" s="44"/>
    </row>
    <row r="4" spans="1:5">
      <c r="A4" s="44"/>
      <c r="B4" s="139" t="s">
        <v>20</v>
      </c>
      <c r="C4" s="140"/>
      <c r="D4" s="1">
        <f>BALANCE!E49</f>
        <v>150709</v>
      </c>
      <c r="E4" s="44"/>
    </row>
    <row r="5" spans="1:5">
      <c r="A5" s="44"/>
      <c r="B5" s="139" t="s">
        <v>63</v>
      </c>
      <c r="C5" s="140"/>
      <c r="D5" s="1">
        <f>BALANCE!F58</f>
        <v>1731000</v>
      </c>
      <c r="E5" s="44"/>
    </row>
    <row r="6" spans="1:5">
      <c r="A6" s="44"/>
      <c r="B6" s="139" t="s">
        <v>98</v>
      </c>
      <c r="C6" s="140"/>
      <c r="D6" s="1">
        <v>1000</v>
      </c>
      <c r="E6" s="44"/>
    </row>
    <row r="7" spans="1:5">
      <c r="A7" s="44"/>
      <c r="B7" s="139" t="s">
        <v>64</v>
      </c>
      <c r="C7" s="140"/>
      <c r="D7" s="1">
        <v>12000</v>
      </c>
      <c r="E7" s="44"/>
    </row>
    <row r="8" spans="1:5">
      <c r="A8" s="44"/>
      <c r="B8" s="90" t="s">
        <v>144</v>
      </c>
      <c r="C8" s="91"/>
      <c r="D8" s="92">
        <f>-E23</f>
        <v>73522.26645742188</v>
      </c>
      <c r="E8" s="44"/>
    </row>
    <row r="9" spans="1:5">
      <c r="A9" s="44"/>
      <c r="B9" s="137" t="s">
        <v>96</v>
      </c>
      <c r="C9" s="138"/>
      <c r="D9" s="93">
        <f>SUM(D4:D8)</f>
        <v>1968231.2664574219</v>
      </c>
      <c r="E9" s="44"/>
    </row>
    <row r="10" spans="1:5">
      <c r="A10" s="44"/>
      <c r="B10" s="44" t="s">
        <v>97</v>
      </c>
      <c r="C10" s="44"/>
      <c r="D10" s="44"/>
      <c r="E10" s="44"/>
    </row>
    <row r="12" spans="1:5" ht="14.25" customHeight="1"/>
    <row r="15" spans="1:5">
      <c r="E15">
        <f>98000/12</f>
        <v>8166.666666666667</v>
      </c>
    </row>
    <row r="16" spans="1:5">
      <c r="E16">
        <f>1/12</f>
        <v>8.3333333333333329E-2</v>
      </c>
    </row>
    <row r="17" spans="2:9">
      <c r="B17" s="44"/>
      <c r="C17" s="94" t="s">
        <v>170</v>
      </c>
      <c r="D17" s="94" t="s">
        <v>171</v>
      </c>
      <c r="E17" s="94" t="s">
        <v>172</v>
      </c>
      <c r="F17" s="94" t="s">
        <v>173</v>
      </c>
      <c r="G17" s="94" t="s">
        <v>174</v>
      </c>
      <c r="H17" s="94" t="s">
        <v>175</v>
      </c>
      <c r="I17" s="94" t="s">
        <v>176</v>
      </c>
    </row>
    <row r="18" spans="2:9">
      <c r="B18" s="1"/>
      <c r="C18" s="95">
        <v>0.01</v>
      </c>
      <c r="D18" s="95">
        <v>0.01</v>
      </c>
      <c r="E18" s="95">
        <v>0.01</v>
      </c>
      <c r="F18" s="95">
        <v>0.05</v>
      </c>
      <c r="G18" s="96">
        <v>0.05</v>
      </c>
      <c r="H18" s="96">
        <v>0.05</v>
      </c>
      <c r="I18" s="96">
        <f>0.84/8</f>
        <v>0.105</v>
      </c>
    </row>
    <row r="19" spans="2:9">
      <c r="B19" s="1" t="s">
        <v>65</v>
      </c>
      <c r="C19" s="92">
        <f>INGRESOS!$B$21*'METODO DEL DEFICIT ACUMULADO'!C18</f>
        <v>13357.975950000002</v>
      </c>
      <c r="D19" s="92">
        <f>INGRESOS!$B$21*'METODO DEL DEFICIT ACUMULADO'!D18</f>
        <v>13357.975950000002</v>
      </c>
      <c r="E19" s="92">
        <f>INGRESOS!$B$21*'METODO DEL DEFICIT ACUMULADO'!E18</f>
        <v>13357.975950000002</v>
      </c>
      <c r="F19" s="92">
        <f>INGRESOS!$B$21*'METODO DEL DEFICIT ACUMULADO'!F18</f>
        <v>66789.879750000007</v>
      </c>
      <c r="G19" s="92">
        <f>INGRESOS!$B$21*'METODO DEL DEFICIT ACUMULADO'!G18</f>
        <v>66789.879750000007</v>
      </c>
      <c r="H19" s="92">
        <f>INGRESOS!$B$21*'METODO DEL DEFICIT ACUMULADO'!H18</f>
        <v>66789.879750000007</v>
      </c>
      <c r="I19" s="92">
        <f>INGRESOS!$B$21*'METODO DEL DEFICIT ACUMULADO'!I18</f>
        <v>140258.74747500001</v>
      </c>
    </row>
    <row r="20" spans="2:9">
      <c r="B20" s="1" t="s">
        <v>55</v>
      </c>
      <c r="C20" s="92">
        <f>'CF-CV'!C37/12</f>
        <v>10514.480208333332</v>
      </c>
      <c r="D20" s="92">
        <f>'CF-CV'!D37/12</f>
        <v>10772.157213541666</v>
      </c>
      <c r="E20" s="92">
        <f>'CF-CV'!E37/12</f>
        <v>11036.276143880206</v>
      </c>
      <c r="F20" s="92">
        <f>'CF-CV'!F37/12</f>
        <v>11306.998047477211</v>
      </c>
      <c r="G20" s="92">
        <f>'CF-CV'!G37/12</f>
        <v>11584.487998664139</v>
      </c>
      <c r="H20" s="92">
        <f>'CF-CV'!H37/12</f>
        <v>11868.915198630741</v>
      </c>
      <c r="I20" s="92">
        <f>'CF-CV'!I37/12</f>
        <v>12160.453078596509</v>
      </c>
    </row>
    <row r="21" spans="2:9">
      <c r="B21" s="1" t="s">
        <v>48</v>
      </c>
      <c r="C21" s="97">
        <f>'CF-CV'!$D$16/12</f>
        <v>39214.892500000002</v>
      </c>
      <c r="D21" s="97">
        <f>'CF-CV'!$D$16/12</f>
        <v>39214.892500000002</v>
      </c>
      <c r="E21" s="97">
        <f>'CF-CV'!$D$16/12</f>
        <v>39214.892500000002</v>
      </c>
      <c r="F21" s="97">
        <f>'CF-CV'!$D$16/12</f>
        <v>39214.892500000002</v>
      </c>
      <c r="G21" s="97">
        <f>'CF-CV'!$D$16/12</f>
        <v>39214.892500000002</v>
      </c>
      <c r="H21" s="97">
        <f>'CF-CV'!$D$16/12</f>
        <v>39214.892500000002</v>
      </c>
      <c r="I21" s="97">
        <f>'CF-CV'!$D$16/12</f>
        <v>39214.892500000002</v>
      </c>
    </row>
    <row r="22" spans="2:9">
      <c r="B22" s="1" t="s">
        <v>168</v>
      </c>
      <c r="C22" s="92">
        <f>C19-C20-C21</f>
        <v>-36371.396758333329</v>
      </c>
      <c r="D22" s="92">
        <f t="shared" ref="D22:I22" si="0">D19-D20-D21</f>
        <v>-36629.073763541666</v>
      </c>
      <c r="E22" s="92">
        <f t="shared" si="0"/>
        <v>-36893.192693880206</v>
      </c>
      <c r="F22" s="92">
        <f t="shared" si="0"/>
        <v>16267.989202522796</v>
      </c>
      <c r="G22" s="92">
        <f t="shared" si="0"/>
        <v>15990.499251335867</v>
      </c>
      <c r="H22" s="92">
        <f t="shared" si="0"/>
        <v>15706.072051369265</v>
      </c>
      <c r="I22" s="92">
        <f t="shared" si="0"/>
        <v>88883.401896403506</v>
      </c>
    </row>
    <row r="23" spans="2:9">
      <c r="B23" s="1" t="s">
        <v>169</v>
      </c>
      <c r="C23" s="92">
        <f>C22</f>
        <v>-36371.396758333329</v>
      </c>
      <c r="D23" s="92">
        <f t="shared" ref="D23:I23" si="1">C22+D22</f>
        <v>-73000.470521874988</v>
      </c>
      <c r="E23" s="89">
        <f t="shared" si="1"/>
        <v>-73522.26645742188</v>
      </c>
      <c r="F23" s="92">
        <f t="shared" si="1"/>
        <v>-20625.20349135741</v>
      </c>
      <c r="G23" s="92">
        <f t="shared" si="1"/>
        <v>32258.488453858663</v>
      </c>
      <c r="H23" s="92">
        <f t="shared" si="1"/>
        <v>31696.571302705132</v>
      </c>
      <c r="I23" s="92">
        <f t="shared" si="1"/>
        <v>104589.47394777277</v>
      </c>
    </row>
  </sheetData>
  <mergeCells count="6">
    <mergeCell ref="B9:C9"/>
    <mergeCell ref="B3:D3"/>
    <mergeCell ref="B4:C4"/>
    <mergeCell ref="B5:C5"/>
    <mergeCell ref="B6:C6"/>
    <mergeCell ref="B7:C7"/>
  </mergeCells>
  <phoneticPr fontId="15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2"/>
  <sheetViews>
    <sheetView topLeftCell="G22" workbookViewId="0">
      <selection activeCell="K40" sqref="K40"/>
    </sheetView>
  </sheetViews>
  <sheetFormatPr baseColWidth="10" defaultColWidth="11.42578125" defaultRowHeight="15"/>
  <cols>
    <col min="2" max="2" width="10.28515625" bestFit="1" customWidth="1"/>
    <col min="3" max="3" width="34.7109375" bestFit="1" customWidth="1"/>
    <col min="4" max="4" width="13.42578125" bestFit="1" customWidth="1"/>
    <col min="5" max="5" width="9.7109375" bestFit="1" customWidth="1"/>
    <col min="6" max="6" width="13" bestFit="1" customWidth="1"/>
    <col min="9" max="9" width="27.42578125" customWidth="1"/>
    <col min="10" max="10" width="14.140625" bestFit="1" customWidth="1"/>
    <col min="11" max="11" width="13.7109375" customWidth="1"/>
    <col min="13" max="13" width="15.140625" customWidth="1"/>
    <col min="14" max="14" width="15.85546875" customWidth="1"/>
  </cols>
  <sheetData>
    <row r="2" spans="2:14">
      <c r="B2" s="7" t="s">
        <v>2</v>
      </c>
      <c r="C2" s="7" t="s">
        <v>91</v>
      </c>
      <c r="D2" s="7" t="s">
        <v>92</v>
      </c>
      <c r="E2" s="7" t="s">
        <v>93</v>
      </c>
      <c r="F2" s="7" t="s">
        <v>94</v>
      </c>
      <c r="H2" s="131" t="s">
        <v>147</v>
      </c>
      <c r="I2" s="131"/>
      <c r="J2" s="131"/>
      <c r="K2" s="131"/>
      <c r="L2" s="131"/>
      <c r="M2" s="131"/>
      <c r="N2" s="131"/>
    </row>
    <row r="3" spans="2:14">
      <c r="B3" s="75">
        <v>1</v>
      </c>
      <c r="C3" s="76" t="s">
        <v>45</v>
      </c>
      <c r="D3" s="77">
        <f>BALANCE!F55</f>
        <v>1250000</v>
      </c>
      <c r="E3" s="77">
        <v>20</v>
      </c>
      <c r="F3" s="78">
        <v>0.05</v>
      </c>
      <c r="H3" s="2" t="s">
        <v>2</v>
      </c>
      <c r="I3" s="2" t="s">
        <v>91</v>
      </c>
      <c r="J3" s="2" t="s">
        <v>149</v>
      </c>
      <c r="K3" s="2" t="s">
        <v>139</v>
      </c>
      <c r="L3" s="2" t="s">
        <v>93</v>
      </c>
      <c r="M3" s="2" t="s">
        <v>94</v>
      </c>
      <c r="N3" s="2" t="s">
        <v>95</v>
      </c>
    </row>
    <row r="4" spans="2:14">
      <c r="B4" s="75">
        <v>1</v>
      </c>
      <c r="C4" s="76" t="s">
        <v>43</v>
      </c>
      <c r="D4" s="77">
        <f>BALANCE!F54</f>
        <v>340000</v>
      </c>
      <c r="E4" s="77">
        <v>20</v>
      </c>
      <c r="F4" s="78">
        <v>0.05</v>
      </c>
      <c r="H4" s="99">
        <v>1</v>
      </c>
      <c r="I4" s="100" t="s">
        <v>45</v>
      </c>
      <c r="J4" s="101">
        <f>D3</f>
        <v>1250000</v>
      </c>
      <c r="K4" s="101">
        <f>J4*0.3</f>
        <v>375000</v>
      </c>
      <c r="L4" s="102">
        <v>20</v>
      </c>
      <c r="M4" s="103">
        <v>0.05</v>
      </c>
      <c r="N4" s="93">
        <f>(J4-K4)/L4</f>
        <v>43750</v>
      </c>
    </row>
    <row r="5" spans="2:14">
      <c r="B5" s="11">
        <v>3</v>
      </c>
      <c r="C5" s="1" t="s">
        <v>21</v>
      </c>
      <c r="D5" s="1">
        <f>BALANCE!E24</f>
        <v>900</v>
      </c>
      <c r="E5" s="3">
        <v>10</v>
      </c>
      <c r="F5" s="29">
        <v>0.1</v>
      </c>
      <c r="H5" s="99">
        <v>1</v>
      </c>
      <c r="I5" s="100" t="s">
        <v>43</v>
      </c>
      <c r="J5" s="101">
        <f>D4</f>
        <v>340000</v>
      </c>
      <c r="K5" s="101">
        <f>J5*0.3</f>
        <v>102000</v>
      </c>
      <c r="L5" s="102">
        <v>20</v>
      </c>
      <c r="M5" s="103">
        <v>0.05</v>
      </c>
      <c r="N5" s="93">
        <f>(J5-K5)/L5</f>
        <v>11900</v>
      </c>
    </row>
    <row r="6" spans="2:14">
      <c r="B6" s="11">
        <v>400</v>
      </c>
      <c r="C6" s="1" t="s">
        <v>22</v>
      </c>
      <c r="D6" s="1">
        <f>BALANCE!E25</f>
        <v>14000</v>
      </c>
      <c r="E6" s="3">
        <v>10</v>
      </c>
      <c r="F6" s="29">
        <v>0.1</v>
      </c>
      <c r="H6" s="144" t="s">
        <v>10</v>
      </c>
      <c r="I6" s="146"/>
      <c r="J6" s="145"/>
      <c r="K6" s="93">
        <f>SUM(K4:K5)</f>
        <v>477000</v>
      </c>
      <c r="L6" s="144" t="s">
        <v>10</v>
      </c>
      <c r="M6" s="145"/>
      <c r="N6" s="93">
        <f>SUM(N4:N5)</f>
        <v>55650</v>
      </c>
    </row>
    <row r="7" spans="2:14">
      <c r="B7" s="11">
        <v>3</v>
      </c>
      <c r="C7" s="1" t="s">
        <v>23</v>
      </c>
      <c r="D7" s="1">
        <f>BALANCE!E26</f>
        <v>120</v>
      </c>
      <c r="E7" s="3">
        <v>10</v>
      </c>
      <c r="F7" s="29">
        <v>0.1</v>
      </c>
      <c r="H7" s="132" t="s">
        <v>148</v>
      </c>
      <c r="I7" s="132"/>
      <c r="J7" s="132"/>
      <c r="K7" s="132"/>
      <c r="L7" s="132"/>
      <c r="M7" s="132"/>
      <c r="N7" s="132"/>
    </row>
    <row r="8" spans="2:14">
      <c r="B8" s="11">
        <v>1</v>
      </c>
      <c r="C8" s="1" t="s">
        <v>40</v>
      </c>
      <c r="D8" s="1">
        <f>BALANCE!E27</f>
        <v>25000</v>
      </c>
      <c r="E8" s="3">
        <v>5</v>
      </c>
      <c r="F8" s="29">
        <v>0.2</v>
      </c>
      <c r="H8" s="2" t="s">
        <v>2</v>
      </c>
      <c r="I8" s="2" t="s">
        <v>91</v>
      </c>
      <c r="J8" s="2" t="s">
        <v>149</v>
      </c>
      <c r="K8" s="2" t="s">
        <v>139</v>
      </c>
      <c r="L8" s="2" t="s">
        <v>93</v>
      </c>
      <c r="M8" s="2" t="s">
        <v>94</v>
      </c>
      <c r="N8" s="2" t="s">
        <v>95</v>
      </c>
    </row>
    <row r="9" spans="2:14">
      <c r="B9" s="11">
        <v>2</v>
      </c>
      <c r="C9" s="3" t="s">
        <v>90</v>
      </c>
      <c r="D9" s="1">
        <f>BALANCE!E28</f>
        <v>80</v>
      </c>
      <c r="E9" s="3">
        <v>10</v>
      </c>
      <c r="F9" s="29">
        <v>0.1</v>
      </c>
      <c r="H9" s="11">
        <v>1</v>
      </c>
      <c r="I9" s="1" t="s">
        <v>40</v>
      </c>
      <c r="J9" s="93">
        <f>D8</f>
        <v>25000</v>
      </c>
      <c r="K9" s="93">
        <f>J9*0.3</f>
        <v>7500</v>
      </c>
      <c r="L9" s="104">
        <v>5</v>
      </c>
      <c r="M9" s="95">
        <v>0.2</v>
      </c>
      <c r="N9" s="93">
        <f>(J9-K9)/L9</f>
        <v>3500</v>
      </c>
    </row>
    <row r="10" spans="2:14">
      <c r="B10" s="11">
        <v>1</v>
      </c>
      <c r="C10" s="1" t="s">
        <v>61</v>
      </c>
      <c r="D10" s="1">
        <f>BALANCE!E29</f>
        <v>2000</v>
      </c>
      <c r="E10" s="3">
        <v>10</v>
      </c>
      <c r="F10" s="29">
        <v>0.1</v>
      </c>
      <c r="H10" s="44"/>
      <c r="I10" s="44"/>
      <c r="J10" s="44"/>
      <c r="K10" s="44"/>
      <c r="L10" s="44"/>
      <c r="M10" s="44"/>
      <c r="N10" s="44"/>
    </row>
    <row r="11" spans="2:14">
      <c r="B11" s="11">
        <v>1</v>
      </c>
      <c r="C11" s="1" t="s">
        <v>25</v>
      </c>
      <c r="D11" s="1">
        <f>BALANCE!E30</f>
        <v>47000</v>
      </c>
      <c r="E11" s="3">
        <v>10</v>
      </c>
      <c r="F11" s="29">
        <v>0.1</v>
      </c>
      <c r="H11" s="132" t="s">
        <v>155</v>
      </c>
      <c r="I11" s="132"/>
      <c r="J11" s="132"/>
      <c r="K11" s="132"/>
      <c r="L11" s="132"/>
      <c r="M11" s="132"/>
      <c r="N11" s="132"/>
    </row>
    <row r="12" spans="2:14">
      <c r="B12" s="11">
        <v>1</v>
      </c>
      <c r="C12" s="1" t="s">
        <v>26</v>
      </c>
      <c r="D12" s="1">
        <f>BALANCE!E31</f>
        <v>8000</v>
      </c>
      <c r="E12" s="3">
        <v>10</v>
      </c>
      <c r="F12" s="29">
        <v>0.1</v>
      </c>
      <c r="H12" s="2" t="s">
        <v>2</v>
      </c>
      <c r="I12" s="2" t="s">
        <v>91</v>
      </c>
      <c r="J12" s="2" t="s">
        <v>149</v>
      </c>
      <c r="K12" s="2" t="s">
        <v>139</v>
      </c>
      <c r="L12" s="2" t="s">
        <v>93</v>
      </c>
      <c r="M12" s="2" t="s">
        <v>94</v>
      </c>
      <c r="N12" s="2" t="s">
        <v>95</v>
      </c>
    </row>
    <row r="13" spans="2:14">
      <c r="B13" s="11">
        <v>4</v>
      </c>
      <c r="C13" s="1" t="s">
        <v>27</v>
      </c>
      <c r="D13" s="1">
        <f>BALANCE!E32</f>
        <v>2400</v>
      </c>
      <c r="E13" s="3">
        <v>10</v>
      </c>
      <c r="F13" s="29">
        <v>0.1</v>
      </c>
      <c r="H13" s="11">
        <v>4</v>
      </c>
      <c r="I13" s="1" t="s">
        <v>33</v>
      </c>
      <c r="J13" s="93">
        <f>D21</f>
        <v>200</v>
      </c>
      <c r="K13" s="93">
        <f>J13*0.3</f>
        <v>60</v>
      </c>
      <c r="L13" s="1">
        <v>3</v>
      </c>
      <c r="M13" s="105">
        <v>0.33329999999999999</v>
      </c>
      <c r="N13" s="106">
        <f>(J13-K13)/L13</f>
        <v>46.666666666666664</v>
      </c>
    </row>
    <row r="14" spans="2:14">
      <c r="B14" s="11">
        <v>1</v>
      </c>
      <c r="C14" s="1" t="s">
        <v>28</v>
      </c>
      <c r="D14" s="1">
        <f>BALANCE!E33</f>
        <v>4000</v>
      </c>
      <c r="E14" s="3">
        <v>10</v>
      </c>
      <c r="F14" s="29">
        <v>0.1</v>
      </c>
      <c r="H14" s="11">
        <v>4</v>
      </c>
      <c r="I14" s="1" t="s">
        <v>34</v>
      </c>
      <c r="J14" s="93">
        <f>D22</f>
        <v>3600</v>
      </c>
      <c r="K14" s="93">
        <f>J14*0.3</f>
        <v>1080</v>
      </c>
      <c r="L14" s="1">
        <v>3</v>
      </c>
      <c r="M14" s="95">
        <v>0.33329999999999999</v>
      </c>
      <c r="N14" s="106">
        <f>(J14-K14)/L14</f>
        <v>840</v>
      </c>
    </row>
    <row r="15" spans="2:14">
      <c r="B15" s="11">
        <v>100</v>
      </c>
      <c r="C15" s="1" t="s">
        <v>79</v>
      </c>
      <c r="D15" s="1">
        <f>BALANCE!E34</f>
        <v>6000</v>
      </c>
      <c r="E15" s="3">
        <v>10</v>
      </c>
      <c r="F15" s="29">
        <v>0.1</v>
      </c>
      <c r="H15" s="143" t="s">
        <v>10</v>
      </c>
      <c r="I15" s="143"/>
      <c r="J15" s="93">
        <f>SUM(J13:J14)</f>
        <v>3800</v>
      </c>
      <c r="K15" s="93">
        <f>SUM(K13:K14)</f>
        <v>1140</v>
      </c>
      <c r="L15" s="143" t="s">
        <v>10</v>
      </c>
      <c r="M15" s="143"/>
      <c r="N15" s="106">
        <f>SUM(N13:N14)</f>
        <v>886.66666666666663</v>
      </c>
    </row>
    <row r="16" spans="2:14">
      <c r="B16" s="11">
        <v>10</v>
      </c>
      <c r="C16" s="1" t="s">
        <v>29</v>
      </c>
      <c r="D16" s="1">
        <f>BALANCE!E35</f>
        <v>400</v>
      </c>
      <c r="E16" s="3">
        <v>10</v>
      </c>
      <c r="F16" s="29">
        <v>0.1</v>
      </c>
      <c r="H16" s="132" t="s">
        <v>156</v>
      </c>
      <c r="I16" s="132"/>
      <c r="J16" s="132"/>
      <c r="K16" s="132"/>
      <c r="L16" s="132"/>
      <c r="M16" s="132"/>
      <c r="N16" s="132"/>
    </row>
    <row r="17" spans="2:14">
      <c r="B17" s="11">
        <v>1</v>
      </c>
      <c r="C17" s="1" t="s">
        <v>30</v>
      </c>
      <c r="D17" s="1">
        <f>BALANCE!E36</f>
        <v>26000</v>
      </c>
      <c r="E17" s="3">
        <v>10</v>
      </c>
      <c r="F17" s="29">
        <v>0.1</v>
      </c>
      <c r="H17" s="2" t="s">
        <v>2</v>
      </c>
      <c r="I17" s="2" t="s">
        <v>91</v>
      </c>
      <c r="J17" s="2" t="s">
        <v>149</v>
      </c>
      <c r="K17" s="2" t="s">
        <v>139</v>
      </c>
      <c r="L17" s="2" t="s">
        <v>93</v>
      </c>
      <c r="M17" s="2" t="s">
        <v>94</v>
      </c>
      <c r="N17" s="2" t="s">
        <v>95</v>
      </c>
    </row>
    <row r="18" spans="2:14">
      <c r="B18" s="11">
        <v>4</v>
      </c>
      <c r="C18" s="1" t="s">
        <v>31</v>
      </c>
      <c r="D18" s="1">
        <f>BALANCE!E37</f>
        <v>3600</v>
      </c>
      <c r="E18" s="3">
        <v>10</v>
      </c>
      <c r="F18" s="29">
        <v>0.1</v>
      </c>
      <c r="H18" s="11">
        <v>3</v>
      </c>
      <c r="I18" s="1" t="s">
        <v>21</v>
      </c>
      <c r="J18" s="93">
        <f>D5</f>
        <v>900</v>
      </c>
      <c r="K18" s="93">
        <f>J18*0.3</f>
        <v>270</v>
      </c>
      <c r="L18" s="1">
        <v>10</v>
      </c>
      <c r="M18" s="95">
        <v>0.1</v>
      </c>
      <c r="N18" s="107">
        <f>(J18-K18)/L18</f>
        <v>63</v>
      </c>
    </row>
    <row r="19" spans="2:14">
      <c r="B19" s="11">
        <v>2</v>
      </c>
      <c r="C19" s="1" t="s">
        <v>32</v>
      </c>
      <c r="D19" s="1">
        <f>BALANCE!E38</f>
        <v>4000</v>
      </c>
      <c r="E19" s="3">
        <v>10</v>
      </c>
      <c r="F19" s="29">
        <v>0.1</v>
      </c>
      <c r="H19" s="11">
        <v>400</v>
      </c>
      <c r="I19" s="1" t="s">
        <v>22</v>
      </c>
      <c r="J19" s="93">
        <f>D6</f>
        <v>14000</v>
      </c>
      <c r="K19" s="93">
        <f t="shared" ref="K19:K39" si="0">J19*0.3</f>
        <v>4200</v>
      </c>
      <c r="L19" s="1">
        <v>10</v>
      </c>
      <c r="M19" s="95">
        <v>0.1</v>
      </c>
      <c r="N19" s="107">
        <f t="shared" ref="N19:N39" si="1">(J19-K19)/L19</f>
        <v>980</v>
      </c>
    </row>
    <row r="20" spans="2:14">
      <c r="B20" s="11">
        <v>1</v>
      </c>
      <c r="C20" s="1" t="s">
        <v>77</v>
      </c>
      <c r="D20" s="1">
        <f>BALANCE!E39</f>
        <v>350</v>
      </c>
      <c r="E20" s="3">
        <v>10</v>
      </c>
      <c r="F20" s="30">
        <v>0.1</v>
      </c>
      <c r="H20" s="11">
        <v>3</v>
      </c>
      <c r="I20" s="1" t="s">
        <v>23</v>
      </c>
      <c r="J20" s="93">
        <f>D7</f>
        <v>120</v>
      </c>
      <c r="K20" s="93">
        <f t="shared" si="0"/>
        <v>36</v>
      </c>
      <c r="L20" s="1">
        <v>10</v>
      </c>
      <c r="M20" s="95">
        <v>0.1</v>
      </c>
      <c r="N20" s="107">
        <f t="shared" si="1"/>
        <v>8.4</v>
      </c>
    </row>
    <row r="21" spans="2:14">
      <c r="B21" s="11">
        <v>4</v>
      </c>
      <c r="C21" s="1" t="s">
        <v>33</v>
      </c>
      <c r="D21" s="1">
        <f>BALANCE!E40</f>
        <v>200</v>
      </c>
      <c r="E21" s="3">
        <v>3</v>
      </c>
      <c r="F21" s="30">
        <v>0.33329999999999999</v>
      </c>
      <c r="H21" s="11">
        <v>2</v>
      </c>
      <c r="I21" s="1" t="s">
        <v>90</v>
      </c>
      <c r="J21" s="93">
        <f>D9</f>
        <v>80</v>
      </c>
      <c r="K21" s="93">
        <f t="shared" si="0"/>
        <v>24</v>
      </c>
      <c r="L21" s="1">
        <v>10</v>
      </c>
      <c r="M21" s="95">
        <v>0.1</v>
      </c>
      <c r="N21" s="107">
        <f t="shared" si="1"/>
        <v>5.6</v>
      </c>
    </row>
    <row r="22" spans="2:14">
      <c r="B22" s="11">
        <v>4</v>
      </c>
      <c r="C22" s="1" t="s">
        <v>34</v>
      </c>
      <c r="D22" s="1">
        <f>BALANCE!E41</f>
        <v>3600</v>
      </c>
      <c r="E22" s="3">
        <v>3</v>
      </c>
      <c r="F22" s="29">
        <v>0.33329999999999999</v>
      </c>
      <c r="H22" s="11">
        <v>1</v>
      </c>
      <c r="I22" s="1" t="s">
        <v>61</v>
      </c>
      <c r="J22" s="93">
        <f t="shared" ref="J22:J32" si="2">D10</f>
        <v>2000</v>
      </c>
      <c r="K22" s="93">
        <f t="shared" si="0"/>
        <v>600</v>
      </c>
      <c r="L22" s="1">
        <v>10</v>
      </c>
      <c r="M22" s="95">
        <v>0.1</v>
      </c>
      <c r="N22" s="107">
        <f t="shared" si="1"/>
        <v>140</v>
      </c>
    </row>
    <row r="23" spans="2:14">
      <c r="B23" s="11">
        <v>4</v>
      </c>
      <c r="C23" s="1" t="s">
        <v>35</v>
      </c>
      <c r="D23" s="1">
        <f>BALANCE!E42</f>
        <v>320</v>
      </c>
      <c r="E23" s="3">
        <v>10</v>
      </c>
      <c r="F23" s="29">
        <v>0.1</v>
      </c>
      <c r="H23" s="11">
        <v>1</v>
      </c>
      <c r="I23" s="1" t="s">
        <v>25</v>
      </c>
      <c r="J23" s="93">
        <f t="shared" si="2"/>
        <v>47000</v>
      </c>
      <c r="K23" s="93">
        <f t="shared" si="0"/>
        <v>14100</v>
      </c>
      <c r="L23" s="1">
        <v>10</v>
      </c>
      <c r="M23" s="95">
        <v>0.1</v>
      </c>
      <c r="N23" s="107">
        <f t="shared" si="1"/>
        <v>3290</v>
      </c>
    </row>
    <row r="24" spans="2:14">
      <c r="B24" s="11">
        <v>4</v>
      </c>
      <c r="C24" s="1" t="s">
        <v>78</v>
      </c>
      <c r="D24" s="1">
        <f>BALANCE!E43</f>
        <v>180</v>
      </c>
      <c r="E24" s="3">
        <v>10</v>
      </c>
      <c r="F24" s="29">
        <v>0.1</v>
      </c>
      <c r="H24" s="11">
        <v>1</v>
      </c>
      <c r="I24" s="1" t="s">
        <v>26</v>
      </c>
      <c r="J24" s="93">
        <f t="shared" si="2"/>
        <v>8000</v>
      </c>
      <c r="K24" s="93">
        <f t="shared" si="0"/>
        <v>2400</v>
      </c>
      <c r="L24" s="1">
        <v>10</v>
      </c>
      <c r="M24" s="95">
        <v>0.1</v>
      </c>
      <c r="N24" s="107">
        <f t="shared" si="1"/>
        <v>560</v>
      </c>
    </row>
    <row r="25" spans="2:14">
      <c r="B25" s="11">
        <v>28</v>
      </c>
      <c r="C25" s="1" t="s">
        <v>80</v>
      </c>
      <c r="D25" s="1">
        <f>BALANCE!E44</f>
        <v>1120</v>
      </c>
      <c r="E25" s="3">
        <v>10</v>
      </c>
      <c r="F25" s="29">
        <v>0.1</v>
      </c>
      <c r="H25" s="11">
        <v>4</v>
      </c>
      <c r="I25" s="1" t="s">
        <v>27</v>
      </c>
      <c r="J25" s="93">
        <f t="shared" si="2"/>
        <v>2400</v>
      </c>
      <c r="K25" s="93">
        <f t="shared" si="0"/>
        <v>720</v>
      </c>
      <c r="L25" s="1">
        <v>10</v>
      </c>
      <c r="M25" s="95">
        <v>0.1</v>
      </c>
      <c r="N25" s="107">
        <f t="shared" si="1"/>
        <v>168</v>
      </c>
    </row>
    <row r="26" spans="2:14">
      <c r="B26" s="11">
        <v>7</v>
      </c>
      <c r="C26" s="1" t="s">
        <v>86</v>
      </c>
      <c r="D26" s="1">
        <f>BALANCE!E45</f>
        <v>1050</v>
      </c>
      <c r="E26" s="3">
        <v>10</v>
      </c>
      <c r="F26" s="29">
        <v>0.1</v>
      </c>
      <c r="H26" s="11">
        <v>1</v>
      </c>
      <c r="I26" s="1" t="s">
        <v>28</v>
      </c>
      <c r="J26" s="93">
        <f t="shared" si="2"/>
        <v>4000</v>
      </c>
      <c r="K26" s="93">
        <f t="shared" si="0"/>
        <v>1200</v>
      </c>
      <c r="L26" s="1">
        <v>10</v>
      </c>
      <c r="M26" s="95">
        <v>0.1</v>
      </c>
      <c r="N26" s="107">
        <f t="shared" si="1"/>
        <v>280</v>
      </c>
    </row>
    <row r="27" spans="2:14">
      <c r="B27" s="11">
        <v>4</v>
      </c>
      <c r="C27" s="1" t="s">
        <v>36</v>
      </c>
      <c r="D27" s="1">
        <f>BALANCE!E46</f>
        <v>160</v>
      </c>
      <c r="E27" s="3">
        <v>10</v>
      </c>
      <c r="F27" s="29">
        <v>0.1</v>
      </c>
      <c r="H27" s="11">
        <v>100</v>
      </c>
      <c r="I27" s="1" t="s">
        <v>79</v>
      </c>
      <c r="J27" s="93">
        <f t="shared" si="2"/>
        <v>6000</v>
      </c>
      <c r="K27" s="93">
        <f t="shared" si="0"/>
        <v>1800</v>
      </c>
      <c r="L27" s="1">
        <v>10</v>
      </c>
      <c r="M27" s="95">
        <v>0.1</v>
      </c>
      <c r="N27" s="107">
        <f t="shared" si="1"/>
        <v>420</v>
      </c>
    </row>
    <row r="28" spans="2:14">
      <c r="B28" s="11">
        <v>1</v>
      </c>
      <c r="C28" s="1" t="s">
        <v>81</v>
      </c>
      <c r="D28" s="1">
        <f>BALANCE!E47</f>
        <v>109</v>
      </c>
      <c r="E28" s="3">
        <v>10</v>
      </c>
      <c r="F28" s="29">
        <v>0.1</v>
      </c>
      <c r="H28" s="11">
        <v>10</v>
      </c>
      <c r="I28" s="1" t="s">
        <v>29</v>
      </c>
      <c r="J28" s="93">
        <f t="shared" si="2"/>
        <v>400</v>
      </c>
      <c r="K28" s="93">
        <f t="shared" si="0"/>
        <v>120</v>
      </c>
      <c r="L28" s="1">
        <v>10</v>
      </c>
      <c r="M28" s="95">
        <v>0.1</v>
      </c>
      <c r="N28" s="107">
        <f t="shared" si="1"/>
        <v>28</v>
      </c>
    </row>
    <row r="29" spans="2:14">
      <c r="B29" s="11">
        <v>4</v>
      </c>
      <c r="C29" s="1" t="s">
        <v>37</v>
      </c>
      <c r="D29" s="1">
        <f>BALANCE!E48</f>
        <v>120</v>
      </c>
      <c r="E29" s="3">
        <v>10</v>
      </c>
      <c r="F29" s="29">
        <v>0.1</v>
      </c>
      <c r="H29" s="11">
        <v>1</v>
      </c>
      <c r="I29" s="1" t="s">
        <v>30</v>
      </c>
      <c r="J29" s="93">
        <f t="shared" si="2"/>
        <v>26000</v>
      </c>
      <c r="K29" s="93">
        <f t="shared" si="0"/>
        <v>7800</v>
      </c>
      <c r="L29" s="1">
        <v>10</v>
      </c>
      <c r="M29" s="95">
        <v>0.1</v>
      </c>
      <c r="N29" s="107">
        <f t="shared" si="1"/>
        <v>1820</v>
      </c>
    </row>
    <row r="30" spans="2:14">
      <c r="B30" s="147"/>
      <c r="C30" s="147"/>
      <c r="D30" s="32">
        <f>SUM(D5:D29)</f>
        <v>150709</v>
      </c>
      <c r="E30" s="147"/>
      <c r="F30" s="147"/>
      <c r="H30" s="11">
        <v>4</v>
      </c>
      <c r="I30" s="1" t="s">
        <v>31</v>
      </c>
      <c r="J30" s="93">
        <f t="shared" si="2"/>
        <v>3600</v>
      </c>
      <c r="K30" s="93">
        <f t="shared" si="0"/>
        <v>1080</v>
      </c>
      <c r="L30" s="1">
        <v>10</v>
      </c>
      <c r="M30" s="95">
        <v>0.1</v>
      </c>
      <c r="N30" s="107">
        <f t="shared" si="1"/>
        <v>252</v>
      </c>
    </row>
    <row r="31" spans="2:14">
      <c r="H31" s="11">
        <v>2</v>
      </c>
      <c r="I31" s="1" t="s">
        <v>32</v>
      </c>
      <c r="J31" s="93">
        <f t="shared" si="2"/>
        <v>4000</v>
      </c>
      <c r="K31" s="93">
        <f t="shared" si="0"/>
        <v>1200</v>
      </c>
      <c r="L31" s="1">
        <v>10</v>
      </c>
      <c r="M31" s="95">
        <v>0.1</v>
      </c>
      <c r="N31" s="107">
        <f t="shared" si="1"/>
        <v>280</v>
      </c>
    </row>
    <row r="32" spans="2:14">
      <c r="H32" s="11">
        <v>1</v>
      </c>
      <c r="I32" s="1" t="s">
        <v>77</v>
      </c>
      <c r="J32" s="93">
        <f t="shared" si="2"/>
        <v>350</v>
      </c>
      <c r="K32" s="93">
        <f t="shared" si="0"/>
        <v>105</v>
      </c>
      <c r="L32" s="1">
        <v>10</v>
      </c>
      <c r="M32" s="95">
        <v>0.1</v>
      </c>
      <c r="N32" s="107">
        <f t="shared" si="1"/>
        <v>24.5</v>
      </c>
    </row>
    <row r="33" spans="3:14">
      <c r="H33" s="11">
        <v>4</v>
      </c>
      <c r="I33" s="1" t="s">
        <v>35</v>
      </c>
      <c r="J33" s="93">
        <f>D23</f>
        <v>320</v>
      </c>
      <c r="K33" s="93">
        <f t="shared" si="0"/>
        <v>96</v>
      </c>
      <c r="L33" s="1">
        <v>10</v>
      </c>
      <c r="M33" s="95">
        <v>0.1</v>
      </c>
      <c r="N33" s="107">
        <f t="shared" si="1"/>
        <v>22.4</v>
      </c>
    </row>
    <row r="34" spans="3:14">
      <c r="H34" s="11">
        <v>4</v>
      </c>
      <c r="I34" s="1" t="s">
        <v>78</v>
      </c>
      <c r="J34" s="93">
        <f t="shared" ref="J34:J39" si="3">D24</f>
        <v>180</v>
      </c>
      <c r="K34" s="93">
        <f t="shared" si="0"/>
        <v>54</v>
      </c>
      <c r="L34" s="1">
        <v>10</v>
      </c>
      <c r="M34" s="95">
        <v>0.1</v>
      </c>
      <c r="N34" s="107">
        <f t="shared" si="1"/>
        <v>12.6</v>
      </c>
    </row>
    <row r="35" spans="3:14">
      <c r="C35" t="s">
        <v>138</v>
      </c>
      <c r="D35">
        <v>3600</v>
      </c>
      <c r="H35" s="11">
        <v>28</v>
      </c>
      <c r="I35" s="1" t="s">
        <v>80</v>
      </c>
      <c r="J35" s="93">
        <f t="shared" si="3"/>
        <v>1120</v>
      </c>
      <c r="K35" s="93">
        <f t="shared" si="0"/>
        <v>336</v>
      </c>
      <c r="L35" s="1">
        <v>10</v>
      </c>
      <c r="M35" s="95">
        <v>0.1</v>
      </c>
      <c r="N35" s="107">
        <f t="shared" si="1"/>
        <v>78.400000000000006</v>
      </c>
    </row>
    <row r="36" spans="3:14">
      <c r="C36" t="s">
        <v>139</v>
      </c>
      <c r="D36">
        <f>0.3*D35</f>
        <v>1080</v>
      </c>
      <c r="H36" s="11">
        <v>7</v>
      </c>
      <c r="I36" s="1" t="s">
        <v>86</v>
      </c>
      <c r="J36" s="93">
        <f t="shared" si="3"/>
        <v>1050</v>
      </c>
      <c r="K36" s="93">
        <f t="shared" si="0"/>
        <v>315</v>
      </c>
      <c r="L36" s="1">
        <v>10</v>
      </c>
      <c r="M36" s="95">
        <v>0.1</v>
      </c>
      <c r="N36" s="107">
        <f t="shared" si="1"/>
        <v>73.5</v>
      </c>
    </row>
    <row r="37" spans="3:14">
      <c r="H37" s="11">
        <v>4</v>
      </c>
      <c r="I37" s="1" t="s">
        <v>36</v>
      </c>
      <c r="J37" s="93">
        <f t="shared" si="3"/>
        <v>160</v>
      </c>
      <c r="K37" s="93">
        <f t="shared" si="0"/>
        <v>48</v>
      </c>
      <c r="L37" s="1">
        <v>10</v>
      </c>
      <c r="M37" s="95">
        <v>0.1</v>
      </c>
      <c r="N37" s="107">
        <f t="shared" si="1"/>
        <v>11.2</v>
      </c>
    </row>
    <row r="38" spans="3:14">
      <c r="C38" t="s">
        <v>140</v>
      </c>
      <c r="D38">
        <f>(D35-D36)/5</f>
        <v>504</v>
      </c>
      <c r="H38" s="11">
        <v>1</v>
      </c>
      <c r="I38" s="1" t="s">
        <v>81</v>
      </c>
      <c r="J38" s="93">
        <f t="shared" si="3"/>
        <v>109</v>
      </c>
      <c r="K38" s="93">
        <f t="shared" si="0"/>
        <v>32.699999999999996</v>
      </c>
      <c r="L38" s="1">
        <v>10</v>
      </c>
      <c r="M38" s="95">
        <v>0.1</v>
      </c>
      <c r="N38" s="107">
        <f t="shared" si="1"/>
        <v>7.6300000000000008</v>
      </c>
    </row>
    <row r="39" spans="3:14">
      <c r="H39" s="11">
        <v>4</v>
      </c>
      <c r="I39" s="1" t="s">
        <v>37</v>
      </c>
      <c r="J39" s="93">
        <f t="shared" si="3"/>
        <v>120</v>
      </c>
      <c r="K39" s="93">
        <f t="shared" si="0"/>
        <v>36</v>
      </c>
      <c r="L39" s="1">
        <v>10</v>
      </c>
      <c r="M39" s="95">
        <v>0.1</v>
      </c>
      <c r="N39" s="107">
        <f t="shared" si="1"/>
        <v>8.4</v>
      </c>
    </row>
    <row r="40" spans="3:14">
      <c r="H40" s="143" t="s">
        <v>10</v>
      </c>
      <c r="I40" s="143"/>
      <c r="J40" s="143"/>
      <c r="K40" s="106">
        <f>SUM(K18:K39)</f>
        <v>36572.699999999997</v>
      </c>
      <c r="L40" s="143" t="s">
        <v>10</v>
      </c>
      <c r="M40" s="143"/>
      <c r="N40" s="106">
        <f>SUM(N18:N39)</f>
        <v>8533.6299999999992</v>
      </c>
    </row>
    <row r="41" spans="3:14">
      <c r="H41" s="44"/>
      <c r="I41" s="44"/>
      <c r="J41" s="44"/>
      <c r="K41" s="44"/>
      <c r="L41" s="44"/>
      <c r="M41" s="44"/>
      <c r="N41" s="44"/>
    </row>
    <row r="42" spans="3:14">
      <c r="H42" s="44"/>
      <c r="I42" s="141" t="s">
        <v>129</v>
      </c>
      <c r="J42" s="142"/>
      <c r="K42" s="108">
        <f>K6+K9+K15+K40</f>
        <v>522212.7</v>
      </c>
      <c r="L42" s="44"/>
      <c r="M42" s="44"/>
      <c r="N42" s="44"/>
    </row>
  </sheetData>
  <mergeCells count="13">
    <mergeCell ref="H2:N2"/>
    <mergeCell ref="E30:F30"/>
    <mergeCell ref="B30:C30"/>
    <mergeCell ref="I42:J42"/>
    <mergeCell ref="H40:J40"/>
    <mergeCell ref="L40:M40"/>
    <mergeCell ref="L6:M6"/>
    <mergeCell ref="H6:J6"/>
    <mergeCell ref="H7:N7"/>
    <mergeCell ref="H11:N11"/>
    <mergeCell ref="L15:M15"/>
    <mergeCell ref="H15:I15"/>
    <mergeCell ref="H16:N16"/>
  </mergeCells>
  <phoneticPr fontId="15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topLeftCell="A3" workbookViewId="0">
      <selection activeCell="C9" sqref="C9"/>
    </sheetView>
  </sheetViews>
  <sheetFormatPr baseColWidth="10" defaultColWidth="11.42578125" defaultRowHeight="15"/>
  <cols>
    <col min="1" max="1" width="18" bestFit="1" customWidth="1"/>
    <col min="2" max="12" width="16.7109375" customWidth="1"/>
  </cols>
  <sheetData>
    <row r="1" spans="1:12">
      <c r="G1" s="5">
        <v>2010</v>
      </c>
    </row>
    <row r="2" spans="1:12">
      <c r="G2" s="70"/>
    </row>
    <row r="3" spans="1:12">
      <c r="B3" s="9" t="s">
        <v>66</v>
      </c>
    </row>
    <row r="4" spans="1:12">
      <c r="G4" s="34" t="s">
        <v>99</v>
      </c>
      <c r="H4" s="5"/>
      <c r="I4" s="5"/>
    </row>
    <row r="5" spans="1:12">
      <c r="B5" s="5" t="s">
        <v>100</v>
      </c>
      <c r="G5" s="127">
        <v>8</v>
      </c>
      <c r="H5" s="35"/>
      <c r="I5" s="36"/>
    </row>
    <row r="6" spans="1:12">
      <c r="B6" s="5" t="s">
        <v>67</v>
      </c>
      <c r="E6" s="37"/>
      <c r="G6" s="128">
        <v>5</v>
      </c>
      <c r="H6" s="35"/>
      <c r="I6" s="36"/>
    </row>
    <row r="7" spans="1:12">
      <c r="B7" s="5" t="s">
        <v>68</v>
      </c>
      <c r="G7" s="128">
        <v>10</v>
      </c>
      <c r="H7" s="35"/>
      <c r="I7" s="35"/>
    </row>
    <row r="8" spans="1:12">
      <c r="E8" s="134"/>
      <c r="F8" s="134"/>
      <c r="H8" s="35"/>
      <c r="I8" s="35"/>
    </row>
    <row r="10" spans="1:12">
      <c r="B10" t="s">
        <v>101</v>
      </c>
    </row>
    <row r="11" spans="1:12">
      <c r="B11" t="s">
        <v>102</v>
      </c>
    </row>
    <row r="12" spans="1:12">
      <c r="B12" t="s">
        <v>103</v>
      </c>
    </row>
    <row r="13" spans="1:12">
      <c r="B13" t="s">
        <v>132</v>
      </c>
    </row>
    <row r="15" spans="1:12">
      <c r="B15" t="s">
        <v>133</v>
      </c>
    </row>
    <row r="16" spans="1:12">
      <c r="A16" s="79" t="s">
        <v>177</v>
      </c>
      <c r="B16" s="79">
        <v>2010</v>
      </c>
      <c r="C16" s="79">
        <v>2011</v>
      </c>
      <c r="D16" s="79">
        <v>2012</v>
      </c>
      <c r="E16" s="79">
        <v>2013</v>
      </c>
      <c r="F16" s="79">
        <v>2014</v>
      </c>
      <c r="G16" s="79">
        <v>2015</v>
      </c>
      <c r="H16" s="79">
        <v>2016</v>
      </c>
      <c r="I16" s="79">
        <v>2017</v>
      </c>
      <c r="J16" s="79">
        <v>2018</v>
      </c>
      <c r="K16" s="79">
        <v>2019</v>
      </c>
      <c r="L16">
        <v>2020</v>
      </c>
    </row>
    <row r="17" spans="1:12">
      <c r="A17" s="79" t="s">
        <v>178</v>
      </c>
      <c r="B17" s="129">
        <v>98947.97</v>
      </c>
      <c r="C17" s="98">
        <f>B17*1.025</f>
        <v>101421.66924999999</v>
      </c>
      <c r="D17" s="98">
        <f>C17*1.025</f>
        <v>103957.21098124998</v>
      </c>
      <c r="E17" s="98">
        <f>D17*1.025</f>
        <v>106556.14125578123</v>
      </c>
      <c r="F17" s="98">
        <f t="shared" ref="F17:L17" si="0">E17*1.025</f>
        <v>109220.04478717575</v>
      </c>
      <c r="G17" s="98">
        <f t="shared" si="0"/>
        <v>111950.54590685513</v>
      </c>
      <c r="H17" s="98">
        <f t="shared" si="0"/>
        <v>114749.3095545265</v>
      </c>
      <c r="I17" s="98">
        <f t="shared" si="0"/>
        <v>117618.04229338965</v>
      </c>
      <c r="J17" s="98">
        <f t="shared" si="0"/>
        <v>120558.49335072438</v>
      </c>
      <c r="K17" s="98">
        <f t="shared" si="0"/>
        <v>123572.45568449248</v>
      </c>
      <c r="L17" s="71">
        <f t="shared" si="0"/>
        <v>126661.76707660478</v>
      </c>
    </row>
    <row r="18" spans="1:12">
      <c r="A18" s="79" t="s">
        <v>134</v>
      </c>
      <c r="B18" s="98">
        <f>B17*$G$5</f>
        <v>791583.76</v>
      </c>
      <c r="C18" s="98">
        <f t="shared" ref="C18:L18" si="1">C17*$G$5</f>
        <v>811373.35399999993</v>
      </c>
      <c r="D18" s="98">
        <f t="shared" si="1"/>
        <v>831657.68784999987</v>
      </c>
      <c r="E18" s="98">
        <f t="shared" si="1"/>
        <v>852449.13004624983</v>
      </c>
      <c r="F18" s="98">
        <f t="shared" si="1"/>
        <v>873760.358297406</v>
      </c>
      <c r="G18" s="98">
        <f t="shared" si="1"/>
        <v>895604.36725484102</v>
      </c>
      <c r="H18" s="98">
        <f t="shared" si="1"/>
        <v>917994.47643621196</v>
      </c>
      <c r="I18" s="98">
        <f t="shared" si="1"/>
        <v>940944.33834711718</v>
      </c>
      <c r="J18" s="98">
        <f t="shared" si="1"/>
        <v>964467.94680579507</v>
      </c>
      <c r="K18" s="98">
        <f t="shared" si="1"/>
        <v>988579.64547593985</v>
      </c>
      <c r="L18" s="71">
        <f t="shared" si="1"/>
        <v>1013294.1366128383</v>
      </c>
    </row>
    <row r="19" spans="1:12">
      <c r="A19" s="79" t="s">
        <v>135</v>
      </c>
      <c r="B19" s="98">
        <f>B17/2*$G$6</f>
        <v>247369.92499999999</v>
      </c>
      <c r="C19" s="98">
        <f t="shared" ref="C19:L19" si="2">C17/2*$G$6</f>
        <v>253554.17312499997</v>
      </c>
      <c r="D19" s="98">
        <f t="shared" si="2"/>
        <v>259893.02745312496</v>
      </c>
      <c r="E19" s="98">
        <f t="shared" si="2"/>
        <v>266390.3531394531</v>
      </c>
      <c r="F19" s="98">
        <f t="shared" si="2"/>
        <v>273050.11196793936</v>
      </c>
      <c r="G19" s="98">
        <f t="shared" si="2"/>
        <v>279876.3647671378</v>
      </c>
      <c r="H19" s="98">
        <f t="shared" si="2"/>
        <v>286873.27388631622</v>
      </c>
      <c r="I19" s="98">
        <f t="shared" si="2"/>
        <v>294045.10573347413</v>
      </c>
      <c r="J19" s="98">
        <f t="shared" si="2"/>
        <v>301396.23337681097</v>
      </c>
      <c r="K19" s="98">
        <f t="shared" si="2"/>
        <v>308931.1392112312</v>
      </c>
      <c r="L19" s="71">
        <f t="shared" si="2"/>
        <v>316654.41769151198</v>
      </c>
    </row>
    <row r="20" spans="1:12">
      <c r="A20" s="79" t="s">
        <v>136</v>
      </c>
      <c r="B20" s="98">
        <f>B17*0.005*$G$7*60</f>
        <v>296843.91000000003</v>
      </c>
      <c r="C20" s="98">
        <f t="shared" ref="C20:L20" si="3">C17*0.005*$G$7*60</f>
        <v>304265.00774999999</v>
      </c>
      <c r="D20" s="98">
        <f t="shared" si="3"/>
        <v>311871.63294374989</v>
      </c>
      <c r="E20" s="98">
        <f t="shared" si="3"/>
        <v>319668.42376734369</v>
      </c>
      <c r="F20" s="98">
        <f t="shared" si="3"/>
        <v>327660.13436152722</v>
      </c>
      <c r="G20" s="98">
        <f t="shared" si="3"/>
        <v>335851.63772056537</v>
      </c>
      <c r="H20" s="98">
        <f t="shared" si="3"/>
        <v>344247.92866357957</v>
      </c>
      <c r="I20" s="98">
        <f t="shared" si="3"/>
        <v>352854.12688016897</v>
      </c>
      <c r="J20" s="98">
        <f t="shared" si="3"/>
        <v>361675.48005217314</v>
      </c>
      <c r="K20" s="98">
        <f t="shared" si="3"/>
        <v>370717.36705347744</v>
      </c>
      <c r="L20" s="71">
        <f t="shared" si="3"/>
        <v>379985.30122981436</v>
      </c>
    </row>
    <row r="21" spans="1:12">
      <c r="A21" s="79" t="s">
        <v>137</v>
      </c>
      <c r="B21" s="98">
        <f>SUM(B18:B20)</f>
        <v>1335797.5950000002</v>
      </c>
      <c r="C21" s="98">
        <f t="shared" ref="C21:L21" si="4">SUM(C18:C20)</f>
        <v>1369192.5348749999</v>
      </c>
      <c r="D21" s="98">
        <f t="shared" si="4"/>
        <v>1403422.3482468748</v>
      </c>
      <c r="E21" s="98">
        <f t="shared" si="4"/>
        <v>1438507.9069530466</v>
      </c>
      <c r="F21" s="98">
        <f t="shared" si="4"/>
        <v>1474470.6046268726</v>
      </c>
      <c r="G21" s="98">
        <f t="shared" si="4"/>
        <v>1511332.3697425441</v>
      </c>
      <c r="H21" s="98">
        <f t="shared" si="4"/>
        <v>1549115.6789861077</v>
      </c>
      <c r="I21" s="98">
        <f t="shared" si="4"/>
        <v>1587843.5709607601</v>
      </c>
      <c r="J21" s="98">
        <f t="shared" si="4"/>
        <v>1627539.6602347791</v>
      </c>
      <c r="K21" s="98">
        <f t="shared" si="4"/>
        <v>1668228.1517406483</v>
      </c>
      <c r="L21" s="71">
        <f t="shared" si="4"/>
        <v>1709933.8555341645</v>
      </c>
    </row>
  </sheetData>
  <mergeCells count="1">
    <mergeCell ref="E8:F8"/>
  </mergeCells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K19"/>
  <sheetViews>
    <sheetView topLeftCell="A4" workbookViewId="0">
      <selection activeCell="I19" sqref="I19"/>
    </sheetView>
  </sheetViews>
  <sheetFormatPr baseColWidth="10" defaultColWidth="11.42578125" defaultRowHeight="15"/>
  <cols>
    <col min="1" max="1" width="16.85546875" bestFit="1" customWidth="1"/>
    <col min="2" max="3" width="14.140625" bestFit="1" customWidth="1"/>
    <col min="6" max="7" width="10.85546875" bestFit="1" customWidth="1"/>
    <col min="9" max="9" width="10.85546875" bestFit="1" customWidth="1"/>
    <col min="10" max="11" width="11.85546875" bestFit="1" customWidth="1"/>
  </cols>
  <sheetData>
    <row r="4" spans="1:11">
      <c r="B4" s="148" t="s">
        <v>109</v>
      </c>
      <c r="C4" s="149"/>
      <c r="F4" s="72"/>
      <c r="G4" s="72"/>
      <c r="H4" s="72"/>
      <c r="I4" s="72"/>
      <c r="J4" s="72"/>
      <c r="K4" s="72"/>
    </row>
    <row r="5" spans="1:11">
      <c r="B5" s="150"/>
      <c r="C5" s="151"/>
      <c r="F5" s="31"/>
      <c r="G5" s="73"/>
      <c r="H5" s="31"/>
      <c r="I5" s="31"/>
      <c r="J5" s="31"/>
      <c r="K5" s="73"/>
    </row>
    <row r="6" spans="1:11">
      <c r="B6" s="67" t="s">
        <v>111</v>
      </c>
      <c r="C6" s="68">
        <f>'METODO DEL DEFICIT ACUMULADO'!D9</f>
        <v>1968231.2664574219</v>
      </c>
      <c r="F6" s="31"/>
      <c r="G6" s="73"/>
      <c r="H6" s="31"/>
      <c r="I6" s="31"/>
      <c r="J6" s="31"/>
      <c r="K6" s="73"/>
    </row>
    <row r="7" spans="1:11" ht="19.5" customHeight="1">
      <c r="B7" s="67" t="s">
        <v>112</v>
      </c>
      <c r="C7" s="67" t="s">
        <v>113</v>
      </c>
      <c r="F7" s="74"/>
      <c r="G7" s="73"/>
      <c r="H7" s="31"/>
      <c r="I7" s="31"/>
      <c r="J7" s="31"/>
      <c r="K7" s="73"/>
    </row>
    <row r="8" spans="1:11">
      <c r="B8" s="67" t="s">
        <v>114</v>
      </c>
      <c r="C8" s="67" t="s">
        <v>146</v>
      </c>
      <c r="F8" s="31"/>
      <c r="G8" s="73"/>
      <c r="H8" s="31"/>
      <c r="I8" s="31"/>
      <c r="J8" s="31"/>
      <c r="K8" s="73"/>
    </row>
    <row r="9" spans="1:11">
      <c r="B9" s="67" t="s">
        <v>110</v>
      </c>
      <c r="C9" s="69">
        <v>0.1</v>
      </c>
      <c r="D9" t="s">
        <v>4</v>
      </c>
      <c r="F9" s="31"/>
      <c r="G9" s="73"/>
      <c r="H9" s="31"/>
      <c r="I9" s="31"/>
      <c r="J9" s="31"/>
      <c r="K9" s="73"/>
    </row>
    <row r="10" spans="1:11">
      <c r="C10" s="48"/>
      <c r="F10" s="31"/>
      <c r="G10" s="49"/>
      <c r="H10" s="16"/>
      <c r="I10" s="16"/>
      <c r="J10" s="16"/>
      <c r="K10" s="49"/>
    </row>
    <row r="11" spans="1:11">
      <c r="F11" s="16"/>
      <c r="G11" s="49"/>
      <c r="H11" s="16"/>
      <c r="I11" s="16"/>
      <c r="J11" s="16"/>
      <c r="K11" s="49"/>
    </row>
    <row r="12" spans="1:11">
      <c r="F12" s="50"/>
      <c r="G12" s="51"/>
      <c r="H12" s="51"/>
      <c r="I12" s="51"/>
      <c r="J12" s="51"/>
    </row>
    <row r="13" spans="1:11">
      <c r="F13" s="50"/>
      <c r="G13" s="51"/>
      <c r="H13" s="51"/>
      <c r="I13" s="51"/>
      <c r="J13" s="51"/>
    </row>
    <row r="14" spans="1:11">
      <c r="A14" s="79" t="s">
        <v>141</v>
      </c>
      <c r="B14" s="113">
        <f>C6*0.4</f>
        <v>787292.50658296887</v>
      </c>
      <c r="F14" s="50"/>
      <c r="G14" s="51"/>
      <c r="H14" s="51"/>
      <c r="I14" s="51"/>
      <c r="J14" s="51"/>
    </row>
    <row r="15" spans="1:11">
      <c r="A15" s="79" t="s">
        <v>142</v>
      </c>
      <c r="B15" s="113">
        <f>C6*0.6</f>
        <v>1180938.7598744531</v>
      </c>
      <c r="F15" s="50"/>
      <c r="G15" s="51"/>
      <c r="H15" s="51"/>
      <c r="I15" s="51"/>
      <c r="J15" s="51"/>
    </row>
    <row r="17" spans="1:11">
      <c r="A17" s="79" t="s">
        <v>166</v>
      </c>
      <c r="B17" s="84">
        <v>2010</v>
      </c>
      <c r="C17" s="84">
        <v>2011</v>
      </c>
      <c r="D17" s="84">
        <v>2012</v>
      </c>
      <c r="E17" s="84">
        <v>2013</v>
      </c>
      <c r="F17" s="84">
        <v>2014</v>
      </c>
      <c r="G17" s="84">
        <v>2015</v>
      </c>
      <c r="H17" s="84">
        <v>2016</v>
      </c>
      <c r="I17" s="84">
        <v>2017</v>
      </c>
      <c r="J17" s="84">
        <v>2018</v>
      </c>
      <c r="K17" s="84">
        <v>2019</v>
      </c>
    </row>
    <row r="18" spans="1:11">
      <c r="A18" s="79" t="s">
        <v>110</v>
      </c>
      <c r="B18" s="114">
        <f>IPMT($C$9,B17-2009,10,-$B$14)</f>
        <v>78729.250658296893</v>
      </c>
      <c r="C18" s="114">
        <f t="shared" ref="B18:K18" si="0">IPMT($C$9,C17-2009,10,-$B$14)</f>
        <v>73789.352736937813</v>
      </c>
      <c r="D18" s="114">
        <f t="shared" si="0"/>
        <v>68355.465023442826</v>
      </c>
      <c r="E18" s="114">
        <f t="shared" si="0"/>
        <v>62378.188538598355</v>
      </c>
      <c r="F18" s="114">
        <f t="shared" si="0"/>
        <v>55803.184405269443</v>
      </c>
      <c r="G18" s="114">
        <f t="shared" si="0"/>
        <v>48570.679858607604</v>
      </c>
      <c r="H18" s="114">
        <f t="shared" si="0"/>
        <v>40614.924857279591</v>
      </c>
      <c r="I18" s="114">
        <f t="shared" si="0"/>
        <v>31863.594355818794</v>
      </c>
      <c r="J18" s="114">
        <f t="shared" si="0"/>
        <v>22237.130804211927</v>
      </c>
      <c r="K18" s="114">
        <f t="shared" si="0"/>
        <v>11648.020897444316</v>
      </c>
    </row>
    <row r="19" spans="1:11">
      <c r="A19" s="79" t="s">
        <v>111</v>
      </c>
      <c r="B19" s="114">
        <f>PPMT($C$9,B17-2009,10,-$B$14)</f>
        <v>49398.97921359069</v>
      </c>
      <c r="C19" s="114">
        <f t="shared" ref="B19:K19" si="1">PPMT($C$9,C17-2009,10,-$B$14)</f>
        <v>54338.877134949769</v>
      </c>
      <c r="D19" s="114">
        <f t="shared" si="1"/>
        <v>59772.764848444756</v>
      </c>
      <c r="E19" s="114">
        <f t="shared" si="1"/>
        <v>65750.041333289235</v>
      </c>
      <c r="F19" s="114">
        <f t="shared" si="1"/>
        <v>72325.045466618147</v>
      </c>
      <c r="G19" s="114">
        <f t="shared" si="1"/>
        <v>79557.550013279979</v>
      </c>
      <c r="H19" s="114">
        <f t="shared" si="1"/>
        <v>87513.305014607991</v>
      </c>
      <c r="I19" s="114">
        <f t="shared" si="1"/>
        <v>96264.635516068782</v>
      </c>
      <c r="J19" s="114">
        <f t="shared" si="1"/>
        <v>105891.09906767565</v>
      </c>
      <c r="K19" s="114">
        <f t="shared" si="1"/>
        <v>116480.20897444326</v>
      </c>
    </row>
  </sheetData>
  <mergeCells count="1">
    <mergeCell ref="B4:C5"/>
  </mergeCells>
  <phoneticPr fontId="1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4:M24"/>
  <sheetViews>
    <sheetView workbookViewId="0">
      <selection activeCell="D14" sqref="D14"/>
    </sheetView>
  </sheetViews>
  <sheetFormatPr baseColWidth="10" defaultColWidth="11.42578125" defaultRowHeight="15"/>
  <cols>
    <col min="3" max="3" width="15.5703125" bestFit="1" customWidth="1"/>
  </cols>
  <sheetData>
    <row r="4" spans="2:13" ht="15.75">
      <c r="B4" s="152" t="s">
        <v>115</v>
      </c>
      <c r="C4" s="152"/>
      <c r="D4" s="152"/>
      <c r="E4" s="152"/>
      <c r="F4" s="152"/>
      <c r="G4" s="152"/>
      <c r="H4" s="55"/>
      <c r="I4" s="55"/>
    </row>
    <row r="5" spans="2:13" ht="15.75">
      <c r="B5" s="153"/>
      <c r="C5" s="153"/>
      <c r="D5" s="153"/>
      <c r="E5" s="153"/>
      <c r="F5" s="153"/>
      <c r="G5" s="153"/>
      <c r="H5" s="56"/>
      <c r="I5" s="56"/>
    </row>
    <row r="6" spans="2:13" ht="15.75">
      <c r="B6" s="153"/>
      <c r="C6" s="153"/>
      <c r="D6" s="153"/>
      <c r="E6" s="153"/>
      <c r="F6" s="153"/>
      <c r="G6" s="57"/>
      <c r="H6" s="58"/>
      <c r="I6" s="55"/>
    </row>
    <row r="7" spans="2:13" ht="15.75">
      <c r="B7" s="109" t="s">
        <v>179</v>
      </c>
      <c r="C7" s="110">
        <f>D9+D11*(D10-D9)+D12</f>
        <v>0.20276999999999998</v>
      </c>
      <c r="D7" s="55"/>
      <c r="E7" s="55"/>
      <c r="F7" s="55"/>
      <c r="G7" s="55"/>
      <c r="H7" s="55"/>
      <c r="I7" s="55"/>
    </row>
    <row r="8" spans="2:13" ht="15.75">
      <c r="B8" s="55"/>
      <c r="C8" s="59" t="s">
        <v>116</v>
      </c>
      <c r="D8" s="60">
        <f>[1]FINANCIAMIENTO!C9</f>
        <v>0.1</v>
      </c>
      <c r="E8" s="55"/>
      <c r="F8" s="61"/>
      <c r="G8" s="62"/>
      <c r="H8" s="55"/>
      <c r="I8" s="55"/>
    </row>
    <row r="9" spans="2:13" ht="15.75">
      <c r="B9" s="55"/>
      <c r="C9" s="59" t="s">
        <v>117</v>
      </c>
      <c r="D9" s="60">
        <v>5.1999999999999998E-2</v>
      </c>
      <c r="E9" s="55"/>
      <c r="F9" s="61"/>
      <c r="G9" s="55"/>
      <c r="H9" s="55"/>
      <c r="I9" s="55"/>
      <c r="M9" s="52"/>
    </row>
    <row r="10" spans="2:13" ht="15.75">
      <c r="B10" s="55"/>
      <c r="C10" s="59" t="s">
        <v>118</v>
      </c>
      <c r="D10" s="60">
        <v>0.11</v>
      </c>
      <c r="E10" s="55"/>
      <c r="F10" s="55"/>
      <c r="G10" s="55"/>
      <c r="H10" s="55"/>
      <c r="I10" s="55"/>
    </row>
    <row r="11" spans="2:13" ht="15.75">
      <c r="B11" s="55"/>
      <c r="C11" s="59" t="s">
        <v>119</v>
      </c>
      <c r="D11" s="63">
        <v>0.77</v>
      </c>
      <c r="E11" s="55"/>
      <c r="F11" s="55"/>
      <c r="G11" s="55"/>
      <c r="H11" s="55"/>
      <c r="I11" s="55"/>
    </row>
    <row r="12" spans="2:13" ht="15.75">
      <c r="B12" s="55"/>
      <c r="C12" s="59" t="s">
        <v>120</v>
      </c>
      <c r="D12" s="64">
        <f>35.37%*0.3</f>
        <v>0.10610999999999998</v>
      </c>
      <c r="E12" s="55"/>
      <c r="F12" s="55"/>
      <c r="G12" s="55"/>
      <c r="H12" s="55"/>
      <c r="I12" s="55"/>
    </row>
    <row r="13" spans="2:13" ht="15.75">
      <c r="B13" s="55"/>
      <c r="E13" s="55"/>
      <c r="F13" s="55"/>
      <c r="G13" s="55"/>
      <c r="H13" s="55"/>
      <c r="I13" s="55"/>
    </row>
    <row r="14" spans="2:13" ht="15.75">
      <c r="B14" s="55"/>
      <c r="C14" s="111" t="s">
        <v>145</v>
      </c>
      <c r="D14" s="112">
        <f>0.4*D8+0.6*C7</f>
        <v>0.16166199999999997</v>
      </c>
      <c r="E14" s="55"/>
      <c r="F14" s="55"/>
      <c r="G14" s="55"/>
      <c r="H14" s="44"/>
      <c r="I14" s="44"/>
    </row>
    <row r="15" spans="2:13" ht="15.75">
      <c r="B15" s="55"/>
      <c r="E15" s="55"/>
      <c r="F15" s="55"/>
      <c r="G15" s="55"/>
      <c r="H15" s="44"/>
      <c r="I15" s="44"/>
    </row>
    <row r="16" spans="2:13" ht="15.75">
      <c r="B16" s="55"/>
      <c r="C16" s="55"/>
      <c r="D16" s="55"/>
      <c r="E16" s="55"/>
      <c r="F16" s="55"/>
      <c r="G16" s="55"/>
      <c r="H16" s="44"/>
      <c r="I16" s="44"/>
    </row>
    <row r="17" spans="2:9" ht="15.75">
      <c r="B17" s="55"/>
      <c r="C17" s="61"/>
      <c r="D17" s="65"/>
      <c r="E17" s="55"/>
      <c r="F17" s="55"/>
      <c r="G17" s="55"/>
      <c r="H17" s="44"/>
      <c r="I17" s="44"/>
    </row>
    <row r="18" spans="2:9" ht="15.75">
      <c r="B18" s="55"/>
      <c r="C18" s="55"/>
      <c r="D18" s="55"/>
      <c r="E18" s="55"/>
      <c r="F18" s="55"/>
      <c r="G18" s="55"/>
      <c r="H18" s="55"/>
      <c r="I18" s="55"/>
    </row>
    <row r="19" spans="2:9" ht="15.75">
      <c r="B19" s="54"/>
      <c r="C19" s="54"/>
      <c r="D19" s="54"/>
      <c r="E19" s="54"/>
      <c r="F19" s="54"/>
      <c r="G19" s="54"/>
      <c r="H19" s="54"/>
      <c r="I19" s="54"/>
    </row>
    <row r="20" spans="2:9" ht="15.75">
      <c r="B20" s="54"/>
      <c r="C20" s="54"/>
      <c r="D20" s="54"/>
      <c r="E20" s="54"/>
      <c r="F20" s="54"/>
      <c r="G20" s="54"/>
      <c r="H20" s="54"/>
      <c r="I20" s="54"/>
    </row>
    <row r="21" spans="2:9" ht="15.75">
      <c r="B21" s="54"/>
      <c r="C21" s="54"/>
      <c r="D21" s="54"/>
      <c r="E21" s="54"/>
      <c r="F21" s="54"/>
      <c r="G21" s="54"/>
      <c r="H21" s="54"/>
      <c r="I21" s="54"/>
    </row>
    <row r="22" spans="2:9" ht="15.75">
      <c r="B22" s="54"/>
      <c r="C22" s="54"/>
      <c r="D22" s="54"/>
      <c r="E22" s="54"/>
      <c r="F22" s="54"/>
      <c r="G22" s="54"/>
      <c r="H22" s="54"/>
      <c r="I22" s="54"/>
    </row>
    <row r="23" spans="2:9" ht="15.75">
      <c r="B23" s="54"/>
      <c r="C23" s="54"/>
      <c r="D23" s="54"/>
      <c r="E23" s="54"/>
      <c r="F23" s="54"/>
      <c r="G23" s="54"/>
      <c r="H23" s="54"/>
      <c r="I23" s="54"/>
    </row>
    <row r="24" spans="2:9" ht="15.75">
      <c r="B24" s="54"/>
      <c r="C24" s="54"/>
      <c r="D24" s="54"/>
      <c r="E24" s="54"/>
      <c r="F24" s="54"/>
      <c r="G24" s="54"/>
      <c r="H24" s="54"/>
      <c r="I24" s="54"/>
    </row>
  </sheetData>
  <mergeCells count="3">
    <mergeCell ref="B4:G4"/>
    <mergeCell ref="B5:G5"/>
    <mergeCell ref="B6:F6"/>
  </mergeCells>
  <phoneticPr fontId="1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M27"/>
  <sheetViews>
    <sheetView topLeftCell="A6" workbookViewId="0">
      <selection activeCell="D26" sqref="D26"/>
    </sheetView>
  </sheetViews>
  <sheetFormatPr baseColWidth="10" defaultColWidth="11.42578125" defaultRowHeight="15"/>
  <cols>
    <col min="2" max="2" width="25.5703125" customWidth="1"/>
    <col min="3" max="3" width="14.85546875" bestFit="1" customWidth="1"/>
    <col min="4" max="4" width="15.28515625" bestFit="1" customWidth="1"/>
    <col min="5" max="13" width="15.140625" bestFit="1" customWidth="1"/>
  </cols>
  <sheetData>
    <row r="3" spans="2:13">
      <c r="B3" s="10" t="s">
        <v>121</v>
      </c>
      <c r="C3" s="10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</row>
    <row r="4" spans="2:13">
      <c r="B4" s="10" t="s">
        <v>66</v>
      </c>
      <c r="C4" s="106"/>
      <c r="D4" s="106">
        <f>INGRESOS!B21</f>
        <v>1335797.5950000002</v>
      </c>
      <c r="E4" s="106">
        <f>INGRESOS!C21</f>
        <v>1369192.5348749999</v>
      </c>
      <c r="F4" s="106">
        <f>INGRESOS!D21</f>
        <v>1403422.3482468748</v>
      </c>
      <c r="G4" s="106">
        <f>INGRESOS!E21</f>
        <v>1438507.9069530466</v>
      </c>
      <c r="H4" s="106">
        <f>INGRESOS!F21</f>
        <v>1474470.6046268726</v>
      </c>
      <c r="I4" s="106">
        <f>INGRESOS!G21</f>
        <v>1511332.3697425441</v>
      </c>
      <c r="J4" s="106">
        <f>INGRESOS!H21</f>
        <v>1549115.6789861077</v>
      </c>
      <c r="K4" s="106">
        <f>INGRESOS!I21</f>
        <v>1587843.5709607601</v>
      </c>
      <c r="L4" s="106">
        <f>INGRESOS!J21</f>
        <v>1627539.6602347791</v>
      </c>
      <c r="M4" s="106">
        <f>INGRESOS!K21</f>
        <v>1668228.1517406483</v>
      </c>
    </row>
    <row r="5" spans="2:13">
      <c r="B5" s="1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>
      <c r="B6" s="10" t="s">
        <v>122</v>
      </c>
      <c r="C6" s="106"/>
      <c r="D6" s="106">
        <f>'CF-CV'!C37</f>
        <v>126173.7625</v>
      </c>
      <c r="E6" s="106">
        <f>'CF-CV'!D37</f>
        <v>129265.88656249999</v>
      </c>
      <c r="F6" s="106">
        <f>'CF-CV'!E37</f>
        <v>132435.31372656248</v>
      </c>
      <c r="G6" s="106">
        <f>'CF-CV'!F37</f>
        <v>135683.97656972654</v>
      </c>
      <c r="H6" s="106">
        <f>'CF-CV'!G37</f>
        <v>139013.85598396967</v>
      </c>
      <c r="I6" s="106">
        <f>'CF-CV'!H37</f>
        <v>142426.98238356889</v>
      </c>
      <c r="J6" s="106">
        <f>'CF-CV'!I37</f>
        <v>145925.4369431581</v>
      </c>
      <c r="K6" s="106">
        <f>'CF-CV'!J37</f>
        <v>149511.35286673706</v>
      </c>
      <c r="L6" s="106">
        <f>'CF-CV'!K37</f>
        <v>153186.91668840547</v>
      </c>
      <c r="M6" s="106">
        <f>'CF-CV'!L37</f>
        <v>156954.36960561559</v>
      </c>
    </row>
    <row r="7" spans="2:13">
      <c r="B7" s="10" t="s">
        <v>123</v>
      </c>
      <c r="C7" s="106"/>
      <c r="D7" s="106">
        <f>'CF-CV'!D16</f>
        <v>470578.71</v>
      </c>
      <c r="E7" s="106">
        <f>D7</f>
        <v>470578.71</v>
      </c>
      <c r="F7" s="106">
        <f t="shared" ref="F7:M8" si="0">E7</f>
        <v>470578.71</v>
      </c>
      <c r="G7" s="106">
        <f t="shared" si="0"/>
        <v>470578.71</v>
      </c>
      <c r="H7" s="106">
        <f t="shared" si="0"/>
        <v>470578.71</v>
      </c>
      <c r="I7" s="106">
        <f t="shared" si="0"/>
        <v>470578.71</v>
      </c>
      <c r="J7" s="106">
        <f t="shared" si="0"/>
        <v>470578.71</v>
      </c>
      <c r="K7" s="106">
        <f t="shared" si="0"/>
        <v>470578.71</v>
      </c>
      <c r="L7" s="106">
        <f t="shared" si="0"/>
        <v>470578.71</v>
      </c>
      <c r="M7" s="106">
        <f t="shared" si="0"/>
        <v>470578.71</v>
      </c>
    </row>
    <row r="8" spans="2:13">
      <c r="B8" s="10" t="s">
        <v>150</v>
      </c>
      <c r="C8" s="106"/>
      <c r="D8" s="106">
        <f>('VALOR DESECHO'!N6)</f>
        <v>55650</v>
      </c>
      <c r="E8" s="106">
        <f>D8</f>
        <v>55650</v>
      </c>
      <c r="F8" s="106">
        <f t="shared" si="0"/>
        <v>55650</v>
      </c>
      <c r="G8" s="106">
        <f t="shared" si="0"/>
        <v>55650</v>
      </c>
      <c r="H8" s="106">
        <f t="shared" si="0"/>
        <v>55650</v>
      </c>
      <c r="I8" s="106">
        <f t="shared" si="0"/>
        <v>55650</v>
      </c>
      <c r="J8" s="106">
        <f t="shared" si="0"/>
        <v>55650</v>
      </c>
      <c r="K8" s="106">
        <f t="shared" si="0"/>
        <v>55650</v>
      </c>
      <c r="L8" s="106">
        <f t="shared" si="0"/>
        <v>55650</v>
      </c>
      <c r="M8" s="106">
        <f t="shared" si="0"/>
        <v>55650</v>
      </c>
    </row>
    <row r="9" spans="2:13">
      <c r="B9" s="10" t="s">
        <v>152</v>
      </c>
      <c r="C9" s="106"/>
      <c r="D9" s="106">
        <f>'VALOR DESECHO'!$N$40</f>
        <v>8533.6299999999992</v>
      </c>
      <c r="E9" s="106">
        <f>'VALOR DESECHO'!$N$40</f>
        <v>8533.6299999999992</v>
      </c>
      <c r="F9" s="106">
        <f>'VALOR DESECHO'!$N$40</f>
        <v>8533.6299999999992</v>
      </c>
      <c r="G9" s="106">
        <f>'VALOR DESECHO'!$N$40</f>
        <v>8533.6299999999992</v>
      </c>
      <c r="H9" s="106">
        <f>'VALOR DESECHO'!$N$40</f>
        <v>8533.6299999999992</v>
      </c>
      <c r="I9" s="106">
        <f>'VALOR DESECHO'!$N$40</f>
        <v>8533.6299999999992</v>
      </c>
      <c r="J9" s="106">
        <f>'VALOR DESECHO'!$N$40</f>
        <v>8533.6299999999992</v>
      </c>
      <c r="K9" s="106">
        <f>'VALOR DESECHO'!$N$40</f>
        <v>8533.6299999999992</v>
      </c>
      <c r="L9" s="106">
        <f>'VALOR DESECHO'!$N$40</f>
        <v>8533.6299999999992</v>
      </c>
      <c r="M9" s="106">
        <f>'VALOR DESECHO'!$N$40</f>
        <v>8533.6299999999992</v>
      </c>
    </row>
    <row r="10" spans="2:13">
      <c r="B10" s="10" t="s">
        <v>153</v>
      </c>
      <c r="C10" s="106"/>
      <c r="D10" s="106">
        <f>'VALOR DESECHO'!$N$9</f>
        <v>3500</v>
      </c>
      <c r="E10" s="106">
        <f>'VALOR DESECHO'!$N$9</f>
        <v>3500</v>
      </c>
      <c r="F10" s="106">
        <f>'VALOR DESECHO'!$N$9</f>
        <v>3500</v>
      </c>
      <c r="G10" s="106">
        <f>'VALOR DESECHO'!$N$9</f>
        <v>3500</v>
      </c>
      <c r="H10" s="106">
        <f>'VALOR DESECHO'!$N$9</f>
        <v>3500</v>
      </c>
      <c r="I10" s="106">
        <f>'VALOR DESECHO'!$N$9</f>
        <v>3500</v>
      </c>
      <c r="J10" s="106">
        <f>'VALOR DESECHO'!$N$9</f>
        <v>3500</v>
      </c>
      <c r="K10" s="106">
        <f>'VALOR DESECHO'!$N$9</f>
        <v>3500</v>
      </c>
      <c r="L10" s="106">
        <f>'VALOR DESECHO'!$N$9</f>
        <v>3500</v>
      </c>
      <c r="M10" s="106">
        <f>'VALOR DESECHO'!$N$9</f>
        <v>3500</v>
      </c>
    </row>
    <row r="11" spans="2:13">
      <c r="B11" s="10" t="s">
        <v>154</v>
      </c>
      <c r="C11" s="106"/>
      <c r="D11" s="106">
        <f>'VALOR DESECHO'!$N$15</f>
        <v>886.66666666666663</v>
      </c>
      <c r="E11" s="106">
        <f>'VALOR DESECHO'!$N$15</f>
        <v>886.66666666666663</v>
      </c>
      <c r="F11" s="106">
        <f>'VALOR DESECHO'!$N$15</f>
        <v>886.66666666666663</v>
      </c>
      <c r="G11" s="106">
        <f>'VALOR DESECHO'!$N$15</f>
        <v>886.66666666666663</v>
      </c>
      <c r="H11" s="106">
        <f>'VALOR DESECHO'!$N$15</f>
        <v>886.66666666666663</v>
      </c>
      <c r="I11" s="106">
        <f>'VALOR DESECHO'!$N$15</f>
        <v>886.66666666666663</v>
      </c>
      <c r="J11" s="106">
        <f>'VALOR DESECHO'!$N$15</f>
        <v>886.66666666666663</v>
      </c>
      <c r="K11" s="106">
        <f>'VALOR DESECHO'!$N$15</f>
        <v>886.66666666666663</v>
      </c>
      <c r="L11" s="106">
        <f>'VALOR DESECHO'!$N$15</f>
        <v>886.66666666666663</v>
      </c>
      <c r="M11" s="106">
        <f>'VALOR DESECHO'!$N$15</f>
        <v>886.66666666666663</v>
      </c>
    </row>
    <row r="12" spans="2:13">
      <c r="B12" s="10" t="s">
        <v>143</v>
      </c>
      <c r="C12" s="106"/>
      <c r="D12" s="115">
        <f>FINANCIAMIENTO!B18</f>
        <v>78729.250658296893</v>
      </c>
      <c r="E12" s="115">
        <f>FINANCIAMIENTO!C18</f>
        <v>73789.352736937813</v>
      </c>
      <c r="F12" s="115">
        <f>FINANCIAMIENTO!D18</f>
        <v>68355.465023442826</v>
      </c>
      <c r="G12" s="115">
        <f>FINANCIAMIENTO!E18</f>
        <v>62378.188538598355</v>
      </c>
      <c r="H12" s="115">
        <f>FINANCIAMIENTO!F18</f>
        <v>55803.184405269443</v>
      </c>
      <c r="I12" s="115">
        <f>FINANCIAMIENTO!G18</f>
        <v>48570.679858607604</v>
      </c>
      <c r="J12" s="115">
        <f>FINANCIAMIENTO!H18</f>
        <v>40614.924857279591</v>
      </c>
      <c r="K12" s="115">
        <f>FINANCIAMIENTO!I18</f>
        <v>31863.594355818794</v>
      </c>
      <c r="L12" s="115">
        <f>FINANCIAMIENTO!J18</f>
        <v>22237.130804211927</v>
      </c>
      <c r="M12" s="115">
        <f>FINANCIAMIENTO!K18</f>
        <v>11648.020897444316</v>
      </c>
    </row>
    <row r="13" spans="2:13">
      <c r="B13" s="10" t="s">
        <v>124</v>
      </c>
      <c r="C13" s="106"/>
      <c r="D13" s="106">
        <f>D4-D6-D7-D8-D12-D9-D10-D11</f>
        <v>591745.57517503679</v>
      </c>
      <c r="E13" s="106">
        <f t="shared" ref="E13:M13" si="1">E4-E6-E7-E8-E12-E9-E10-E11</f>
        <v>626988.28890889557</v>
      </c>
      <c r="F13" s="106">
        <f t="shared" si="1"/>
        <v>663482.56283020275</v>
      </c>
      <c r="G13" s="106">
        <f t="shared" si="1"/>
        <v>701296.73517805501</v>
      </c>
      <c r="H13" s="106">
        <f t="shared" si="1"/>
        <v>740504.55757096678</v>
      </c>
      <c r="I13" s="106">
        <f t="shared" si="1"/>
        <v>781185.70083370095</v>
      </c>
      <c r="J13" s="106">
        <f t="shared" si="1"/>
        <v>823426.31051900343</v>
      </c>
      <c r="K13" s="106">
        <f t="shared" si="1"/>
        <v>867319.61707153753</v>
      </c>
      <c r="L13" s="106">
        <f t="shared" si="1"/>
        <v>912966.60607549513</v>
      </c>
      <c r="M13" s="106">
        <f t="shared" si="1"/>
        <v>960476.75457092188</v>
      </c>
    </row>
    <row r="14" spans="2:13">
      <c r="B14" s="10" t="s">
        <v>125</v>
      </c>
      <c r="C14" s="106"/>
      <c r="D14" s="106">
        <f>D13*0.15</f>
        <v>88761.836276255519</v>
      </c>
      <c r="E14" s="106">
        <f t="shared" ref="E14:M14" si="2">E13*0.15</f>
        <v>94048.24333633433</v>
      </c>
      <c r="F14" s="106">
        <f t="shared" si="2"/>
        <v>99522.384424530406</v>
      </c>
      <c r="G14" s="106">
        <f t="shared" si="2"/>
        <v>105194.51027670824</v>
      </c>
      <c r="H14" s="106">
        <f t="shared" si="2"/>
        <v>111075.68363564501</v>
      </c>
      <c r="I14" s="106">
        <f t="shared" si="2"/>
        <v>117177.85512505514</v>
      </c>
      <c r="J14" s="106">
        <f t="shared" si="2"/>
        <v>123513.94657785051</v>
      </c>
      <c r="K14" s="106">
        <f t="shared" si="2"/>
        <v>130097.94256073062</v>
      </c>
      <c r="L14" s="106">
        <f t="shared" si="2"/>
        <v>136944.99091132428</v>
      </c>
      <c r="M14" s="106">
        <f t="shared" si="2"/>
        <v>144071.51318563826</v>
      </c>
    </row>
    <row r="15" spans="2:13">
      <c r="B15" s="10" t="s">
        <v>126</v>
      </c>
      <c r="C15" s="106"/>
      <c r="D15" s="106">
        <f>D13*0.25</f>
        <v>147936.3937937592</v>
      </c>
      <c r="E15" s="106">
        <f t="shared" ref="E15:M15" si="3">E13*0.25</f>
        <v>156747.07222722389</v>
      </c>
      <c r="F15" s="106">
        <f t="shared" si="3"/>
        <v>165870.64070755069</v>
      </c>
      <c r="G15" s="106">
        <f t="shared" si="3"/>
        <v>175324.18379451375</v>
      </c>
      <c r="H15" s="106">
        <f t="shared" si="3"/>
        <v>185126.13939274169</v>
      </c>
      <c r="I15" s="106">
        <f t="shared" si="3"/>
        <v>195296.42520842524</v>
      </c>
      <c r="J15" s="106">
        <f t="shared" si="3"/>
        <v>205856.57762975086</v>
      </c>
      <c r="K15" s="106">
        <f t="shared" si="3"/>
        <v>216829.90426788438</v>
      </c>
      <c r="L15" s="106">
        <f t="shared" si="3"/>
        <v>228241.65151887378</v>
      </c>
      <c r="M15" s="106">
        <f t="shared" si="3"/>
        <v>240119.18864273047</v>
      </c>
    </row>
    <row r="16" spans="2:13">
      <c r="B16" s="10" t="s">
        <v>127</v>
      </c>
      <c r="C16" s="106"/>
      <c r="D16" s="106">
        <f>D13-D15-D14</f>
        <v>355047.34510502208</v>
      </c>
      <c r="E16" s="106">
        <f t="shared" ref="E16:M16" si="4">E13-E15-E14</f>
        <v>376192.97334533732</v>
      </c>
      <c r="F16" s="106">
        <f t="shared" si="4"/>
        <v>398089.53769812162</v>
      </c>
      <c r="G16" s="106">
        <f t="shared" si="4"/>
        <v>420778.04110683297</v>
      </c>
      <c r="H16" s="106">
        <f t="shared" si="4"/>
        <v>444302.73454258003</v>
      </c>
      <c r="I16" s="106">
        <f t="shared" si="4"/>
        <v>468711.42050022056</v>
      </c>
      <c r="J16" s="106">
        <f t="shared" si="4"/>
        <v>494055.7863114021</v>
      </c>
      <c r="K16" s="106">
        <f t="shared" si="4"/>
        <v>520391.77024292259</v>
      </c>
      <c r="L16" s="106">
        <f t="shared" si="4"/>
        <v>547779.9636452971</v>
      </c>
      <c r="M16" s="106">
        <f t="shared" si="4"/>
        <v>576286.05274255318</v>
      </c>
    </row>
    <row r="17" spans="2:13">
      <c r="B17" s="10" t="s">
        <v>151</v>
      </c>
      <c r="C17" s="106"/>
      <c r="D17" s="106">
        <f>D8</f>
        <v>55650</v>
      </c>
      <c r="E17" s="106">
        <f t="shared" ref="E17:M17" si="5">E8</f>
        <v>55650</v>
      </c>
      <c r="F17" s="106">
        <f t="shared" si="5"/>
        <v>55650</v>
      </c>
      <c r="G17" s="106">
        <f t="shared" si="5"/>
        <v>55650</v>
      </c>
      <c r="H17" s="106">
        <f t="shared" si="5"/>
        <v>55650</v>
      </c>
      <c r="I17" s="106">
        <f t="shared" si="5"/>
        <v>55650</v>
      </c>
      <c r="J17" s="106">
        <f t="shared" si="5"/>
        <v>55650</v>
      </c>
      <c r="K17" s="106">
        <f t="shared" si="5"/>
        <v>55650</v>
      </c>
      <c r="L17" s="106">
        <f t="shared" si="5"/>
        <v>55650</v>
      </c>
      <c r="M17" s="106">
        <f t="shared" si="5"/>
        <v>55650</v>
      </c>
    </row>
    <row r="18" spans="2:13">
      <c r="B18" s="10" t="s">
        <v>157</v>
      </c>
      <c r="C18" s="106"/>
      <c r="D18" s="106">
        <f>D9</f>
        <v>8533.6299999999992</v>
      </c>
      <c r="E18" s="106">
        <f t="shared" ref="E18:M18" si="6">E9</f>
        <v>8533.6299999999992</v>
      </c>
      <c r="F18" s="106">
        <f t="shared" si="6"/>
        <v>8533.6299999999992</v>
      </c>
      <c r="G18" s="106">
        <f t="shared" si="6"/>
        <v>8533.6299999999992</v>
      </c>
      <c r="H18" s="106">
        <f t="shared" si="6"/>
        <v>8533.6299999999992</v>
      </c>
      <c r="I18" s="106">
        <f t="shared" si="6"/>
        <v>8533.6299999999992</v>
      </c>
      <c r="J18" s="106">
        <f t="shared" si="6"/>
        <v>8533.6299999999992</v>
      </c>
      <c r="K18" s="106">
        <f t="shared" si="6"/>
        <v>8533.6299999999992</v>
      </c>
      <c r="L18" s="106">
        <f t="shared" si="6"/>
        <v>8533.6299999999992</v>
      </c>
      <c r="M18" s="106">
        <f t="shared" si="6"/>
        <v>8533.6299999999992</v>
      </c>
    </row>
    <row r="19" spans="2:13">
      <c r="B19" s="10" t="s">
        <v>158</v>
      </c>
      <c r="C19" s="106"/>
      <c r="D19" s="106">
        <f>D10</f>
        <v>3500</v>
      </c>
      <c r="E19" s="106">
        <f t="shared" ref="E19:M19" si="7">E10</f>
        <v>3500</v>
      </c>
      <c r="F19" s="106">
        <f t="shared" si="7"/>
        <v>3500</v>
      </c>
      <c r="G19" s="106">
        <f t="shared" si="7"/>
        <v>3500</v>
      </c>
      <c r="H19" s="106">
        <f t="shared" si="7"/>
        <v>3500</v>
      </c>
      <c r="I19" s="106">
        <f t="shared" si="7"/>
        <v>3500</v>
      </c>
      <c r="J19" s="106">
        <f t="shared" si="7"/>
        <v>3500</v>
      </c>
      <c r="K19" s="106">
        <f t="shared" si="7"/>
        <v>3500</v>
      </c>
      <c r="L19" s="106">
        <f t="shared" si="7"/>
        <v>3500</v>
      </c>
      <c r="M19" s="106">
        <f t="shared" si="7"/>
        <v>3500</v>
      </c>
    </row>
    <row r="20" spans="2:13">
      <c r="B20" s="10" t="s">
        <v>159</v>
      </c>
      <c r="C20" s="106"/>
      <c r="D20" s="106">
        <f>D11</f>
        <v>886.66666666666663</v>
      </c>
      <c r="E20" s="106">
        <f t="shared" ref="E20:M20" si="8">E11</f>
        <v>886.66666666666663</v>
      </c>
      <c r="F20" s="106">
        <f t="shared" si="8"/>
        <v>886.66666666666663</v>
      </c>
      <c r="G20" s="106">
        <f t="shared" si="8"/>
        <v>886.66666666666663</v>
      </c>
      <c r="H20" s="106">
        <f t="shared" si="8"/>
        <v>886.66666666666663</v>
      </c>
      <c r="I20" s="106">
        <f t="shared" si="8"/>
        <v>886.66666666666663</v>
      </c>
      <c r="J20" s="106">
        <f t="shared" si="8"/>
        <v>886.66666666666663</v>
      </c>
      <c r="K20" s="106">
        <f t="shared" si="8"/>
        <v>886.66666666666663</v>
      </c>
      <c r="L20" s="106">
        <f t="shared" si="8"/>
        <v>886.66666666666663</v>
      </c>
      <c r="M20" s="106">
        <f t="shared" si="8"/>
        <v>886.66666666666663</v>
      </c>
    </row>
    <row r="21" spans="2:13">
      <c r="B21" s="10" t="s">
        <v>180</v>
      </c>
      <c r="C21" s="106">
        <f>FINANCIAMIENTO!B15</f>
        <v>1180938.7598744531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2:13">
      <c r="B22" s="10" t="s">
        <v>128</v>
      </c>
      <c r="C22" s="106"/>
      <c r="D22" s="115">
        <f>FINANCIAMIENTO!B19</f>
        <v>49398.97921359069</v>
      </c>
      <c r="E22" s="115">
        <f>FINANCIAMIENTO!C19</f>
        <v>54338.877134949769</v>
      </c>
      <c r="F22" s="115">
        <f>FINANCIAMIENTO!D19</f>
        <v>59772.764848444756</v>
      </c>
      <c r="G22" s="115">
        <f>FINANCIAMIENTO!E19</f>
        <v>65750.041333289235</v>
      </c>
      <c r="H22" s="115">
        <f>FINANCIAMIENTO!F19</f>
        <v>72325.045466618147</v>
      </c>
      <c r="I22" s="115">
        <f>FINANCIAMIENTO!G19</f>
        <v>79557.550013279979</v>
      </c>
      <c r="J22" s="115">
        <f>FINANCIAMIENTO!H19</f>
        <v>87513.305014607991</v>
      </c>
      <c r="K22" s="115">
        <f>FINANCIAMIENTO!I19</f>
        <v>96264.635516068782</v>
      </c>
      <c r="L22" s="115">
        <f>FINANCIAMIENTO!J19</f>
        <v>105891.09906767565</v>
      </c>
      <c r="M22" s="115">
        <f>FINANCIAMIENTO!K19</f>
        <v>116480.20897444326</v>
      </c>
    </row>
    <row r="23" spans="2:13">
      <c r="B23" s="10" t="s">
        <v>129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>
        <f>'VALOR DESECHO'!K42</f>
        <v>522212.7</v>
      </c>
    </row>
    <row r="24" spans="2:13">
      <c r="B24" s="10" t="s">
        <v>130</v>
      </c>
      <c r="C24" s="106">
        <f>C16+C17-C21-C22+C23</f>
        <v>-1180938.7598744531</v>
      </c>
      <c r="D24" s="106">
        <f>D16+D17-D21-D22+D23+D18+D19+D20</f>
        <v>374218.66255809809</v>
      </c>
      <c r="E24" s="106">
        <f t="shared" ref="E24:L24" si="9">E16+E17-E21-E22+E23+E18+E19+E20</f>
        <v>390424.39287705423</v>
      </c>
      <c r="F24" s="106">
        <f t="shared" si="9"/>
        <v>406887.06951634359</v>
      </c>
      <c r="G24" s="106">
        <f t="shared" si="9"/>
        <v>423598.29644021043</v>
      </c>
      <c r="H24" s="106">
        <f t="shared" si="9"/>
        <v>440547.98574262857</v>
      </c>
      <c r="I24" s="106">
        <f t="shared" si="9"/>
        <v>457724.16715360718</v>
      </c>
      <c r="J24" s="106">
        <f t="shared" si="9"/>
        <v>475112.77796346083</v>
      </c>
      <c r="K24" s="106">
        <f t="shared" si="9"/>
        <v>492697.4313935205</v>
      </c>
      <c r="L24" s="106">
        <f t="shared" si="9"/>
        <v>510459.16124428815</v>
      </c>
      <c r="M24" s="106">
        <f>M16+M17-M21-M22+M23+M18+M19+M20</f>
        <v>1050588.8404347769</v>
      </c>
    </row>
    <row r="25" spans="2:13">
      <c r="B25" s="143"/>
      <c r="C25" s="143"/>
      <c r="D25" s="143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2:13">
      <c r="B26" s="154" t="s">
        <v>131</v>
      </c>
      <c r="C26" s="154"/>
      <c r="D26" s="130">
        <f>NPV('CCPP, MODELO CAPM'!D14,D24:M24)+C24</f>
        <v>999490.15339599573</v>
      </c>
      <c r="E26" s="116"/>
      <c r="F26" s="116"/>
      <c r="G26" s="116"/>
      <c r="H26" s="116"/>
      <c r="I26" s="116"/>
      <c r="J26" s="116"/>
      <c r="K26" s="116"/>
      <c r="L26" s="116"/>
      <c r="M26" s="116"/>
    </row>
    <row r="27" spans="2:13">
      <c r="B27" s="132" t="s">
        <v>181</v>
      </c>
      <c r="C27" s="132"/>
      <c r="D27" s="117">
        <f>IRR(C24:M24)</f>
        <v>0.33965334644913181</v>
      </c>
      <c r="E27" s="44"/>
      <c r="F27" s="44"/>
      <c r="G27" s="44"/>
      <c r="H27" s="44"/>
      <c r="I27" s="44"/>
      <c r="J27" s="44"/>
      <c r="K27" s="44"/>
      <c r="L27" s="44"/>
      <c r="M27" s="44"/>
    </row>
  </sheetData>
  <mergeCells count="3">
    <mergeCell ref="B25:D25"/>
    <mergeCell ref="B26:C26"/>
    <mergeCell ref="B27:C27"/>
  </mergeCells>
  <phoneticPr fontId="1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7"/>
  <sheetViews>
    <sheetView topLeftCell="D1" workbookViewId="0">
      <selection activeCell="H15" sqref="H15"/>
    </sheetView>
  </sheetViews>
  <sheetFormatPr baseColWidth="10" defaultColWidth="11.42578125" defaultRowHeight="15"/>
  <cols>
    <col min="2" max="2" width="14.42578125" customWidth="1"/>
    <col min="3" max="3" width="15.28515625" customWidth="1"/>
    <col min="4" max="4" width="13.7109375" customWidth="1"/>
    <col min="5" max="5" width="14.85546875" customWidth="1"/>
    <col min="6" max="6" width="15.42578125" customWidth="1"/>
    <col min="9" max="9" width="15.140625" bestFit="1" customWidth="1"/>
  </cols>
  <sheetData>
    <row r="2" spans="2:13">
      <c r="B2" s="84" t="s">
        <v>182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</row>
    <row r="3" spans="2:13">
      <c r="B3" s="118" t="s">
        <v>162</v>
      </c>
      <c r="C3" s="119">
        <f>'FLUJO DE CAJA'!C24</f>
        <v>-1180938.7598744531</v>
      </c>
      <c r="D3" s="120">
        <f>-PV('CCPP, MODELO CAPM'!$D$14,'FLUJO DE CAJA'!D3,,'FLUJO DE CAJA'!D24)</f>
        <v>322140.74537868856</v>
      </c>
      <c r="E3" s="120">
        <f>-PV('CCPP, MODELO CAPM'!$D$14,'FLUJO DE CAJA'!E3,,'FLUJO DE CAJA'!E24)</f>
        <v>289319.28124940017</v>
      </c>
      <c r="F3" s="120">
        <f>-PV('CCPP, MODELO CAPM'!$D$14,'FLUJO DE CAJA'!F3,,'FLUJO DE CAJA'!F24)</f>
        <v>259558.07193130782</v>
      </c>
      <c r="G3" s="120">
        <f>-PV('CCPP, MODELO CAPM'!$D$14,'FLUJO DE CAJA'!G3,,'FLUJO DE CAJA'!G24)</f>
        <v>232613.58394176251</v>
      </c>
      <c r="H3" s="120">
        <f>-PV('CCPP, MODELO CAPM'!$D$14,'FLUJO DE CAJA'!H3,,'FLUJO DE CAJA'!H24)</f>
        <v>208254.45691309136</v>
      </c>
      <c r="I3" s="120">
        <f>-PV('CCPP, MODELO CAPM'!$D$14,'FLUJO DE CAJA'!I3,,'FLUJO DE CAJA'!I24)</f>
        <v>186262.37865803367</v>
      </c>
      <c r="J3" s="120">
        <f>-PV('CCPP, MODELO CAPM'!$D$14,'FLUJO DE CAJA'!J3,,'FLUJO DE CAJA'!J24)</f>
        <v>166432.53546526734</v>
      </c>
      <c r="K3" s="120">
        <f>-PV('CCPP, MODELO CAPM'!$D$14,'FLUJO DE CAJA'!K3,,'FLUJO DE CAJA'!K24)</f>
        <v>148573.73242274963</v>
      </c>
      <c r="L3" s="120">
        <f>-PV('CCPP, MODELO CAPM'!$D$14,'FLUJO DE CAJA'!L3,,'FLUJO DE CAJA'!L24)</f>
        <v>132508.2611739251</v>
      </c>
      <c r="M3" s="120">
        <f>-PV('CCPP, MODELO CAPM'!$D$14,'FLUJO DE CAJA'!M3,,'FLUJO DE CAJA'!M24)</f>
        <v>234765.86613622258</v>
      </c>
    </row>
    <row r="4" spans="2:13">
      <c r="B4" s="85" t="s">
        <v>164</v>
      </c>
      <c r="C4" s="121"/>
      <c r="D4" s="121">
        <f>C3+D3</f>
        <v>-858798.01449576451</v>
      </c>
      <c r="E4" s="121">
        <f t="shared" ref="E4:M4" si="0">D4+E3</f>
        <v>-569478.7332463644</v>
      </c>
      <c r="F4" s="121">
        <f t="shared" si="0"/>
        <v>-309920.66131505661</v>
      </c>
      <c r="G4" s="121">
        <f t="shared" si="0"/>
        <v>-77307.077373294102</v>
      </c>
      <c r="H4" s="121">
        <f t="shared" si="0"/>
        <v>130947.37953979726</v>
      </c>
      <c r="I4" s="121">
        <f t="shared" si="0"/>
        <v>317209.75819783093</v>
      </c>
      <c r="J4" s="121">
        <f t="shared" si="0"/>
        <v>483642.29366309824</v>
      </c>
      <c r="K4" s="121">
        <f t="shared" si="0"/>
        <v>632216.02608584787</v>
      </c>
      <c r="L4" s="121">
        <f t="shared" si="0"/>
        <v>764724.287259773</v>
      </c>
      <c r="M4" s="121">
        <f t="shared" si="0"/>
        <v>999490.15339599561</v>
      </c>
    </row>
    <row r="5" spans="2:13">
      <c r="B5" s="82"/>
      <c r="C5" s="83"/>
      <c r="D5" s="83"/>
      <c r="E5" s="83"/>
      <c r="F5" s="83"/>
    </row>
    <row r="6" spans="2:13">
      <c r="B6" s="82"/>
      <c r="C6" s="83"/>
      <c r="D6" s="83"/>
      <c r="E6" s="83"/>
      <c r="F6" s="83"/>
    </row>
    <row r="7" spans="2:13">
      <c r="B7" s="82"/>
      <c r="C7" s="83"/>
      <c r="D7" s="83"/>
      <c r="E7" s="83"/>
      <c r="F7" s="83"/>
    </row>
    <row r="8" spans="2:13">
      <c r="B8" s="82"/>
      <c r="C8" s="83"/>
      <c r="D8" s="83"/>
      <c r="E8" s="83"/>
      <c r="F8" s="122" t="s">
        <v>163</v>
      </c>
      <c r="G8" s="123">
        <f>9-(L4/M3)</f>
        <v>5.7426087111997672</v>
      </c>
      <c r="H8" s="124"/>
      <c r="I8" s="125" t="s">
        <v>165</v>
      </c>
    </row>
    <row r="9" spans="2:13">
      <c r="B9" s="82"/>
      <c r="C9" s="83"/>
      <c r="D9" s="83"/>
      <c r="E9" s="83"/>
      <c r="F9" s="83"/>
    </row>
    <row r="10" spans="2:13">
      <c r="B10" s="82"/>
      <c r="C10" s="83"/>
      <c r="D10" s="83"/>
      <c r="E10" s="83"/>
      <c r="F10" s="83"/>
    </row>
    <row r="11" spans="2:13">
      <c r="B11" s="82"/>
      <c r="C11" s="83"/>
      <c r="D11" s="83"/>
      <c r="E11" s="83"/>
      <c r="F11" s="83"/>
    </row>
    <row r="12" spans="2:13">
      <c r="B12" s="82"/>
      <c r="C12" s="83"/>
      <c r="D12" s="83"/>
      <c r="E12" s="83"/>
      <c r="F12" s="83"/>
    </row>
    <row r="13" spans="2:13">
      <c r="C13" s="53"/>
      <c r="D13" s="53"/>
      <c r="E13" s="53"/>
      <c r="F13" s="53"/>
    </row>
    <row r="14" spans="2:13">
      <c r="C14" s="53"/>
      <c r="D14" s="53"/>
      <c r="E14" s="53"/>
      <c r="F14" s="53"/>
    </row>
    <row r="15" spans="2:13">
      <c r="C15" s="53"/>
      <c r="D15" s="53"/>
      <c r="E15" s="53"/>
      <c r="F15" s="53"/>
    </row>
    <row r="16" spans="2:13">
      <c r="C16" s="53"/>
      <c r="D16" s="53"/>
      <c r="E16" s="53"/>
      <c r="F16" s="53"/>
    </row>
    <row r="17" spans="3:6">
      <c r="C17" s="53"/>
      <c r="D17" s="53"/>
      <c r="E17" s="53"/>
      <c r="F17" s="53"/>
    </row>
  </sheetData>
  <phoneticPr fontId="1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BALANCE</vt:lpstr>
      <vt:lpstr>CF-CV</vt:lpstr>
      <vt:lpstr>METODO DEL DEFICIT ACUMULADO</vt:lpstr>
      <vt:lpstr>VALOR DESECHO</vt:lpstr>
      <vt:lpstr>INGRESOS</vt:lpstr>
      <vt:lpstr>FINANCIAMIENTO</vt:lpstr>
      <vt:lpstr>CCPP, MODELO CAPM</vt:lpstr>
      <vt:lpstr>FLUJO DE CAJA</vt:lpstr>
      <vt:lpstr>PAYBACK</vt:lpstr>
      <vt:lpstr>SENSIBILIDAD</vt:lpstr>
      <vt:lpstr>SENSIBILIDAD!Área_de_impresión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López</dc:creator>
  <cp:lastModifiedBy>Eduardo Cervantes</cp:lastModifiedBy>
  <dcterms:created xsi:type="dcterms:W3CDTF">2009-08-11T03:41:21Z</dcterms:created>
  <dcterms:modified xsi:type="dcterms:W3CDTF">2009-09-23T06:05:46Z</dcterms:modified>
</cp:coreProperties>
</file>