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10" yWindow="0" windowWidth="12120" windowHeight="8295" activeTab="2"/>
  </bookViews>
  <sheets>
    <sheet name="ejemplo" sheetId="1" r:id="rId1"/>
    <sheet name="CB_DATA_" sheetId="4" state="veryHidden" r:id="rId2"/>
    <sheet name="tesis" sheetId="2" r:id="rId3"/>
    <sheet name="maquinaria" sheetId="3" r:id="rId4"/>
  </sheets>
  <definedNames>
    <definedName name="_xlnm._FilterDatabase" localSheetId="3" hidden="1">maquinaria!$B$114:$H$126</definedName>
    <definedName name="CB_0e2674375e6045e4875e0ff9ecb328d8" localSheetId="2" hidden="1">tesis!$C$49</definedName>
    <definedName name="CB_26595c1346e84292977cec63d06d1839" localSheetId="1" hidden="1">#N/A</definedName>
    <definedName name="CB_5d968c1c35f34d118905d74ebc6beefa" localSheetId="2" hidden="1">tesis!$C$8</definedName>
    <definedName name="CB_b67abed1c48044bea7b9378281506f6d" localSheetId="2" hidden="1">tesis!$C$11</definedName>
    <definedName name="CB_bb77a3faa4b34cc2a24d750d53544b9f" localSheetId="2" hidden="1">tesis!$C$9</definedName>
    <definedName name="CB_c5a95522fc954fb1b640ce53c826e965" localSheetId="2" hidden="1">tesis!$C$14</definedName>
    <definedName name="CB_dfab2c9edacb4b8cbe78153e9779bf43" localSheetId="2" hidden="1">tesis!$C$6</definedName>
    <definedName name="CB_f07088d7af824814ad196de0afae0691" localSheetId="2" hidden="1">tesis!$C$7</definedName>
    <definedName name="CBWorkbookPriority" hidden="1">-1254659109</definedName>
    <definedName name="CBx_7733c949439c4f0ea960224c6295439e" localSheetId="1" hidden="1">"'tesis'!$A$1"</definedName>
    <definedName name="CBx_9235fd407312486f9e1cc3774607ddad" localSheetId="1" hidden="1">"'CB_DATA_'!$A$1"</definedName>
    <definedName name="CBx_Sheet_Guid" localSheetId="1" hidden="1">"'9235fd40-7312-486f-9e1c-c3774607ddad"</definedName>
    <definedName name="CBx_Sheet_Guid" localSheetId="2" hidden="1">"'7733c949-439c-4f0e-a960-224c6295439e"</definedName>
    <definedName name="CBx_StorageType" localSheetId="1" hidden="1">1</definedName>
    <definedName name="CBx_StorageType" localSheetId="2" hidden="1">1</definedName>
    <definedName name="solver_adj" localSheetId="2" hidden="1">tesis!$C$14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tesis!$C$49</definedName>
    <definedName name="solver_lhs2" localSheetId="2" hidden="1">tesis!$C$14</definedName>
    <definedName name="solver_lhs3" localSheetId="2" hidden="1">tesis!$C$49</definedName>
    <definedName name="solver_lin" localSheetId="2" hidden="1">2</definedName>
    <definedName name="solver_neg" localSheetId="2" hidden="1">2</definedName>
    <definedName name="solver_num" localSheetId="2" hidden="1">2</definedName>
    <definedName name="solver_nwt" localSheetId="2" hidden="1">1</definedName>
    <definedName name="solver_opt" localSheetId="2" hidden="1">tesis!$C$49</definedName>
    <definedName name="solver_pre" localSheetId="2" hidden="1">0.000001</definedName>
    <definedName name="solver_rel1" localSheetId="2" hidden="1">3</definedName>
    <definedName name="solver_rel2" localSheetId="2" hidden="1">3</definedName>
    <definedName name="solver_rel3" localSheetId="2" hidden="1">2</definedName>
    <definedName name="solver_rhs1" localSheetId="2" hidden="1">0</definedName>
    <definedName name="solver_rhs2" localSheetId="2" hidden="1">0</definedName>
    <definedName name="solver_rhs3" localSheetId="2" hidden="1">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  <definedName name="Z_1C124D82_5E8E_4656_88B0_04FEF3393FAE_.wvu.FilterData" localSheetId="3" hidden="1">maquinaria!$B$114:$H$126</definedName>
  </definedNames>
  <calcPr calcId="114210"/>
  <customWorkbookViews>
    <customWorkbookView name="ARTURO - Vista personalizada" guid="{1C124D82-5E8E-4656-88B0-04FEF3393FAE}" mergeInterval="0" personalView="1" maximized="1" xWindow="1" yWindow="1" windowWidth="1280" windowHeight="580" activeSheetId="3"/>
  </customWorkbookViews>
</workbook>
</file>

<file path=xl/calcChain.xml><?xml version="1.0" encoding="utf-8"?>
<calcChain xmlns="http://schemas.openxmlformats.org/spreadsheetml/2006/main">
  <c r="C268" i="3"/>
  <c r="D8" i="2"/>
  <c r="D7"/>
  <c r="D6"/>
  <c r="E260" i="3"/>
  <c r="E262"/>
  <c r="F260"/>
  <c r="F262"/>
  <c r="G260"/>
  <c r="G262"/>
  <c r="H260"/>
  <c r="H262"/>
  <c r="D260"/>
  <c r="D262"/>
  <c r="B24" i="2"/>
  <c r="C264" i="3"/>
  <c r="C265"/>
  <c r="B259"/>
  <c r="B261"/>
  <c r="B262"/>
  <c r="B263"/>
  <c r="H258"/>
  <c r="C258"/>
  <c r="D258"/>
  <c r="E258"/>
  <c r="F258"/>
  <c r="G258"/>
  <c r="B258"/>
  <c r="O7" i="2"/>
  <c r="J63" i="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66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18"/>
  <c r="E17"/>
  <c r="E16"/>
  <c r="E15"/>
  <c r="E14"/>
  <c r="E13"/>
  <c r="E12"/>
  <c r="E11"/>
  <c r="E10"/>
  <c r="E9"/>
  <c r="E8"/>
  <c r="E7"/>
  <c r="E6"/>
  <c r="E20"/>
  <c r="L7"/>
  <c r="L8"/>
  <c r="L6"/>
  <c r="N6"/>
  <c r="M7"/>
  <c r="M8"/>
  <c r="O8"/>
  <c r="M6"/>
  <c r="L10"/>
  <c r="L9"/>
  <c r="N9"/>
  <c r="O9"/>
  <c r="R173"/>
  <c r="R165"/>
  <c r="R166"/>
  <c r="R167"/>
  <c r="R168"/>
  <c r="N135"/>
  <c r="O135"/>
  <c r="Q135"/>
  <c r="S135"/>
  <c r="T135"/>
  <c r="U135"/>
  <c r="P135"/>
  <c r="N136"/>
  <c r="O136"/>
  <c r="P136"/>
  <c r="N137"/>
  <c r="O137"/>
  <c r="Q137"/>
  <c r="U137"/>
  <c r="P137"/>
  <c r="N138"/>
  <c r="O138"/>
  <c r="P138"/>
  <c r="N139"/>
  <c r="O139"/>
  <c r="Q139"/>
  <c r="P139"/>
  <c r="N140"/>
  <c r="O140"/>
  <c r="P140"/>
  <c r="Q140"/>
  <c r="S140"/>
  <c r="T140"/>
  <c r="U140"/>
  <c r="N141"/>
  <c r="O141"/>
  <c r="Q141"/>
  <c r="P141"/>
  <c r="N142"/>
  <c r="O142"/>
  <c r="P142"/>
  <c r="Q142"/>
  <c r="N143"/>
  <c r="O143"/>
  <c r="Q143"/>
  <c r="U143"/>
  <c r="P143"/>
  <c r="N144"/>
  <c r="O144"/>
  <c r="P144"/>
  <c r="Q144"/>
  <c r="N145"/>
  <c r="O145"/>
  <c r="Q145"/>
  <c r="S145"/>
  <c r="T145"/>
  <c r="U145"/>
  <c r="P145"/>
  <c r="N146"/>
  <c r="O146"/>
  <c r="P146"/>
  <c r="Q146"/>
  <c r="N147"/>
  <c r="O147"/>
  <c r="P147"/>
  <c r="N148"/>
  <c r="O148"/>
  <c r="P148"/>
  <c r="Q148"/>
  <c r="N149"/>
  <c r="O149"/>
  <c r="Q149"/>
  <c r="P149"/>
  <c r="N150"/>
  <c r="O150"/>
  <c r="P150"/>
  <c r="Q150"/>
  <c r="N151"/>
  <c r="O151"/>
  <c r="P151"/>
  <c r="N152"/>
  <c r="O152"/>
  <c r="P152"/>
  <c r="Q152"/>
  <c r="S152"/>
  <c r="T152"/>
  <c r="U152"/>
  <c r="N153"/>
  <c r="O153"/>
  <c r="P153"/>
  <c r="N154"/>
  <c r="O154"/>
  <c r="P154"/>
  <c r="N155"/>
  <c r="O155"/>
  <c r="Q155"/>
  <c r="P155"/>
  <c r="N156"/>
  <c r="O156"/>
  <c r="P156"/>
  <c r="N157"/>
  <c r="O157"/>
  <c r="Q157"/>
  <c r="U157"/>
  <c r="P157"/>
  <c r="N158"/>
  <c r="O158"/>
  <c r="P158"/>
  <c r="Q158"/>
  <c r="N159"/>
  <c r="O159"/>
  <c r="Q159"/>
  <c r="P159"/>
  <c r="N160"/>
  <c r="O160"/>
  <c r="P160"/>
  <c r="Q160"/>
  <c r="N161"/>
  <c r="O161"/>
  <c r="Q161"/>
  <c r="P161"/>
  <c r="N162"/>
  <c r="O162"/>
  <c r="P162"/>
  <c r="Q162"/>
  <c r="N163"/>
  <c r="O163"/>
  <c r="Q163"/>
  <c r="P163"/>
  <c r="N164"/>
  <c r="O164"/>
  <c r="P164"/>
  <c r="Q164"/>
  <c r="N165"/>
  <c r="O165"/>
  <c r="Q165"/>
  <c r="P165"/>
  <c r="N166"/>
  <c r="O166"/>
  <c r="P166"/>
  <c r="Q166"/>
  <c r="N167"/>
  <c r="O167"/>
  <c r="Q167"/>
  <c r="U167"/>
  <c r="P167"/>
  <c r="N168"/>
  <c r="O168"/>
  <c r="P168"/>
  <c r="Q168"/>
  <c r="S168"/>
  <c r="T168"/>
  <c r="U168"/>
  <c r="N169"/>
  <c r="O169"/>
  <c r="Q169"/>
  <c r="P169"/>
  <c r="N170"/>
  <c r="O170"/>
  <c r="P170"/>
  <c r="Q170"/>
  <c r="S170"/>
  <c r="T170"/>
  <c r="U170"/>
  <c r="N171"/>
  <c r="O171"/>
  <c r="Q171"/>
  <c r="P171"/>
  <c r="O172"/>
  <c r="P172"/>
  <c r="O173"/>
  <c r="Q173"/>
  <c r="U173"/>
  <c r="P173"/>
  <c r="P134"/>
  <c r="O134"/>
  <c r="N134"/>
  <c r="M243"/>
  <c r="C227"/>
  <c r="M242"/>
  <c r="C226"/>
  <c r="M241"/>
  <c r="C225"/>
  <c r="M240"/>
  <c r="C224"/>
  <c r="F165"/>
  <c r="F166"/>
  <c r="F167"/>
  <c r="F168"/>
  <c r="G168"/>
  <c r="H168"/>
  <c r="I168"/>
  <c r="E165"/>
  <c r="G165"/>
  <c r="H165"/>
  <c r="I165"/>
  <c r="E166"/>
  <c r="E167"/>
  <c r="E168"/>
  <c r="C223"/>
  <c r="C220"/>
  <c r="C217"/>
  <c r="B35" i="2"/>
  <c r="B34"/>
  <c r="C252" i="3"/>
  <c r="F219"/>
  <c r="T173"/>
  <c r="R172"/>
  <c r="R171"/>
  <c r="R170"/>
  <c r="R169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H173"/>
  <c r="I173"/>
  <c r="F127"/>
  <c r="F128"/>
  <c r="F129"/>
  <c r="L232"/>
  <c r="L231"/>
  <c r="L230"/>
  <c r="L229"/>
  <c r="L228"/>
  <c r="L227"/>
  <c r="L226"/>
  <c r="L225"/>
  <c r="L224"/>
  <c r="L223"/>
  <c r="L222"/>
  <c r="L233"/>
  <c r="L221"/>
  <c r="C222"/>
  <c r="C221"/>
  <c r="J187"/>
  <c r="K187"/>
  <c r="J188"/>
  <c r="K188"/>
  <c r="J189"/>
  <c r="K189"/>
  <c r="J186"/>
  <c r="K186"/>
  <c r="E194"/>
  <c r="F194"/>
  <c r="G194"/>
  <c r="H194"/>
  <c r="C218"/>
  <c r="L215"/>
  <c r="L216"/>
  <c r="L214"/>
  <c r="E170"/>
  <c r="I207"/>
  <c r="I206"/>
  <c r="H208"/>
  <c r="I208"/>
  <c r="F170"/>
  <c r="F171"/>
  <c r="G171"/>
  <c r="F172"/>
  <c r="F122"/>
  <c r="F123"/>
  <c r="F124"/>
  <c r="F125"/>
  <c r="F126"/>
  <c r="F121"/>
  <c r="F118"/>
  <c r="F119"/>
  <c r="F120"/>
  <c r="F117"/>
  <c r="E121"/>
  <c r="F135"/>
  <c r="F136"/>
  <c r="F137"/>
  <c r="F138"/>
  <c r="F139"/>
  <c r="F140"/>
  <c r="F141"/>
  <c r="F142"/>
  <c r="F143"/>
  <c r="F144"/>
  <c r="F145"/>
  <c r="F146"/>
  <c r="F147"/>
  <c r="F148"/>
  <c r="G148"/>
  <c r="F149"/>
  <c r="F150"/>
  <c r="G150"/>
  <c r="F151"/>
  <c r="F152"/>
  <c r="F153"/>
  <c r="F154"/>
  <c r="G154"/>
  <c r="F155"/>
  <c r="F156"/>
  <c r="F157"/>
  <c r="F158"/>
  <c r="F159"/>
  <c r="F160"/>
  <c r="F161"/>
  <c r="F162"/>
  <c r="F163"/>
  <c r="F164"/>
  <c r="F169"/>
  <c r="F134"/>
  <c r="E171"/>
  <c r="E172"/>
  <c r="E136"/>
  <c r="G136"/>
  <c r="H136"/>
  <c r="I136"/>
  <c r="E137"/>
  <c r="E138"/>
  <c r="E139"/>
  <c r="E140"/>
  <c r="G140"/>
  <c r="H140"/>
  <c r="I140"/>
  <c r="E141"/>
  <c r="E142"/>
  <c r="E143"/>
  <c r="E144"/>
  <c r="E145"/>
  <c r="G145"/>
  <c r="H145"/>
  <c r="I145"/>
  <c r="E146"/>
  <c r="E147"/>
  <c r="E148"/>
  <c r="E149"/>
  <c r="E150"/>
  <c r="E151"/>
  <c r="E152"/>
  <c r="E153"/>
  <c r="E154"/>
  <c r="E155"/>
  <c r="E156"/>
  <c r="E157"/>
  <c r="E158"/>
  <c r="E159"/>
  <c r="E160"/>
  <c r="G160"/>
  <c r="H160"/>
  <c r="I160"/>
  <c r="E161"/>
  <c r="E162"/>
  <c r="E163"/>
  <c r="E164"/>
  <c r="G164"/>
  <c r="H164"/>
  <c r="I164"/>
  <c r="E169"/>
  <c r="E135"/>
  <c r="E134"/>
  <c r="E127"/>
  <c r="E128"/>
  <c r="E129"/>
  <c r="E118"/>
  <c r="E119"/>
  <c r="E120"/>
  <c r="G120"/>
  <c r="H120"/>
  <c r="E122"/>
  <c r="E123"/>
  <c r="G123"/>
  <c r="H123"/>
  <c r="E124"/>
  <c r="E125"/>
  <c r="G125"/>
  <c r="H125"/>
  <c r="I125"/>
  <c r="E126"/>
  <c r="G126"/>
  <c r="H126"/>
  <c r="I126"/>
  <c r="E117"/>
  <c r="G117"/>
  <c r="H127"/>
  <c r="I127"/>
  <c r="G172"/>
  <c r="H172"/>
  <c r="I172"/>
  <c r="L217"/>
  <c r="C215"/>
  <c r="S167"/>
  <c r="T167"/>
  <c r="Q156"/>
  <c r="U156"/>
  <c r="Q136"/>
  <c r="G167"/>
  <c r="H167"/>
  <c r="I167"/>
  <c r="N10"/>
  <c r="O10"/>
  <c r="N8"/>
  <c r="N7"/>
  <c r="G169"/>
  <c r="H169"/>
  <c r="I169"/>
  <c r="G139"/>
  <c r="H139"/>
  <c r="I139"/>
  <c r="E66"/>
  <c r="G122"/>
  <c r="H122"/>
  <c r="I122"/>
  <c r="G158"/>
  <c r="H158"/>
  <c r="I158"/>
  <c r="H154"/>
  <c r="I154"/>
  <c r="G152"/>
  <c r="H152"/>
  <c r="I152"/>
  <c r="H150"/>
  <c r="I150"/>
  <c r="G146"/>
  <c r="H146"/>
  <c r="I146"/>
  <c r="C219"/>
  <c r="Q154"/>
  <c r="S154"/>
  <c r="T154"/>
  <c r="U154"/>
  <c r="Q138"/>
  <c r="S138"/>
  <c r="T138"/>
  <c r="U138"/>
  <c r="G161"/>
  <c r="H161"/>
  <c r="G155"/>
  <c r="H155"/>
  <c r="I155"/>
  <c r="G151"/>
  <c r="H151"/>
  <c r="I151"/>
  <c r="G147"/>
  <c r="H147"/>
  <c r="I147"/>
  <c r="G163"/>
  <c r="H163"/>
  <c r="I163"/>
  <c r="G128"/>
  <c r="H128"/>
  <c r="I128"/>
  <c r="G143"/>
  <c r="H143"/>
  <c r="I143"/>
  <c r="I161"/>
  <c r="H171"/>
  <c r="I171"/>
  <c r="Q134"/>
  <c r="Q172"/>
  <c r="S172"/>
  <c r="T172"/>
  <c r="U172"/>
  <c r="S157"/>
  <c r="T157"/>
  <c r="Q153"/>
  <c r="Q151"/>
  <c r="S151"/>
  <c r="T151"/>
  <c r="U151"/>
  <c r="Q147"/>
  <c r="S137"/>
  <c r="T137"/>
  <c r="G156"/>
  <c r="H156"/>
  <c r="I156"/>
  <c r="G141"/>
  <c r="H141"/>
  <c r="I141"/>
  <c r="G166"/>
  <c r="H166"/>
  <c r="I166"/>
  <c r="O6"/>
  <c r="S156"/>
  <c r="T156"/>
  <c r="H148"/>
  <c r="I148"/>
  <c r="G137"/>
  <c r="H137"/>
  <c r="I137"/>
  <c r="E130"/>
  <c r="F216"/>
  <c r="S143"/>
  <c r="T143"/>
  <c r="K256"/>
  <c r="C228"/>
  <c r="E8" i="2"/>
  <c r="D9"/>
  <c r="D19"/>
  <c r="D261" i="3"/>
  <c r="G9" i="2"/>
  <c r="H9"/>
  <c r="E9"/>
  <c r="E7"/>
  <c r="E19"/>
  <c r="E261" i="3"/>
  <c r="E6" i="2"/>
  <c r="F6"/>
  <c r="G6"/>
  <c r="H6"/>
  <c r="H17"/>
  <c r="H259" i="3"/>
  <c r="F9" i="2"/>
  <c r="D17"/>
  <c r="D259" i="3"/>
  <c r="F7" i="2"/>
  <c r="G7"/>
  <c r="F17"/>
  <c r="F259" i="3"/>
  <c r="H7" i="2"/>
  <c r="K7"/>
  <c r="I123" i="3"/>
  <c r="G17" i="2"/>
  <c r="G259" i="3"/>
  <c r="K6" i="2"/>
  <c r="S171" i="3"/>
  <c r="T171"/>
  <c r="U171"/>
  <c r="S165"/>
  <c r="T165"/>
  <c r="U165"/>
  <c r="S164"/>
  <c r="T164"/>
  <c r="U164"/>
  <c r="S162"/>
  <c r="T162"/>
  <c r="U162"/>
  <c r="S161"/>
  <c r="T161"/>
  <c r="U161"/>
  <c r="S159"/>
  <c r="T159"/>
  <c r="U159"/>
  <c r="S146"/>
  <c r="T146"/>
  <c r="U146"/>
  <c r="S144"/>
  <c r="T144"/>
  <c r="U144"/>
  <c r="S141"/>
  <c r="T141"/>
  <c r="U141"/>
  <c r="S139"/>
  <c r="T139"/>
  <c r="U139"/>
  <c r="S147"/>
  <c r="T147"/>
  <c r="U147"/>
  <c r="S153"/>
  <c r="T153"/>
  <c r="U153"/>
  <c r="S134"/>
  <c r="Q177"/>
  <c r="F39" i="2"/>
  <c r="S136" i="3"/>
  <c r="T136"/>
  <c r="U136"/>
  <c r="H117"/>
  <c r="I117"/>
  <c r="G124"/>
  <c r="H124"/>
  <c r="I124"/>
  <c r="G119"/>
  <c r="H119"/>
  <c r="I119"/>
  <c r="G134"/>
  <c r="E177"/>
  <c r="F217"/>
  <c r="G135"/>
  <c r="H135"/>
  <c r="I135"/>
  <c r="G162"/>
  <c r="H162"/>
  <c r="I162"/>
  <c r="G144"/>
  <c r="H144"/>
  <c r="I144"/>
  <c r="G142"/>
  <c r="H142"/>
  <c r="I142"/>
  <c r="G138"/>
  <c r="H138"/>
  <c r="I138"/>
  <c r="S169"/>
  <c r="T169"/>
  <c r="U169"/>
  <c r="S166"/>
  <c r="T166"/>
  <c r="U166"/>
  <c r="S163"/>
  <c r="T163"/>
  <c r="U163"/>
  <c r="S160"/>
  <c r="T160"/>
  <c r="U160"/>
  <c r="S158"/>
  <c r="T158"/>
  <c r="U158"/>
  <c r="S155"/>
  <c r="T155"/>
  <c r="U155"/>
  <c r="S150"/>
  <c r="T150"/>
  <c r="U150"/>
  <c r="S148"/>
  <c r="T148"/>
  <c r="U148"/>
  <c r="S142"/>
  <c r="T142"/>
  <c r="U142"/>
  <c r="K9" i="2"/>
  <c r="E17"/>
  <c r="F8"/>
  <c r="G8"/>
  <c r="H8"/>
  <c r="H19"/>
  <c r="G118" i="3"/>
  <c r="H118"/>
  <c r="I118"/>
  <c r="G129"/>
  <c r="H129"/>
  <c r="I129"/>
  <c r="G159"/>
  <c r="H159"/>
  <c r="I159"/>
  <c r="G157"/>
  <c r="H157"/>
  <c r="I157"/>
  <c r="G153"/>
  <c r="H153"/>
  <c r="I153"/>
  <c r="G149"/>
  <c r="H149"/>
  <c r="I149"/>
  <c r="G121"/>
  <c r="H121"/>
  <c r="I121"/>
  <c r="G170"/>
  <c r="H170"/>
  <c r="I170"/>
  <c r="O5" i="2"/>
  <c r="O6"/>
  <c r="C36"/>
  <c r="O11" i="3"/>
  <c r="C216"/>
  <c r="C231"/>
  <c r="U149"/>
  <c r="I120"/>
  <c r="F19" i="2"/>
  <c r="F261" i="3"/>
  <c r="S149"/>
  <c r="T149"/>
  <c r="E195"/>
  <c r="F195"/>
  <c r="G195"/>
  <c r="H195"/>
  <c r="H196"/>
  <c r="C236"/>
  <c r="O7"/>
  <c r="D21" i="2"/>
  <c r="C237" i="3"/>
  <c r="H261"/>
  <c r="C40" i="2"/>
  <c r="R7"/>
  <c r="R12"/>
  <c r="S175" i="3"/>
  <c r="S177"/>
  <c r="T134"/>
  <c r="U134"/>
  <c r="U174"/>
  <c r="E259"/>
  <c r="G175"/>
  <c r="H134"/>
  <c r="I134"/>
  <c r="I174"/>
  <c r="G130"/>
  <c r="G19" i="2"/>
  <c r="C44"/>
  <c r="K8"/>
  <c r="I130" i="3"/>
  <c r="H42" i="2"/>
  <c r="F22"/>
  <c r="F34"/>
  <c r="D22"/>
  <c r="D34"/>
  <c r="H22"/>
  <c r="H34"/>
  <c r="G22"/>
  <c r="G34"/>
  <c r="E22"/>
  <c r="E34"/>
  <c r="F23"/>
  <c r="F35"/>
  <c r="G23"/>
  <c r="G35"/>
  <c r="H23"/>
  <c r="H35"/>
  <c r="E23"/>
  <c r="E35"/>
  <c r="D23"/>
  <c r="D35"/>
  <c r="G177" i="3"/>
  <c r="O17" i="2"/>
  <c r="O13"/>
  <c r="O16"/>
  <c r="O15"/>
  <c r="O14"/>
  <c r="G261" i="3"/>
  <c r="P13" i="2"/>
  <c r="D15"/>
  <c r="D263" i="3"/>
  <c r="D264"/>
  <c r="D265"/>
  <c r="E24" i="2"/>
  <c r="E21"/>
  <c r="D25"/>
  <c r="E15"/>
  <c r="F21"/>
  <c r="E263" i="3"/>
  <c r="E264"/>
  <c r="E265"/>
  <c r="F24" i="2"/>
  <c r="E25"/>
  <c r="C238" i="3"/>
  <c r="C242"/>
  <c r="D26" i="2"/>
  <c r="D27"/>
  <c r="Q13"/>
  <c r="D28"/>
  <c r="D29"/>
  <c r="D41"/>
  <c r="R13"/>
  <c r="F218" i="3"/>
  <c r="F222"/>
  <c r="M1" i="2"/>
  <c r="H38"/>
  <c r="G21"/>
  <c r="F15"/>
  <c r="F263" i="3"/>
  <c r="F264"/>
  <c r="F265"/>
  <c r="G24" i="2"/>
  <c r="F25"/>
  <c r="D30"/>
  <c r="D31"/>
  <c r="G15"/>
  <c r="H21"/>
  <c r="G263" i="3"/>
  <c r="G264"/>
  <c r="G265"/>
  <c r="H24" i="2"/>
  <c r="G25"/>
  <c r="P14"/>
  <c r="D32"/>
  <c r="D33"/>
  <c r="D44"/>
  <c r="E26"/>
  <c r="E27"/>
  <c r="Q14"/>
  <c r="H15"/>
  <c r="H263" i="3"/>
  <c r="H264"/>
  <c r="H265"/>
  <c r="H25" i="2"/>
  <c r="E28"/>
  <c r="E29"/>
  <c r="D46"/>
  <c r="D47"/>
  <c r="D45"/>
  <c r="E41"/>
  <c r="R14"/>
  <c r="E30"/>
  <c r="E31"/>
  <c r="P15"/>
  <c r="E32"/>
  <c r="E33"/>
  <c r="E44"/>
  <c r="F26"/>
  <c r="F27"/>
  <c r="Q15"/>
  <c r="E46"/>
  <c r="E47"/>
  <c r="E45"/>
  <c r="F28"/>
  <c r="F29"/>
  <c r="F41"/>
  <c r="R15"/>
  <c r="F30"/>
  <c r="F31"/>
  <c r="P16"/>
  <c r="F32"/>
  <c r="F33"/>
  <c r="F44"/>
  <c r="G26"/>
  <c r="G27"/>
  <c r="Q16"/>
  <c r="F46"/>
  <c r="F47"/>
  <c r="F45"/>
  <c r="G41"/>
  <c r="R16"/>
  <c r="G28"/>
  <c r="G29"/>
  <c r="G30"/>
  <c r="G31"/>
  <c r="P17"/>
  <c r="G32"/>
  <c r="G33"/>
  <c r="G44"/>
  <c r="H26"/>
  <c r="H27"/>
  <c r="Q17"/>
  <c r="H41"/>
  <c r="R17"/>
  <c r="H28"/>
  <c r="H29"/>
  <c r="G46"/>
  <c r="J45"/>
  <c r="G45"/>
  <c r="G47"/>
  <c r="J47"/>
  <c r="H30"/>
  <c r="H31"/>
  <c r="H32"/>
  <c r="H33"/>
  <c r="H44"/>
  <c r="H46"/>
  <c r="H47"/>
  <c r="C49"/>
  <c r="C50"/>
  <c r="H45"/>
</calcChain>
</file>

<file path=xl/comments1.xml><?xml version="1.0" encoding="utf-8"?>
<comments xmlns="http://schemas.openxmlformats.org/spreadsheetml/2006/main">
  <authors>
    <author>Administrador</author>
  </authors>
  <commentList>
    <comment ref="J16" author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no hay mas sectores y este keda cerca del aeropuerto</t>
        </r>
      </text>
    </comment>
  </commentList>
</comments>
</file>

<file path=xl/sharedStrings.xml><?xml version="1.0" encoding="utf-8"?>
<sst xmlns="http://schemas.openxmlformats.org/spreadsheetml/2006/main" count="383" uniqueCount="225">
  <si>
    <t>TMAR</t>
  </si>
  <si>
    <t>INFLACION</t>
  </si>
  <si>
    <t>CAPITAL</t>
  </si>
  <si>
    <t>TIR</t>
  </si>
  <si>
    <t>TOTAL</t>
  </si>
  <si>
    <t>FLUJO DE CAJA DEL INVERSIONISTA</t>
  </si>
  <si>
    <t>PERIODO</t>
  </si>
  <si>
    <t>INGRESOS</t>
  </si>
  <si>
    <t>COSTOS DE VENTA</t>
  </si>
  <si>
    <t>GASTOS DE INTERESES</t>
  </si>
  <si>
    <t>INVERSION CAP. PROPIO</t>
  </si>
  <si>
    <t>DEUDA</t>
  </si>
  <si>
    <t>PRECIO</t>
  </si>
  <si>
    <t>UNIDADES VENDIDAS</t>
  </si>
  <si>
    <t>TASA DE IMPUESTO</t>
  </si>
  <si>
    <t xml:space="preserve">IMPUESTO A LA RENTA  </t>
  </si>
  <si>
    <t>UTILIDAD NETA</t>
  </si>
  <si>
    <t>INVERSIÓN DE REEMPLAZO</t>
  </si>
  <si>
    <t>PRESTAMO</t>
  </si>
  <si>
    <t>Amort. De la deuda</t>
  </si>
  <si>
    <t>VALOR DE DESECHO</t>
  </si>
  <si>
    <t>FLUJO DE CAJA</t>
  </si>
  <si>
    <t>VAN</t>
  </si>
  <si>
    <t>1/2 TIEMPO</t>
  </si>
  <si>
    <t>GERENTE GENERAL</t>
  </si>
  <si>
    <t>TIEMPO COMPLETO</t>
  </si>
  <si>
    <t>CONDUCTOR</t>
  </si>
  <si>
    <t>REPARTIDOR</t>
  </si>
  <si>
    <t>nota: tanto al auxiliar de cocina, conductor y repartidor se les tiene ke pagar obligatoriamente</t>
  </si>
  <si>
    <t>los $218, ya ke según las leyes de aki del ecuador; no se puede pagar menos de ese valor</t>
  </si>
  <si>
    <t xml:space="preserve">ALBORADA ETAPA XI, AVENIDA ISIDRO AYORA, CERCA DEL COMISARIATO LA ESPAÑOLA, </t>
  </si>
  <si>
    <t>ALQUILO LOCAL DE 13 M2 VALOR 100 DOLARES MENSUALES</t>
  </si>
  <si>
    <t>tasas de credito</t>
  </si>
  <si>
    <t>pichincha</t>
  </si>
  <si>
    <t>nota: nos tocara ir a los bancos xa averiguar las tasas!!!</t>
  </si>
  <si>
    <t>COCINA</t>
  </si>
  <si>
    <t>COSTO UNIT. ($)</t>
  </si>
  <si>
    <t>CANT.  (UNID.)</t>
  </si>
  <si>
    <t>COSTO    TOT. ($)</t>
  </si>
  <si>
    <t>VIDA ÚTIL ( AÑOS)</t>
  </si>
  <si>
    <t>DEPRECIACIÓN  ANUAL ($)</t>
  </si>
  <si>
    <t>Horno microondas</t>
  </si>
  <si>
    <t>Congelador vertical panorámico</t>
  </si>
  <si>
    <t>Licuadora</t>
  </si>
  <si>
    <t>Batidora Kitchen Aid</t>
  </si>
  <si>
    <t>Mesa de trabajo tipo isla</t>
  </si>
  <si>
    <t>Mesa a la pared para equipos</t>
  </si>
  <si>
    <t>Colgador de papel para secar las manos</t>
  </si>
  <si>
    <t>Tablas para picar</t>
  </si>
  <si>
    <t>Cucharetas</t>
  </si>
  <si>
    <t>Cuchillo cebollero</t>
  </si>
  <si>
    <t>Cuchillo deshuesador</t>
  </si>
  <si>
    <t xml:space="preserve">Cuchillo puntilla </t>
  </si>
  <si>
    <t xml:space="preserve">Cuchillo de sierra </t>
  </si>
  <si>
    <t>Cuchillo de cocina</t>
  </si>
  <si>
    <t>Rallador de 4 lados</t>
  </si>
  <si>
    <t>Juego de 3 cernideras</t>
  </si>
  <si>
    <t xml:space="preserve">Rodillo de madera </t>
  </si>
  <si>
    <t>Cuchara espumadera</t>
  </si>
  <si>
    <t xml:space="preserve">Espátula de goma </t>
  </si>
  <si>
    <t>Espátula de decoración pequeña</t>
  </si>
  <si>
    <t>Espátula de decoración grande</t>
  </si>
  <si>
    <t>Abrelatas 4.20 2 8.40 5 1.68</t>
  </si>
  <si>
    <t>Pinzas</t>
  </si>
  <si>
    <t>Boquillas pequeñas</t>
  </si>
  <si>
    <t>Boquillas grandes</t>
  </si>
  <si>
    <t>Molde para plum cake</t>
  </si>
  <si>
    <t xml:space="preserve">Molde con centro hueco </t>
  </si>
  <si>
    <t xml:space="preserve">Moldes redondos para postres individuales </t>
  </si>
  <si>
    <t xml:space="preserve">Juego de 3 cortadores </t>
  </si>
  <si>
    <t xml:space="preserve">Jarra de plástico </t>
  </si>
  <si>
    <t xml:space="preserve">Recipientes de plástico pequeños </t>
  </si>
  <si>
    <t>Recipientes de plástico medianos</t>
  </si>
  <si>
    <t>Recipientes de plástico grandes</t>
  </si>
  <si>
    <t xml:space="preserve">Recipientes para especias </t>
  </si>
  <si>
    <t xml:space="preserve">Recipientes para harinas y granos </t>
  </si>
  <si>
    <t>Basureros</t>
  </si>
  <si>
    <t xml:space="preserve">Recipientes para polvos </t>
  </si>
  <si>
    <t>Charoles</t>
  </si>
  <si>
    <t>Acondicionador de aire</t>
  </si>
  <si>
    <t xml:space="preserve">Repisas a la pared </t>
  </si>
  <si>
    <t>Extintor para fuego B-C</t>
  </si>
  <si>
    <t>DEPRECIACIÓN ACUMULADA POR LOS 5 AÑOS</t>
  </si>
  <si>
    <t>MATRIZ DE VALOR DE DESECHO</t>
  </si>
  <si>
    <t>VALOR EN LIBROS</t>
  </si>
  <si>
    <t xml:space="preserve">TOTAL DEL VALOR DE DESECHO </t>
  </si>
  <si>
    <t xml:space="preserve">Cuchara </t>
  </si>
  <si>
    <t>Cuchara pequeña</t>
  </si>
  <si>
    <t>Cuchillo de mesa</t>
  </si>
  <si>
    <t>Tenedor</t>
  </si>
  <si>
    <t xml:space="preserve">Extractor </t>
  </si>
  <si>
    <t>Cocina de 6 quemadores  + horno</t>
  </si>
  <si>
    <t>Congelador Vertical ABX 500 N INOX</t>
  </si>
  <si>
    <t xml:space="preserve">Carro transporte reparto comida </t>
  </si>
  <si>
    <t>inversion</t>
  </si>
  <si>
    <t>ALMUERZOS EJECUTIVOS</t>
  </si>
  <si>
    <t>TOTAL PLATO</t>
  </si>
  <si>
    <t>MES</t>
  </si>
  <si>
    <t xml:space="preserve">CALDO + ACOMPAÑADO + POSTRE + JUGO </t>
  </si>
  <si>
    <t>0,43 + 0,64 + 0,44 + 0,07</t>
  </si>
  <si>
    <t>PLATO DIETA + POSTRE + JUGO</t>
  </si>
  <si>
    <t>0,98 + 0,44 + 0,07</t>
  </si>
  <si>
    <t>COSTO TOTAL MES</t>
  </si>
  <si>
    <t>p unit</t>
  </si>
  <si>
    <t>COSTO DE INGRE</t>
  </si>
  <si>
    <t>COST DE ENVASES</t>
  </si>
  <si>
    <t>COSTO DE VENTA DE PLATO NORMAL</t>
  </si>
  <si>
    <t>COSTO DE VENTA DE PLATO DIETITICO</t>
  </si>
  <si>
    <t>SERVICIOS BASICOS</t>
  </si>
  <si>
    <t xml:space="preserve">SUELDOS Y SALARIOS </t>
  </si>
  <si>
    <t>GAS</t>
  </si>
  <si>
    <t xml:space="preserve">GASOLINA </t>
  </si>
  <si>
    <t>JEFE DE COCINA CHEF</t>
  </si>
  <si>
    <t>ASISTENTE DE COCINA</t>
  </si>
  <si>
    <t>CARGO</t>
  </si>
  <si>
    <t>GASTO DE SALARIO MENSUAL</t>
  </si>
  <si>
    <t>GASTO DE SALARIO ANUAL</t>
  </si>
  <si>
    <t>TIEMPO DE TRABAJO</t>
  </si>
  <si>
    <t>CANTIDAD DE EMPLEADO</t>
  </si>
  <si>
    <t>ALQUILER DE VEHICULO PARA CATERING</t>
  </si>
  <si>
    <t>ALQUILER DE LOCAL</t>
  </si>
  <si>
    <t>AGUA</t>
  </si>
  <si>
    <t>LUZ</t>
  </si>
  <si>
    <t>TELEFONO</t>
  </si>
  <si>
    <t>MENSUAL</t>
  </si>
  <si>
    <t>ANUAL</t>
  </si>
  <si>
    <t>VALORES ANUALES</t>
  </si>
  <si>
    <t>Ventilador</t>
  </si>
  <si>
    <t>Porta comida 8 1/2 X 8 1/4</t>
  </si>
  <si>
    <t>Vianda 700cc (para caldos)</t>
  </si>
  <si>
    <t>vasos con tapas de 12 onzas</t>
  </si>
  <si>
    <t>postre porta comida de 5x5</t>
  </si>
  <si>
    <t>Por 25 unidades</t>
  </si>
  <si>
    <t>ALMUERZO DIARIO</t>
  </si>
  <si>
    <t>Tarrinas</t>
  </si>
  <si>
    <t>ALQUILER DE VEHICULO PARA COMPRAS(mercado)</t>
  </si>
  <si>
    <t>ALQUILER DE VEHICULO PARA COMPRAS(supermercado)</t>
  </si>
  <si>
    <t>UTILES DE ASEO DE COSINA PISOS BANO</t>
  </si>
  <si>
    <t>CLORO</t>
  </si>
  <si>
    <t>PINOKLIN</t>
  </si>
  <si>
    <t xml:space="preserve">LUSTRE </t>
  </si>
  <si>
    <t>FREGONA</t>
  </si>
  <si>
    <t>ESCOBA</t>
  </si>
  <si>
    <t>RECOJEDOR DE BASURA</t>
  </si>
  <si>
    <t>ESPONJA</t>
  </si>
  <si>
    <t>JABON PARA PLATOS</t>
  </si>
  <si>
    <t>JABON DE OLOR</t>
  </si>
  <si>
    <t>PAPEL HIGIENICO</t>
  </si>
  <si>
    <t>FRANELAS</t>
  </si>
  <si>
    <t>DETERGENTE</t>
  </si>
  <si>
    <t>PRECIO UNIT.</t>
  </si>
  <si>
    <t>POR MES</t>
  </si>
  <si>
    <t>DEPRE. TOTAL</t>
  </si>
  <si>
    <t>Utilidad operacional</t>
  </si>
  <si>
    <t>(-) 15% part. Trbaja</t>
  </si>
  <si>
    <t xml:space="preserve">UA impuestos </t>
  </si>
  <si>
    <t>(-) 10% RESERVA LEGAL</t>
  </si>
  <si>
    <t>(=) UTILIDAD RETENIDA</t>
  </si>
  <si>
    <t>COSTO DE CAPITAL DE TRABAJO</t>
  </si>
  <si>
    <t>TOTAL DE CAPITAL DE TRABAJO</t>
  </si>
  <si>
    <t>VALORES DE MESES</t>
  </si>
  <si>
    <t>Depreciación Anual</t>
  </si>
  <si>
    <t>PAGO DE INTERES</t>
  </si>
  <si>
    <t>GASTOS DE CONSTITUCIÓN</t>
  </si>
  <si>
    <t>GASTOS DE OPERACION Y ADMINISTRATIVOS</t>
  </si>
  <si>
    <t xml:space="preserve">Juego de 4 ollas  grandes </t>
  </si>
  <si>
    <t>Juego de 4 Sartenes</t>
  </si>
  <si>
    <t>CUBIERTOS</t>
  </si>
  <si>
    <t>BALANCE DE PERSONAL POR CONTRATO</t>
  </si>
  <si>
    <t>GASTOS MUNICIPALES</t>
  </si>
  <si>
    <t>Tasa de Servicio contra incendio</t>
  </si>
  <si>
    <r>
      <rPr>
        <sz val="7"/>
        <color indexed="8"/>
        <rFont val="Times New Roman"/>
        <family val="1"/>
      </rPr>
      <t xml:space="preserve">     </t>
    </r>
    <r>
      <rPr>
        <sz val="12"/>
        <color indexed="8"/>
        <rFont val="Arial"/>
        <family val="2"/>
      </rPr>
      <t>Patente Municipal.</t>
    </r>
  </si>
  <si>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Arial"/>
        <family val="2"/>
      </rPr>
      <t>Tasa de Habilitación y Control de Establecimiento.</t>
    </r>
  </si>
  <si>
    <t>13º sueldo</t>
  </si>
  <si>
    <t>14º sueldo</t>
  </si>
  <si>
    <t>vacaciones</t>
  </si>
  <si>
    <t xml:space="preserve">DEPRECIACION DE EQUIPO DE COCINA </t>
  </si>
  <si>
    <t>DEPRECIACION DE IMPLEMENTO DE COCINA</t>
  </si>
  <si>
    <t xml:space="preserve">VALORES </t>
  </si>
  <si>
    <t>INVERSION DE MAQUINARIA</t>
  </si>
  <si>
    <t>INVERSION DE INPLEMENTO DE COSINA</t>
  </si>
  <si>
    <t>DETALLES</t>
  </si>
  <si>
    <t>INVERSION TOTAL INICIAL</t>
  </si>
  <si>
    <t>RECUPERACIÓN DEL CAPITAL DE TRABAJO</t>
  </si>
  <si>
    <t>INCREMENTO DE EMPLEADO</t>
  </si>
  <si>
    <t>INVERSIÓN TOTAL INICIAL</t>
  </si>
  <si>
    <t>REGISTRO SANITARIO</t>
  </si>
  <si>
    <t>TOTALES GASTOS DE CONSTITUCIÓN</t>
  </si>
  <si>
    <t>GASTOS MUNICIPALES (ANUAL)</t>
  </si>
  <si>
    <t>CONTRIBUCIÓN A LA SUPERINTENDENCIA DE COMPAÑÍA (ANUAL)</t>
  </si>
  <si>
    <t>CAPITAL PARA CONTRIBUIR LA EMPRESA</t>
  </si>
  <si>
    <t>INCREMENTO DEL PRECIO</t>
  </si>
  <si>
    <t>IMPUESTO 1,5 POR MIL</t>
  </si>
  <si>
    <t>INVERSION DE EQUIPO DE COCINA</t>
  </si>
  <si>
    <t>INVERSION DE IMPLE. DE COCINA</t>
  </si>
  <si>
    <t>Balance de maquinaria y equipo (cocina)</t>
  </si>
  <si>
    <t>INVERSION TOTAL</t>
  </si>
  <si>
    <t>$</t>
  </si>
  <si>
    <t>%</t>
  </si>
  <si>
    <t>MONTO $</t>
  </si>
  <si>
    <t>PERIODOS</t>
  </si>
  <si>
    <t>CUOTA</t>
  </si>
  <si>
    <t>INTERESES</t>
  </si>
  <si>
    <t>AMORT. DEUDA</t>
  </si>
  <si>
    <t>TASA INTERES</t>
  </si>
  <si>
    <t># PERIODOS</t>
  </si>
  <si>
    <t>PLATO DIETETICO</t>
  </si>
  <si>
    <t>PLATO NORMAL</t>
  </si>
  <si>
    <t>PORCENTAJE</t>
  </si>
  <si>
    <t>PERSONAS</t>
  </si>
  <si>
    <t>COSTO TOTAL DE GASTO DE OPERACIÓN Y ADMINISTRATIVOS</t>
  </si>
  <si>
    <t>GASTOS DE OPERACION  Y ADMINISTRATIVOS</t>
  </si>
  <si>
    <t># MESES</t>
  </si>
  <si>
    <t>UA impuestos y part. Trabaja</t>
  </si>
  <si>
    <t>MÉTODO PERIODO DE RECUPERACIÓN SIMPLE</t>
  </si>
  <si>
    <t>MÉTODO PERIODO DE RECUPERACIÓN DESCONTADO</t>
  </si>
  <si>
    <t>FLUJO ACUMULADO DESCONTADO</t>
  </si>
  <si>
    <t xml:space="preserve">VALORES MAX-MIN </t>
  </si>
  <si>
    <t xml:space="preserve">VALORES DEL FLUJO </t>
  </si>
  <si>
    <t>MINIMO</t>
  </si>
  <si>
    <t>MÁXIMO</t>
  </si>
  <si>
    <t>VALORES NORMALES</t>
  </si>
  <si>
    <t>VARIABLES</t>
  </si>
  <si>
    <t>UTILES DE ASEO DE COCINA PISOS BANO</t>
  </si>
  <si>
    <t>PUNTO DE EQUILIBRIO (UNIDADES)</t>
  </si>
</sst>
</file>

<file path=xl/styles.xml><?xml version="1.0" encoding="utf-8"?>
<styleSheet xmlns="http://schemas.openxmlformats.org/spreadsheetml/2006/main">
  <numFmts count="3">
    <numFmt numFmtId="164" formatCode="&quot;$&quot;\ #,##0.00_);[Red]\(&quot;$&quot;\ #,##0.00\)"/>
    <numFmt numFmtId="165" formatCode="_(* #,##0.00_);_(* \(#,##0.00\);_(* &quot;-&quot;??_);_(@_)"/>
    <numFmt numFmtId="166" formatCode="&quot;$&quot;\ #,##0.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7"/>
      <color indexed="8"/>
      <name val="Times New Roman"/>
      <family val="1"/>
    </font>
    <font>
      <sz val="12"/>
      <color indexed="8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21"/>
      <name val="Calibri"/>
      <family val="2"/>
    </font>
    <font>
      <sz val="11"/>
      <color indexed="21"/>
      <name val="Calibri"/>
      <family val="2"/>
    </font>
    <font>
      <b/>
      <sz val="11"/>
      <color indexed="21"/>
      <name val="Calibri"/>
      <family val="2"/>
    </font>
    <font>
      <sz val="12"/>
      <color indexed="21"/>
      <name val="Calibri"/>
      <family val="2"/>
    </font>
    <font>
      <b/>
      <sz val="11"/>
      <color indexed="10"/>
      <name val="Arial"/>
      <family val="2"/>
    </font>
    <font>
      <sz val="12"/>
      <color indexed="8"/>
      <name val="Symbol"/>
      <family val="1"/>
      <charset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57"/>
      <name val="Calibri"/>
      <family val="2"/>
    </font>
    <font>
      <b/>
      <sz val="10"/>
      <color indexed="56"/>
      <name val="Arial"/>
      <family val="2"/>
    </font>
    <font>
      <sz val="11"/>
      <color indexed="56"/>
      <name val="Calibri"/>
      <family val="2"/>
    </font>
    <font>
      <b/>
      <sz val="11"/>
      <color indexed="10"/>
      <name val="Calibri"/>
      <family val="2"/>
    </font>
    <font>
      <b/>
      <sz val="11"/>
      <color indexed="60"/>
      <name val="Calibri"/>
      <family val="2"/>
    </font>
    <font>
      <b/>
      <sz val="12"/>
      <color indexed="9"/>
      <name val="Calibri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62"/>
      <name val="Arial"/>
      <family val="2"/>
    </font>
    <font>
      <b/>
      <sz val="14"/>
      <color indexed="62"/>
      <name val="Calibri"/>
      <family val="2"/>
    </font>
    <font>
      <b/>
      <sz val="11"/>
      <color indexed="63"/>
      <name val="Calibri"/>
      <family val="2"/>
    </font>
    <font>
      <b/>
      <sz val="14"/>
      <color indexed="63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0" fillId="2" borderId="0" xfId="0" applyFill="1"/>
    <xf numFmtId="0" fontId="0" fillId="3" borderId="0" xfId="0" applyFill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3" borderId="0" xfId="0" applyNumberFormat="1" applyFill="1"/>
    <xf numFmtId="2" fontId="0" fillId="3" borderId="1" xfId="0" applyNumberFormat="1" applyFill="1" applyBorder="1"/>
    <xf numFmtId="2" fontId="0" fillId="0" borderId="0" xfId="0" applyNumberFormat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4" borderId="0" xfId="0" applyFill="1"/>
    <xf numFmtId="0" fontId="0" fillId="0" borderId="0" xfId="0" applyBorder="1" applyAlignment="1">
      <alignment horizontal="right"/>
    </xf>
    <xf numFmtId="0" fontId="3" fillId="0" borderId="0" xfId="0" applyFont="1" applyFill="1" applyBorder="1"/>
    <xf numFmtId="166" fontId="0" fillId="4" borderId="0" xfId="0" applyNumberFormat="1" applyFill="1"/>
    <xf numFmtId="0" fontId="0" fillId="0" borderId="2" xfId="0" applyBorder="1"/>
    <xf numFmtId="0" fontId="0" fillId="0" borderId="2" xfId="0" applyBorder="1" applyAlignment="1">
      <alignment horizontal="right"/>
    </xf>
    <xf numFmtId="10" fontId="0" fillId="0" borderId="0" xfId="0" applyNumberFormat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0" fontId="0" fillId="0" borderId="3" xfId="0" applyBorder="1"/>
    <xf numFmtId="0" fontId="0" fillId="0" borderId="0" xfId="0" applyBorder="1" applyAlignment="1">
      <alignment horizontal="center"/>
    </xf>
    <xf numFmtId="2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Border="1" applyAlignment="1"/>
    <xf numFmtId="0" fontId="10" fillId="0" borderId="4" xfId="0" applyFont="1" applyBorder="1" applyAlignment="1">
      <alignment horizontal="center"/>
    </xf>
    <xf numFmtId="2" fontId="12" fillId="0" borderId="5" xfId="0" applyNumberFormat="1" applyFont="1" applyBorder="1" applyAlignment="1">
      <alignment horizontal="right"/>
    </xf>
    <xf numFmtId="0" fontId="12" fillId="0" borderId="6" xfId="0" applyFont="1" applyBorder="1"/>
    <xf numFmtId="0" fontId="12" fillId="0" borderId="7" xfId="0" applyFont="1" applyBorder="1"/>
    <xf numFmtId="0" fontId="10" fillId="0" borderId="2" xfId="0" applyFont="1" applyBorder="1"/>
    <xf numFmtId="2" fontId="12" fillId="0" borderId="2" xfId="0" applyNumberFormat="1" applyFont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0" fontId="0" fillId="0" borderId="0" xfId="0" applyFill="1" applyBorder="1"/>
    <xf numFmtId="2" fontId="10" fillId="2" borderId="4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0" borderId="8" xfId="0" applyBorder="1"/>
    <xf numFmtId="9" fontId="0" fillId="0" borderId="0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2" fontId="0" fillId="0" borderId="11" xfId="0" applyNumberFormat="1" applyBorder="1"/>
    <xf numFmtId="0" fontId="0" fillId="0" borderId="12" xfId="0" applyBorder="1"/>
    <xf numFmtId="0" fontId="0" fillId="0" borderId="13" xfId="0" applyBorder="1"/>
    <xf numFmtId="2" fontId="0" fillId="0" borderId="13" xfId="0" applyNumberFormat="1" applyBorder="1"/>
    <xf numFmtId="2" fontId="0" fillId="0" borderId="14" xfId="0" applyNumberFormat="1" applyBorder="1"/>
    <xf numFmtId="0" fontId="9" fillId="2" borderId="2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8" fillId="0" borderId="0" xfId="0" applyNumberFormat="1" applyFont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3" borderId="15" xfId="0" applyFill="1" applyBorder="1"/>
    <xf numFmtId="0" fontId="21" fillId="3" borderId="0" xfId="0" applyFont="1" applyFill="1"/>
    <xf numFmtId="2" fontId="23" fillId="0" borderId="0" xfId="0" applyNumberFormat="1" applyFont="1" applyFill="1" applyBorder="1" applyAlignment="1">
      <alignment horizontal="center"/>
    </xf>
    <xf numFmtId="2" fontId="9" fillId="6" borderId="0" xfId="0" applyNumberFormat="1" applyFont="1" applyFill="1" applyAlignment="1">
      <alignment horizontal="center"/>
    </xf>
    <xf numFmtId="2" fontId="9" fillId="6" borderId="0" xfId="0" applyNumberFormat="1" applyFont="1" applyFill="1"/>
    <xf numFmtId="0" fontId="17" fillId="0" borderId="0" xfId="0" applyFont="1" applyBorder="1"/>
    <xf numFmtId="0" fontId="25" fillId="0" borderId="2" xfId="0" applyFont="1" applyBorder="1" applyAlignment="1">
      <alignment horizontal="justify"/>
    </xf>
    <xf numFmtId="0" fontId="26" fillId="0" borderId="2" xfId="0" applyFont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2" fontId="23" fillId="4" borderId="0" xfId="0" applyNumberFormat="1" applyFont="1" applyFill="1" applyBorder="1" applyAlignment="1">
      <alignment horizontal="center"/>
    </xf>
    <xf numFmtId="166" fontId="0" fillId="4" borderId="2" xfId="0" applyNumberFormat="1" applyFill="1" applyBorder="1"/>
    <xf numFmtId="166" fontId="0" fillId="0" borderId="2" xfId="0" applyNumberFormat="1" applyBorder="1"/>
    <xf numFmtId="0" fontId="19" fillId="2" borderId="2" xfId="0" applyFont="1" applyFill="1" applyBorder="1" applyAlignment="1">
      <alignment horizontal="center"/>
    </xf>
    <xf numFmtId="0" fontId="0" fillId="0" borderId="16" xfId="0" applyBorder="1"/>
    <xf numFmtId="2" fontId="18" fillId="2" borderId="0" xfId="0" applyNumberFormat="1" applyFont="1" applyFill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2" fontId="28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10" fontId="0" fillId="0" borderId="2" xfId="0" applyNumberForma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27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1" fillId="0" borderId="0" xfId="0" applyFont="1" applyFill="1" applyBorder="1"/>
    <xf numFmtId="2" fontId="11" fillId="0" borderId="0" xfId="0" applyNumberFormat="1" applyFont="1" applyFill="1" applyBorder="1"/>
    <xf numFmtId="2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9" fillId="0" borderId="0" xfId="0" applyNumberFormat="1" applyFont="1"/>
    <xf numFmtId="2" fontId="9" fillId="7" borderId="0" xfId="0" applyNumberFormat="1" applyFont="1" applyFill="1" applyBorder="1"/>
    <xf numFmtId="0" fontId="9" fillId="0" borderId="0" xfId="0" applyFont="1" applyAlignment="1">
      <alignment horizontal="center"/>
    </xf>
    <xf numFmtId="165" fontId="9" fillId="8" borderId="2" xfId="1" applyFont="1" applyFill="1" applyBorder="1" applyAlignment="1"/>
    <xf numFmtId="0" fontId="9" fillId="8" borderId="2" xfId="0" applyFont="1" applyFill="1" applyBorder="1" applyAlignment="1"/>
    <xf numFmtId="2" fontId="13" fillId="9" borderId="0" xfId="0" applyNumberFormat="1" applyFont="1" applyFill="1" applyAlignment="1">
      <alignment horizontal="center"/>
    </xf>
    <xf numFmtId="1" fontId="13" fillId="9" borderId="0" xfId="0" applyNumberFormat="1" applyFont="1" applyFill="1" applyAlignment="1">
      <alignment horizontal="center"/>
    </xf>
    <xf numFmtId="0" fontId="32" fillId="10" borderId="2" xfId="0" applyFont="1" applyFill="1" applyBorder="1" applyAlignment="1">
      <alignment horizontal="center"/>
    </xf>
    <xf numFmtId="2" fontId="32" fillId="10" borderId="2" xfId="0" applyNumberFormat="1" applyFont="1" applyFill="1" applyBorder="1" applyAlignment="1">
      <alignment horizontal="center"/>
    </xf>
    <xf numFmtId="10" fontId="9" fillId="10" borderId="2" xfId="2" applyNumberFormat="1" applyFont="1" applyFill="1" applyBorder="1" applyAlignment="1">
      <alignment horizontal="center"/>
    </xf>
    <xf numFmtId="0" fontId="27" fillId="10" borderId="2" xfId="0" applyNumberFormat="1" applyFont="1" applyFill="1" applyBorder="1" applyAlignment="1">
      <alignment horizontal="center"/>
    </xf>
    <xf numFmtId="0" fontId="0" fillId="11" borderId="0" xfId="0" applyFill="1"/>
    <xf numFmtId="2" fontId="0" fillId="4" borderId="0" xfId="0" applyNumberFormat="1" applyFill="1"/>
    <xf numFmtId="2" fontId="32" fillId="0" borderId="0" xfId="0" applyNumberFormat="1" applyFont="1" applyAlignment="1">
      <alignment horizontal="center"/>
    </xf>
    <xf numFmtId="9" fontId="9" fillId="0" borderId="2" xfId="2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9" fontId="9" fillId="12" borderId="2" xfId="2" applyFont="1" applyFill="1" applyBorder="1" applyAlignment="1">
      <alignment horizontal="center"/>
    </xf>
    <xf numFmtId="2" fontId="27" fillId="12" borderId="2" xfId="0" applyNumberFormat="1" applyFont="1" applyFill="1" applyBorder="1" applyAlignment="1">
      <alignment horizontal="center"/>
    </xf>
    <xf numFmtId="0" fontId="32" fillId="13" borderId="2" xfId="0" applyFont="1" applyFill="1" applyBorder="1" applyAlignment="1">
      <alignment horizontal="center"/>
    </xf>
    <xf numFmtId="0" fontId="32" fillId="12" borderId="2" xfId="0" applyFont="1" applyFill="1" applyBorder="1" applyAlignment="1">
      <alignment horizontal="center"/>
    </xf>
    <xf numFmtId="2" fontId="9" fillId="4" borderId="0" xfId="0" applyNumberFormat="1" applyFont="1" applyFill="1" applyBorder="1" applyAlignment="1">
      <alignment horizontal="center"/>
    </xf>
    <xf numFmtId="2" fontId="0" fillId="4" borderId="0" xfId="0" applyNumberFormat="1" applyFill="1" applyBorder="1"/>
    <xf numFmtId="0" fontId="32" fillId="3" borderId="2" xfId="0" applyFont="1" applyFill="1" applyBorder="1" applyAlignment="1">
      <alignment horizontal="center"/>
    </xf>
    <xf numFmtId="10" fontId="9" fillId="3" borderId="2" xfId="2" applyNumberFormat="1" applyFont="1" applyFill="1" applyBorder="1" applyAlignment="1">
      <alignment horizontal="center"/>
    </xf>
    <xf numFmtId="0" fontId="30" fillId="14" borderId="17" xfId="0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2" fontId="32" fillId="4" borderId="3" xfId="0" applyNumberFormat="1" applyFont="1" applyFill="1" applyBorder="1" applyAlignment="1">
      <alignment horizontal="center"/>
    </xf>
    <xf numFmtId="2" fontId="32" fillId="4" borderId="18" xfId="0" applyNumberFormat="1" applyFont="1" applyFill="1" applyBorder="1" applyAlignment="1">
      <alignment horizontal="center"/>
    </xf>
    <xf numFmtId="2" fontId="32" fillId="4" borderId="19" xfId="0" applyNumberFormat="1" applyFont="1" applyFill="1" applyBorder="1" applyAlignment="1">
      <alignment horizontal="center"/>
    </xf>
    <xf numFmtId="2" fontId="24" fillId="14" borderId="17" xfId="0" applyNumberFormat="1" applyFont="1" applyFill="1" applyBorder="1" applyAlignment="1">
      <alignment horizontal="center"/>
    </xf>
    <xf numFmtId="2" fontId="24" fillId="14" borderId="20" xfId="0" applyNumberFormat="1" applyFont="1" applyFill="1" applyBorder="1" applyAlignment="1">
      <alignment horizontal="center"/>
    </xf>
    <xf numFmtId="2" fontId="24" fillId="14" borderId="21" xfId="0" applyNumberFormat="1" applyFont="1" applyFill="1" applyBorder="1" applyAlignment="1">
      <alignment horizontal="center"/>
    </xf>
    <xf numFmtId="0" fontId="9" fillId="12" borderId="22" xfId="0" applyNumberFormat="1" applyFont="1" applyFill="1" applyBorder="1" applyAlignment="1">
      <alignment horizontal="center"/>
    </xf>
    <xf numFmtId="0" fontId="9" fillId="12" borderId="23" xfId="0" applyNumberFormat="1" applyFont="1" applyFill="1" applyBorder="1" applyAlignment="1">
      <alignment horizontal="center"/>
    </xf>
    <xf numFmtId="0" fontId="9" fillId="12" borderId="24" xfId="0" applyNumberFormat="1" applyFont="1" applyFill="1" applyBorder="1" applyAlignment="1">
      <alignment horizontal="center"/>
    </xf>
    <xf numFmtId="2" fontId="32" fillId="12" borderId="3" xfId="0" applyNumberFormat="1" applyFont="1" applyFill="1" applyBorder="1" applyAlignment="1">
      <alignment horizontal="center"/>
    </xf>
    <xf numFmtId="2" fontId="32" fillId="12" borderId="18" xfId="0" applyNumberFormat="1" applyFont="1" applyFill="1" applyBorder="1" applyAlignment="1">
      <alignment horizontal="center"/>
    </xf>
    <xf numFmtId="2" fontId="32" fillId="12" borderId="19" xfId="0" applyNumberFormat="1" applyFont="1" applyFill="1" applyBorder="1" applyAlignment="1">
      <alignment horizontal="center"/>
    </xf>
    <xf numFmtId="2" fontId="32" fillId="12" borderId="25" xfId="0" applyNumberFormat="1" applyFont="1" applyFill="1" applyBorder="1" applyAlignment="1">
      <alignment horizontal="center"/>
    </xf>
    <xf numFmtId="2" fontId="32" fillId="12" borderId="26" xfId="0" applyNumberFormat="1" applyFont="1" applyFill="1" applyBorder="1" applyAlignment="1">
      <alignment horizontal="center"/>
    </xf>
    <xf numFmtId="2" fontId="32" fillId="12" borderId="27" xfId="0" applyNumberFormat="1" applyFont="1" applyFill="1" applyBorder="1" applyAlignment="1">
      <alignment horizontal="center"/>
    </xf>
    <xf numFmtId="2" fontId="0" fillId="4" borderId="28" xfId="0" applyNumberFormat="1" applyFill="1" applyBorder="1" applyAlignment="1">
      <alignment horizontal="center"/>
    </xf>
    <xf numFmtId="2" fontId="32" fillId="3" borderId="0" xfId="0" applyNumberFormat="1" applyFont="1" applyFill="1" applyAlignment="1">
      <alignment horizontal="center"/>
    </xf>
    <xf numFmtId="2" fontId="32" fillId="4" borderId="0" xfId="0" applyNumberFormat="1" applyFont="1" applyFill="1"/>
    <xf numFmtId="0" fontId="0" fillId="4" borderId="1" xfId="0" applyFill="1" applyBorder="1"/>
    <xf numFmtId="2" fontId="0" fillId="4" borderId="1" xfId="0" applyNumberFormat="1" applyFill="1" applyBorder="1"/>
    <xf numFmtId="2" fontId="0" fillId="4" borderId="15" xfId="0" applyNumberFormat="1" applyFill="1" applyBorder="1"/>
    <xf numFmtId="2" fontId="22" fillId="4" borderId="0" xfId="0" applyNumberFormat="1" applyFont="1" applyFill="1"/>
    <xf numFmtId="2" fontId="9" fillId="4" borderId="0" xfId="0" applyNumberFormat="1" applyFont="1" applyFill="1" applyAlignment="1">
      <alignment horizontal="center"/>
    </xf>
    <xf numFmtId="2" fontId="20" fillId="4" borderId="0" xfId="0" applyNumberFormat="1" applyFont="1" applyFill="1" applyAlignment="1">
      <alignment horizontal="center"/>
    </xf>
    <xf numFmtId="0" fontId="10" fillId="0" borderId="2" xfId="0" applyFont="1" applyBorder="1" applyAlignment="1"/>
    <xf numFmtId="2" fontId="32" fillId="0" borderId="2" xfId="0" applyNumberFormat="1" applyFont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17" fillId="4" borderId="0" xfId="0" applyFont="1" applyFill="1" applyBorder="1"/>
    <xf numFmtId="0" fontId="32" fillId="4" borderId="0" xfId="0" applyFont="1" applyFill="1" applyAlignment="1">
      <alignment horizontal="center"/>
    </xf>
    <xf numFmtId="0" fontId="12" fillId="3" borderId="29" xfId="0" applyFont="1" applyFill="1" applyBorder="1"/>
    <xf numFmtId="2" fontId="12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2" fontId="32" fillId="3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10" fontId="32" fillId="6" borderId="2" xfId="0" applyNumberFormat="1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right"/>
    </xf>
    <xf numFmtId="0" fontId="32" fillId="0" borderId="10" xfId="0" applyFont="1" applyBorder="1"/>
    <xf numFmtId="0" fontId="32" fillId="0" borderId="11" xfId="0" applyFont="1" applyBorder="1" applyAlignment="1">
      <alignment horizontal="center"/>
    </xf>
    <xf numFmtId="2" fontId="32" fillId="0" borderId="11" xfId="0" applyNumberFormat="1" applyFont="1" applyBorder="1" applyAlignment="1">
      <alignment horizontal="center"/>
    </xf>
    <xf numFmtId="0" fontId="32" fillId="0" borderId="10" xfId="0" applyFont="1" applyFill="1" applyBorder="1" applyAlignment="1"/>
    <xf numFmtId="0" fontId="32" fillId="0" borderId="30" xfId="0" applyFont="1" applyFill="1" applyBorder="1" applyAlignment="1">
      <alignment horizontal="center"/>
    </xf>
    <xf numFmtId="0" fontId="32" fillId="0" borderId="10" xfId="0" applyFont="1" applyBorder="1" applyAlignment="1">
      <alignment horizontal="left"/>
    </xf>
    <xf numFmtId="4" fontId="32" fillId="0" borderId="11" xfId="0" applyNumberFormat="1" applyFont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0" borderId="3" xfId="0" applyFont="1" applyBorder="1"/>
    <xf numFmtId="0" fontId="32" fillId="0" borderId="3" xfId="0" applyFont="1" applyBorder="1" applyAlignment="1">
      <alignment horizontal="center"/>
    </xf>
    <xf numFmtId="166" fontId="32" fillId="0" borderId="2" xfId="0" applyNumberFormat="1" applyFont="1" applyBorder="1" applyAlignment="1">
      <alignment horizontal="center"/>
    </xf>
    <xf numFmtId="2" fontId="1" fillId="4" borderId="0" xfId="0" applyNumberFormat="1" applyFont="1" applyFill="1" applyAlignment="1">
      <alignment horizontal="left"/>
    </xf>
    <xf numFmtId="0" fontId="33" fillId="4" borderId="0" xfId="0" applyFont="1" applyFill="1" applyAlignment="1">
      <alignment horizontal="center"/>
    </xf>
    <xf numFmtId="0" fontId="30" fillId="14" borderId="31" xfId="0" applyFont="1" applyFill="1" applyBorder="1" applyAlignment="1">
      <alignment horizontal="center"/>
    </xf>
    <xf numFmtId="2" fontId="9" fillId="4" borderId="0" xfId="0" applyNumberFormat="1" applyFont="1" applyFill="1" applyBorder="1"/>
    <xf numFmtId="9" fontId="0" fillId="0" borderId="0" xfId="0" applyNumberFormat="1"/>
    <xf numFmtId="0" fontId="34" fillId="4" borderId="0" xfId="0" applyFont="1" applyFill="1"/>
    <xf numFmtId="2" fontId="35" fillId="4" borderId="0" xfId="0" applyNumberFormat="1" applyFont="1" applyFill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5" fillId="3" borderId="2" xfId="0" applyNumberFormat="1" applyFont="1" applyFill="1" applyBorder="1" applyAlignment="1">
      <alignment horizontal="center"/>
    </xf>
    <xf numFmtId="2" fontId="36" fillId="6" borderId="0" xfId="0" applyNumberFormat="1" applyFont="1" applyFill="1"/>
    <xf numFmtId="2" fontId="18" fillId="4" borderId="0" xfId="0" applyNumberFormat="1" applyFont="1" applyFill="1" applyAlignment="1">
      <alignment horizontal="center"/>
    </xf>
    <xf numFmtId="10" fontId="9" fillId="8" borderId="2" xfId="1" applyNumberFormat="1" applyFont="1" applyFill="1" applyBorder="1" applyAlignment="1"/>
    <xf numFmtId="0" fontId="32" fillId="7" borderId="32" xfId="0" applyFont="1" applyFill="1" applyBorder="1" applyAlignment="1"/>
    <xf numFmtId="0" fontId="32" fillId="7" borderId="32" xfId="0" applyFont="1" applyFill="1" applyBorder="1" applyAlignment="1">
      <alignment horizontal="center"/>
    </xf>
    <xf numFmtId="0" fontId="37" fillId="8" borderId="2" xfId="0" applyFont="1" applyFill="1" applyBorder="1" applyAlignment="1">
      <alignment horizontal="center"/>
    </xf>
    <xf numFmtId="9" fontId="9" fillId="4" borderId="0" xfId="2" applyFont="1" applyFill="1" applyBorder="1" applyAlignment="1">
      <alignment horizontal="center"/>
    </xf>
    <xf numFmtId="0" fontId="27" fillId="4" borderId="0" xfId="0" applyNumberFormat="1" applyFont="1" applyFill="1" applyBorder="1" applyAlignment="1">
      <alignment horizontal="center"/>
    </xf>
    <xf numFmtId="0" fontId="37" fillId="8" borderId="2" xfId="0" applyFont="1" applyFill="1" applyBorder="1" applyAlignment="1"/>
    <xf numFmtId="0" fontId="38" fillId="16" borderId="33" xfId="0" applyFont="1" applyFill="1" applyBorder="1" applyAlignment="1">
      <alignment horizontal="center"/>
    </xf>
    <xf numFmtId="2" fontId="38" fillId="16" borderId="14" xfId="0" applyNumberFormat="1" applyFont="1" applyFill="1" applyBorder="1" applyAlignment="1">
      <alignment horizontal="center"/>
    </xf>
    <xf numFmtId="0" fontId="29" fillId="4" borderId="0" xfId="0" applyFont="1" applyFill="1"/>
    <xf numFmtId="0" fontId="18" fillId="8" borderId="2" xfId="0" applyFont="1" applyFill="1" applyBorder="1" applyAlignment="1"/>
    <xf numFmtId="0" fontId="38" fillId="16" borderId="2" xfId="0" applyFont="1" applyFill="1" applyBorder="1" applyAlignment="1">
      <alignment horizontal="center"/>
    </xf>
    <xf numFmtId="0" fontId="30" fillId="14" borderId="34" xfId="0" applyFont="1" applyFill="1" applyBorder="1" applyAlignment="1">
      <alignment horizontal="center"/>
    </xf>
    <xf numFmtId="0" fontId="30" fillId="14" borderId="8" xfId="0" applyFont="1" applyFill="1" applyBorder="1"/>
    <xf numFmtId="0" fontId="30" fillId="14" borderId="25" xfId="0" applyFont="1" applyFill="1" applyBorder="1" applyAlignment="1">
      <alignment horizontal="center"/>
    </xf>
    <xf numFmtId="0" fontId="30" fillId="14" borderId="7" xfId="0" applyFont="1" applyFill="1" applyBorder="1"/>
    <xf numFmtId="0" fontId="30" fillId="14" borderId="27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/>
    </xf>
    <xf numFmtId="0" fontId="39" fillId="16" borderId="2" xfId="0" applyFont="1" applyFill="1" applyBorder="1" applyAlignment="1">
      <alignment horizontal="center"/>
    </xf>
    <xf numFmtId="2" fontId="30" fillId="16" borderId="2" xfId="0" applyNumberFormat="1" applyFont="1" applyFill="1" applyBorder="1" applyAlignment="1">
      <alignment horizontal="center"/>
    </xf>
    <xf numFmtId="0" fontId="18" fillId="4" borderId="0" xfId="0" applyFont="1" applyFill="1"/>
    <xf numFmtId="0" fontId="18" fillId="10" borderId="2" xfId="0" applyFont="1" applyFill="1" applyBorder="1" applyAlignment="1">
      <alignment horizontal="center"/>
    </xf>
    <xf numFmtId="2" fontId="18" fillId="10" borderId="2" xfId="0" applyNumberFormat="1" applyFont="1" applyFill="1" applyBorder="1" applyAlignment="1">
      <alignment horizontal="center"/>
    </xf>
    <xf numFmtId="2" fontId="18" fillId="4" borderId="0" xfId="0" applyNumberFormat="1" applyFont="1" applyFill="1"/>
    <xf numFmtId="9" fontId="18" fillId="3" borderId="2" xfId="2" applyFont="1" applyFill="1" applyBorder="1" applyAlignment="1">
      <alignment horizontal="center"/>
    </xf>
    <xf numFmtId="10" fontId="18" fillId="10" borderId="2" xfId="2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center"/>
    </xf>
    <xf numFmtId="0" fontId="18" fillId="10" borderId="2" xfId="0" applyNumberFormat="1" applyFont="1" applyFill="1" applyBorder="1" applyAlignment="1">
      <alignment horizontal="center"/>
    </xf>
    <xf numFmtId="0" fontId="13" fillId="4" borderId="0" xfId="0" applyFont="1" applyFill="1"/>
    <xf numFmtId="0" fontId="9" fillId="0" borderId="2" xfId="0" applyFont="1" applyBorder="1"/>
    <xf numFmtId="2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0" fillId="0" borderId="0" xfId="0" applyFont="1"/>
    <xf numFmtId="1" fontId="18" fillId="12" borderId="2" xfId="0" applyNumberFormat="1" applyFont="1" applyFill="1" applyBorder="1" applyAlignment="1">
      <alignment horizontal="center"/>
    </xf>
    <xf numFmtId="0" fontId="41" fillId="4" borderId="0" xfId="0" applyFont="1" applyFill="1"/>
    <xf numFmtId="2" fontId="42" fillId="4" borderId="0" xfId="0" applyNumberFormat="1" applyFont="1" applyFill="1" applyBorder="1" applyAlignment="1">
      <alignment horizontal="center"/>
    </xf>
    <xf numFmtId="2" fontId="43" fillId="0" borderId="2" xfId="0" applyNumberFormat="1" applyFont="1" applyBorder="1" applyAlignment="1">
      <alignment horizontal="center"/>
    </xf>
    <xf numFmtId="2" fontId="43" fillId="0" borderId="3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43" fillId="3" borderId="2" xfId="0" applyNumberFormat="1" applyFont="1" applyFill="1" applyBorder="1" applyAlignment="1">
      <alignment horizontal="center"/>
    </xf>
    <xf numFmtId="2" fontId="44" fillId="17" borderId="0" xfId="0" applyNumberFormat="1" applyFont="1" applyFill="1" applyAlignment="1">
      <alignment horizontal="center"/>
    </xf>
    <xf numFmtId="9" fontId="44" fillId="4" borderId="0" xfId="2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32" fillId="7" borderId="32" xfId="0" applyFont="1" applyFill="1" applyBorder="1" applyAlignment="1">
      <alignment horizontal="center"/>
    </xf>
    <xf numFmtId="0" fontId="32" fillId="7" borderId="3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15" borderId="35" xfId="0" applyFont="1" applyFill="1" applyBorder="1" applyAlignment="1">
      <alignment horizontal="center"/>
    </xf>
    <xf numFmtId="0" fontId="10" fillId="15" borderId="36" xfId="0" applyFont="1" applyFill="1" applyBorder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097" name="CB_Block_0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098" name="CB_0000000000000000000000000000000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099" name="CB_Block_7.0.0.0: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100" name="CB_0000000000000000000000000000000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101" name="CB_00000000000000000000000000000000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98425</xdr:colOff>
      <xdr:row>5</xdr:row>
      <xdr:rowOff>104775</xdr:rowOff>
    </xdr:from>
    <xdr:to>
      <xdr:col>15</xdr:col>
      <xdr:colOff>1279525</xdr:colOff>
      <xdr:row>5</xdr:row>
      <xdr:rowOff>123825</xdr:rowOff>
    </xdr:to>
    <xdr:cxnSp macro="">
      <xdr:nvCxnSpPr>
        <xdr:cNvPr id="3" name="2 Conector recto de flecha"/>
        <xdr:cNvCxnSpPr/>
      </xdr:nvCxnSpPr>
      <xdr:spPr>
        <a:xfrm>
          <a:off x="16624300" y="1073150"/>
          <a:ext cx="118110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189</xdr:row>
      <xdr:rowOff>0</xdr:rowOff>
    </xdr:from>
    <xdr:to>
      <xdr:col>15</xdr:col>
      <xdr:colOff>1057275</xdr:colOff>
      <xdr:row>225</xdr:row>
      <xdr:rowOff>95250</xdr:rowOff>
    </xdr:to>
    <xdr:pic>
      <xdr:nvPicPr>
        <xdr:cNvPr id="5122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48475" y="36033075"/>
          <a:ext cx="12182475" cy="6953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230</xdr:row>
      <xdr:rowOff>0</xdr:rowOff>
    </xdr:from>
    <xdr:to>
      <xdr:col>15</xdr:col>
      <xdr:colOff>1057275</xdr:colOff>
      <xdr:row>266</xdr:row>
      <xdr:rowOff>95250</xdr:rowOff>
    </xdr:to>
    <xdr:pic>
      <xdr:nvPicPr>
        <xdr:cNvPr id="5123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48475" y="43843575"/>
          <a:ext cx="12182475" cy="6953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270</xdr:row>
      <xdr:rowOff>0</xdr:rowOff>
    </xdr:from>
    <xdr:to>
      <xdr:col>15</xdr:col>
      <xdr:colOff>1057275</xdr:colOff>
      <xdr:row>306</xdr:row>
      <xdr:rowOff>95250</xdr:rowOff>
    </xdr:to>
    <xdr:pic>
      <xdr:nvPicPr>
        <xdr:cNvPr id="5124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48475" y="51463575"/>
          <a:ext cx="12182475" cy="6953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15</xdr:col>
      <xdr:colOff>1057275</xdr:colOff>
      <xdr:row>345</xdr:row>
      <xdr:rowOff>95250</xdr:rowOff>
    </xdr:to>
    <xdr:pic>
      <xdr:nvPicPr>
        <xdr:cNvPr id="5125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48475" y="58893075"/>
          <a:ext cx="12182475" cy="6953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348</xdr:row>
      <xdr:rowOff>0</xdr:rowOff>
    </xdr:from>
    <xdr:to>
      <xdr:col>15</xdr:col>
      <xdr:colOff>1057275</xdr:colOff>
      <xdr:row>384</xdr:row>
      <xdr:rowOff>95250</xdr:rowOff>
    </xdr:to>
    <xdr:pic>
      <xdr:nvPicPr>
        <xdr:cNvPr id="5126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48475" y="66322575"/>
          <a:ext cx="12182475" cy="6953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1857375</xdr:colOff>
      <xdr:row>44</xdr:row>
      <xdr:rowOff>142875</xdr:rowOff>
    </xdr:from>
    <xdr:to>
      <xdr:col>16</xdr:col>
      <xdr:colOff>1181100</xdr:colOff>
      <xdr:row>58</xdr:row>
      <xdr:rowOff>133350</xdr:rowOff>
    </xdr:to>
    <xdr:pic>
      <xdr:nvPicPr>
        <xdr:cNvPr id="5127" name="Picture 60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440025" y="8410575"/>
          <a:ext cx="515302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23</xdr:col>
      <xdr:colOff>371475</xdr:colOff>
      <xdr:row>56</xdr:row>
      <xdr:rowOff>133350</xdr:rowOff>
    </xdr:to>
    <xdr:pic>
      <xdr:nvPicPr>
        <xdr:cNvPr id="5128" name="Picture 610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088350" y="8029575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1905000</xdr:colOff>
      <xdr:row>92</xdr:row>
      <xdr:rowOff>95250</xdr:rowOff>
    </xdr:from>
    <xdr:to>
      <xdr:col>16</xdr:col>
      <xdr:colOff>1238250</xdr:colOff>
      <xdr:row>107</xdr:row>
      <xdr:rowOff>38100</xdr:rowOff>
    </xdr:to>
    <xdr:pic>
      <xdr:nvPicPr>
        <xdr:cNvPr id="5129" name="Picture 611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487650" y="17649825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285750</xdr:colOff>
      <xdr:row>92</xdr:row>
      <xdr:rowOff>28575</xdr:rowOff>
    </xdr:from>
    <xdr:to>
      <xdr:col>23</xdr:col>
      <xdr:colOff>657225</xdr:colOff>
      <xdr:row>106</xdr:row>
      <xdr:rowOff>161925</xdr:rowOff>
    </xdr:to>
    <xdr:pic>
      <xdr:nvPicPr>
        <xdr:cNvPr id="5130" name="Picture 612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374100" y="17583150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</xdr:colOff>
      <xdr:row>76</xdr:row>
      <xdr:rowOff>95250</xdr:rowOff>
    </xdr:from>
    <xdr:to>
      <xdr:col>23</xdr:col>
      <xdr:colOff>466725</xdr:colOff>
      <xdr:row>91</xdr:row>
      <xdr:rowOff>38100</xdr:rowOff>
    </xdr:to>
    <xdr:pic>
      <xdr:nvPicPr>
        <xdr:cNvPr id="5131" name="Picture 613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1183600" y="14601825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1838325</xdr:colOff>
      <xdr:row>76</xdr:row>
      <xdr:rowOff>66675</xdr:rowOff>
    </xdr:from>
    <xdr:to>
      <xdr:col>16</xdr:col>
      <xdr:colOff>1181100</xdr:colOff>
      <xdr:row>91</xdr:row>
      <xdr:rowOff>9525</xdr:rowOff>
    </xdr:to>
    <xdr:pic>
      <xdr:nvPicPr>
        <xdr:cNvPr id="5132" name="Picture 614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420975" y="14573250"/>
          <a:ext cx="517207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1914525</xdr:colOff>
      <xdr:row>27</xdr:row>
      <xdr:rowOff>85725</xdr:rowOff>
    </xdr:from>
    <xdr:to>
      <xdr:col>16</xdr:col>
      <xdr:colOff>1257300</xdr:colOff>
      <xdr:row>42</xdr:row>
      <xdr:rowOff>28575</xdr:rowOff>
    </xdr:to>
    <xdr:pic>
      <xdr:nvPicPr>
        <xdr:cNvPr id="5133" name="Picture 630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497175" y="5257800"/>
          <a:ext cx="517207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1447800</xdr:colOff>
      <xdr:row>25</xdr:row>
      <xdr:rowOff>104775</xdr:rowOff>
    </xdr:from>
    <xdr:to>
      <xdr:col>23</xdr:col>
      <xdr:colOff>142875</xdr:colOff>
      <xdr:row>40</xdr:row>
      <xdr:rowOff>47625</xdr:rowOff>
    </xdr:to>
    <xdr:pic>
      <xdr:nvPicPr>
        <xdr:cNvPr id="5134" name="Picture 631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0859750" y="4895850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381000</xdr:colOff>
      <xdr:row>108</xdr:row>
      <xdr:rowOff>28575</xdr:rowOff>
    </xdr:from>
    <xdr:to>
      <xdr:col>23</xdr:col>
      <xdr:colOff>752475</xdr:colOff>
      <xdr:row>122</xdr:row>
      <xdr:rowOff>161925</xdr:rowOff>
    </xdr:to>
    <xdr:pic>
      <xdr:nvPicPr>
        <xdr:cNvPr id="5135" name="Picture 632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1469350" y="20631150"/>
          <a:ext cx="5162550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1885950</xdr:colOff>
      <xdr:row>108</xdr:row>
      <xdr:rowOff>123825</xdr:rowOff>
    </xdr:from>
    <xdr:to>
      <xdr:col>16</xdr:col>
      <xdr:colOff>1228725</xdr:colOff>
      <xdr:row>123</xdr:row>
      <xdr:rowOff>66675</xdr:rowOff>
    </xdr:to>
    <xdr:pic>
      <xdr:nvPicPr>
        <xdr:cNvPr id="5136" name="Picture 633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468600" y="20726400"/>
          <a:ext cx="517207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144739</xdr:colOff>
      <xdr:row>14</xdr:row>
      <xdr:rowOff>74841</xdr:rowOff>
    </xdr:from>
    <xdr:to>
      <xdr:col>12</xdr:col>
      <xdr:colOff>1724427</xdr:colOff>
      <xdr:row>22</xdr:row>
      <xdr:rowOff>154781</xdr:rowOff>
    </xdr:to>
    <xdr:sp macro="" textlink="">
      <xdr:nvSpPr>
        <xdr:cNvPr id="21" name="20 Llamada de nube"/>
        <xdr:cNvSpPr/>
      </xdr:nvSpPr>
      <xdr:spPr>
        <a:xfrm>
          <a:off x="11443770" y="2765654"/>
          <a:ext cx="3865688" cy="1615846"/>
        </a:xfrm>
        <a:prstGeom prst="cloudCallout">
          <a:avLst>
            <a:gd name="adj1" fmla="val -84301"/>
            <a:gd name="adj2" fmla="val 1397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C" sz="1100"/>
            <a:t>ESTAS</a:t>
          </a:r>
          <a:r>
            <a:rPr lang="es-EC" sz="1100" baseline="0"/>
            <a:t>  SON LAS UNIDADES DE PUNTO DE EQUILIBRIO POR CADA AÑO;  QUE HACEN QUE LA UTILIDAD OPERATIVA SEA CERO PARA CADA AÑO.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138" name="CB_0000000000000000000000000000000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139" name="CB_0000000000000000000000000000000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140" name="CB_00000000000000000000000000000000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141" name="CB_Block_0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142" name="CB_Block_7.0.0.0: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2540000</xdr:colOff>
      <xdr:row>264</xdr:row>
      <xdr:rowOff>95250</xdr:rowOff>
    </xdr:from>
    <xdr:to>
      <xdr:col>2</xdr:col>
      <xdr:colOff>1317625</xdr:colOff>
      <xdr:row>267</xdr:row>
      <xdr:rowOff>47625</xdr:rowOff>
    </xdr:to>
    <xdr:cxnSp macro="">
      <xdr:nvCxnSpPr>
        <xdr:cNvPr id="3" name="2 Conector recto de flecha"/>
        <xdr:cNvCxnSpPr/>
      </xdr:nvCxnSpPr>
      <xdr:spPr>
        <a:xfrm>
          <a:off x="3151188" y="42743438"/>
          <a:ext cx="2143125" cy="52387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activeCell="B4" sqref="B4"/>
    </sheetView>
  </sheetViews>
  <sheetFormatPr baseColWidth="10" defaultRowHeight="12.75"/>
  <cols>
    <col min="1" max="1" width="11.42578125" style="1"/>
    <col min="2" max="2" width="11.42578125" style="2"/>
    <col min="3" max="16384" width="11.42578125" style="1"/>
  </cols>
  <sheetData/>
  <customSheetViews>
    <customSheetView guid="{1C124D82-5E8E-4656-88B0-04FEF3393FAE}">
      <selection activeCell="C18" sqref="C18"/>
      <pageMargins left="0.7" right="0.7" top="0.75" bottom="0.75" header="0.3" footer="0.3"/>
    </customSheetView>
  </customSheetView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5"/>
  <sheetViews>
    <sheetView tabSelected="1" topLeftCell="A37" zoomScale="80" zoomScaleNormal="80" workbookViewId="0">
      <selection activeCell="G57" sqref="G57"/>
    </sheetView>
  </sheetViews>
  <sheetFormatPr baseColWidth="10" defaultRowHeight="15"/>
  <cols>
    <col min="2" max="2" width="40.140625" customWidth="1"/>
    <col min="3" max="3" width="13.7109375" style="5" customWidth="1"/>
    <col min="4" max="8" width="18.7109375" customWidth="1"/>
    <col min="9" max="9" width="5" customWidth="1"/>
    <col min="10" max="10" width="5.42578125" customWidth="1"/>
    <col min="11" max="11" width="14.7109375" customWidth="1"/>
    <col min="12" max="12" width="19.7109375" customWidth="1"/>
    <col min="13" max="13" width="34.85546875" customWidth="1"/>
    <col min="14" max="14" width="16.42578125" customWidth="1"/>
    <col min="15" max="15" width="14.5703125" customWidth="1"/>
    <col min="16" max="16" width="21.5703125" customWidth="1"/>
    <col min="17" max="17" width="25.140625" customWidth="1"/>
    <col min="18" max="18" width="14.7109375" customWidth="1"/>
  </cols>
  <sheetData>
    <row r="1" spans="1:20">
      <c r="A1" s="17"/>
      <c r="B1" s="17"/>
      <c r="D1" s="17"/>
      <c r="E1" s="17"/>
      <c r="F1" s="17"/>
      <c r="G1" s="17"/>
      <c r="H1" s="17"/>
      <c r="I1" s="17"/>
      <c r="J1" s="17"/>
      <c r="K1" s="4" t="s">
        <v>182</v>
      </c>
      <c r="L1" s="4"/>
      <c r="M1" s="6">
        <f ca="1">+maquinaria!F222</f>
        <v>19494.379489729195</v>
      </c>
      <c r="Q1" s="17"/>
      <c r="R1" s="17"/>
      <c r="S1" s="17"/>
      <c r="T1" s="17"/>
    </row>
    <row r="2" spans="1:20">
      <c r="A2" s="17"/>
      <c r="B2" s="17"/>
      <c r="D2" s="17"/>
      <c r="E2" s="17"/>
      <c r="F2" s="17"/>
      <c r="G2" s="17"/>
      <c r="H2" s="17"/>
      <c r="I2" s="17"/>
      <c r="J2" s="17"/>
      <c r="K2" s="4" t="s">
        <v>182</v>
      </c>
      <c r="L2" s="4"/>
      <c r="M2" s="6">
        <v>19494.351822273049</v>
      </c>
      <c r="N2" s="17"/>
      <c r="O2" s="17"/>
      <c r="P2" s="17"/>
      <c r="Q2" s="17"/>
      <c r="R2" s="17"/>
      <c r="S2" s="17"/>
      <c r="T2" s="17"/>
    </row>
    <row r="3" spans="1:20">
      <c r="A3" s="17"/>
      <c r="B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5.75">
      <c r="A4" s="17"/>
      <c r="B4" s="227" t="s">
        <v>5</v>
      </c>
      <c r="C4" s="227"/>
      <c r="D4" s="227"/>
      <c r="E4" s="227"/>
      <c r="F4" s="227"/>
      <c r="G4" s="227"/>
      <c r="H4" s="227"/>
      <c r="I4" s="17"/>
      <c r="J4" s="17"/>
      <c r="K4" s="17"/>
      <c r="L4" s="17"/>
      <c r="M4" s="17"/>
      <c r="N4" s="116" t="s">
        <v>198</v>
      </c>
      <c r="O4" s="116" t="s">
        <v>199</v>
      </c>
      <c r="P4" s="17"/>
      <c r="Q4" s="17"/>
      <c r="R4" s="17"/>
      <c r="S4" s="17"/>
      <c r="T4" s="17"/>
    </row>
    <row r="5" spans="1:20">
      <c r="A5" s="17"/>
      <c r="B5" s="228" t="s">
        <v>218</v>
      </c>
      <c r="C5" s="228"/>
      <c r="D5" s="213">
        <v>1</v>
      </c>
      <c r="E5" s="213">
        <v>2</v>
      </c>
      <c r="F5" s="213">
        <v>3</v>
      </c>
      <c r="G5" s="213">
        <v>4</v>
      </c>
      <c r="H5" s="213">
        <v>5</v>
      </c>
      <c r="I5" s="17"/>
      <c r="J5" s="17"/>
      <c r="K5" s="17"/>
      <c r="L5" s="17"/>
      <c r="M5" s="115" t="s">
        <v>10</v>
      </c>
      <c r="N5" s="111">
        <v>0.6</v>
      </c>
      <c r="O5" s="112">
        <f>+N5*O7</f>
        <v>11696.611093363828</v>
      </c>
      <c r="P5" s="17"/>
      <c r="Q5" s="17"/>
      <c r="R5" s="17"/>
      <c r="S5" s="17"/>
      <c r="T5" s="17"/>
    </row>
    <row r="6" spans="1:20">
      <c r="A6" s="17"/>
      <c r="B6" s="195" t="s">
        <v>12</v>
      </c>
      <c r="C6" s="206">
        <v>3</v>
      </c>
      <c r="D6" s="205">
        <f>+$C$6</f>
        <v>3</v>
      </c>
      <c r="E6" s="208">
        <f>D6+$C$14</f>
        <v>3.25</v>
      </c>
      <c r="F6" s="208">
        <f>E6+$C$14</f>
        <v>3.5</v>
      </c>
      <c r="G6" s="208">
        <f>F6+$C$14</f>
        <v>3.75</v>
      </c>
      <c r="H6" s="208">
        <f>G6+$C$14</f>
        <v>4</v>
      </c>
      <c r="I6" s="17"/>
      <c r="J6" s="17"/>
      <c r="K6" s="140">
        <f>+AVERAGE(D6:H6)</f>
        <v>3.5</v>
      </c>
      <c r="L6" s="17"/>
      <c r="M6" s="115" t="s">
        <v>11</v>
      </c>
      <c r="N6" s="111">
        <v>0.4</v>
      </c>
      <c r="O6" s="112">
        <f>+O7-O5</f>
        <v>7797.7407289092207</v>
      </c>
      <c r="P6" s="17"/>
      <c r="Q6" s="119" t="s">
        <v>204</v>
      </c>
      <c r="R6" s="120">
        <v>0.1205</v>
      </c>
      <c r="S6" s="17"/>
      <c r="T6" s="17"/>
    </row>
    <row r="7" spans="1:20">
      <c r="A7" s="17"/>
      <c r="B7" s="195" t="s">
        <v>106</v>
      </c>
      <c r="C7" s="207">
        <v>1.8622000000000001</v>
      </c>
      <c r="D7" s="208">
        <f>+C7</f>
        <v>1.8622000000000001</v>
      </c>
      <c r="E7" s="208">
        <f t="shared" ref="E7:H8" si="0">+D7*(1+$C$11)</f>
        <v>2.02663226</v>
      </c>
      <c r="F7" s="208">
        <f t="shared" si="0"/>
        <v>2.2055838885579999</v>
      </c>
      <c r="G7" s="208">
        <f t="shared" si="0"/>
        <v>2.4003369459176715</v>
      </c>
      <c r="H7" s="208">
        <f t="shared" si="0"/>
        <v>2.6122866982422019</v>
      </c>
      <c r="I7" s="17"/>
      <c r="J7" s="17"/>
      <c r="K7" s="140">
        <f>+AVERAGE(D7:H7)</f>
        <v>2.2214079585435749</v>
      </c>
      <c r="L7" s="17"/>
      <c r="M7" s="115" t="s">
        <v>196</v>
      </c>
      <c r="N7" s="113">
        <v>1</v>
      </c>
      <c r="O7" s="114">
        <f>+M2</f>
        <v>19494.351822273049</v>
      </c>
      <c r="P7" s="17"/>
      <c r="Q7" s="119" t="s">
        <v>201</v>
      </c>
      <c r="R7" s="122">
        <f>PMT(R6,R8,-O6)</f>
        <v>2165.8492298637771</v>
      </c>
      <c r="S7" s="17"/>
      <c r="T7" s="17"/>
    </row>
    <row r="8" spans="1:20">
      <c r="A8" s="17"/>
      <c r="B8" s="195" t="s">
        <v>107</v>
      </c>
      <c r="C8" s="207">
        <v>1.6957</v>
      </c>
      <c r="D8" s="208">
        <f>+C8</f>
        <v>1.6957</v>
      </c>
      <c r="E8" s="208">
        <f t="shared" si="0"/>
        <v>1.84543031</v>
      </c>
      <c r="F8" s="208">
        <f t="shared" si="0"/>
        <v>2.0083818063729999</v>
      </c>
      <c r="G8" s="208">
        <f t="shared" si="0"/>
        <v>2.1857219198757361</v>
      </c>
      <c r="H8" s="208">
        <f t="shared" si="0"/>
        <v>2.3787211654007638</v>
      </c>
      <c r="I8" s="17"/>
      <c r="J8" s="17"/>
      <c r="K8" s="140">
        <f>+AVERAGE(D8:H8)</f>
        <v>2.0227910403299001</v>
      </c>
      <c r="L8" s="17"/>
      <c r="M8" s="17"/>
      <c r="N8" s="17"/>
      <c r="O8" s="17"/>
      <c r="P8" s="17"/>
      <c r="Q8" s="119" t="s">
        <v>205</v>
      </c>
      <c r="R8" s="119">
        <v>5</v>
      </c>
      <c r="S8" s="17"/>
      <c r="T8" s="17"/>
    </row>
    <row r="9" spans="1:20">
      <c r="A9" s="17"/>
      <c r="B9" s="195" t="s">
        <v>13</v>
      </c>
      <c r="C9" s="206">
        <v>116</v>
      </c>
      <c r="D9" s="205">
        <f>+$C$9*5*52-$C$9*15</f>
        <v>28420</v>
      </c>
      <c r="E9" s="205">
        <f>+($C$9+$C$13*D16)*5*52-($C$9+$C$13*D16)*15</f>
        <v>30870</v>
      </c>
      <c r="F9" s="205">
        <f>+($C$9+$C$13*E16)*5*52-($C$9+$C$13*E16)*15</f>
        <v>33320</v>
      </c>
      <c r="G9" s="205">
        <f>+($C$9+$C$13*F16)*5*52-($C$9+$C$13*F16)*15</f>
        <v>35770</v>
      </c>
      <c r="H9" s="205">
        <f>+($C$9+$C$13*G16)*5*52-($C$9+$C$13*G16)*15</f>
        <v>38220</v>
      </c>
      <c r="I9" s="17"/>
      <c r="J9" s="17"/>
      <c r="K9" s="140">
        <f>+AVERAGE(D9:H9)</f>
        <v>33320</v>
      </c>
      <c r="L9" s="17"/>
      <c r="M9" s="17"/>
      <c r="N9" s="17"/>
      <c r="O9" s="17"/>
      <c r="P9" s="17"/>
      <c r="Q9" s="17"/>
      <c r="R9" s="17"/>
      <c r="S9" s="17"/>
      <c r="T9" s="17"/>
    </row>
    <row r="10" spans="1:20" ht="15.75" thickBot="1">
      <c r="A10" s="17"/>
      <c r="B10" s="195" t="s">
        <v>0</v>
      </c>
      <c r="C10" s="209">
        <v>0.18</v>
      </c>
      <c r="D10" s="205"/>
      <c r="E10" s="205"/>
      <c r="F10" s="205"/>
      <c r="G10" s="205"/>
      <c r="H10" s="20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>
      <c r="A11" s="17"/>
      <c r="B11" s="195" t="s">
        <v>1</v>
      </c>
      <c r="C11" s="210">
        <v>8.8300000000000003E-2</v>
      </c>
      <c r="D11" s="205"/>
      <c r="E11" s="205"/>
      <c r="F11" s="205"/>
      <c r="G11" s="205"/>
      <c r="H11" s="205"/>
      <c r="I11" s="17"/>
      <c r="J11" s="17"/>
      <c r="K11" s="17"/>
      <c r="L11" s="17"/>
      <c r="M11" s="17"/>
      <c r="N11" s="126" t="s">
        <v>200</v>
      </c>
      <c r="O11" s="127" t="s">
        <v>201</v>
      </c>
      <c r="P11" s="127" t="s">
        <v>202</v>
      </c>
      <c r="Q11" s="127" t="s">
        <v>203</v>
      </c>
      <c r="R11" s="128" t="s">
        <v>2</v>
      </c>
      <c r="S11" s="17"/>
      <c r="T11" s="17"/>
    </row>
    <row r="12" spans="1:20">
      <c r="A12" s="17"/>
      <c r="B12" s="195" t="s">
        <v>14</v>
      </c>
      <c r="C12" s="209">
        <v>0.25</v>
      </c>
      <c r="D12" s="205"/>
      <c r="E12" s="205"/>
      <c r="F12" s="205"/>
      <c r="G12" s="205"/>
      <c r="H12" s="205"/>
      <c r="I12" s="17"/>
      <c r="J12" s="17"/>
      <c r="K12" s="17"/>
      <c r="L12" s="17"/>
      <c r="M12" s="17"/>
      <c r="N12" s="129">
        <v>0</v>
      </c>
      <c r="O12" s="123" t="s">
        <v>197</v>
      </c>
      <c r="P12" s="132" t="s">
        <v>197</v>
      </c>
      <c r="Q12" s="123" t="s">
        <v>197</v>
      </c>
      <c r="R12" s="135">
        <f>+O6</f>
        <v>7797.7407289092207</v>
      </c>
      <c r="S12" s="17"/>
      <c r="T12" s="17"/>
    </row>
    <row r="13" spans="1:20">
      <c r="A13" s="17"/>
      <c r="B13" s="195" t="s">
        <v>184</v>
      </c>
      <c r="C13" s="211">
        <v>10</v>
      </c>
      <c r="D13" s="205"/>
      <c r="E13" s="205"/>
      <c r="F13" s="205"/>
      <c r="G13" s="205"/>
      <c r="H13" s="205"/>
      <c r="I13" s="17"/>
      <c r="J13" s="17"/>
      <c r="K13" s="17"/>
      <c r="L13" s="17"/>
      <c r="M13" s="17"/>
      <c r="N13" s="130">
        <v>1</v>
      </c>
      <c r="O13" s="124">
        <f>+$R$7</f>
        <v>2165.8492298637771</v>
      </c>
      <c r="P13" s="133">
        <f>+$R$6*R12</f>
        <v>939.62775783356108</v>
      </c>
      <c r="Q13" s="124">
        <f>+O13-P13</f>
        <v>1226.2214720302159</v>
      </c>
      <c r="R13" s="136">
        <f>+R12-Q13</f>
        <v>6571.5192568790044</v>
      </c>
      <c r="S13" s="17"/>
      <c r="T13" s="17"/>
    </row>
    <row r="14" spans="1:20">
      <c r="A14" s="17"/>
      <c r="B14" s="195" t="s">
        <v>191</v>
      </c>
      <c r="C14" s="212">
        <v>0.25</v>
      </c>
      <c r="D14" s="205"/>
      <c r="E14" s="205"/>
      <c r="F14" s="205"/>
      <c r="G14" s="205"/>
      <c r="H14" s="205"/>
      <c r="I14" s="17"/>
      <c r="J14" s="17"/>
      <c r="L14" s="17"/>
      <c r="M14" s="17"/>
      <c r="N14" s="130">
        <v>2</v>
      </c>
      <c r="O14" s="124">
        <f>+$R$7</f>
        <v>2165.8492298637771</v>
      </c>
      <c r="P14" s="133">
        <f>+$R$6*R13</f>
        <v>791.86807045392004</v>
      </c>
      <c r="Q14" s="124">
        <f>+O14-P14</f>
        <v>1373.9811594098569</v>
      </c>
      <c r="R14" s="136">
        <f>+R13-Q14</f>
        <v>5197.538097469147</v>
      </c>
      <c r="S14" s="17"/>
      <c r="T14" s="17"/>
    </row>
    <row r="15" spans="1:20">
      <c r="A15" s="17"/>
      <c r="B15" s="101" t="s">
        <v>224</v>
      </c>
      <c r="C15" s="109"/>
      <c r="D15" s="218">
        <f ca="1">+((-D21-D22-D23)/((D6-((D7*maquinaria!$H$207)+(tesis!D8*maquinaria!$H$206)))))</f>
        <v>23886.39253256709</v>
      </c>
      <c r="E15" s="218">
        <f ca="1">+((-E21-E22-E23+maquinaria!$C$268*tesis!E21)/((E6-((E7*maquinaria!$H$207)+(tesis!E8*maquinaria!$H$206))-tesis!E6*maquinaria!$C$268+maquinaria!$C$268*((E7*maquinaria!$H$207)+(tesis!E8*maquinaria!$H$206)))))</f>
        <v>24068.820479140271</v>
      </c>
      <c r="F15" s="218">
        <f ca="1">+((-F21-F22-F23+maquinaria!$C$268*tesis!F21)/((F6-((F7*maquinaria!$H$207)+(tesis!F8*maquinaria!$H$206))-tesis!F6*maquinaria!$C$268+maquinaria!$C$268*((F7*maquinaria!$H$207)+(tesis!F8*maquinaria!$H$206)))))</f>
        <v>24632.766587848015</v>
      </c>
      <c r="G15" s="218">
        <f ca="1">+((-G21-G22-G23+maquinaria!$C$268*tesis!G21)/((G6-((G7*maquinaria!$H$207)+(tesis!G8*maquinaria!$H$206))-tesis!G6*maquinaria!$C$268+maquinaria!$C$268*((G7*maquinaria!$H$207)+(tesis!G8*maquinaria!$H$206)))))</f>
        <v>25570.679216506607</v>
      </c>
      <c r="H15" s="218">
        <f ca="1">+((-H21-H22-H23+maquinaria!$C$268*tesis!H21)/((H6-((H7*maquinaria!$H$207)+(tesis!H8*maquinaria!$H$206))-tesis!H6*maquinaria!$C$268+maquinaria!$C$268*((H7*maquinaria!$H$207)+(tesis!H8*maquinaria!$H$206)))))</f>
        <v>26878.918153462637</v>
      </c>
      <c r="I15" s="109"/>
      <c r="J15" s="109"/>
      <c r="K15" s="109"/>
      <c r="L15" s="109"/>
      <c r="M15" s="17"/>
      <c r="N15" s="130">
        <v>3</v>
      </c>
      <c r="O15" s="124">
        <f>+$R$7</f>
        <v>2165.8492298637771</v>
      </c>
      <c r="P15" s="133">
        <f>+$R$6*R14</f>
        <v>626.30334074503219</v>
      </c>
      <c r="Q15" s="124">
        <f>+O15-P15</f>
        <v>1539.545889118745</v>
      </c>
      <c r="R15" s="136">
        <f>+R14-Q15</f>
        <v>3657.9922083504021</v>
      </c>
      <c r="S15" s="17"/>
      <c r="T15" s="17"/>
    </row>
    <row r="16" spans="1:20">
      <c r="A16" s="17"/>
      <c r="B16" s="102" t="s">
        <v>6</v>
      </c>
      <c r="C16" s="103">
        <v>0</v>
      </c>
      <c r="D16" s="103">
        <v>1</v>
      </c>
      <c r="E16" s="103">
        <v>2</v>
      </c>
      <c r="F16" s="103">
        <v>3</v>
      </c>
      <c r="G16" s="103">
        <v>4</v>
      </c>
      <c r="H16" s="103">
        <v>5</v>
      </c>
      <c r="I16" s="109"/>
      <c r="J16" s="109"/>
      <c r="K16" s="109"/>
      <c r="L16" s="109"/>
      <c r="M16" s="17"/>
      <c r="N16" s="130">
        <v>4</v>
      </c>
      <c r="O16" s="124">
        <f>+$R$7</f>
        <v>2165.8492298637771</v>
      </c>
      <c r="P16" s="133">
        <f>+$R$6*R15</f>
        <v>440.78806110622344</v>
      </c>
      <c r="Q16" s="124">
        <f>+O16-P16</f>
        <v>1725.0611687575536</v>
      </c>
      <c r="R16" s="136">
        <f>+R15-Q16</f>
        <v>1932.9310395928485</v>
      </c>
      <c r="S16" s="17"/>
      <c r="T16" s="17"/>
    </row>
    <row r="17" spans="1:20" ht="15.75" customHeight="1" thickBot="1">
      <c r="A17" s="17"/>
      <c r="B17" s="109" t="s">
        <v>7</v>
      </c>
      <c r="C17" s="139" t="s">
        <v>197</v>
      </c>
      <c r="D17" s="140">
        <f>+D6*D9</f>
        <v>85260</v>
      </c>
      <c r="E17" s="140">
        <f>+E6*E9</f>
        <v>100327.5</v>
      </c>
      <c r="F17" s="140">
        <f>+F6*F9</f>
        <v>116620</v>
      </c>
      <c r="G17" s="140">
        <f>+G6*G9</f>
        <v>134137.5</v>
      </c>
      <c r="H17" s="140">
        <f>+H6*H9</f>
        <v>152880</v>
      </c>
      <c r="I17" s="109"/>
      <c r="J17" s="109"/>
      <c r="K17" s="109"/>
      <c r="L17" s="109"/>
      <c r="M17" s="17"/>
      <c r="N17" s="131">
        <v>5</v>
      </c>
      <c r="O17" s="125">
        <f>+$R$7</f>
        <v>2165.8492298637771</v>
      </c>
      <c r="P17" s="134">
        <f>+$R$6*R16</f>
        <v>232.91819027093823</v>
      </c>
      <c r="Q17" s="125">
        <f>+O17-P17</f>
        <v>1932.9310395928387</v>
      </c>
      <c r="R17" s="137">
        <f>+R16-Q17</f>
        <v>9.7770680440589786E-12</v>
      </c>
      <c r="S17" s="17"/>
      <c r="T17" s="17"/>
    </row>
    <row r="18" spans="1:20">
      <c r="A18" s="17"/>
      <c r="B18" s="109"/>
      <c r="C18" s="9"/>
      <c r="D18" s="109"/>
      <c r="E18" s="109"/>
      <c r="F18" s="109"/>
      <c r="G18" s="109"/>
      <c r="H18" s="109"/>
      <c r="I18" s="109"/>
      <c r="J18" s="109"/>
      <c r="K18" s="109"/>
      <c r="L18" s="109"/>
      <c r="M18" s="17"/>
      <c r="N18" s="117"/>
      <c r="O18" s="118"/>
      <c r="P18" s="118"/>
      <c r="Q18" s="118"/>
      <c r="R18" s="118"/>
      <c r="S18" s="17"/>
      <c r="T18" s="17"/>
    </row>
    <row r="19" spans="1:20">
      <c r="A19" s="17"/>
      <c r="B19" s="109" t="s">
        <v>8</v>
      </c>
      <c r="C19" s="9"/>
      <c r="D19" s="140">
        <f ca="1">-((D7*D9*maquinaria!$H$207)+(tesis!D8*tesis!D9*maquinaria!$H$206))</f>
        <v>-51414.238330000007</v>
      </c>
      <c r="E19" s="140">
        <f ca="1">-((E7*E9*maquinaria!$H$207)+(tesis!E8*tesis!E9*maquinaria!$H$206))</f>
        <v>-60777.746227516502</v>
      </c>
      <c r="F19" s="140">
        <f ca="1">-((F7*F9*maquinaria!$H$207)+(tesis!F8*tesis!F9*maquinaria!$H$206))</f>
        <v>-71393.978459041624</v>
      </c>
      <c r="G19" s="140">
        <f ca="1">-((G7*G9*maquinaria!$H$207)+(tesis!G8*tesis!G9*maquinaria!$H$206))</f>
        <v>-83411.159900870218</v>
      </c>
      <c r="H19" s="140">
        <f ca="1">-((H7*H9*maquinaria!$H$207)+(tesis!H8*tesis!H9*maquinaria!$H$206))</f>
        <v>-96993.924588618233</v>
      </c>
      <c r="I19" s="109"/>
      <c r="J19" s="109"/>
      <c r="K19" s="109"/>
      <c r="L19" s="109"/>
      <c r="M19" s="17"/>
      <c r="N19" s="117"/>
      <c r="O19" s="118"/>
      <c r="P19" s="118"/>
      <c r="Q19" s="109"/>
      <c r="R19" s="118"/>
      <c r="S19" s="17"/>
      <c r="T19" s="17"/>
    </row>
    <row r="20" spans="1:20">
      <c r="A20" s="17"/>
      <c r="B20" s="109"/>
      <c r="C20" s="9"/>
      <c r="D20" s="140"/>
      <c r="E20" s="140"/>
      <c r="F20" s="140"/>
      <c r="G20" s="140"/>
      <c r="H20" s="140"/>
      <c r="I20" s="109"/>
      <c r="J20" s="109"/>
      <c r="K20" s="109"/>
      <c r="L20" s="109"/>
      <c r="M20" s="17"/>
      <c r="N20" s="117"/>
      <c r="O20" s="118"/>
      <c r="P20" s="118"/>
      <c r="Q20" s="118"/>
      <c r="R20" s="118"/>
      <c r="S20" s="17"/>
      <c r="T20" s="17"/>
    </row>
    <row r="21" spans="1:20">
      <c r="A21" s="17"/>
      <c r="B21" s="109" t="s">
        <v>211</v>
      </c>
      <c r="C21" s="9"/>
      <c r="D21" s="140">
        <f ca="1">-maquinaria!C231</f>
        <v>-27038.92</v>
      </c>
      <c r="E21" s="140">
        <f ca="1">+D21*(1+$C$11)</f>
        <v>-29426.456635999999</v>
      </c>
      <c r="F21" s="140">
        <f ca="1">+E21*(1+$C$11)</f>
        <v>-32024.8127569588</v>
      </c>
      <c r="G21" s="140">
        <f ca="1">+F21*(1+$C$11)</f>
        <v>-34852.603723398264</v>
      </c>
      <c r="H21" s="140">
        <f ca="1">+G21*(1+C11)+(maquinaria!C228+maquinaria!C229)</f>
        <v>-37893.088632174331</v>
      </c>
      <c r="I21" s="109"/>
      <c r="J21" s="109"/>
      <c r="K21" s="109"/>
      <c r="L21" s="109"/>
      <c r="M21" s="17"/>
      <c r="N21" s="117"/>
      <c r="O21" s="118"/>
      <c r="P21" s="118"/>
      <c r="Q21" s="118"/>
      <c r="R21" s="118"/>
      <c r="S21" s="17"/>
      <c r="T21" s="17"/>
    </row>
    <row r="22" spans="1:20">
      <c r="A22" s="17"/>
      <c r="B22" s="109" t="s">
        <v>176</v>
      </c>
      <c r="C22" s="9"/>
      <c r="D22" s="109">
        <f ca="1">-maquinaria!$G$130</f>
        <v>-665.47400000000005</v>
      </c>
      <c r="E22" s="109">
        <f ca="1">-maquinaria!$G$130</f>
        <v>-665.47400000000005</v>
      </c>
      <c r="F22" s="109">
        <f ca="1">-maquinaria!$G$130</f>
        <v>-665.47400000000005</v>
      </c>
      <c r="G22" s="109">
        <f ca="1">-maquinaria!$G$130</f>
        <v>-665.47400000000005</v>
      </c>
      <c r="H22" s="109">
        <f ca="1">-maquinaria!$G$130</f>
        <v>-665.47400000000005</v>
      </c>
      <c r="I22" s="109"/>
      <c r="J22" s="109"/>
      <c r="K22" s="109"/>
      <c r="L22" s="109"/>
      <c r="N22" s="117"/>
      <c r="O22" s="118"/>
      <c r="P22" s="118"/>
      <c r="Q22" s="118"/>
      <c r="R22" s="118"/>
      <c r="S22" s="17"/>
      <c r="T22" s="17"/>
    </row>
    <row r="23" spans="1:20">
      <c r="A23" s="17"/>
      <c r="B23" s="109" t="s">
        <v>177</v>
      </c>
      <c r="C23" s="9"/>
      <c r="D23" s="109">
        <f ca="1">-maquinaria!$G$175</f>
        <v>-742.23333333333346</v>
      </c>
      <c r="E23" s="109">
        <f ca="1">-maquinaria!$G$175</f>
        <v>-742.23333333333346</v>
      </c>
      <c r="F23" s="109">
        <f ca="1">-maquinaria!$G$175</f>
        <v>-742.23333333333346</v>
      </c>
      <c r="G23" s="109">
        <f ca="1">-maquinaria!$G$175</f>
        <v>-742.23333333333346</v>
      </c>
      <c r="H23" s="109">
        <f ca="1">-maquinaria!$G$175</f>
        <v>-742.23333333333346</v>
      </c>
      <c r="I23" s="109"/>
      <c r="J23" s="109"/>
      <c r="K23" s="109"/>
      <c r="L23" s="109"/>
      <c r="N23" s="16"/>
      <c r="O23" s="16"/>
      <c r="P23" s="16"/>
      <c r="Q23" s="16"/>
      <c r="R23" s="16"/>
      <c r="S23" s="17"/>
      <c r="T23" s="17"/>
    </row>
    <row r="24" spans="1:20">
      <c r="A24" s="17"/>
      <c r="B24" s="109" t="str">
        <f ca="1">+maquinaria!B265</f>
        <v>IMPUESTO 1,5 POR MIL</v>
      </c>
      <c r="C24" s="10"/>
      <c r="D24" s="141"/>
      <c r="E24" s="142">
        <f ca="1">-maquinaria!D265</f>
        <v>-10.210262504999992</v>
      </c>
      <c r="F24" s="142">
        <f ca="1">-maquinaria!E265</f>
        <v>-15.18494570472525</v>
      </c>
      <c r="G24" s="142">
        <f ca="1">-maquinaria!F265</f>
        <v>-19.801813175999364</v>
      </c>
      <c r="H24" s="142">
        <f ca="1">-maquinaria!G265</f>
        <v>-23.810604563597277</v>
      </c>
      <c r="I24" s="118"/>
      <c r="J24" s="109"/>
      <c r="K24" s="109"/>
      <c r="L24" s="109"/>
      <c r="N24" s="60"/>
      <c r="O24" s="11"/>
      <c r="P24" s="11"/>
      <c r="Q24" s="11"/>
      <c r="R24" s="11"/>
      <c r="S24" s="17"/>
      <c r="T24" s="17"/>
    </row>
    <row r="25" spans="1:20">
      <c r="A25" s="17"/>
      <c r="B25" s="145" t="s">
        <v>153</v>
      </c>
      <c r="D25" s="109">
        <f>D17+D18+(SUM(D19:D24))</f>
        <v>5399.1343366666551</v>
      </c>
      <c r="E25" s="109">
        <f>E17+E18+(SUM(E19:E24))</f>
        <v>8705.3795406451536</v>
      </c>
      <c r="F25" s="109">
        <f>F17+F18+(SUM(F19:F24))</f>
        <v>11778.31650496152</v>
      </c>
      <c r="G25" s="109">
        <f>G17+G18+(SUM(G19:G24))</f>
        <v>14446.227229222175</v>
      </c>
      <c r="H25" s="109">
        <f>H17+H18+(SUM(H19:H24))</f>
        <v>16561.468841310503</v>
      </c>
      <c r="I25" s="118"/>
      <c r="J25" s="109"/>
      <c r="K25" s="109"/>
      <c r="L25" s="109"/>
      <c r="M25" s="6"/>
      <c r="N25" s="60"/>
      <c r="O25" s="11"/>
      <c r="P25" s="11"/>
      <c r="Q25" s="11"/>
      <c r="R25" s="11"/>
    </row>
    <row r="26" spans="1:20">
      <c r="A26" s="17"/>
      <c r="B26" s="109" t="s">
        <v>9</v>
      </c>
      <c r="C26" s="12"/>
      <c r="D26" s="142">
        <f>-P13</f>
        <v>-939.62775783356108</v>
      </c>
      <c r="E26" s="142">
        <f>-P14</f>
        <v>-791.86807045392004</v>
      </c>
      <c r="F26" s="142">
        <f>-P15</f>
        <v>-626.30334074503219</v>
      </c>
      <c r="G26" s="142">
        <f>-P16</f>
        <v>-440.78806110622344</v>
      </c>
      <c r="H26" s="142">
        <f>-P17</f>
        <v>-232.91819027093823</v>
      </c>
      <c r="I26" s="118"/>
      <c r="J26" s="109"/>
      <c r="K26" s="109"/>
      <c r="L26" s="109"/>
      <c r="M26" s="6"/>
    </row>
    <row r="27" spans="1:20">
      <c r="A27" s="17"/>
      <c r="B27" s="145" t="s">
        <v>213</v>
      </c>
      <c r="C27" s="63"/>
      <c r="D27" s="143">
        <f>SUM(D25:D26)</f>
        <v>4459.506578833094</v>
      </c>
      <c r="E27" s="143">
        <f>SUM(E25:E26)</f>
        <v>7913.5114701912335</v>
      </c>
      <c r="F27" s="143">
        <f>SUM(F25:F26)</f>
        <v>11152.013164216487</v>
      </c>
      <c r="G27" s="143">
        <f>SUM(G25:G26)</f>
        <v>14005.439168115952</v>
      </c>
      <c r="H27" s="143">
        <f>SUM(H25:H26)</f>
        <v>16328.550651039564</v>
      </c>
      <c r="I27" s="118"/>
      <c r="J27" s="109"/>
      <c r="K27" s="109"/>
      <c r="L27" s="109"/>
      <c r="M27" s="6"/>
    </row>
    <row r="28" spans="1:20">
      <c r="A28" s="17"/>
      <c r="B28" s="173" t="s">
        <v>154</v>
      </c>
      <c r="C28" s="12"/>
      <c r="D28" s="142">
        <f>-15%*D27</f>
        <v>-668.92598682496407</v>
      </c>
      <c r="E28" s="142">
        <f>-15%*E27</f>
        <v>-1187.026720528685</v>
      </c>
      <c r="F28" s="142">
        <f>-15%*F27</f>
        <v>-1672.801974632473</v>
      </c>
      <c r="G28" s="142">
        <f>-15%*G27</f>
        <v>-2100.8158752173927</v>
      </c>
      <c r="H28" s="142">
        <f>-15%*H27</f>
        <v>-2449.2825976559348</v>
      </c>
      <c r="I28" s="118"/>
      <c r="J28" s="109"/>
      <c r="K28" s="109"/>
      <c r="L28" s="109"/>
      <c r="M28" s="6"/>
    </row>
    <row r="29" spans="1:20">
      <c r="A29" s="17"/>
      <c r="B29" s="145" t="s">
        <v>155</v>
      </c>
      <c r="D29" s="109">
        <f>SUM(D27:D28)</f>
        <v>3790.5805920081298</v>
      </c>
      <c r="E29" s="109">
        <f>SUM(E27:E28)</f>
        <v>6726.484749662548</v>
      </c>
      <c r="F29" s="109">
        <f>SUM(F27:F28)</f>
        <v>9479.2111895840135</v>
      </c>
      <c r="G29" s="109">
        <f>SUM(G27:G28)</f>
        <v>11904.623292898559</v>
      </c>
      <c r="H29" s="109">
        <f>SUM(H27:H28)</f>
        <v>13879.26805338363</v>
      </c>
      <c r="I29" s="118"/>
      <c r="J29" s="109"/>
      <c r="K29" s="109"/>
      <c r="L29" s="109"/>
      <c r="M29" s="6"/>
    </row>
    <row r="30" spans="1:20">
      <c r="A30" s="17"/>
      <c r="B30" s="109" t="s">
        <v>15</v>
      </c>
      <c r="C30" s="12"/>
      <c r="D30" s="142">
        <f>-$C$12*D29</f>
        <v>-947.64514800203244</v>
      </c>
      <c r="E30" s="142">
        <f>-$C$12*E29</f>
        <v>-1681.621187415637</v>
      </c>
      <c r="F30" s="142">
        <f>-$C$12*F29</f>
        <v>-2369.8027973960034</v>
      </c>
      <c r="G30" s="142">
        <f>-$C$12*G29</f>
        <v>-2976.1558232246398</v>
      </c>
      <c r="H30" s="142">
        <f>-$C$12*H29</f>
        <v>-3469.8170133459075</v>
      </c>
      <c r="I30" s="118"/>
      <c r="J30" s="109"/>
      <c r="K30" s="109"/>
      <c r="L30" s="109"/>
      <c r="M30" s="6"/>
    </row>
    <row r="31" spans="1:20">
      <c r="A31" s="17"/>
      <c r="B31" s="145" t="s">
        <v>16</v>
      </c>
      <c r="D31" s="109">
        <f>SUM(D29:D30)</f>
        <v>2842.9354440060974</v>
      </c>
      <c r="E31" s="109">
        <f>SUM(E29:E30)</f>
        <v>5044.863562246911</v>
      </c>
      <c r="F31" s="109">
        <f>SUM(F29:F30)</f>
        <v>7109.4083921880101</v>
      </c>
      <c r="G31" s="109">
        <f>SUM(G29:G30)</f>
        <v>8928.4674696739203</v>
      </c>
      <c r="H31" s="109">
        <f>SUM(H29:H30)</f>
        <v>10409.451040037722</v>
      </c>
      <c r="I31" s="118"/>
      <c r="J31" s="109"/>
      <c r="K31" s="109"/>
      <c r="L31" s="109"/>
      <c r="M31" s="6"/>
    </row>
    <row r="32" spans="1:20">
      <c r="A32" s="17"/>
      <c r="B32" s="173" t="s">
        <v>156</v>
      </c>
      <c r="C32" s="12"/>
      <c r="D32" s="142">
        <f>-10%*D31</f>
        <v>-284.29354440060973</v>
      </c>
      <c r="E32" s="142">
        <f>-10%*E31</f>
        <v>-504.48635622469112</v>
      </c>
      <c r="F32" s="142">
        <f>-10%*F31</f>
        <v>-710.9408392188011</v>
      </c>
      <c r="G32" s="142">
        <f>-10%*G31</f>
        <v>-892.84674696739205</v>
      </c>
      <c r="H32" s="142">
        <f>-10%*H31</f>
        <v>-1040.9451040037723</v>
      </c>
      <c r="I32" s="118"/>
      <c r="J32" s="109"/>
      <c r="K32" s="109"/>
      <c r="L32" s="109"/>
      <c r="M32" s="6"/>
    </row>
    <row r="33" spans="1:17">
      <c r="A33" s="17"/>
      <c r="B33" s="146" t="s">
        <v>157</v>
      </c>
      <c r="C33" s="64"/>
      <c r="D33" s="144">
        <f>SUM(D31:D32)</f>
        <v>2558.6418996054877</v>
      </c>
      <c r="E33" s="144">
        <f>SUM(E31:E32)</f>
        <v>4540.37720602222</v>
      </c>
      <c r="F33" s="144">
        <f>SUM(F31:F32)</f>
        <v>6398.4675529692086</v>
      </c>
      <c r="G33" s="144">
        <f>SUM(G31:G32)</f>
        <v>8035.6207227065279</v>
      </c>
      <c r="H33" s="144">
        <f>SUM(H31:H32)</f>
        <v>9368.5059360339492</v>
      </c>
      <c r="I33" s="109"/>
      <c r="J33" s="109"/>
      <c r="K33" s="109"/>
      <c r="L33" s="109"/>
      <c r="M33" s="6"/>
    </row>
    <row r="34" spans="1:17">
      <c r="A34" s="17"/>
      <c r="B34" s="109" t="str">
        <f>+B22</f>
        <v xml:space="preserve">DEPRECIACION DE EQUIPO DE COCINA </v>
      </c>
      <c r="D34" s="109">
        <f t="shared" ref="D34:H35" si="1">-D22</f>
        <v>665.47400000000005</v>
      </c>
      <c r="E34" s="109">
        <f t="shared" si="1"/>
        <v>665.47400000000005</v>
      </c>
      <c r="F34" s="109">
        <f t="shared" si="1"/>
        <v>665.47400000000005</v>
      </c>
      <c r="G34" s="109">
        <f t="shared" si="1"/>
        <v>665.47400000000005</v>
      </c>
      <c r="H34" s="109">
        <f t="shared" si="1"/>
        <v>665.47400000000005</v>
      </c>
      <c r="I34" s="109"/>
      <c r="J34" s="109"/>
      <c r="K34" s="109"/>
      <c r="L34" s="109"/>
      <c r="M34" s="6"/>
    </row>
    <row r="35" spans="1:17">
      <c r="A35" s="17"/>
      <c r="B35" s="109" t="str">
        <f>+B23</f>
        <v>DEPRECIACION DE IMPLEMENTO DE COCINA</v>
      </c>
      <c r="D35" s="109">
        <f t="shared" si="1"/>
        <v>742.23333333333346</v>
      </c>
      <c r="E35" s="109">
        <f t="shared" si="1"/>
        <v>742.23333333333346</v>
      </c>
      <c r="F35" s="109">
        <f t="shared" si="1"/>
        <v>742.23333333333346</v>
      </c>
      <c r="G35" s="109">
        <f t="shared" si="1"/>
        <v>742.23333333333346</v>
      </c>
      <c r="H35" s="109">
        <f t="shared" si="1"/>
        <v>742.23333333333346</v>
      </c>
      <c r="I35" s="109"/>
      <c r="J35" s="109"/>
      <c r="K35" s="109"/>
      <c r="L35" s="109"/>
      <c r="M35" s="6"/>
    </row>
    <row r="36" spans="1:17">
      <c r="A36" s="17"/>
      <c r="B36" s="109" t="s">
        <v>185</v>
      </c>
      <c r="C36" s="9">
        <f>-O7</f>
        <v>-19494.351822273049</v>
      </c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7">
      <c r="A37" s="17"/>
      <c r="B37" s="17"/>
      <c r="C37" s="9"/>
      <c r="D37" s="109"/>
      <c r="E37" s="109"/>
      <c r="F37" s="17"/>
      <c r="G37" s="109"/>
      <c r="H37" s="109"/>
      <c r="I37" s="109"/>
      <c r="J37" s="109"/>
      <c r="K37" s="109"/>
      <c r="L37" s="109"/>
    </row>
    <row r="38" spans="1:17">
      <c r="A38" s="17"/>
      <c r="B38" s="17" t="s">
        <v>183</v>
      </c>
      <c r="C38" s="9"/>
      <c r="D38" s="109"/>
      <c r="E38" s="109"/>
      <c r="F38" s="109"/>
      <c r="G38" s="109"/>
      <c r="H38" s="109">
        <f ca="1">+maquinaria!C242</f>
        <v>9792.939489729195</v>
      </c>
      <c r="I38" s="109"/>
      <c r="J38" s="17"/>
      <c r="K38" s="17"/>
      <c r="L38" s="17"/>
    </row>
    <row r="39" spans="1:17">
      <c r="A39" s="17"/>
      <c r="B39" s="109" t="s">
        <v>17</v>
      </c>
      <c r="D39" s="109"/>
      <c r="E39" s="109"/>
      <c r="F39" s="109">
        <f ca="1">-maquinaria!Q177*(1+C11)</f>
        <v>-2423.3176100000001</v>
      </c>
      <c r="G39" s="109"/>
      <c r="H39" s="109"/>
      <c r="I39" s="109"/>
      <c r="J39" s="17"/>
      <c r="K39" s="109"/>
      <c r="L39" s="17"/>
    </row>
    <row r="40" spans="1:17">
      <c r="A40" s="17"/>
      <c r="B40" s="109" t="s">
        <v>18</v>
      </c>
      <c r="C40" s="9">
        <f>+O6</f>
        <v>7797.7407289092207</v>
      </c>
      <c r="D40" s="17"/>
      <c r="E40" s="17"/>
      <c r="F40" s="17"/>
      <c r="G40" s="17"/>
      <c r="H40" s="17"/>
      <c r="I40" s="17"/>
      <c r="J40" s="17"/>
      <c r="K40" s="17"/>
      <c r="L40" s="17"/>
    </row>
    <row r="41" spans="1:17">
      <c r="A41" s="17"/>
      <c r="B41" s="109" t="s">
        <v>19</v>
      </c>
      <c r="D41" s="118">
        <f>-Q13</f>
        <v>-1226.2214720302159</v>
      </c>
      <c r="E41" s="109">
        <f>-Q14</f>
        <v>-1373.9811594098569</v>
      </c>
      <c r="F41" s="109">
        <f ca="1">-Q15</f>
        <v>-1539.545889118745</v>
      </c>
      <c r="G41" s="109">
        <f ca="1">-Q16</f>
        <v>-1725.0611687575536</v>
      </c>
      <c r="H41" s="109">
        <f ca="1">-Q17</f>
        <v>-1932.9310395928387</v>
      </c>
      <c r="I41" s="109"/>
      <c r="J41" s="109"/>
      <c r="K41" s="109"/>
      <c r="L41" s="109"/>
      <c r="M41" s="6"/>
    </row>
    <row r="42" spans="1:17">
      <c r="A42" s="17"/>
      <c r="B42" s="109" t="s">
        <v>20</v>
      </c>
      <c r="C42" s="15"/>
      <c r="D42" s="71"/>
      <c r="E42" s="71"/>
      <c r="F42" s="71"/>
      <c r="G42" s="71"/>
      <c r="H42" s="118">
        <f ca="1">+maquinaria!I130</f>
        <v>3327.37</v>
      </c>
      <c r="I42" s="17"/>
      <c r="J42" s="17"/>
      <c r="K42" s="17"/>
      <c r="L42" s="17"/>
    </row>
    <row r="43" spans="1:17">
      <c r="A43" s="17"/>
      <c r="B43" s="17"/>
      <c r="C43" s="141"/>
      <c r="D43" s="141"/>
      <c r="E43" s="141"/>
      <c r="F43" s="141"/>
      <c r="G43" s="141"/>
      <c r="H43" s="141"/>
      <c r="I43" s="71"/>
      <c r="J43" s="17"/>
      <c r="K43" s="17"/>
      <c r="L43" s="17"/>
    </row>
    <row r="44" spans="1:17">
      <c r="A44" s="17"/>
      <c r="B44" s="66" t="s">
        <v>21</v>
      </c>
      <c r="C44" s="183">
        <f t="shared" ref="C44:H44" si="2">SUM(C33:C43)</f>
        <v>-11696.611093363828</v>
      </c>
      <c r="D44" s="67">
        <f t="shared" si="2"/>
        <v>2740.1277609086055</v>
      </c>
      <c r="E44" s="67">
        <f t="shared" si="2"/>
        <v>4574.1033799456964</v>
      </c>
      <c r="F44" s="67">
        <f t="shared" si="2"/>
        <v>3843.3113871837973</v>
      </c>
      <c r="G44" s="67">
        <f t="shared" si="2"/>
        <v>7718.2668872823078</v>
      </c>
      <c r="H44" s="67">
        <f t="shared" si="2"/>
        <v>21963.591719503635</v>
      </c>
      <c r="I44" s="176"/>
      <c r="J44" s="17"/>
      <c r="K44" s="17"/>
      <c r="L44" s="17"/>
      <c r="Q44" s="177"/>
    </row>
    <row r="45" spans="1:17" hidden="1">
      <c r="A45" s="17"/>
      <c r="B45" s="178" t="s">
        <v>214</v>
      </c>
      <c r="C45" s="179"/>
      <c r="D45" s="181">
        <f>+D44+C44</f>
        <v>-8956.4833324552237</v>
      </c>
      <c r="E45" s="181">
        <f>+D45+E44</f>
        <v>-4382.3799525095274</v>
      </c>
      <c r="F45" s="181">
        <f>+E45+F44</f>
        <v>-539.06856532573011</v>
      </c>
      <c r="G45" s="182">
        <f>+F45+G44</f>
        <v>7179.1983219565773</v>
      </c>
      <c r="H45" s="180">
        <f>+G45+H44</f>
        <v>29142.790041460212</v>
      </c>
      <c r="I45" s="138"/>
      <c r="J45" s="109">
        <f>3-(F45/G44)</f>
        <v>3.0698432139233192</v>
      </c>
      <c r="K45" s="17"/>
      <c r="L45" s="17"/>
    </row>
    <row r="46" spans="1:17" ht="18.75">
      <c r="A46" s="17"/>
      <c r="B46" s="219" t="s">
        <v>215</v>
      </c>
      <c r="C46" s="220"/>
      <c r="D46" s="221">
        <f>+D44/(1+$C$10)^D16</f>
        <v>2322.1421702615303</v>
      </c>
      <c r="E46" s="221">
        <f>+E44/(1+$C$10)^E16</f>
        <v>3285.049827596737</v>
      </c>
      <c r="F46" s="221">
        <f>+F44/(1+$C$10)^F16</f>
        <v>2339.1579635599292</v>
      </c>
      <c r="G46" s="221">
        <f>+G44/(1+$C$10)^G16</f>
        <v>3980.9961959138159</v>
      </c>
      <c r="H46" s="222">
        <f>+H44/(1+$C$10)^H16</f>
        <v>9600.488362118027</v>
      </c>
      <c r="I46" s="138"/>
      <c r="J46" s="17"/>
      <c r="K46" s="17"/>
      <c r="L46" s="17"/>
    </row>
    <row r="47" spans="1:17" ht="18.75">
      <c r="A47" s="17"/>
      <c r="B47" s="219" t="s">
        <v>216</v>
      </c>
      <c r="C47" s="220"/>
      <c r="D47" s="223">
        <f>+D46+C44</f>
        <v>-9374.4689231022985</v>
      </c>
      <c r="E47" s="223">
        <f>+D47+E46</f>
        <v>-6089.4190955055619</v>
      </c>
      <c r="F47" s="223">
        <f>+E47+F46</f>
        <v>-3750.2611319456328</v>
      </c>
      <c r="G47" s="224">
        <f>+F47+G46</f>
        <v>230.73506396818311</v>
      </c>
      <c r="H47" s="222">
        <f>+G47+H46</f>
        <v>9831.2234260862097</v>
      </c>
      <c r="I47" s="138"/>
      <c r="J47" s="17">
        <f>3-F47/G46</f>
        <v>3.9420408730344896</v>
      </c>
      <c r="K47" s="17"/>
    </row>
    <row r="48" spans="1:17">
      <c r="A48" s="17"/>
      <c r="B48" s="17"/>
      <c r="C48" s="109"/>
      <c r="D48" s="109"/>
      <c r="E48" s="109"/>
      <c r="F48" s="109"/>
      <c r="G48" s="109"/>
      <c r="H48" s="109"/>
      <c r="I48" s="109"/>
      <c r="J48" s="17"/>
      <c r="K48" s="17"/>
    </row>
    <row r="49" spans="1:20" ht="18.75">
      <c r="A49" s="17"/>
      <c r="B49" s="174" t="s">
        <v>22</v>
      </c>
      <c r="C49" s="225">
        <f>NPV(C10,D44:H44)+C44</f>
        <v>9831.2234260862078</v>
      </c>
      <c r="D49" s="109"/>
      <c r="E49" s="109"/>
      <c r="F49" s="109"/>
      <c r="G49" s="109"/>
      <c r="H49" s="109"/>
      <c r="I49" s="109"/>
      <c r="J49" s="17"/>
      <c r="K49" s="17"/>
    </row>
    <row r="50" spans="1:20" ht="18.75">
      <c r="A50" s="17"/>
      <c r="B50" s="174" t="s">
        <v>3</v>
      </c>
      <c r="C50" s="226">
        <f>IRR(C44:H44)</f>
        <v>0.40315006864217751</v>
      </c>
      <c r="D50" s="109"/>
      <c r="E50" s="109"/>
      <c r="F50" s="109"/>
      <c r="G50" s="109"/>
      <c r="H50" s="109"/>
      <c r="I50" s="109"/>
      <c r="J50" s="17"/>
      <c r="K50" s="17"/>
    </row>
    <row r="51" spans="1:20">
      <c r="A51" s="17"/>
      <c r="B51" s="17"/>
      <c r="C51" s="109"/>
      <c r="D51" s="109"/>
      <c r="E51" s="109"/>
      <c r="F51" s="109"/>
      <c r="G51" s="109"/>
      <c r="H51" s="17"/>
      <c r="I51" s="109"/>
      <c r="J51" s="17"/>
      <c r="K51" s="17"/>
    </row>
    <row r="52" spans="1:20">
      <c r="A52" s="17"/>
      <c r="B52" s="187" t="s">
        <v>222</v>
      </c>
      <c r="C52" s="186" t="s">
        <v>221</v>
      </c>
      <c r="D52" s="229" t="s">
        <v>217</v>
      </c>
      <c r="E52" s="230"/>
      <c r="F52" s="184"/>
      <c r="G52" s="184"/>
      <c r="H52" s="59"/>
      <c r="I52" s="109"/>
      <c r="J52" s="17"/>
      <c r="K52" s="17"/>
    </row>
    <row r="53" spans="1:20">
      <c r="A53" s="17"/>
      <c r="B53" s="191" t="s">
        <v>12</v>
      </c>
      <c r="C53" s="104">
        <v>3</v>
      </c>
      <c r="D53" s="100">
        <v>2.831062089344111</v>
      </c>
      <c r="E53" s="188" t="s">
        <v>219</v>
      </c>
      <c r="F53" s="109"/>
      <c r="G53" s="109"/>
      <c r="H53" s="6"/>
      <c r="I53" s="6"/>
    </row>
    <row r="54" spans="1:20">
      <c r="A54" s="17"/>
      <c r="B54" s="191" t="s">
        <v>106</v>
      </c>
      <c r="C54" s="105">
        <v>1.8622000000000001</v>
      </c>
      <c r="D54" s="100">
        <v>2.04</v>
      </c>
      <c r="E54" s="188" t="s">
        <v>220</v>
      </c>
      <c r="F54" s="17"/>
      <c r="G54" s="17"/>
    </row>
    <row r="55" spans="1:20">
      <c r="A55" s="17"/>
      <c r="B55" s="191" t="s">
        <v>107</v>
      </c>
      <c r="C55" s="105">
        <v>1.6957</v>
      </c>
      <c r="D55" s="100">
        <v>1.78</v>
      </c>
      <c r="E55" s="188" t="s">
        <v>220</v>
      </c>
      <c r="F55" s="17"/>
      <c r="G55" s="17"/>
    </row>
    <row r="56" spans="1:20">
      <c r="A56" s="17"/>
      <c r="B56" s="191" t="s">
        <v>13</v>
      </c>
      <c r="C56" s="104">
        <v>116</v>
      </c>
      <c r="D56" s="100">
        <v>99</v>
      </c>
      <c r="E56" s="188" t="s">
        <v>219</v>
      </c>
      <c r="F56" s="17"/>
      <c r="G56" s="17"/>
    </row>
    <row r="57" spans="1:20">
      <c r="A57" s="17"/>
      <c r="B57" s="191" t="s">
        <v>1</v>
      </c>
      <c r="C57" s="106">
        <v>8.8300000000000003E-2</v>
      </c>
      <c r="D57" s="185">
        <v>0.11799999999999999</v>
      </c>
      <c r="E57" s="188" t="s">
        <v>220</v>
      </c>
      <c r="F57" s="17"/>
      <c r="G57" s="17"/>
      <c r="H57" s="110">
        <v>9831.2234260862078</v>
      </c>
    </row>
    <row r="58" spans="1:20">
      <c r="A58" s="17"/>
      <c r="B58" s="191" t="s">
        <v>191</v>
      </c>
      <c r="C58" s="107">
        <v>0.25</v>
      </c>
      <c r="D58" s="101">
        <v>0.16</v>
      </c>
      <c r="E58" s="188" t="s">
        <v>219</v>
      </c>
      <c r="F58" s="17"/>
      <c r="G58" s="17"/>
    </row>
    <row r="59" spans="1:20">
      <c r="A59" s="17"/>
      <c r="B59" s="71"/>
      <c r="C59" s="189"/>
      <c r="D59" s="17"/>
      <c r="E59" s="17"/>
      <c r="F59" s="17"/>
      <c r="G59" s="17"/>
    </row>
    <row r="60" spans="1:20">
      <c r="A60" s="17"/>
      <c r="B60" s="71"/>
      <c r="C60" s="190"/>
      <c r="D60" s="17"/>
      <c r="E60" s="17"/>
      <c r="F60" s="17"/>
      <c r="G60" s="17"/>
    </row>
    <row r="61" spans="1:20">
      <c r="A61" s="17"/>
      <c r="B61" s="71"/>
      <c r="C61" s="71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>
      <c r="A62" s="17"/>
      <c r="B62" s="17"/>
      <c r="C62" s="81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17"/>
      <c r="N63" s="17"/>
      <c r="O63" s="17"/>
      <c r="P63" s="17"/>
      <c r="Q63" s="17"/>
      <c r="R63" s="17"/>
      <c r="S63" s="17"/>
      <c r="T63" s="17"/>
    </row>
    <row r="64" spans="1:20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17"/>
      <c r="N64" s="17"/>
      <c r="O64" s="17"/>
      <c r="P64" s="17"/>
      <c r="Q64" s="17"/>
      <c r="R64" s="17"/>
      <c r="S64" s="17"/>
      <c r="T64" s="17"/>
    </row>
    <row r="65" spans="1:20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17"/>
      <c r="N65" s="17"/>
      <c r="O65" s="17"/>
      <c r="P65" s="17"/>
      <c r="Q65" s="17"/>
      <c r="R65" s="17"/>
      <c r="S65" s="17"/>
      <c r="T65" s="17"/>
    </row>
    <row r="66" spans="1:20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17"/>
      <c r="N66" s="17"/>
      <c r="O66" s="17"/>
      <c r="P66" s="17"/>
      <c r="Q66" s="17"/>
      <c r="R66" s="17"/>
      <c r="S66" s="17"/>
      <c r="T66" s="17"/>
    </row>
    <row r="67" spans="1:20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17"/>
      <c r="N67" s="17"/>
      <c r="O67" s="17"/>
      <c r="P67" s="17"/>
      <c r="Q67" s="17"/>
      <c r="R67" s="17"/>
      <c r="S67" s="17"/>
      <c r="T67" s="17"/>
    </row>
    <row r="68" spans="1:20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17"/>
      <c r="N68" s="17"/>
      <c r="O68" s="17"/>
      <c r="P68" s="17"/>
      <c r="Q68" s="17"/>
      <c r="R68" s="17"/>
      <c r="S68" s="17"/>
      <c r="T68" s="17"/>
    </row>
    <row r="69" spans="1:20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17"/>
      <c r="N69" s="17"/>
      <c r="O69" s="17"/>
      <c r="P69" s="17"/>
      <c r="Q69" s="17"/>
      <c r="R69" s="17"/>
      <c r="S69" s="17"/>
      <c r="T69" s="17"/>
    </row>
    <row r="70" spans="1:20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17"/>
      <c r="N70" s="17"/>
      <c r="O70" s="17"/>
      <c r="P70" s="17"/>
      <c r="Q70" s="17"/>
      <c r="R70" s="17"/>
      <c r="S70" s="17"/>
      <c r="T70" s="17"/>
    </row>
    <row r="71" spans="1:20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17"/>
      <c r="N71" s="17"/>
      <c r="O71" s="17"/>
      <c r="P71" s="17"/>
      <c r="Q71" s="17"/>
      <c r="R71" s="17"/>
      <c r="S71" s="17"/>
      <c r="T71" s="17"/>
    </row>
    <row r="72" spans="1:20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17"/>
      <c r="N72" s="17"/>
      <c r="O72" s="17"/>
      <c r="P72" s="17"/>
      <c r="Q72" s="17"/>
      <c r="R72" s="17"/>
      <c r="S72" s="17"/>
      <c r="T72" s="17"/>
    </row>
    <row r="73" spans="1:20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17"/>
      <c r="N73" s="17"/>
      <c r="O73" s="17"/>
      <c r="P73" s="17"/>
      <c r="Q73" s="17"/>
      <c r="R73" s="17"/>
      <c r="S73" s="17"/>
      <c r="T73" s="17"/>
    </row>
    <row r="74" spans="1:20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17"/>
      <c r="N74" s="17"/>
      <c r="O74" s="17"/>
      <c r="P74" s="17"/>
      <c r="Q74" s="17"/>
      <c r="R74" s="17"/>
      <c r="S74" s="17"/>
      <c r="T74" s="17"/>
    </row>
    <row r="75" spans="1:20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17"/>
      <c r="N75" s="17"/>
      <c r="O75" s="17"/>
      <c r="P75" s="17"/>
      <c r="Q75" s="17"/>
      <c r="R75" s="17"/>
      <c r="S75" s="17"/>
      <c r="T75" s="17"/>
    </row>
    <row r="76" spans="1:20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17"/>
      <c r="N76" s="17"/>
      <c r="O76" s="17"/>
      <c r="P76" s="17"/>
      <c r="Q76" s="17"/>
      <c r="R76" s="17"/>
      <c r="S76" s="17"/>
      <c r="T76" s="17"/>
    </row>
    <row r="77" spans="1:20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17"/>
      <c r="N77" s="17"/>
      <c r="O77" s="17"/>
      <c r="P77" s="17"/>
      <c r="Q77" s="17"/>
      <c r="R77" s="17"/>
      <c r="S77" s="17"/>
      <c r="T77" s="17"/>
    </row>
    <row r="78" spans="1:20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5:20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5:20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5:20"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5:20"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5:20"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5:20"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5:20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5:20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5:20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5:20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5:20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5:20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5:20"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5:20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5:20"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5:20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5:20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5:20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5:20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5:20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5:20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5:20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5:20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5:20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5:20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5:20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5:20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5:20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5:20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5:20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5:20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5:20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5:20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5:20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5:20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5:20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5:20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5:20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5:20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5:20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5:20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5:20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5:20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5:20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5:20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5:20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5:20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5:20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5:20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5" spans="5:20" s="108" customFormat="1"/>
  </sheetData>
  <customSheetViews>
    <customSheetView guid="{1C124D82-5E8E-4656-88B0-04FEF3393FAE}" scale="70" topLeftCell="A2">
      <selection activeCell="B37" sqref="B36:B37"/>
      <pageMargins left="0.7" right="0.7" top="0.75" bottom="0.75" header="0.3" footer="0.3"/>
      <pageSetup orientation="portrait" r:id="rId1"/>
    </customSheetView>
  </customSheetViews>
  <mergeCells count="3">
    <mergeCell ref="B4:H4"/>
    <mergeCell ref="B5:C5"/>
    <mergeCell ref="D52:E52"/>
  </mergeCells>
  <phoneticPr fontId="14" type="noConversion"/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68"/>
  <sheetViews>
    <sheetView topLeftCell="A245" zoomScale="80" zoomScaleNormal="80" workbookViewId="0">
      <selection activeCell="C268" sqref="C268"/>
    </sheetView>
  </sheetViews>
  <sheetFormatPr baseColWidth="10" defaultColWidth="9.140625" defaultRowHeight="15"/>
  <cols>
    <col min="2" max="2" width="50.42578125" customWidth="1"/>
    <col min="3" max="3" width="27.140625" customWidth="1"/>
    <col min="4" max="4" width="17.5703125" customWidth="1"/>
    <col min="5" max="5" width="39.28515625" customWidth="1"/>
    <col min="6" max="6" width="17.42578125" customWidth="1"/>
    <col min="7" max="7" width="32" customWidth="1"/>
    <col min="8" max="8" width="24.85546875" customWidth="1"/>
    <col min="9" max="9" width="24.28515625" customWidth="1"/>
    <col min="10" max="10" width="39.42578125" customWidth="1"/>
    <col min="11" max="11" width="24.85546875" customWidth="1"/>
    <col min="12" max="13" width="21.28515625" customWidth="1"/>
    <col min="14" max="14" width="42.7109375" customWidth="1"/>
    <col min="15" max="15" width="27.7109375" customWidth="1"/>
    <col min="16" max="17" width="29.7109375" customWidth="1"/>
    <col min="18" max="21" width="39.7109375" customWidth="1"/>
  </cols>
  <sheetData>
    <row r="1" spans="2:15">
      <c r="B1" s="82"/>
      <c r="C1" s="43"/>
      <c r="D1" s="43"/>
    </row>
    <row r="2" spans="2:15">
      <c r="B2" s="43"/>
      <c r="C2" s="43"/>
      <c r="D2" s="43"/>
    </row>
    <row r="3" spans="2:15">
      <c r="B3" s="231"/>
      <c r="C3" s="231"/>
      <c r="D3" s="43"/>
      <c r="G3" s="17"/>
      <c r="H3" s="17"/>
      <c r="I3" s="17"/>
      <c r="J3" s="17"/>
      <c r="K3" s="17"/>
    </row>
    <row r="4" spans="2:15">
      <c r="B4" s="239" t="s">
        <v>179</v>
      </c>
      <c r="C4" s="239"/>
      <c r="D4" s="239"/>
      <c r="E4" s="239"/>
      <c r="G4" s="17"/>
      <c r="H4" s="235" t="s">
        <v>168</v>
      </c>
      <c r="I4" s="235"/>
      <c r="J4" s="235"/>
      <c r="K4" s="235"/>
      <c r="M4">
        <v>218</v>
      </c>
    </row>
    <row r="5" spans="2:15" ht="30">
      <c r="B5" s="24" t="s">
        <v>35</v>
      </c>
      <c r="C5" s="25" t="s">
        <v>36</v>
      </c>
      <c r="D5" s="25" t="s">
        <v>37</v>
      </c>
      <c r="E5" s="25" t="s">
        <v>38</v>
      </c>
      <c r="G5" s="17"/>
      <c r="H5" s="39" t="s">
        <v>114</v>
      </c>
      <c r="I5" s="39" t="s">
        <v>117</v>
      </c>
      <c r="J5" s="39" t="s">
        <v>118</v>
      </c>
      <c r="K5" s="39" t="s">
        <v>115</v>
      </c>
      <c r="L5" s="39" t="s">
        <v>173</v>
      </c>
      <c r="M5" s="39" t="s">
        <v>174</v>
      </c>
      <c r="N5" s="39" t="s">
        <v>175</v>
      </c>
      <c r="O5" s="39" t="s">
        <v>116</v>
      </c>
    </row>
    <row r="6" spans="2:15">
      <c r="B6" s="21" t="s">
        <v>91</v>
      </c>
      <c r="C6" s="22">
        <v>1100</v>
      </c>
      <c r="D6" s="13">
        <v>1</v>
      </c>
      <c r="E6" s="61">
        <f>+C6*D6</f>
        <v>1100</v>
      </c>
      <c r="G6" s="17"/>
      <c r="H6" s="40" t="s">
        <v>112</v>
      </c>
      <c r="I6" s="41" t="s">
        <v>23</v>
      </c>
      <c r="J6" s="13">
        <v>1</v>
      </c>
      <c r="K6" s="42">
        <v>300</v>
      </c>
      <c r="L6" s="76">
        <f>+K6</f>
        <v>300</v>
      </c>
      <c r="M6" s="21">
        <f>+$M$4</f>
        <v>218</v>
      </c>
      <c r="N6" s="21">
        <f>+L6/2</f>
        <v>150</v>
      </c>
      <c r="O6" s="75">
        <f>SUM(L6:N6)+K6*12</f>
        <v>4268</v>
      </c>
    </row>
    <row r="7" spans="2:15">
      <c r="B7" s="21" t="s">
        <v>90</v>
      </c>
      <c r="C7" s="26">
        <v>300</v>
      </c>
      <c r="D7" s="14">
        <v>1</v>
      </c>
      <c r="E7" s="61">
        <f t="shared" ref="E7:E18" si="0">+C7*D7</f>
        <v>300</v>
      </c>
      <c r="G7" s="17"/>
      <c r="H7" s="40" t="s">
        <v>113</v>
      </c>
      <c r="I7" s="41" t="s">
        <v>23</v>
      </c>
      <c r="J7" s="13">
        <v>1</v>
      </c>
      <c r="K7" s="42">
        <v>218</v>
      </c>
      <c r="L7" s="76">
        <f>+K7</f>
        <v>218</v>
      </c>
      <c r="M7" s="21">
        <f>+$M$4</f>
        <v>218</v>
      </c>
      <c r="N7" s="21">
        <f>+L7/2</f>
        <v>109</v>
      </c>
      <c r="O7" s="75">
        <f>SUM(L7:N7)+K7*12</f>
        <v>3161</v>
      </c>
    </row>
    <row r="8" spans="2:15">
      <c r="B8" s="21" t="s">
        <v>41</v>
      </c>
      <c r="C8" s="26">
        <v>250.88</v>
      </c>
      <c r="D8" s="14">
        <v>1</v>
      </c>
      <c r="E8" s="61">
        <f t="shared" si="0"/>
        <v>250.88</v>
      </c>
      <c r="G8" s="17"/>
      <c r="H8" s="40" t="s">
        <v>24</v>
      </c>
      <c r="I8" s="41" t="s">
        <v>25</v>
      </c>
      <c r="J8" s="13">
        <v>1</v>
      </c>
      <c r="K8" s="42">
        <v>600</v>
      </c>
      <c r="L8" s="76">
        <f>+K8</f>
        <v>600</v>
      </c>
      <c r="M8" s="21">
        <f>+$M$4</f>
        <v>218</v>
      </c>
      <c r="N8" s="21">
        <f>+L8/2</f>
        <v>300</v>
      </c>
      <c r="O8" s="75">
        <f>SUM(L8:N8)+K8*12</f>
        <v>8318</v>
      </c>
    </row>
    <row r="9" spans="2:15">
      <c r="B9" s="21" t="s">
        <v>42</v>
      </c>
      <c r="C9" s="26">
        <v>1310.6600000000001</v>
      </c>
      <c r="D9" s="14">
        <v>1</v>
      </c>
      <c r="E9" s="61">
        <f t="shared" si="0"/>
        <v>1310.6600000000001</v>
      </c>
      <c r="G9" s="17"/>
      <c r="H9" s="40" t="s">
        <v>26</v>
      </c>
      <c r="I9" s="41" t="s">
        <v>23</v>
      </c>
      <c r="J9" s="13">
        <v>1</v>
      </c>
      <c r="K9" s="42">
        <v>150</v>
      </c>
      <c r="L9" s="21">
        <f>0/12</f>
        <v>0</v>
      </c>
      <c r="M9" s="21">
        <v>0</v>
      </c>
      <c r="N9" s="21">
        <f>+L9/2</f>
        <v>0</v>
      </c>
      <c r="O9" s="75">
        <f>SUM(L9:N9)+K9*12</f>
        <v>1800</v>
      </c>
    </row>
    <row r="10" spans="2:15">
      <c r="B10" s="21" t="s">
        <v>92</v>
      </c>
      <c r="C10" s="26">
        <v>1200</v>
      </c>
      <c r="D10" s="14">
        <v>1</v>
      </c>
      <c r="E10" s="61">
        <f t="shared" si="0"/>
        <v>1200</v>
      </c>
      <c r="G10" s="17"/>
      <c r="H10" s="40" t="s">
        <v>27</v>
      </c>
      <c r="I10" s="41" t="s">
        <v>23</v>
      </c>
      <c r="J10" s="13">
        <v>1</v>
      </c>
      <c r="K10" s="42">
        <v>150</v>
      </c>
      <c r="L10" s="21">
        <f>0/12</f>
        <v>0</v>
      </c>
      <c r="M10" s="21">
        <v>0</v>
      </c>
      <c r="N10" s="21">
        <f>+L10/2</f>
        <v>0</v>
      </c>
      <c r="O10" s="75">
        <f>SUM(L10:N10)+K10*12</f>
        <v>1800</v>
      </c>
    </row>
    <row r="11" spans="2:15">
      <c r="B11" s="21" t="s">
        <v>45</v>
      </c>
      <c r="C11" s="26">
        <v>823.2</v>
      </c>
      <c r="D11" s="14">
        <v>1</v>
      </c>
      <c r="E11" s="61">
        <f t="shared" si="0"/>
        <v>823.2</v>
      </c>
      <c r="G11" s="17"/>
      <c r="H11" s="17"/>
      <c r="I11" s="17"/>
      <c r="J11" s="20"/>
      <c r="K11" s="17" t="s">
        <v>4</v>
      </c>
      <c r="O11" s="80">
        <f>SUM(O6:O10)</f>
        <v>19347</v>
      </c>
    </row>
    <row r="12" spans="2:15">
      <c r="B12" s="21" t="s">
        <v>46</v>
      </c>
      <c r="C12" s="26">
        <v>784</v>
      </c>
      <c r="D12" s="14">
        <v>1</v>
      </c>
      <c r="E12" s="61">
        <f t="shared" si="0"/>
        <v>784</v>
      </c>
      <c r="G12" s="17" t="s">
        <v>28</v>
      </c>
      <c r="H12" s="17"/>
      <c r="I12" s="17"/>
      <c r="J12" s="17"/>
      <c r="K12" s="17"/>
      <c r="L12" s="17"/>
    </row>
    <row r="13" spans="2:15">
      <c r="B13" s="21" t="s">
        <v>79</v>
      </c>
      <c r="C13" s="26">
        <v>500</v>
      </c>
      <c r="D13" s="14">
        <v>1</v>
      </c>
      <c r="E13" s="61">
        <f t="shared" si="0"/>
        <v>500</v>
      </c>
      <c r="G13" s="17" t="s">
        <v>29</v>
      </c>
      <c r="H13" s="17"/>
      <c r="I13" s="17"/>
      <c r="J13" s="17"/>
      <c r="K13" s="17"/>
      <c r="L13" s="17"/>
    </row>
    <row r="14" spans="2:15">
      <c r="B14" s="21" t="s">
        <v>80</v>
      </c>
      <c r="C14" s="26">
        <v>110</v>
      </c>
      <c r="D14" s="14">
        <v>3</v>
      </c>
      <c r="E14" s="61">
        <f t="shared" si="0"/>
        <v>330</v>
      </c>
    </row>
    <row r="15" spans="2:15">
      <c r="B15" s="21" t="s">
        <v>81</v>
      </c>
      <c r="C15" s="26">
        <v>56</v>
      </c>
      <c r="D15" s="14">
        <v>1</v>
      </c>
      <c r="E15" s="61">
        <f t="shared" si="0"/>
        <v>56</v>
      </c>
      <c r="G15" s="3" t="s">
        <v>30</v>
      </c>
      <c r="H15" s="3"/>
      <c r="I15" s="3"/>
      <c r="J15" s="3"/>
      <c r="K15" s="3"/>
      <c r="L15" s="3"/>
    </row>
    <row r="16" spans="2:15">
      <c r="B16" s="27"/>
      <c r="C16" s="29"/>
      <c r="D16" s="30"/>
      <c r="E16" s="61">
        <f t="shared" si="0"/>
        <v>0</v>
      </c>
      <c r="G16" s="3" t="s">
        <v>31</v>
      </c>
      <c r="H16" s="3"/>
      <c r="I16" s="3"/>
      <c r="J16" s="3"/>
      <c r="K16" s="3"/>
      <c r="L16" s="3"/>
    </row>
    <row r="17" spans="1:10">
      <c r="B17" s="27"/>
      <c r="C17" s="29"/>
      <c r="D17" s="30"/>
      <c r="E17" s="61">
        <f t="shared" si="0"/>
        <v>0</v>
      </c>
    </row>
    <row r="18" spans="1:10">
      <c r="B18" s="21"/>
      <c r="C18" s="26"/>
      <c r="D18" s="14"/>
      <c r="E18" s="61">
        <f t="shared" si="0"/>
        <v>0</v>
      </c>
      <c r="G18" s="3" t="s">
        <v>32</v>
      </c>
      <c r="H18" s="3"/>
    </row>
    <row r="19" spans="1:10">
      <c r="B19" s="16"/>
      <c r="C19" s="18"/>
      <c r="D19" s="28"/>
      <c r="G19" t="s">
        <v>33</v>
      </c>
    </row>
    <row r="20" spans="1:10">
      <c r="D20" s="84" t="s">
        <v>94</v>
      </c>
      <c r="E20" s="84">
        <f>SUM(E6:E18)</f>
        <v>6654.74</v>
      </c>
      <c r="G20" s="23">
        <v>0.1205</v>
      </c>
    </row>
    <row r="21" spans="1:10">
      <c r="A21" s="43"/>
      <c r="B21" s="43"/>
      <c r="C21" s="43"/>
      <c r="D21" s="43"/>
      <c r="E21" s="43"/>
      <c r="G21" s="3" t="s">
        <v>34</v>
      </c>
      <c r="H21" s="3"/>
      <c r="I21" s="3"/>
    </row>
    <row r="22" spans="1:10">
      <c r="A22" s="43"/>
      <c r="B22" s="43"/>
      <c r="C22" s="43"/>
      <c r="D22" s="43"/>
      <c r="E22" s="43"/>
    </row>
    <row r="23" spans="1:10">
      <c r="A23" s="43"/>
      <c r="B23" s="239" t="s">
        <v>180</v>
      </c>
      <c r="C23" s="239"/>
      <c r="D23" s="239"/>
      <c r="E23" s="239"/>
      <c r="G23" s="239" t="s">
        <v>180</v>
      </c>
      <c r="H23" s="239"/>
      <c r="I23" s="239"/>
      <c r="J23" s="239"/>
    </row>
    <row r="24" spans="1:10">
      <c r="A24" s="43"/>
      <c r="B24" s="24" t="s">
        <v>35</v>
      </c>
      <c r="C24" s="25" t="s">
        <v>36</v>
      </c>
      <c r="D24" s="25" t="s">
        <v>37</v>
      </c>
      <c r="E24" s="25" t="s">
        <v>38</v>
      </c>
      <c r="G24" s="24" t="s">
        <v>35</v>
      </c>
      <c r="H24" s="25" t="s">
        <v>36</v>
      </c>
      <c r="I24" s="25" t="s">
        <v>37</v>
      </c>
      <c r="J24" s="25" t="s">
        <v>38</v>
      </c>
    </row>
    <row r="25" spans="1:10">
      <c r="A25" s="43"/>
      <c r="B25" s="21" t="s">
        <v>43</v>
      </c>
      <c r="C25" s="13">
        <v>509.79</v>
      </c>
      <c r="D25" s="13">
        <v>2</v>
      </c>
      <c r="E25" s="61">
        <f t="shared" ref="E25:E60" si="1">+C25*D25</f>
        <v>1019.58</v>
      </c>
      <c r="G25" s="21" t="s">
        <v>43</v>
      </c>
      <c r="H25" s="13">
        <v>509.79</v>
      </c>
      <c r="I25" s="13">
        <v>2</v>
      </c>
      <c r="J25" s="61">
        <f t="shared" ref="J25:J60" si="2">+H25*I25</f>
        <v>1019.58</v>
      </c>
    </row>
    <row r="26" spans="1:10">
      <c r="A26" s="43"/>
      <c r="B26" s="21" t="s">
        <v>48</v>
      </c>
      <c r="C26" s="61">
        <v>8</v>
      </c>
      <c r="D26" s="13">
        <v>3</v>
      </c>
      <c r="E26" s="61">
        <f t="shared" si="1"/>
        <v>24</v>
      </c>
      <c r="G26" s="21" t="s">
        <v>48</v>
      </c>
      <c r="H26" s="61">
        <v>8</v>
      </c>
      <c r="I26" s="13">
        <v>3</v>
      </c>
      <c r="J26" s="61">
        <f t="shared" si="2"/>
        <v>24</v>
      </c>
    </row>
    <row r="27" spans="1:10">
      <c r="A27" s="43"/>
      <c r="B27" s="21" t="s">
        <v>49</v>
      </c>
      <c r="C27" s="61">
        <v>5</v>
      </c>
      <c r="D27" s="13">
        <v>3</v>
      </c>
      <c r="E27" s="61">
        <f t="shared" si="1"/>
        <v>15</v>
      </c>
      <c r="G27" s="21" t="s">
        <v>49</v>
      </c>
      <c r="H27" s="61">
        <v>5</v>
      </c>
      <c r="I27" s="13">
        <v>3</v>
      </c>
      <c r="J27" s="61">
        <f t="shared" si="2"/>
        <v>15</v>
      </c>
    </row>
    <row r="28" spans="1:10">
      <c r="A28" s="43"/>
      <c r="B28" s="21" t="s">
        <v>50</v>
      </c>
      <c r="C28" s="61">
        <v>4</v>
      </c>
      <c r="D28" s="13">
        <v>1</v>
      </c>
      <c r="E28" s="61">
        <f t="shared" si="1"/>
        <v>4</v>
      </c>
      <c r="G28" s="21" t="s">
        <v>50</v>
      </c>
      <c r="H28" s="61">
        <v>4</v>
      </c>
      <c r="I28" s="13">
        <v>1</v>
      </c>
      <c r="J28" s="61">
        <f t="shared" si="2"/>
        <v>4</v>
      </c>
    </row>
    <row r="29" spans="1:10">
      <c r="A29" s="43"/>
      <c r="B29" s="21" t="s">
        <v>51</v>
      </c>
      <c r="C29" s="61">
        <v>4</v>
      </c>
      <c r="D29" s="13">
        <v>1</v>
      </c>
      <c r="E29" s="61">
        <f t="shared" si="1"/>
        <v>4</v>
      </c>
      <c r="G29" s="21" t="s">
        <v>51</v>
      </c>
      <c r="H29" s="61">
        <v>4</v>
      </c>
      <c r="I29" s="13">
        <v>1</v>
      </c>
      <c r="J29" s="61">
        <f t="shared" si="2"/>
        <v>4</v>
      </c>
    </row>
    <row r="30" spans="1:10">
      <c r="A30" s="43"/>
      <c r="B30" s="21" t="s">
        <v>52</v>
      </c>
      <c r="C30" s="61">
        <v>3</v>
      </c>
      <c r="D30" s="13">
        <v>1</v>
      </c>
      <c r="E30" s="61">
        <f t="shared" si="1"/>
        <v>3</v>
      </c>
      <c r="G30" s="21" t="s">
        <v>52</v>
      </c>
      <c r="H30" s="61">
        <v>3</v>
      </c>
      <c r="I30" s="13">
        <v>1</v>
      </c>
      <c r="J30" s="61">
        <f t="shared" si="2"/>
        <v>3</v>
      </c>
    </row>
    <row r="31" spans="1:10">
      <c r="A31" s="43"/>
      <c r="B31" s="21" t="s">
        <v>53</v>
      </c>
      <c r="C31" s="61">
        <v>4.4800000000000004</v>
      </c>
      <c r="D31" s="13">
        <v>1</v>
      </c>
      <c r="E31" s="61">
        <f t="shared" si="1"/>
        <v>4.4800000000000004</v>
      </c>
      <c r="G31" s="21" t="s">
        <v>53</v>
      </c>
      <c r="H31" s="61">
        <v>4.4800000000000004</v>
      </c>
      <c r="I31" s="13">
        <v>1</v>
      </c>
      <c r="J31" s="61">
        <f t="shared" si="2"/>
        <v>4.4800000000000004</v>
      </c>
    </row>
    <row r="32" spans="1:10">
      <c r="A32" s="43"/>
      <c r="B32" s="21" t="s">
        <v>54</v>
      </c>
      <c r="C32" s="61">
        <v>5</v>
      </c>
      <c r="D32" s="13">
        <v>2</v>
      </c>
      <c r="E32" s="61">
        <f t="shared" si="1"/>
        <v>10</v>
      </c>
      <c r="G32" s="21" t="s">
        <v>54</v>
      </c>
      <c r="H32" s="61">
        <v>5</v>
      </c>
      <c r="I32" s="13">
        <v>2</v>
      </c>
      <c r="J32" s="61">
        <f t="shared" si="2"/>
        <v>10</v>
      </c>
    </row>
    <row r="33" spans="1:10">
      <c r="A33" s="43"/>
      <c r="B33" s="21" t="s">
        <v>55</v>
      </c>
      <c r="C33" s="61">
        <v>6.38</v>
      </c>
      <c r="D33" s="13">
        <v>2</v>
      </c>
      <c r="E33" s="61">
        <f t="shared" si="1"/>
        <v>12.76</v>
      </c>
      <c r="G33" s="21" t="s">
        <v>55</v>
      </c>
      <c r="H33" s="61">
        <v>6.38</v>
      </c>
      <c r="I33" s="13">
        <v>2</v>
      </c>
      <c r="J33" s="61">
        <f t="shared" si="2"/>
        <v>12.76</v>
      </c>
    </row>
    <row r="34" spans="1:10">
      <c r="A34" s="43"/>
      <c r="B34" s="21" t="s">
        <v>56</v>
      </c>
      <c r="C34" s="61">
        <v>10.42</v>
      </c>
      <c r="D34" s="13">
        <v>2</v>
      </c>
      <c r="E34" s="61">
        <f t="shared" si="1"/>
        <v>20.84</v>
      </c>
      <c r="G34" s="21" t="s">
        <v>56</v>
      </c>
      <c r="H34" s="61">
        <v>10.42</v>
      </c>
      <c r="I34" s="13">
        <v>2</v>
      </c>
      <c r="J34" s="61">
        <f t="shared" si="2"/>
        <v>20.84</v>
      </c>
    </row>
    <row r="35" spans="1:10">
      <c r="A35" s="43"/>
      <c r="B35" s="21" t="s">
        <v>57</v>
      </c>
      <c r="C35" s="61">
        <v>7</v>
      </c>
      <c r="D35" s="13">
        <v>2</v>
      </c>
      <c r="E35" s="61">
        <f t="shared" si="1"/>
        <v>14</v>
      </c>
      <c r="G35" s="21" t="s">
        <v>57</v>
      </c>
      <c r="H35" s="61">
        <v>7</v>
      </c>
      <c r="I35" s="13">
        <v>2</v>
      </c>
      <c r="J35" s="61">
        <f t="shared" si="2"/>
        <v>14</v>
      </c>
    </row>
    <row r="36" spans="1:10">
      <c r="A36" s="43"/>
      <c r="B36" s="21" t="s">
        <v>58</v>
      </c>
      <c r="C36" s="61">
        <v>3</v>
      </c>
      <c r="D36" s="13">
        <v>2</v>
      </c>
      <c r="E36" s="61">
        <f t="shared" si="1"/>
        <v>6</v>
      </c>
      <c r="G36" s="21" t="s">
        <v>58</v>
      </c>
      <c r="H36" s="61">
        <v>3</v>
      </c>
      <c r="I36" s="13">
        <v>2</v>
      </c>
      <c r="J36" s="61">
        <f t="shared" si="2"/>
        <v>6</v>
      </c>
    </row>
    <row r="37" spans="1:10">
      <c r="A37" s="43"/>
      <c r="B37" s="21" t="s">
        <v>59</v>
      </c>
      <c r="C37" s="61">
        <v>5</v>
      </c>
      <c r="D37" s="13">
        <v>2</v>
      </c>
      <c r="E37" s="61">
        <f t="shared" si="1"/>
        <v>10</v>
      </c>
      <c r="G37" s="21" t="s">
        <v>59</v>
      </c>
      <c r="H37" s="61">
        <v>5</v>
      </c>
      <c r="I37" s="13">
        <v>2</v>
      </c>
      <c r="J37" s="61">
        <f t="shared" si="2"/>
        <v>10</v>
      </c>
    </row>
    <row r="38" spans="1:10">
      <c r="A38" s="43"/>
      <c r="B38" s="21" t="s">
        <v>60</v>
      </c>
      <c r="C38" s="61">
        <v>3.5</v>
      </c>
      <c r="D38" s="13">
        <v>2</v>
      </c>
      <c r="E38" s="61">
        <f t="shared" si="1"/>
        <v>7</v>
      </c>
      <c r="G38" s="21" t="s">
        <v>60</v>
      </c>
      <c r="H38" s="61">
        <v>3.5</v>
      </c>
      <c r="I38" s="13">
        <v>2</v>
      </c>
      <c r="J38" s="61">
        <f t="shared" si="2"/>
        <v>7</v>
      </c>
    </row>
    <row r="39" spans="1:10">
      <c r="A39" s="43"/>
      <c r="B39" s="21" t="s">
        <v>61</v>
      </c>
      <c r="C39" s="61">
        <v>4.37</v>
      </c>
      <c r="D39" s="13">
        <v>2</v>
      </c>
      <c r="E39" s="61">
        <f t="shared" si="1"/>
        <v>8.74</v>
      </c>
      <c r="G39" s="21" t="s">
        <v>61</v>
      </c>
      <c r="H39" s="61">
        <v>4.37</v>
      </c>
      <c r="I39" s="13">
        <v>2</v>
      </c>
      <c r="J39" s="61">
        <f t="shared" si="2"/>
        <v>8.74</v>
      </c>
    </row>
    <row r="40" spans="1:10">
      <c r="A40" s="43"/>
      <c r="B40" s="21" t="s">
        <v>62</v>
      </c>
      <c r="C40" s="61">
        <v>4.2</v>
      </c>
      <c r="D40" s="13">
        <v>1</v>
      </c>
      <c r="E40" s="61">
        <f t="shared" si="1"/>
        <v>4.2</v>
      </c>
      <c r="G40" s="21" t="s">
        <v>62</v>
      </c>
      <c r="H40" s="61">
        <v>4.2</v>
      </c>
      <c r="I40" s="13">
        <v>1</v>
      </c>
      <c r="J40" s="61">
        <f t="shared" si="2"/>
        <v>4.2</v>
      </c>
    </row>
    <row r="41" spans="1:10">
      <c r="A41" s="43"/>
      <c r="B41" s="21" t="s">
        <v>63</v>
      </c>
      <c r="C41" s="61">
        <v>3.33</v>
      </c>
      <c r="D41" s="13">
        <v>2</v>
      </c>
      <c r="E41" s="61">
        <f t="shared" si="1"/>
        <v>6.66</v>
      </c>
      <c r="G41" s="21" t="s">
        <v>63</v>
      </c>
      <c r="H41" s="61">
        <v>3.33</v>
      </c>
      <c r="I41" s="13">
        <v>2</v>
      </c>
      <c r="J41" s="61">
        <f t="shared" si="2"/>
        <v>6.66</v>
      </c>
    </row>
    <row r="42" spans="1:10">
      <c r="A42" s="43"/>
      <c r="B42" s="21" t="s">
        <v>64</v>
      </c>
      <c r="C42" s="61">
        <v>1.5</v>
      </c>
      <c r="D42" s="13">
        <v>3</v>
      </c>
      <c r="E42" s="61">
        <f t="shared" si="1"/>
        <v>4.5</v>
      </c>
      <c r="G42" s="21" t="s">
        <v>64</v>
      </c>
      <c r="H42" s="61">
        <v>1.5</v>
      </c>
      <c r="I42" s="13">
        <v>3</v>
      </c>
      <c r="J42" s="61">
        <f t="shared" si="2"/>
        <v>4.5</v>
      </c>
    </row>
    <row r="43" spans="1:10">
      <c r="A43" s="43"/>
      <c r="B43" s="21" t="s">
        <v>65</v>
      </c>
      <c r="C43" s="61">
        <v>2.5</v>
      </c>
      <c r="D43" s="13">
        <v>4</v>
      </c>
      <c r="E43" s="61">
        <f t="shared" si="1"/>
        <v>10</v>
      </c>
      <c r="G43" s="21" t="s">
        <v>65</v>
      </c>
      <c r="H43" s="61">
        <v>2.5</v>
      </c>
      <c r="I43" s="13">
        <v>4</v>
      </c>
      <c r="J43" s="61">
        <f t="shared" si="2"/>
        <v>10</v>
      </c>
    </row>
    <row r="44" spans="1:10">
      <c r="A44" s="43"/>
      <c r="B44" s="21" t="s">
        <v>66</v>
      </c>
      <c r="C44" s="61">
        <v>10</v>
      </c>
      <c r="D44" s="13">
        <v>2</v>
      </c>
      <c r="E44" s="61">
        <f t="shared" si="1"/>
        <v>20</v>
      </c>
      <c r="G44" s="21" t="s">
        <v>66</v>
      </c>
      <c r="H44" s="61">
        <v>10</v>
      </c>
      <c r="I44" s="13">
        <v>2</v>
      </c>
      <c r="J44" s="61">
        <f t="shared" si="2"/>
        <v>20</v>
      </c>
    </row>
    <row r="45" spans="1:10">
      <c r="A45" s="43"/>
      <c r="B45" s="21" t="s">
        <v>67</v>
      </c>
      <c r="C45" s="61">
        <v>9.74</v>
      </c>
      <c r="D45" s="13">
        <v>2</v>
      </c>
      <c r="E45" s="61">
        <f t="shared" si="1"/>
        <v>19.48</v>
      </c>
      <c r="G45" s="21" t="s">
        <v>67</v>
      </c>
      <c r="H45" s="61">
        <v>9.74</v>
      </c>
      <c r="I45" s="13">
        <v>2</v>
      </c>
      <c r="J45" s="61">
        <f t="shared" si="2"/>
        <v>19.48</v>
      </c>
    </row>
    <row r="46" spans="1:10">
      <c r="A46" s="43"/>
      <c r="B46" s="21" t="s">
        <v>68</v>
      </c>
      <c r="C46" s="61">
        <v>1</v>
      </c>
      <c r="D46" s="13">
        <v>115</v>
      </c>
      <c r="E46" s="61">
        <f t="shared" si="1"/>
        <v>115</v>
      </c>
      <c r="G46" s="21" t="s">
        <v>68</v>
      </c>
      <c r="H46" s="61">
        <v>1</v>
      </c>
      <c r="I46" s="13">
        <v>115</v>
      </c>
      <c r="J46" s="61">
        <f t="shared" si="2"/>
        <v>115</v>
      </c>
    </row>
    <row r="47" spans="1:10">
      <c r="A47" s="43"/>
      <c r="B47" s="21" t="s">
        <v>69</v>
      </c>
      <c r="C47" s="61">
        <v>3</v>
      </c>
      <c r="D47" s="13">
        <v>2</v>
      </c>
      <c r="E47" s="61">
        <f t="shared" si="1"/>
        <v>6</v>
      </c>
      <c r="G47" s="21" t="s">
        <v>69</v>
      </c>
      <c r="H47" s="61">
        <v>3</v>
      </c>
      <c r="I47" s="13">
        <v>2</v>
      </c>
      <c r="J47" s="61">
        <f t="shared" si="2"/>
        <v>6</v>
      </c>
    </row>
    <row r="48" spans="1:10">
      <c r="A48" s="43"/>
      <c r="B48" s="21" t="s">
        <v>70</v>
      </c>
      <c r="C48" s="61">
        <v>2.1800000000000002</v>
      </c>
      <c r="D48" s="13">
        <v>2</v>
      </c>
      <c r="E48" s="61">
        <f t="shared" si="1"/>
        <v>4.3600000000000003</v>
      </c>
      <c r="G48" s="21" t="s">
        <v>70</v>
      </c>
      <c r="H48" s="61">
        <v>2.1800000000000002</v>
      </c>
      <c r="I48" s="13">
        <v>2</v>
      </c>
      <c r="J48" s="61">
        <f t="shared" si="2"/>
        <v>4.3600000000000003</v>
      </c>
    </row>
    <row r="49" spans="1:10">
      <c r="A49" s="43"/>
      <c r="B49" s="21" t="s">
        <v>71</v>
      </c>
      <c r="C49" s="61">
        <v>1.1499999999999999</v>
      </c>
      <c r="D49" s="13">
        <v>4</v>
      </c>
      <c r="E49" s="61">
        <f t="shared" si="1"/>
        <v>4.5999999999999996</v>
      </c>
      <c r="G49" s="21" t="s">
        <v>71</v>
      </c>
      <c r="H49" s="61">
        <v>1.1499999999999999</v>
      </c>
      <c r="I49" s="13">
        <v>4</v>
      </c>
      <c r="J49" s="61">
        <f t="shared" si="2"/>
        <v>4.5999999999999996</v>
      </c>
    </row>
    <row r="50" spans="1:10">
      <c r="A50" s="43"/>
      <c r="B50" s="21" t="s">
        <v>72</v>
      </c>
      <c r="C50" s="61">
        <v>1.6</v>
      </c>
      <c r="D50" s="13">
        <v>4</v>
      </c>
      <c r="E50" s="61">
        <f t="shared" si="1"/>
        <v>6.4</v>
      </c>
      <c r="G50" s="21" t="s">
        <v>72</v>
      </c>
      <c r="H50" s="61">
        <v>1.6</v>
      </c>
      <c r="I50" s="13">
        <v>4</v>
      </c>
      <c r="J50" s="61">
        <f t="shared" si="2"/>
        <v>6.4</v>
      </c>
    </row>
    <row r="51" spans="1:10">
      <c r="A51" s="43"/>
      <c r="B51" s="21" t="s">
        <v>73</v>
      </c>
      <c r="C51" s="61">
        <v>2</v>
      </c>
      <c r="D51" s="13">
        <v>3</v>
      </c>
      <c r="E51" s="61">
        <f t="shared" si="1"/>
        <v>6</v>
      </c>
      <c r="G51" s="21" t="s">
        <v>73</v>
      </c>
      <c r="H51" s="61">
        <v>2</v>
      </c>
      <c r="I51" s="13">
        <v>3</v>
      </c>
      <c r="J51" s="61">
        <f t="shared" si="2"/>
        <v>6</v>
      </c>
    </row>
    <row r="52" spans="1:10">
      <c r="A52" s="43"/>
      <c r="B52" s="21" t="s">
        <v>74</v>
      </c>
      <c r="C52" s="61">
        <v>1.3</v>
      </c>
      <c r="D52" s="13">
        <v>2</v>
      </c>
      <c r="E52" s="61">
        <f t="shared" si="1"/>
        <v>2.6</v>
      </c>
      <c r="G52" s="21" t="s">
        <v>74</v>
      </c>
      <c r="H52" s="61">
        <v>1.3</v>
      </c>
      <c r="I52" s="13">
        <v>2</v>
      </c>
      <c r="J52" s="61">
        <f t="shared" si="2"/>
        <v>2.6</v>
      </c>
    </row>
    <row r="53" spans="1:10">
      <c r="A53" s="43"/>
      <c r="B53" s="21" t="s">
        <v>75</v>
      </c>
      <c r="C53" s="61">
        <v>15</v>
      </c>
      <c r="D53" s="13">
        <v>3</v>
      </c>
      <c r="E53" s="61">
        <f t="shared" si="1"/>
        <v>45</v>
      </c>
      <c r="G53" s="21" t="s">
        <v>75</v>
      </c>
      <c r="H53" s="61">
        <v>15</v>
      </c>
      <c r="I53" s="13">
        <v>3</v>
      </c>
      <c r="J53" s="61">
        <f t="shared" si="2"/>
        <v>45</v>
      </c>
    </row>
    <row r="54" spans="1:10">
      <c r="A54" s="43"/>
      <c r="B54" s="21" t="s">
        <v>76</v>
      </c>
      <c r="C54" s="61">
        <v>8</v>
      </c>
      <c r="D54" s="13">
        <v>3</v>
      </c>
      <c r="E54" s="61">
        <f t="shared" si="1"/>
        <v>24</v>
      </c>
      <c r="G54" s="21" t="s">
        <v>76</v>
      </c>
      <c r="H54" s="61">
        <v>8</v>
      </c>
      <c r="I54" s="13">
        <v>3</v>
      </c>
      <c r="J54" s="61">
        <f t="shared" si="2"/>
        <v>24</v>
      </c>
    </row>
    <row r="55" spans="1:10">
      <c r="A55" s="43"/>
      <c r="B55" s="21" t="s">
        <v>77</v>
      </c>
      <c r="C55" s="61">
        <v>2.5</v>
      </c>
      <c r="D55" s="13">
        <v>5</v>
      </c>
      <c r="E55" s="61">
        <f t="shared" si="1"/>
        <v>12.5</v>
      </c>
      <c r="G55" s="21" t="s">
        <v>77</v>
      </c>
      <c r="H55" s="61">
        <v>2.5</v>
      </c>
      <c r="I55" s="13">
        <v>5</v>
      </c>
      <c r="J55" s="61">
        <f t="shared" si="2"/>
        <v>12.5</v>
      </c>
    </row>
    <row r="56" spans="1:10">
      <c r="A56" s="43"/>
      <c r="B56" s="21" t="s">
        <v>44</v>
      </c>
      <c r="C56" s="61">
        <v>60</v>
      </c>
      <c r="D56" s="13">
        <v>1</v>
      </c>
      <c r="E56" s="61">
        <f t="shared" si="1"/>
        <v>60</v>
      </c>
      <c r="G56" s="21" t="s">
        <v>44</v>
      </c>
      <c r="H56" s="61">
        <v>60</v>
      </c>
      <c r="I56" s="13">
        <v>1</v>
      </c>
      <c r="J56" s="61">
        <f t="shared" si="2"/>
        <v>60</v>
      </c>
    </row>
    <row r="57" spans="1:10">
      <c r="A57" s="43"/>
      <c r="B57" s="21" t="s">
        <v>47</v>
      </c>
      <c r="C57" s="61">
        <v>30</v>
      </c>
      <c r="D57" s="13">
        <v>1</v>
      </c>
      <c r="E57" s="61">
        <f t="shared" si="1"/>
        <v>30</v>
      </c>
      <c r="G57" s="21" t="s">
        <v>47</v>
      </c>
      <c r="H57" s="61">
        <v>30</v>
      </c>
      <c r="I57" s="13">
        <v>1</v>
      </c>
      <c r="J57" s="61">
        <f t="shared" si="2"/>
        <v>30</v>
      </c>
    </row>
    <row r="58" spans="1:10">
      <c r="A58" s="43"/>
      <c r="B58" s="21" t="s">
        <v>165</v>
      </c>
      <c r="C58" s="61">
        <v>200</v>
      </c>
      <c r="D58" s="13">
        <v>2</v>
      </c>
      <c r="E58" s="61">
        <f t="shared" si="1"/>
        <v>400</v>
      </c>
      <c r="G58" s="21" t="s">
        <v>165</v>
      </c>
      <c r="H58" s="61">
        <v>200</v>
      </c>
      <c r="I58" s="13">
        <v>2</v>
      </c>
      <c r="J58" s="61">
        <f t="shared" si="2"/>
        <v>400</v>
      </c>
    </row>
    <row r="59" spans="1:10">
      <c r="A59" s="43"/>
      <c r="B59" s="21" t="s">
        <v>166</v>
      </c>
      <c r="C59" s="61">
        <v>120</v>
      </c>
      <c r="D59" s="13">
        <v>1</v>
      </c>
      <c r="E59" s="61">
        <f t="shared" si="1"/>
        <v>120</v>
      </c>
      <c r="G59" s="21" t="s">
        <v>166</v>
      </c>
      <c r="H59" s="61">
        <v>120</v>
      </c>
      <c r="I59" s="13">
        <v>1</v>
      </c>
      <c r="J59" s="61">
        <f t="shared" si="2"/>
        <v>120</v>
      </c>
    </row>
    <row r="60" spans="1:10">
      <c r="A60" s="43"/>
      <c r="B60" s="21" t="s">
        <v>78</v>
      </c>
      <c r="C60" s="61">
        <v>11</v>
      </c>
      <c r="D60" s="13">
        <v>2</v>
      </c>
      <c r="E60" s="61">
        <f t="shared" si="1"/>
        <v>22</v>
      </c>
      <c r="G60" s="21" t="s">
        <v>78</v>
      </c>
      <c r="H60" s="61">
        <v>11</v>
      </c>
      <c r="I60" s="13">
        <v>2</v>
      </c>
      <c r="J60" s="61">
        <f t="shared" si="2"/>
        <v>22</v>
      </c>
    </row>
    <row r="61" spans="1:10">
      <c r="A61" s="43"/>
      <c r="B61" s="21" t="s">
        <v>93</v>
      </c>
      <c r="C61" s="13">
        <v>100</v>
      </c>
      <c r="D61" s="13">
        <v>1</v>
      </c>
      <c r="E61" s="61">
        <f>+C61*D61</f>
        <v>100</v>
      </c>
      <c r="G61" s="21" t="s">
        <v>93</v>
      </c>
      <c r="H61" s="13">
        <v>100</v>
      </c>
      <c r="I61" s="13">
        <v>1</v>
      </c>
      <c r="J61" s="61">
        <f>+H61*I61</f>
        <v>100</v>
      </c>
    </row>
    <row r="62" spans="1:10">
      <c r="A62" s="43"/>
      <c r="B62" s="21" t="s">
        <v>127</v>
      </c>
      <c r="C62" s="13">
        <v>20</v>
      </c>
      <c r="D62" s="13">
        <v>2</v>
      </c>
      <c r="E62" s="61">
        <f>+C62*D62</f>
        <v>40</v>
      </c>
      <c r="G62" s="21" t="s">
        <v>127</v>
      </c>
      <c r="H62" s="13">
        <v>20</v>
      </c>
      <c r="I62" s="13">
        <v>2</v>
      </c>
      <c r="J62" s="61">
        <f>+H62*I62</f>
        <v>40</v>
      </c>
    </row>
    <row r="63" spans="1:10">
      <c r="A63" s="43"/>
      <c r="B63" s="21"/>
      <c r="C63" s="13"/>
      <c r="D63" s="21"/>
      <c r="E63" s="61">
        <f>+C63*D63</f>
        <v>0</v>
      </c>
      <c r="G63" s="21"/>
      <c r="H63" s="13"/>
      <c r="I63" s="21"/>
      <c r="J63" s="61">
        <f>+H63*I63</f>
        <v>0</v>
      </c>
    </row>
    <row r="64" spans="1:10">
      <c r="A64" s="43"/>
      <c r="B64" s="21"/>
      <c r="C64" s="21"/>
      <c r="D64" s="21"/>
      <c r="E64" s="13"/>
      <c r="G64" s="21"/>
      <c r="H64" s="21"/>
      <c r="I64" s="21"/>
      <c r="J64" s="13"/>
    </row>
    <row r="65" spans="1:10">
      <c r="A65" s="43"/>
    </row>
    <row r="66" spans="1:10">
      <c r="A66" s="43"/>
      <c r="D66" s="84" t="s">
        <v>94</v>
      </c>
      <c r="E66" s="84">
        <f>SUM(E25:E64)</f>
        <v>2226.6999999999998</v>
      </c>
      <c r="I66" s="84" t="s">
        <v>94</v>
      </c>
      <c r="J66" s="84">
        <f>SUM(J25:J64)</f>
        <v>2226.6999999999998</v>
      </c>
    </row>
    <row r="67" spans="1:10">
      <c r="A67" s="43"/>
    </row>
    <row r="68" spans="1:10" hidden="1">
      <c r="A68" s="43"/>
    </row>
    <row r="69" spans="1:10" hidden="1">
      <c r="A69" s="43"/>
      <c r="B69" s="19"/>
      <c r="C69" s="43"/>
      <c r="D69" s="43"/>
      <c r="E69" s="43"/>
    </row>
    <row r="70" spans="1:10" hidden="1">
      <c r="A70" s="43"/>
      <c r="B70" s="19"/>
      <c r="C70" s="43"/>
      <c r="D70" s="43"/>
      <c r="E70" s="43"/>
    </row>
    <row r="71" spans="1:10" hidden="1">
      <c r="A71" s="43"/>
      <c r="B71" s="19"/>
      <c r="C71" s="43"/>
      <c r="D71" s="43"/>
      <c r="E71" s="43"/>
    </row>
    <row r="72" spans="1:10" hidden="1">
      <c r="A72" s="43"/>
      <c r="B72" s="19"/>
      <c r="C72" s="43"/>
      <c r="D72" s="43"/>
      <c r="E72" s="43"/>
    </row>
    <row r="73" spans="1:10" hidden="1">
      <c r="A73" s="43"/>
      <c r="B73" s="19"/>
      <c r="C73" s="43"/>
      <c r="D73" s="43"/>
      <c r="E73" s="43"/>
    </row>
    <row r="74" spans="1:10" hidden="1">
      <c r="A74" s="43"/>
      <c r="B74" s="19"/>
      <c r="C74" s="43"/>
      <c r="D74" s="43"/>
      <c r="E74" s="43"/>
    </row>
    <row r="75" spans="1:10" hidden="1">
      <c r="A75" s="43"/>
      <c r="B75" s="19"/>
      <c r="C75" s="43"/>
      <c r="D75" s="43"/>
      <c r="E75" s="43"/>
    </row>
    <row r="76" spans="1:10" hidden="1">
      <c r="A76" s="43"/>
      <c r="B76" s="19"/>
      <c r="C76" s="43"/>
      <c r="D76" s="43"/>
      <c r="E76" s="43"/>
    </row>
    <row r="77" spans="1:10" hidden="1">
      <c r="A77" s="43"/>
      <c r="B77" s="19"/>
      <c r="C77" s="43"/>
      <c r="D77" s="43"/>
      <c r="E77" s="43"/>
    </row>
    <row r="78" spans="1:10" hidden="1">
      <c r="A78" s="43"/>
      <c r="B78" s="19"/>
      <c r="C78" s="43"/>
      <c r="D78" s="43"/>
      <c r="E78" s="43"/>
    </row>
    <row r="79" spans="1:10" hidden="1">
      <c r="A79" s="43"/>
      <c r="B79" s="19"/>
      <c r="C79" s="43"/>
      <c r="D79" s="43"/>
      <c r="E79" s="43"/>
    </row>
    <row r="80" spans="1:10" hidden="1">
      <c r="A80" s="43"/>
      <c r="B80" s="19"/>
      <c r="C80" s="43"/>
      <c r="D80" s="43"/>
      <c r="E80" s="43"/>
    </row>
    <row r="81" spans="1:5" hidden="1">
      <c r="A81" s="43"/>
      <c r="B81" s="19"/>
      <c r="C81" s="43"/>
      <c r="D81" s="43"/>
      <c r="E81" s="43"/>
    </row>
    <row r="82" spans="1:5" hidden="1">
      <c r="A82" s="43"/>
      <c r="B82" s="19"/>
      <c r="C82" s="43"/>
      <c r="D82" s="43"/>
      <c r="E82" s="43"/>
    </row>
    <row r="83" spans="1:5" hidden="1">
      <c r="A83" s="43"/>
      <c r="B83" s="19"/>
      <c r="C83" s="43"/>
      <c r="D83" s="43"/>
      <c r="E83" s="43"/>
    </row>
    <row r="84" spans="1:5" hidden="1">
      <c r="A84" s="43"/>
      <c r="B84" s="19"/>
      <c r="C84" s="43"/>
      <c r="D84" s="43"/>
      <c r="E84" s="43"/>
    </row>
    <row r="85" spans="1:5" hidden="1">
      <c r="A85" s="43"/>
      <c r="B85" s="19"/>
      <c r="C85" s="43"/>
      <c r="D85" s="43"/>
      <c r="E85" s="43"/>
    </row>
    <row r="86" spans="1:5" hidden="1">
      <c r="A86" s="43"/>
      <c r="B86" s="19"/>
      <c r="C86" s="43"/>
      <c r="D86" s="43"/>
      <c r="E86" s="43"/>
    </row>
    <row r="87" spans="1:5" hidden="1">
      <c r="A87" s="43"/>
      <c r="B87" s="19"/>
      <c r="C87" s="43"/>
      <c r="D87" s="43"/>
      <c r="E87" s="43"/>
    </row>
    <row r="88" spans="1:5" hidden="1">
      <c r="A88" s="43"/>
      <c r="B88" s="43"/>
      <c r="C88" s="43"/>
      <c r="D88" s="43"/>
      <c r="E88" s="43"/>
    </row>
    <row r="89" spans="1:5" hidden="1">
      <c r="A89" s="43"/>
      <c r="B89" s="43"/>
      <c r="C89" s="31"/>
      <c r="D89" s="31"/>
      <c r="E89" s="43"/>
    </row>
    <row r="90" spans="1:5" hidden="1">
      <c r="A90" s="43"/>
      <c r="B90" s="43"/>
      <c r="C90" s="43"/>
      <c r="D90" s="43"/>
      <c r="E90" s="43"/>
    </row>
    <row r="91" spans="1:5" hidden="1">
      <c r="A91" s="43"/>
      <c r="B91" s="43"/>
      <c r="C91" s="43"/>
      <c r="D91" s="43"/>
      <c r="E91" s="43"/>
    </row>
    <row r="92" spans="1:5" hidden="1">
      <c r="A92" s="43"/>
      <c r="B92" s="19"/>
      <c r="C92" s="19"/>
      <c r="D92" s="19"/>
      <c r="E92" s="43"/>
    </row>
    <row r="93" spans="1:5" hidden="1">
      <c r="A93" s="43"/>
      <c r="B93" s="43"/>
      <c r="C93" s="43"/>
      <c r="D93" s="43"/>
      <c r="E93" s="43"/>
    </row>
    <row r="94" spans="1:5" hidden="1">
      <c r="A94" s="43"/>
      <c r="B94" s="43"/>
      <c r="C94" s="43"/>
      <c r="D94" s="43"/>
      <c r="E94" s="43"/>
    </row>
    <row r="95" spans="1:5" hidden="1">
      <c r="A95" s="43"/>
      <c r="B95" s="43"/>
      <c r="C95" s="43"/>
      <c r="D95" s="43"/>
      <c r="E95" s="43"/>
    </row>
    <row r="96" spans="1:5" hidden="1">
      <c r="A96" s="43"/>
      <c r="B96" s="43"/>
      <c r="C96" s="43"/>
      <c r="D96" s="43"/>
      <c r="E96" s="43"/>
    </row>
    <row r="97" spans="1:5" hidden="1">
      <c r="A97" s="43"/>
      <c r="B97" s="43"/>
      <c r="C97" s="43"/>
      <c r="D97" s="43"/>
      <c r="E97" s="43"/>
    </row>
    <row r="98" spans="1:5" hidden="1">
      <c r="A98" s="43"/>
      <c r="B98" s="43"/>
      <c r="C98" s="43"/>
      <c r="D98" s="43"/>
      <c r="E98" s="43"/>
    </row>
    <row r="99" spans="1:5" hidden="1">
      <c r="A99" s="43"/>
      <c r="B99" s="43"/>
      <c r="C99" s="43"/>
      <c r="D99" s="43"/>
      <c r="E99" s="43"/>
    </row>
    <row r="100" spans="1:5" hidden="1">
      <c r="A100" s="43"/>
      <c r="B100" s="43"/>
      <c r="C100" s="43"/>
      <c r="D100" s="43"/>
      <c r="E100" s="43"/>
    </row>
    <row r="101" spans="1:5" hidden="1">
      <c r="A101" s="43"/>
      <c r="B101" s="43"/>
      <c r="C101" s="43"/>
      <c r="D101" s="43"/>
      <c r="E101" s="43"/>
    </row>
    <row r="102" spans="1:5" ht="15.75" hidden="1" customHeight="1">
      <c r="A102" s="43"/>
      <c r="B102" s="83"/>
      <c r="C102" s="83"/>
      <c r="D102" s="83"/>
      <c r="E102" s="83"/>
    </row>
    <row r="103" spans="1:5" hidden="1">
      <c r="A103" s="43"/>
      <c r="B103" s="43"/>
      <c r="C103" s="43"/>
      <c r="D103" s="43"/>
      <c r="E103" s="43"/>
    </row>
    <row r="104" spans="1:5" hidden="1">
      <c r="A104" s="43"/>
      <c r="B104" s="43"/>
      <c r="C104" s="43"/>
      <c r="D104" s="43"/>
      <c r="E104" s="43"/>
    </row>
    <row r="105" spans="1:5" hidden="1">
      <c r="A105" s="43"/>
      <c r="B105" s="43"/>
      <c r="C105" s="43"/>
      <c r="D105" s="43"/>
      <c r="E105" s="43"/>
    </row>
    <row r="106" spans="1:5" hidden="1">
      <c r="B106" s="81"/>
      <c r="C106" s="81"/>
      <c r="D106" s="81"/>
      <c r="E106" s="81"/>
    </row>
    <row r="107" spans="1:5" hidden="1">
      <c r="B107" s="81"/>
      <c r="C107" s="81"/>
      <c r="D107" s="81"/>
      <c r="E107" s="81"/>
    </row>
    <row r="108" spans="1:5" hidden="1">
      <c r="B108" s="81"/>
      <c r="C108" s="81"/>
      <c r="D108" s="81"/>
      <c r="E108" s="81"/>
    </row>
    <row r="109" spans="1:5" hidden="1">
      <c r="B109" s="81"/>
      <c r="C109" s="81"/>
      <c r="D109" s="81"/>
      <c r="E109" s="81"/>
    </row>
    <row r="110" spans="1:5" hidden="1">
      <c r="B110" s="81"/>
      <c r="C110" s="81"/>
      <c r="D110" s="81"/>
      <c r="E110" s="81"/>
    </row>
    <row r="111" spans="1:5" hidden="1">
      <c r="B111" s="81"/>
      <c r="C111" s="81"/>
      <c r="D111" s="81"/>
      <c r="E111" s="81"/>
    </row>
    <row r="114" spans="2:9">
      <c r="B114" s="3" t="s">
        <v>195</v>
      </c>
      <c r="F114">
        <v>10</v>
      </c>
      <c r="H114">
        <v>5</v>
      </c>
    </row>
    <row r="115" spans="2:9">
      <c r="B115" s="232" t="s">
        <v>83</v>
      </c>
      <c r="C115" s="232"/>
      <c r="D115" s="232"/>
      <c r="E115" s="232"/>
      <c r="F115" s="232"/>
      <c r="G115" s="232"/>
      <c r="H115" s="232"/>
    </row>
    <row r="116" spans="2:9" ht="44.25" customHeight="1">
      <c r="B116" s="24" t="s">
        <v>35</v>
      </c>
      <c r="C116" s="25" t="s">
        <v>36</v>
      </c>
      <c r="D116" s="25" t="s">
        <v>37</v>
      </c>
      <c r="E116" s="25" t="s">
        <v>38</v>
      </c>
      <c r="F116" s="25" t="s">
        <v>39</v>
      </c>
      <c r="G116" s="25" t="s">
        <v>40</v>
      </c>
      <c r="H116" s="25" t="s">
        <v>82</v>
      </c>
      <c r="I116" s="25" t="s">
        <v>84</v>
      </c>
    </row>
    <row r="117" spans="2:9">
      <c r="B117" s="21" t="s">
        <v>91</v>
      </c>
      <c r="C117" s="22">
        <v>1100</v>
      </c>
      <c r="D117" s="13">
        <v>1</v>
      </c>
      <c r="E117" s="26">
        <f>+C117*D117</f>
        <v>1100</v>
      </c>
      <c r="F117" s="14">
        <f>+$F$114</f>
        <v>10</v>
      </c>
      <c r="G117" s="22">
        <f>+E117/F117</f>
        <v>110</v>
      </c>
      <c r="H117" s="13">
        <f t="shared" ref="H117:H129" si="3">+G117*$H$114</f>
        <v>550</v>
      </c>
      <c r="I117" s="8">
        <f>+E117-H117</f>
        <v>550</v>
      </c>
    </row>
    <row r="118" spans="2:9">
      <c r="B118" s="21" t="s">
        <v>90</v>
      </c>
      <c r="C118" s="26">
        <v>300</v>
      </c>
      <c r="D118" s="14">
        <v>1</v>
      </c>
      <c r="E118" s="26">
        <f t="shared" ref="E118:E129" si="4">+C118*D118</f>
        <v>300</v>
      </c>
      <c r="F118" s="14">
        <f>+$F$114</f>
        <v>10</v>
      </c>
      <c r="G118" s="22">
        <f t="shared" ref="G118:G129" si="5">+E118/F118</f>
        <v>30</v>
      </c>
      <c r="H118" s="13">
        <f t="shared" si="3"/>
        <v>150</v>
      </c>
      <c r="I118" s="8">
        <f t="shared" ref="I118:I129" si="6">+E118-H118</f>
        <v>150</v>
      </c>
    </row>
    <row r="119" spans="2:9">
      <c r="B119" s="21" t="s">
        <v>41</v>
      </c>
      <c r="C119" s="26">
        <v>250.88</v>
      </c>
      <c r="D119" s="14">
        <v>1</v>
      </c>
      <c r="E119" s="26">
        <f t="shared" si="4"/>
        <v>250.88</v>
      </c>
      <c r="F119" s="14">
        <f>+$F$114</f>
        <v>10</v>
      </c>
      <c r="G119" s="22">
        <f t="shared" si="5"/>
        <v>25.088000000000001</v>
      </c>
      <c r="H119" s="13">
        <f t="shared" si="3"/>
        <v>125.44</v>
      </c>
      <c r="I119" s="8">
        <f t="shared" si="6"/>
        <v>125.44</v>
      </c>
    </row>
    <row r="120" spans="2:9">
      <c r="B120" s="21" t="s">
        <v>42</v>
      </c>
      <c r="C120" s="26">
        <v>1310.6600000000001</v>
      </c>
      <c r="D120" s="14">
        <v>1</v>
      </c>
      <c r="E120" s="26">
        <f t="shared" si="4"/>
        <v>1310.6600000000001</v>
      </c>
      <c r="F120" s="14">
        <f>+$F$114</f>
        <v>10</v>
      </c>
      <c r="G120" s="22">
        <f t="shared" si="5"/>
        <v>131.066</v>
      </c>
      <c r="H120" s="13">
        <f t="shared" si="3"/>
        <v>655.33000000000004</v>
      </c>
      <c r="I120" s="8">
        <f t="shared" si="6"/>
        <v>655.33000000000004</v>
      </c>
    </row>
    <row r="121" spans="2:9">
      <c r="B121" s="21" t="s">
        <v>92</v>
      </c>
      <c r="C121" s="26">
        <v>1200</v>
      </c>
      <c r="D121" s="14">
        <v>1</v>
      </c>
      <c r="E121" s="26">
        <f t="shared" si="4"/>
        <v>1200</v>
      </c>
      <c r="F121" s="14">
        <f>+$F$114</f>
        <v>10</v>
      </c>
      <c r="G121" s="22">
        <f t="shared" si="5"/>
        <v>120</v>
      </c>
      <c r="H121" s="13">
        <f t="shared" si="3"/>
        <v>600</v>
      </c>
      <c r="I121" s="8">
        <f t="shared" si="6"/>
        <v>600</v>
      </c>
    </row>
    <row r="122" spans="2:9">
      <c r="B122" s="21" t="s">
        <v>45</v>
      </c>
      <c r="C122" s="26">
        <v>823.2</v>
      </c>
      <c r="D122" s="14">
        <v>1</v>
      </c>
      <c r="E122" s="26">
        <f t="shared" si="4"/>
        <v>823.2</v>
      </c>
      <c r="F122" s="14">
        <f t="shared" ref="F122:F129" si="7">+$F$114</f>
        <v>10</v>
      </c>
      <c r="G122" s="22">
        <f t="shared" si="5"/>
        <v>82.320000000000007</v>
      </c>
      <c r="H122" s="13">
        <f t="shared" si="3"/>
        <v>411.6</v>
      </c>
      <c r="I122" s="8">
        <f t="shared" si="6"/>
        <v>411.6</v>
      </c>
    </row>
    <row r="123" spans="2:9">
      <c r="B123" s="21" t="s">
        <v>46</v>
      </c>
      <c r="C123" s="26">
        <v>784</v>
      </c>
      <c r="D123" s="14">
        <v>1</v>
      </c>
      <c r="E123" s="26">
        <f t="shared" si="4"/>
        <v>784</v>
      </c>
      <c r="F123" s="14">
        <f t="shared" si="7"/>
        <v>10</v>
      </c>
      <c r="G123" s="22">
        <f t="shared" si="5"/>
        <v>78.400000000000006</v>
      </c>
      <c r="H123" s="13">
        <f t="shared" si="3"/>
        <v>392</v>
      </c>
      <c r="I123" s="8">
        <f t="shared" si="6"/>
        <v>392</v>
      </c>
    </row>
    <row r="124" spans="2:9">
      <c r="B124" s="21" t="s">
        <v>79</v>
      </c>
      <c r="C124" s="26">
        <v>500</v>
      </c>
      <c r="D124" s="14">
        <v>1</v>
      </c>
      <c r="E124" s="26">
        <f t="shared" si="4"/>
        <v>500</v>
      </c>
      <c r="F124" s="14">
        <f t="shared" si="7"/>
        <v>10</v>
      </c>
      <c r="G124" s="22">
        <f t="shared" si="5"/>
        <v>50</v>
      </c>
      <c r="H124" s="13">
        <f t="shared" si="3"/>
        <v>250</v>
      </c>
      <c r="I124" s="8">
        <f t="shared" si="6"/>
        <v>250</v>
      </c>
    </row>
    <row r="125" spans="2:9">
      <c r="B125" s="21" t="s">
        <v>80</v>
      </c>
      <c r="C125" s="26">
        <v>110</v>
      </c>
      <c r="D125" s="14">
        <v>3</v>
      </c>
      <c r="E125" s="26">
        <f t="shared" si="4"/>
        <v>330</v>
      </c>
      <c r="F125" s="14">
        <f t="shared" si="7"/>
        <v>10</v>
      </c>
      <c r="G125" s="22">
        <f t="shared" si="5"/>
        <v>33</v>
      </c>
      <c r="H125" s="13">
        <f t="shared" si="3"/>
        <v>165</v>
      </c>
      <c r="I125" s="8">
        <f t="shared" si="6"/>
        <v>165</v>
      </c>
    </row>
    <row r="126" spans="2:9">
      <c r="B126" s="21" t="s">
        <v>81</v>
      </c>
      <c r="C126" s="26">
        <v>56</v>
      </c>
      <c r="D126" s="14">
        <v>1</v>
      </c>
      <c r="E126" s="26">
        <f t="shared" si="4"/>
        <v>56</v>
      </c>
      <c r="F126" s="14">
        <f t="shared" si="7"/>
        <v>10</v>
      </c>
      <c r="G126" s="22">
        <f t="shared" si="5"/>
        <v>5.6</v>
      </c>
      <c r="H126" s="13">
        <f t="shared" si="3"/>
        <v>28</v>
      </c>
      <c r="I126" s="8">
        <f t="shared" si="6"/>
        <v>28</v>
      </c>
    </row>
    <row r="127" spans="2:9">
      <c r="B127" s="27"/>
      <c r="C127" s="29"/>
      <c r="D127" s="30"/>
      <c r="E127" s="26">
        <f t="shared" si="4"/>
        <v>0</v>
      </c>
      <c r="F127" s="14">
        <f t="shared" si="7"/>
        <v>10</v>
      </c>
      <c r="G127" s="22">
        <v>0</v>
      </c>
      <c r="H127" s="13">
        <f t="shared" si="3"/>
        <v>0</v>
      </c>
      <c r="I127" s="8">
        <f t="shared" si="6"/>
        <v>0</v>
      </c>
    </row>
    <row r="128" spans="2:9">
      <c r="B128" s="27"/>
      <c r="C128" s="29"/>
      <c r="D128" s="30"/>
      <c r="E128" s="26">
        <f t="shared" si="4"/>
        <v>0</v>
      </c>
      <c r="F128" s="14">
        <f t="shared" si="7"/>
        <v>10</v>
      </c>
      <c r="G128" s="22">
        <f t="shared" si="5"/>
        <v>0</v>
      </c>
      <c r="H128" s="13">
        <f t="shared" si="3"/>
        <v>0</v>
      </c>
      <c r="I128" s="8">
        <f t="shared" si="6"/>
        <v>0</v>
      </c>
    </row>
    <row r="129" spans="1:21">
      <c r="B129" s="21"/>
      <c r="C129" s="26"/>
      <c r="D129" s="14"/>
      <c r="E129" s="26">
        <f t="shared" si="4"/>
        <v>0</v>
      </c>
      <c r="F129" s="14">
        <f t="shared" si="7"/>
        <v>10</v>
      </c>
      <c r="G129" s="22">
        <f t="shared" si="5"/>
        <v>0</v>
      </c>
      <c r="H129" s="13">
        <f t="shared" si="3"/>
        <v>0</v>
      </c>
      <c r="I129" s="8">
        <f t="shared" si="6"/>
        <v>0</v>
      </c>
    </row>
    <row r="130" spans="1:21" s="16" customFormat="1">
      <c r="C130" s="18"/>
      <c r="D130" s="84" t="s">
        <v>94</v>
      </c>
      <c r="E130" s="84">
        <f>SUM(E117:E129)</f>
        <v>6654.74</v>
      </c>
      <c r="F130" s="28"/>
      <c r="G130" s="58">
        <f>SUM(G117:G129)</f>
        <v>665.47400000000005</v>
      </c>
      <c r="H130" s="89" t="s">
        <v>85</v>
      </c>
      <c r="I130" s="89">
        <f>SUM(I117:I129)</f>
        <v>3327.37</v>
      </c>
    </row>
    <row r="131" spans="1:21" s="16" customFormat="1" ht="15.75">
      <c r="A131" s="71"/>
      <c r="B131" s="71"/>
      <c r="C131" s="72"/>
      <c r="D131" s="73"/>
      <c r="E131" s="74"/>
      <c r="F131" s="73"/>
      <c r="G131" s="72"/>
      <c r="H131" s="71"/>
    </row>
    <row r="132" spans="1:21" s="16" customFormat="1">
      <c r="A132" s="71"/>
      <c r="B132" s="71"/>
      <c r="C132" s="72"/>
      <c r="D132" s="73"/>
      <c r="E132" s="73"/>
      <c r="F132" s="73">
        <v>3</v>
      </c>
      <c r="G132" s="72"/>
      <c r="H132" s="71"/>
      <c r="O132" s="18"/>
      <c r="P132" s="28"/>
      <c r="Q132" s="28"/>
      <c r="R132" s="28">
        <v>3</v>
      </c>
      <c r="S132" s="18"/>
    </row>
    <row r="133" spans="1:21" ht="45">
      <c r="A133" s="17"/>
      <c r="B133" s="24" t="s">
        <v>35</v>
      </c>
      <c r="C133" s="25" t="s">
        <v>36</v>
      </c>
      <c r="D133" s="25" t="s">
        <v>37</v>
      </c>
      <c r="E133" s="25" t="s">
        <v>38</v>
      </c>
      <c r="F133" s="25" t="s">
        <v>39</v>
      </c>
      <c r="G133" s="25" t="s">
        <v>40</v>
      </c>
      <c r="H133" s="25" t="s">
        <v>82</v>
      </c>
      <c r="I133" s="25" t="s">
        <v>84</v>
      </c>
      <c r="N133" s="24" t="s">
        <v>35</v>
      </c>
      <c r="O133" s="25" t="s">
        <v>36</v>
      </c>
      <c r="P133" s="25" t="s">
        <v>37</v>
      </c>
      <c r="Q133" s="25" t="s">
        <v>38</v>
      </c>
      <c r="R133" s="25" t="s">
        <v>39</v>
      </c>
      <c r="S133" s="25" t="s">
        <v>40</v>
      </c>
      <c r="T133" s="25" t="s">
        <v>82</v>
      </c>
      <c r="U133" s="25" t="s">
        <v>84</v>
      </c>
    </row>
    <row r="134" spans="1:21">
      <c r="A134" s="17"/>
      <c r="B134" s="21" t="s">
        <v>43</v>
      </c>
      <c r="C134" s="22">
        <v>509.79</v>
      </c>
      <c r="D134" s="13">
        <v>2</v>
      </c>
      <c r="E134" s="26">
        <f t="shared" ref="E134:E172" si="8">+C134*D134</f>
        <v>1019.58</v>
      </c>
      <c r="F134" s="13">
        <f>+$F$132</f>
        <v>3</v>
      </c>
      <c r="G134" s="61">
        <f>+E134/F134</f>
        <v>339.86</v>
      </c>
      <c r="H134" s="13">
        <f>+G134*$F$132</f>
        <v>1019.58</v>
      </c>
      <c r="I134" s="61">
        <f>+E134-H134</f>
        <v>0</v>
      </c>
      <c r="N134" s="21" t="str">
        <f>+B134</f>
        <v>Licuadora</v>
      </c>
      <c r="O134" s="13">
        <f>+C134</f>
        <v>509.79</v>
      </c>
      <c r="P134" s="13">
        <f>+D134</f>
        <v>2</v>
      </c>
      <c r="Q134" s="61">
        <f t="shared" ref="Q134:Q173" si="9">+O134*P134</f>
        <v>1019.58</v>
      </c>
      <c r="R134" s="13">
        <f>+$F$132</f>
        <v>3</v>
      </c>
      <c r="S134" s="61">
        <f>+Q134/R134</f>
        <v>339.86</v>
      </c>
      <c r="T134" s="13">
        <f>+S134*$F$132</f>
        <v>1019.58</v>
      </c>
      <c r="U134" s="61">
        <f>+Q134-T134</f>
        <v>0</v>
      </c>
    </row>
    <row r="135" spans="1:21">
      <c r="A135" s="17"/>
      <c r="B135" s="21" t="s">
        <v>48</v>
      </c>
      <c r="C135" s="26">
        <v>8</v>
      </c>
      <c r="D135" s="13">
        <v>3</v>
      </c>
      <c r="E135" s="26">
        <f t="shared" si="8"/>
        <v>24</v>
      </c>
      <c r="F135" s="13">
        <f t="shared" ref="F135:F172" si="10">+$F$132</f>
        <v>3</v>
      </c>
      <c r="G135" s="61">
        <f t="shared" ref="G135:G172" si="11">+E135/F135</f>
        <v>8</v>
      </c>
      <c r="H135" s="13">
        <f t="shared" ref="H135:H173" si="12">+G135*$F$132</f>
        <v>24</v>
      </c>
      <c r="I135" s="61">
        <f t="shared" ref="I135:I173" si="13">+E135-H135</f>
        <v>0</v>
      </c>
      <c r="N135" s="21" t="str">
        <f t="shared" ref="N135:N171" si="14">+B135</f>
        <v>Tablas para picar</v>
      </c>
      <c r="O135" s="13">
        <f t="shared" ref="O135:O173" si="15">+C135</f>
        <v>8</v>
      </c>
      <c r="P135" s="13">
        <f t="shared" ref="P135:P173" si="16">+D135</f>
        <v>3</v>
      </c>
      <c r="Q135" s="61">
        <f t="shared" si="9"/>
        <v>24</v>
      </c>
      <c r="R135" s="13">
        <f t="shared" ref="R135:R173" si="17">+$F$132</f>
        <v>3</v>
      </c>
      <c r="S135" s="61">
        <f t="shared" ref="S135:S172" si="18">+Q135/R135</f>
        <v>8</v>
      </c>
      <c r="T135" s="13">
        <f t="shared" ref="T135:T173" si="19">+S135*$F$132</f>
        <v>24</v>
      </c>
      <c r="U135" s="61">
        <f t="shared" ref="U135:U173" si="20">+Q135-T135</f>
        <v>0</v>
      </c>
    </row>
    <row r="136" spans="1:21">
      <c r="A136" s="17"/>
      <c r="B136" s="21" t="s">
        <v>49</v>
      </c>
      <c r="C136" s="26">
        <v>5</v>
      </c>
      <c r="D136" s="13">
        <v>3</v>
      </c>
      <c r="E136" s="26">
        <f t="shared" si="8"/>
        <v>15</v>
      </c>
      <c r="F136" s="13">
        <f t="shared" si="10"/>
        <v>3</v>
      </c>
      <c r="G136" s="61">
        <f t="shared" si="11"/>
        <v>5</v>
      </c>
      <c r="H136" s="13">
        <f t="shared" si="12"/>
        <v>15</v>
      </c>
      <c r="I136" s="61">
        <f t="shared" si="13"/>
        <v>0</v>
      </c>
      <c r="N136" s="21" t="str">
        <f t="shared" si="14"/>
        <v>Cucharetas</v>
      </c>
      <c r="O136" s="13">
        <f t="shared" si="15"/>
        <v>5</v>
      </c>
      <c r="P136" s="13">
        <f t="shared" si="16"/>
        <v>3</v>
      </c>
      <c r="Q136" s="61">
        <f t="shared" si="9"/>
        <v>15</v>
      </c>
      <c r="R136" s="13">
        <f t="shared" si="17"/>
        <v>3</v>
      </c>
      <c r="S136" s="61">
        <f t="shared" si="18"/>
        <v>5</v>
      </c>
      <c r="T136" s="13">
        <f t="shared" si="19"/>
        <v>15</v>
      </c>
      <c r="U136" s="61">
        <f t="shared" si="20"/>
        <v>0</v>
      </c>
    </row>
    <row r="137" spans="1:21">
      <c r="A137" s="17"/>
      <c r="B137" s="21" t="s">
        <v>50</v>
      </c>
      <c r="C137" s="26">
        <v>4</v>
      </c>
      <c r="D137" s="13">
        <v>1</v>
      </c>
      <c r="E137" s="26">
        <f t="shared" si="8"/>
        <v>4</v>
      </c>
      <c r="F137" s="13">
        <f t="shared" si="10"/>
        <v>3</v>
      </c>
      <c r="G137" s="61">
        <f t="shared" si="11"/>
        <v>1.3333333333333333</v>
      </c>
      <c r="H137" s="13">
        <f t="shared" si="12"/>
        <v>4</v>
      </c>
      <c r="I137" s="61">
        <f t="shared" si="13"/>
        <v>0</v>
      </c>
      <c r="N137" s="21" t="str">
        <f t="shared" si="14"/>
        <v>Cuchillo cebollero</v>
      </c>
      <c r="O137" s="13">
        <f t="shared" si="15"/>
        <v>4</v>
      </c>
      <c r="P137" s="13">
        <f t="shared" si="16"/>
        <v>1</v>
      </c>
      <c r="Q137" s="61">
        <f t="shared" si="9"/>
        <v>4</v>
      </c>
      <c r="R137" s="13">
        <f t="shared" si="17"/>
        <v>3</v>
      </c>
      <c r="S137" s="61">
        <f t="shared" si="18"/>
        <v>1.3333333333333333</v>
      </c>
      <c r="T137" s="13">
        <f t="shared" si="19"/>
        <v>4</v>
      </c>
      <c r="U137" s="61">
        <f t="shared" si="20"/>
        <v>0</v>
      </c>
    </row>
    <row r="138" spans="1:21">
      <c r="A138" s="17"/>
      <c r="B138" s="21" t="s">
        <v>51</v>
      </c>
      <c r="C138" s="26">
        <v>4</v>
      </c>
      <c r="D138" s="13">
        <v>1</v>
      </c>
      <c r="E138" s="26">
        <f t="shared" si="8"/>
        <v>4</v>
      </c>
      <c r="F138" s="13">
        <f t="shared" si="10"/>
        <v>3</v>
      </c>
      <c r="G138" s="61">
        <f t="shared" si="11"/>
        <v>1.3333333333333333</v>
      </c>
      <c r="H138" s="13">
        <f t="shared" si="12"/>
        <v>4</v>
      </c>
      <c r="I138" s="61">
        <f t="shared" si="13"/>
        <v>0</v>
      </c>
      <c r="N138" s="21" t="str">
        <f t="shared" si="14"/>
        <v>Cuchillo deshuesador</v>
      </c>
      <c r="O138" s="13">
        <f t="shared" si="15"/>
        <v>4</v>
      </c>
      <c r="P138" s="13">
        <f t="shared" si="16"/>
        <v>1</v>
      </c>
      <c r="Q138" s="61">
        <f t="shared" si="9"/>
        <v>4</v>
      </c>
      <c r="R138" s="13">
        <f t="shared" si="17"/>
        <v>3</v>
      </c>
      <c r="S138" s="61">
        <f t="shared" si="18"/>
        <v>1.3333333333333333</v>
      </c>
      <c r="T138" s="13">
        <f t="shared" si="19"/>
        <v>4</v>
      </c>
      <c r="U138" s="61">
        <f t="shared" si="20"/>
        <v>0</v>
      </c>
    </row>
    <row r="139" spans="1:21">
      <c r="A139" s="17"/>
      <c r="B139" s="21" t="s">
        <v>52</v>
      </c>
      <c r="C139" s="8">
        <v>3</v>
      </c>
      <c r="D139" s="13">
        <v>1</v>
      </c>
      <c r="E139" s="26">
        <f t="shared" si="8"/>
        <v>3</v>
      </c>
      <c r="F139" s="13">
        <f t="shared" si="10"/>
        <v>3</v>
      </c>
      <c r="G139" s="61">
        <f t="shared" si="11"/>
        <v>1</v>
      </c>
      <c r="H139" s="13">
        <f t="shared" si="12"/>
        <v>3</v>
      </c>
      <c r="I139" s="61">
        <f t="shared" si="13"/>
        <v>0</v>
      </c>
      <c r="N139" s="21" t="str">
        <f t="shared" si="14"/>
        <v xml:space="preserve">Cuchillo puntilla </v>
      </c>
      <c r="O139" s="13">
        <f t="shared" si="15"/>
        <v>3</v>
      </c>
      <c r="P139" s="13">
        <f t="shared" si="16"/>
        <v>1</v>
      </c>
      <c r="Q139" s="61">
        <f t="shared" si="9"/>
        <v>3</v>
      </c>
      <c r="R139" s="13">
        <f t="shared" si="17"/>
        <v>3</v>
      </c>
      <c r="S139" s="61">
        <f t="shared" si="18"/>
        <v>1</v>
      </c>
      <c r="T139" s="13">
        <f t="shared" si="19"/>
        <v>3</v>
      </c>
      <c r="U139" s="61">
        <f t="shared" si="20"/>
        <v>0</v>
      </c>
    </row>
    <row r="140" spans="1:21">
      <c r="A140" s="17"/>
      <c r="B140" s="21" t="s">
        <v>53</v>
      </c>
      <c r="C140" s="8">
        <v>4.4800000000000004</v>
      </c>
      <c r="D140" s="13">
        <v>1</v>
      </c>
      <c r="E140" s="26">
        <f t="shared" si="8"/>
        <v>4.4800000000000004</v>
      </c>
      <c r="F140" s="13">
        <f t="shared" si="10"/>
        <v>3</v>
      </c>
      <c r="G140" s="61">
        <f t="shared" si="11"/>
        <v>1.4933333333333334</v>
      </c>
      <c r="H140" s="13">
        <f t="shared" si="12"/>
        <v>4.4800000000000004</v>
      </c>
      <c r="I140" s="61">
        <f t="shared" si="13"/>
        <v>0</v>
      </c>
      <c r="N140" s="21" t="str">
        <f t="shared" si="14"/>
        <v xml:space="preserve">Cuchillo de sierra </v>
      </c>
      <c r="O140" s="13">
        <f t="shared" si="15"/>
        <v>4.4800000000000004</v>
      </c>
      <c r="P140" s="13">
        <f t="shared" si="16"/>
        <v>1</v>
      </c>
      <c r="Q140" s="61">
        <f t="shared" si="9"/>
        <v>4.4800000000000004</v>
      </c>
      <c r="R140" s="13">
        <f t="shared" si="17"/>
        <v>3</v>
      </c>
      <c r="S140" s="61">
        <f t="shared" si="18"/>
        <v>1.4933333333333334</v>
      </c>
      <c r="T140" s="13">
        <f t="shared" si="19"/>
        <v>4.4800000000000004</v>
      </c>
      <c r="U140" s="61">
        <f t="shared" si="20"/>
        <v>0</v>
      </c>
    </row>
    <row r="141" spans="1:21">
      <c r="A141" s="17"/>
      <c r="B141" s="21" t="s">
        <v>54</v>
      </c>
      <c r="C141" s="8">
        <v>5</v>
      </c>
      <c r="D141" s="13">
        <v>2</v>
      </c>
      <c r="E141" s="26">
        <f t="shared" si="8"/>
        <v>10</v>
      </c>
      <c r="F141" s="13">
        <f t="shared" si="10"/>
        <v>3</v>
      </c>
      <c r="G141" s="61">
        <f t="shared" si="11"/>
        <v>3.3333333333333335</v>
      </c>
      <c r="H141" s="13">
        <f t="shared" si="12"/>
        <v>10</v>
      </c>
      <c r="I141" s="61">
        <f t="shared" si="13"/>
        <v>0</v>
      </c>
      <c r="N141" s="21" t="str">
        <f t="shared" si="14"/>
        <v>Cuchillo de cocina</v>
      </c>
      <c r="O141" s="13">
        <f t="shared" si="15"/>
        <v>5</v>
      </c>
      <c r="P141" s="13">
        <f t="shared" si="16"/>
        <v>2</v>
      </c>
      <c r="Q141" s="61">
        <f t="shared" si="9"/>
        <v>10</v>
      </c>
      <c r="R141" s="13">
        <f t="shared" si="17"/>
        <v>3</v>
      </c>
      <c r="S141" s="61">
        <f t="shared" si="18"/>
        <v>3.3333333333333335</v>
      </c>
      <c r="T141" s="13">
        <f t="shared" si="19"/>
        <v>10</v>
      </c>
      <c r="U141" s="61">
        <f t="shared" si="20"/>
        <v>0</v>
      </c>
    </row>
    <row r="142" spans="1:21">
      <c r="A142" s="17"/>
      <c r="B142" s="21" t="s">
        <v>55</v>
      </c>
      <c r="C142" s="8">
        <v>6.38</v>
      </c>
      <c r="D142" s="13">
        <v>2</v>
      </c>
      <c r="E142" s="26">
        <f t="shared" si="8"/>
        <v>12.76</v>
      </c>
      <c r="F142" s="13">
        <f t="shared" si="10"/>
        <v>3</v>
      </c>
      <c r="G142" s="61">
        <f t="shared" si="11"/>
        <v>4.253333333333333</v>
      </c>
      <c r="H142" s="13">
        <f t="shared" si="12"/>
        <v>12.759999999999998</v>
      </c>
      <c r="I142" s="61">
        <f t="shared" si="13"/>
        <v>0</v>
      </c>
      <c r="N142" s="21" t="str">
        <f t="shared" si="14"/>
        <v>Rallador de 4 lados</v>
      </c>
      <c r="O142" s="13">
        <f t="shared" si="15"/>
        <v>6.38</v>
      </c>
      <c r="P142" s="13">
        <f t="shared" si="16"/>
        <v>2</v>
      </c>
      <c r="Q142" s="61">
        <f t="shared" si="9"/>
        <v>12.76</v>
      </c>
      <c r="R142" s="13">
        <f t="shared" si="17"/>
        <v>3</v>
      </c>
      <c r="S142" s="61">
        <f t="shared" si="18"/>
        <v>4.253333333333333</v>
      </c>
      <c r="T142" s="13">
        <f t="shared" si="19"/>
        <v>12.759999999999998</v>
      </c>
      <c r="U142" s="61">
        <f t="shared" si="20"/>
        <v>0</v>
      </c>
    </row>
    <row r="143" spans="1:21">
      <c r="A143" s="17"/>
      <c r="B143" s="21" t="s">
        <v>56</v>
      </c>
      <c r="C143" s="8">
        <v>10.42</v>
      </c>
      <c r="D143" s="13">
        <v>2</v>
      </c>
      <c r="E143" s="26">
        <f t="shared" si="8"/>
        <v>20.84</v>
      </c>
      <c r="F143" s="13">
        <f t="shared" si="10"/>
        <v>3</v>
      </c>
      <c r="G143" s="61">
        <f t="shared" si="11"/>
        <v>6.9466666666666663</v>
      </c>
      <c r="H143" s="13">
        <f t="shared" si="12"/>
        <v>20.84</v>
      </c>
      <c r="I143" s="61">
        <f t="shared" si="13"/>
        <v>0</v>
      </c>
      <c r="N143" s="21" t="str">
        <f t="shared" si="14"/>
        <v>Juego de 3 cernideras</v>
      </c>
      <c r="O143" s="13">
        <f t="shared" si="15"/>
        <v>10.42</v>
      </c>
      <c r="P143" s="13">
        <f t="shared" si="16"/>
        <v>2</v>
      </c>
      <c r="Q143" s="61">
        <f t="shared" si="9"/>
        <v>20.84</v>
      </c>
      <c r="R143" s="13">
        <f t="shared" si="17"/>
        <v>3</v>
      </c>
      <c r="S143" s="61">
        <f t="shared" si="18"/>
        <v>6.9466666666666663</v>
      </c>
      <c r="T143" s="13">
        <f t="shared" si="19"/>
        <v>20.84</v>
      </c>
      <c r="U143" s="61">
        <f t="shared" si="20"/>
        <v>0</v>
      </c>
    </row>
    <row r="144" spans="1:21">
      <c r="A144" s="17"/>
      <c r="B144" s="21" t="s">
        <v>57</v>
      </c>
      <c r="C144" s="26">
        <v>7</v>
      </c>
      <c r="D144" s="13">
        <v>2</v>
      </c>
      <c r="E144" s="26">
        <f t="shared" si="8"/>
        <v>14</v>
      </c>
      <c r="F144" s="13">
        <f t="shared" si="10"/>
        <v>3</v>
      </c>
      <c r="G144" s="61">
        <f t="shared" si="11"/>
        <v>4.666666666666667</v>
      </c>
      <c r="H144" s="13">
        <f t="shared" si="12"/>
        <v>14</v>
      </c>
      <c r="I144" s="61">
        <f t="shared" si="13"/>
        <v>0</v>
      </c>
      <c r="N144" s="21" t="str">
        <f t="shared" si="14"/>
        <v xml:space="preserve">Rodillo de madera </v>
      </c>
      <c r="O144" s="13">
        <f t="shared" si="15"/>
        <v>7</v>
      </c>
      <c r="P144" s="13">
        <f t="shared" si="16"/>
        <v>2</v>
      </c>
      <c r="Q144" s="61">
        <f t="shared" si="9"/>
        <v>14</v>
      </c>
      <c r="R144" s="13">
        <f t="shared" si="17"/>
        <v>3</v>
      </c>
      <c r="S144" s="61">
        <f t="shared" si="18"/>
        <v>4.666666666666667</v>
      </c>
      <c r="T144" s="13">
        <f t="shared" si="19"/>
        <v>14</v>
      </c>
      <c r="U144" s="61">
        <f t="shared" si="20"/>
        <v>0</v>
      </c>
    </row>
    <row r="145" spans="1:21">
      <c r="A145" s="17"/>
      <c r="B145" s="21" t="s">
        <v>58</v>
      </c>
      <c r="C145" s="26">
        <v>3</v>
      </c>
      <c r="D145" s="13">
        <v>2</v>
      </c>
      <c r="E145" s="26">
        <f t="shared" si="8"/>
        <v>6</v>
      </c>
      <c r="F145" s="13">
        <f t="shared" si="10"/>
        <v>3</v>
      </c>
      <c r="G145" s="61">
        <f t="shared" si="11"/>
        <v>2</v>
      </c>
      <c r="H145" s="13">
        <f t="shared" si="12"/>
        <v>6</v>
      </c>
      <c r="I145" s="61">
        <f t="shared" si="13"/>
        <v>0</v>
      </c>
      <c r="N145" s="21" t="str">
        <f t="shared" si="14"/>
        <v>Cuchara espumadera</v>
      </c>
      <c r="O145" s="13">
        <f t="shared" si="15"/>
        <v>3</v>
      </c>
      <c r="P145" s="13">
        <f t="shared" si="16"/>
        <v>2</v>
      </c>
      <c r="Q145" s="61">
        <f t="shared" si="9"/>
        <v>6</v>
      </c>
      <c r="R145" s="13">
        <f t="shared" si="17"/>
        <v>3</v>
      </c>
      <c r="S145" s="61">
        <f t="shared" si="18"/>
        <v>2</v>
      </c>
      <c r="T145" s="13">
        <f t="shared" si="19"/>
        <v>6</v>
      </c>
      <c r="U145" s="61">
        <f t="shared" si="20"/>
        <v>0</v>
      </c>
    </row>
    <row r="146" spans="1:21">
      <c r="A146" s="17"/>
      <c r="B146" s="21" t="s">
        <v>59</v>
      </c>
      <c r="C146" s="26">
        <v>5</v>
      </c>
      <c r="D146" s="13">
        <v>2</v>
      </c>
      <c r="E146" s="26">
        <f t="shared" si="8"/>
        <v>10</v>
      </c>
      <c r="F146" s="13">
        <f t="shared" si="10"/>
        <v>3</v>
      </c>
      <c r="G146" s="61">
        <f t="shared" si="11"/>
        <v>3.3333333333333335</v>
      </c>
      <c r="H146" s="13">
        <f t="shared" si="12"/>
        <v>10</v>
      </c>
      <c r="I146" s="61">
        <f t="shared" si="13"/>
        <v>0</v>
      </c>
      <c r="N146" s="21" t="str">
        <f t="shared" si="14"/>
        <v xml:space="preserve">Espátula de goma </v>
      </c>
      <c r="O146" s="13">
        <f t="shared" si="15"/>
        <v>5</v>
      </c>
      <c r="P146" s="13">
        <f t="shared" si="16"/>
        <v>2</v>
      </c>
      <c r="Q146" s="61">
        <f t="shared" si="9"/>
        <v>10</v>
      </c>
      <c r="R146" s="13">
        <f t="shared" si="17"/>
        <v>3</v>
      </c>
      <c r="S146" s="61">
        <f t="shared" si="18"/>
        <v>3.3333333333333335</v>
      </c>
      <c r="T146" s="13">
        <f t="shared" si="19"/>
        <v>10</v>
      </c>
      <c r="U146" s="61">
        <f t="shared" si="20"/>
        <v>0</v>
      </c>
    </row>
    <row r="147" spans="1:21">
      <c r="A147" s="17"/>
      <c r="B147" s="21" t="s">
        <v>60</v>
      </c>
      <c r="C147" s="26">
        <v>3.5</v>
      </c>
      <c r="D147" s="13">
        <v>2</v>
      </c>
      <c r="E147" s="26">
        <f t="shared" si="8"/>
        <v>7</v>
      </c>
      <c r="F147" s="13">
        <f t="shared" si="10"/>
        <v>3</v>
      </c>
      <c r="G147" s="61">
        <f t="shared" si="11"/>
        <v>2.3333333333333335</v>
      </c>
      <c r="H147" s="13">
        <f t="shared" si="12"/>
        <v>7</v>
      </c>
      <c r="I147" s="61">
        <f t="shared" si="13"/>
        <v>0</v>
      </c>
      <c r="N147" s="21" t="str">
        <f t="shared" si="14"/>
        <v>Espátula de decoración pequeña</v>
      </c>
      <c r="O147" s="13">
        <f t="shared" si="15"/>
        <v>3.5</v>
      </c>
      <c r="P147" s="13">
        <f t="shared" si="16"/>
        <v>2</v>
      </c>
      <c r="Q147" s="61">
        <f t="shared" si="9"/>
        <v>7</v>
      </c>
      <c r="R147" s="13">
        <f t="shared" si="17"/>
        <v>3</v>
      </c>
      <c r="S147" s="61">
        <f t="shared" si="18"/>
        <v>2.3333333333333335</v>
      </c>
      <c r="T147" s="13">
        <f t="shared" si="19"/>
        <v>7</v>
      </c>
      <c r="U147" s="61">
        <f t="shared" si="20"/>
        <v>0</v>
      </c>
    </row>
    <row r="148" spans="1:21">
      <c r="A148" s="17"/>
      <c r="B148" s="21" t="s">
        <v>61</v>
      </c>
      <c r="C148" s="26">
        <v>4.37</v>
      </c>
      <c r="D148" s="13">
        <v>2</v>
      </c>
      <c r="E148" s="26">
        <f t="shared" si="8"/>
        <v>8.74</v>
      </c>
      <c r="F148" s="13">
        <f t="shared" si="10"/>
        <v>3</v>
      </c>
      <c r="G148" s="61">
        <f t="shared" si="11"/>
        <v>2.9133333333333336</v>
      </c>
      <c r="H148" s="13">
        <f t="shared" si="12"/>
        <v>8.74</v>
      </c>
      <c r="I148" s="61">
        <f t="shared" si="13"/>
        <v>0</v>
      </c>
      <c r="N148" s="21" t="str">
        <f t="shared" si="14"/>
        <v>Espátula de decoración grande</v>
      </c>
      <c r="O148" s="13">
        <f t="shared" si="15"/>
        <v>4.37</v>
      </c>
      <c r="P148" s="13">
        <f t="shared" si="16"/>
        <v>2</v>
      </c>
      <c r="Q148" s="61">
        <f t="shared" si="9"/>
        <v>8.74</v>
      </c>
      <c r="R148" s="13">
        <f t="shared" si="17"/>
        <v>3</v>
      </c>
      <c r="S148" s="61">
        <f t="shared" si="18"/>
        <v>2.9133333333333336</v>
      </c>
      <c r="T148" s="13">
        <f t="shared" si="19"/>
        <v>8.74</v>
      </c>
      <c r="U148" s="61">
        <f t="shared" si="20"/>
        <v>0</v>
      </c>
    </row>
    <row r="149" spans="1:21">
      <c r="A149" s="17"/>
      <c r="B149" s="21" t="s">
        <v>62</v>
      </c>
      <c r="C149" s="26">
        <v>4.2</v>
      </c>
      <c r="D149" s="13">
        <v>1</v>
      </c>
      <c r="E149" s="26">
        <f t="shared" si="8"/>
        <v>4.2</v>
      </c>
      <c r="F149" s="13">
        <f t="shared" si="10"/>
        <v>3</v>
      </c>
      <c r="G149" s="61">
        <f t="shared" si="11"/>
        <v>1.4000000000000001</v>
      </c>
      <c r="H149" s="13">
        <f t="shared" si="12"/>
        <v>4.2</v>
      </c>
      <c r="I149" s="61">
        <f t="shared" si="13"/>
        <v>0</v>
      </c>
      <c r="N149" s="21" t="str">
        <f t="shared" si="14"/>
        <v>Abrelatas 4.20 2 8.40 5 1.68</v>
      </c>
      <c r="O149" s="13">
        <f t="shared" si="15"/>
        <v>4.2</v>
      </c>
      <c r="P149" s="13">
        <f t="shared" si="16"/>
        <v>1</v>
      </c>
      <c r="Q149" s="61">
        <f t="shared" si="9"/>
        <v>4.2</v>
      </c>
      <c r="R149" s="13">
        <f t="shared" si="17"/>
        <v>3</v>
      </c>
      <c r="S149" s="61">
        <f t="shared" si="18"/>
        <v>1.4000000000000001</v>
      </c>
      <c r="T149" s="13">
        <f t="shared" si="19"/>
        <v>4.2</v>
      </c>
      <c r="U149" s="61">
        <f t="shared" si="20"/>
        <v>0</v>
      </c>
    </row>
    <row r="150" spans="1:21">
      <c r="A150" s="17"/>
      <c r="B150" s="21" t="s">
        <v>63</v>
      </c>
      <c r="C150" s="26">
        <v>3.33</v>
      </c>
      <c r="D150" s="13">
        <v>2</v>
      </c>
      <c r="E150" s="26">
        <f t="shared" si="8"/>
        <v>6.66</v>
      </c>
      <c r="F150" s="13">
        <f t="shared" si="10"/>
        <v>3</v>
      </c>
      <c r="G150" s="61">
        <f t="shared" si="11"/>
        <v>2.2200000000000002</v>
      </c>
      <c r="H150" s="13">
        <f t="shared" si="12"/>
        <v>6.66</v>
      </c>
      <c r="I150" s="61">
        <f t="shared" si="13"/>
        <v>0</v>
      </c>
      <c r="N150" s="21" t="str">
        <f t="shared" si="14"/>
        <v>Pinzas</v>
      </c>
      <c r="O150" s="13">
        <f t="shared" si="15"/>
        <v>3.33</v>
      </c>
      <c r="P150" s="13">
        <f t="shared" si="16"/>
        <v>2</v>
      </c>
      <c r="Q150" s="61">
        <f t="shared" si="9"/>
        <v>6.66</v>
      </c>
      <c r="R150" s="13">
        <f t="shared" si="17"/>
        <v>3</v>
      </c>
      <c r="S150" s="61">
        <f t="shared" si="18"/>
        <v>2.2200000000000002</v>
      </c>
      <c r="T150" s="13">
        <f t="shared" si="19"/>
        <v>6.66</v>
      </c>
      <c r="U150" s="61">
        <f t="shared" si="20"/>
        <v>0</v>
      </c>
    </row>
    <row r="151" spans="1:21">
      <c r="A151" s="17"/>
      <c r="B151" s="21" t="s">
        <v>64</v>
      </c>
      <c r="C151" s="26">
        <v>1.5</v>
      </c>
      <c r="D151" s="13">
        <v>3</v>
      </c>
      <c r="E151" s="26">
        <f t="shared" si="8"/>
        <v>4.5</v>
      </c>
      <c r="F151" s="13">
        <f t="shared" si="10"/>
        <v>3</v>
      </c>
      <c r="G151" s="61">
        <f t="shared" si="11"/>
        <v>1.5</v>
      </c>
      <c r="H151" s="13">
        <f t="shared" si="12"/>
        <v>4.5</v>
      </c>
      <c r="I151" s="61">
        <f t="shared" si="13"/>
        <v>0</v>
      </c>
      <c r="N151" s="21" t="str">
        <f t="shared" si="14"/>
        <v>Boquillas pequeñas</v>
      </c>
      <c r="O151" s="13">
        <f t="shared" si="15"/>
        <v>1.5</v>
      </c>
      <c r="P151" s="13">
        <f t="shared" si="16"/>
        <v>3</v>
      </c>
      <c r="Q151" s="61">
        <f t="shared" si="9"/>
        <v>4.5</v>
      </c>
      <c r="R151" s="13">
        <f t="shared" si="17"/>
        <v>3</v>
      </c>
      <c r="S151" s="61">
        <f t="shared" si="18"/>
        <v>1.5</v>
      </c>
      <c r="T151" s="13">
        <f t="shared" si="19"/>
        <v>4.5</v>
      </c>
      <c r="U151" s="61">
        <f t="shared" si="20"/>
        <v>0</v>
      </c>
    </row>
    <row r="152" spans="1:21">
      <c r="A152" s="17"/>
      <c r="B152" s="21" t="s">
        <v>65</v>
      </c>
      <c r="C152" s="26">
        <v>2.5</v>
      </c>
      <c r="D152" s="13">
        <v>4</v>
      </c>
      <c r="E152" s="26">
        <f t="shared" si="8"/>
        <v>10</v>
      </c>
      <c r="F152" s="13">
        <f t="shared" si="10"/>
        <v>3</v>
      </c>
      <c r="G152" s="61">
        <f t="shared" si="11"/>
        <v>3.3333333333333335</v>
      </c>
      <c r="H152" s="13">
        <f t="shared" si="12"/>
        <v>10</v>
      </c>
      <c r="I152" s="61">
        <f t="shared" si="13"/>
        <v>0</v>
      </c>
      <c r="N152" s="21" t="str">
        <f t="shared" si="14"/>
        <v>Boquillas grandes</v>
      </c>
      <c r="O152" s="13">
        <f t="shared" si="15"/>
        <v>2.5</v>
      </c>
      <c r="P152" s="13">
        <f t="shared" si="16"/>
        <v>4</v>
      </c>
      <c r="Q152" s="61">
        <f t="shared" si="9"/>
        <v>10</v>
      </c>
      <c r="R152" s="13">
        <f t="shared" si="17"/>
        <v>3</v>
      </c>
      <c r="S152" s="61">
        <f t="shared" si="18"/>
        <v>3.3333333333333335</v>
      </c>
      <c r="T152" s="13">
        <f t="shared" si="19"/>
        <v>10</v>
      </c>
      <c r="U152" s="61">
        <f t="shared" si="20"/>
        <v>0</v>
      </c>
    </row>
    <row r="153" spans="1:21">
      <c r="A153" s="17"/>
      <c r="B153" s="21" t="s">
        <v>66</v>
      </c>
      <c r="C153" s="26">
        <v>10</v>
      </c>
      <c r="D153" s="13">
        <v>2</v>
      </c>
      <c r="E153" s="26">
        <f t="shared" si="8"/>
        <v>20</v>
      </c>
      <c r="F153" s="13">
        <f t="shared" si="10"/>
        <v>3</v>
      </c>
      <c r="G153" s="61">
        <f t="shared" si="11"/>
        <v>6.666666666666667</v>
      </c>
      <c r="H153" s="13">
        <f t="shared" si="12"/>
        <v>20</v>
      </c>
      <c r="I153" s="61">
        <f t="shared" si="13"/>
        <v>0</v>
      </c>
      <c r="N153" s="21" t="str">
        <f t="shared" si="14"/>
        <v>Molde para plum cake</v>
      </c>
      <c r="O153" s="13">
        <f t="shared" si="15"/>
        <v>10</v>
      </c>
      <c r="P153" s="13">
        <f t="shared" si="16"/>
        <v>2</v>
      </c>
      <c r="Q153" s="61">
        <f t="shared" si="9"/>
        <v>20</v>
      </c>
      <c r="R153" s="13">
        <f t="shared" si="17"/>
        <v>3</v>
      </c>
      <c r="S153" s="61">
        <f t="shared" si="18"/>
        <v>6.666666666666667</v>
      </c>
      <c r="T153" s="13">
        <f t="shared" si="19"/>
        <v>20</v>
      </c>
      <c r="U153" s="61">
        <f t="shared" si="20"/>
        <v>0</v>
      </c>
    </row>
    <row r="154" spans="1:21">
      <c r="A154" s="17"/>
      <c r="B154" s="21" t="s">
        <v>67</v>
      </c>
      <c r="C154" s="26">
        <v>9.74</v>
      </c>
      <c r="D154" s="13">
        <v>2</v>
      </c>
      <c r="E154" s="26">
        <f t="shared" si="8"/>
        <v>19.48</v>
      </c>
      <c r="F154" s="13">
        <f t="shared" si="10"/>
        <v>3</v>
      </c>
      <c r="G154" s="61">
        <f t="shared" si="11"/>
        <v>6.4933333333333332</v>
      </c>
      <c r="H154" s="13">
        <f t="shared" si="12"/>
        <v>19.48</v>
      </c>
      <c r="I154" s="61">
        <f t="shared" si="13"/>
        <v>0</v>
      </c>
      <c r="N154" s="21" t="str">
        <f t="shared" si="14"/>
        <v xml:space="preserve">Molde con centro hueco </v>
      </c>
      <c r="O154" s="13">
        <f t="shared" si="15"/>
        <v>9.74</v>
      </c>
      <c r="P154" s="13">
        <f t="shared" si="16"/>
        <v>2</v>
      </c>
      <c r="Q154" s="61">
        <f t="shared" si="9"/>
        <v>19.48</v>
      </c>
      <c r="R154" s="13">
        <f t="shared" si="17"/>
        <v>3</v>
      </c>
      <c r="S154" s="61">
        <f t="shared" si="18"/>
        <v>6.4933333333333332</v>
      </c>
      <c r="T154" s="13">
        <f t="shared" si="19"/>
        <v>19.48</v>
      </c>
      <c r="U154" s="61">
        <f t="shared" si="20"/>
        <v>0</v>
      </c>
    </row>
    <row r="155" spans="1:21">
      <c r="A155" s="17"/>
      <c r="B155" s="21" t="s">
        <v>68</v>
      </c>
      <c r="C155" s="26">
        <v>1</v>
      </c>
      <c r="D155" s="13">
        <v>115</v>
      </c>
      <c r="E155" s="26">
        <f t="shared" si="8"/>
        <v>115</v>
      </c>
      <c r="F155" s="13">
        <f t="shared" si="10"/>
        <v>3</v>
      </c>
      <c r="G155" s="61">
        <f t="shared" si="11"/>
        <v>38.333333333333336</v>
      </c>
      <c r="H155" s="13">
        <f t="shared" si="12"/>
        <v>115</v>
      </c>
      <c r="I155" s="61">
        <f t="shared" si="13"/>
        <v>0</v>
      </c>
      <c r="N155" s="21" t="str">
        <f t="shared" si="14"/>
        <v xml:space="preserve">Moldes redondos para postres individuales </v>
      </c>
      <c r="O155" s="13">
        <f t="shared" si="15"/>
        <v>1</v>
      </c>
      <c r="P155" s="13">
        <f t="shared" si="16"/>
        <v>115</v>
      </c>
      <c r="Q155" s="61">
        <f t="shared" si="9"/>
        <v>115</v>
      </c>
      <c r="R155" s="13">
        <f t="shared" si="17"/>
        <v>3</v>
      </c>
      <c r="S155" s="61">
        <f t="shared" si="18"/>
        <v>38.333333333333336</v>
      </c>
      <c r="T155" s="13">
        <f t="shared" si="19"/>
        <v>115</v>
      </c>
      <c r="U155" s="61">
        <f t="shared" si="20"/>
        <v>0</v>
      </c>
    </row>
    <row r="156" spans="1:21">
      <c r="A156" s="17"/>
      <c r="B156" s="21" t="s">
        <v>69</v>
      </c>
      <c r="C156" s="26">
        <v>3</v>
      </c>
      <c r="D156" s="13">
        <v>2</v>
      </c>
      <c r="E156" s="26">
        <f t="shared" si="8"/>
        <v>6</v>
      </c>
      <c r="F156" s="13">
        <f t="shared" si="10"/>
        <v>3</v>
      </c>
      <c r="G156" s="61">
        <f t="shared" si="11"/>
        <v>2</v>
      </c>
      <c r="H156" s="13">
        <f t="shared" si="12"/>
        <v>6</v>
      </c>
      <c r="I156" s="61">
        <f t="shared" si="13"/>
        <v>0</v>
      </c>
      <c r="N156" s="21" t="str">
        <f t="shared" si="14"/>
        <v xml:space="preserve">Juego de 3 cortadores </v>
      </c>
      <c r="O156" s="13">
        <f t="shared" si="15"/>
        <v>3</v>
      </c>
      <c r="P156" s="13">
        <f t="shared" si="16"/>
        <v>2</v>
      </c>
      <c r="Q156" s="61">
        <f t="shared" si="9"/>
        <v>6</v>
      </c>
      <c r="R156" s="13">
        <f t="shared" si="17"/>
        <v>3</v>
      </c>
      <c r="S156" s="61">
        <f t="shared" si="18"/>
        <v>2</v>
      </c>
      <c r="T156" s="13">
        <f t="shared" si="19"/>
        <v>6</v>
      </c>
      <c r="U156" s="61">
        <f t="shared" si="20"/>
        <v>0</v>
      </c>
    </row>
    <row r="157" spans="1:21">
      <c r="A157" s="17"/>
      <c r="B157" s="21" t="s">
        <v>70</v>
      </c>
      <c r="C157" s="26">
        <v>2.1800000000000002</v>
      </c>
      <c r="D157" s="13">
        <v>2</v>
      </c>
      <c r="E157" s="26">
        <f t="shared" si="8"/>
        <v>4.3600000000000003</v>
      </c>
      <c r="F157" s="13">
        <f t="shared" si="10"/>
        <v>3</v>
      </c>
      <c r="G157" s="61">
        <f t="shared" si="11"/>
        <v>1.4533333333333334</v>
      </c>
      <c r="H157" s="13">
        <f t="shared" si="12"/>
        <v>4.3600000000000003</v>
      </c>
      <c r="I157" s="61">
        <f t="shared" si="13"/>
        <v>0</v>
      </c>
      <c r="N157" s="21" t="str">
        <f t="shared" si="14"/>
        <v xml:space="preserve">Jarra de plástico </v>
      </c>
      <c r="O157" s="13">
        <f t="shared" si="15"/>
        <v>2.1800000000000002</v>
      </c>
      <c r="P157" s="13">
        <f t="shared" si="16"/>
        <v>2</v>
      </c>
      <c r="Q157" s="61">
        <f t="shared" si="9"/>
        <v>4.3600000000000003</v>
      </c>
      <c r="R157" s="13">
        <f t="shared" si="17"/>
        <v>3</v>
      </c>
      <c r="S157" s="61">
        <f t="shared" si="18"/>
        <v>1.4533333333333334</v>
      </c>
      <c r="T157" s="13">
        <f t="shared" si="19"/>
        <v>4.3600000000000003</v>
      </c>
      <c r="U157" s="61">
        <f t="shared" si="20"/>
        <v>0</v>
      </c>
    </row>
    <row r="158" spans="1:21">
      <c r="A158" s="17"/>
      <c r="B158" s="21" t="s">
        <v>71</v>
      </c>
      <c r="C158" s="26">
        <v>1.1499999999999999</v>
      </c>
      <c r="D158" s="13">
        <v>4</v>
      </c>
      <c r="E158" s="26">
        <f t="shared" si="8"/>
        <v>4.5999999999999996</v>
      </c>
      <c r="F158" s="13">
        <f t="shared" si="10"/>
        <v>3</v>
      </c>
      <c r="G158" s="61">
        <f t="shared" si="11"/>
        <v>1.5333333333333332</v>
      </c>
      <c r="H158" s="13">
        <f t="shared" si="12"/>
        <v>4.5999999999999996</v>
      </c>
      <c r="I158" s="61">
        <f t="shared" si="13"/>
        <v>0</v>
      </c>
      <c r="N158" s="21" t="str">
        <f t="shared" si="14"/>
        <v xml:space="preserve">Recipientes de plástico pequeños </v>
      </c>
      <c r="O158" s="13">
        <f t="shared" si="15"/>
        <v>1.1499999999999999</v>
      </c>
      <c r="P158" s="13">
        <f t="shared" si="16"/>
        <v>4</v>
      </c>
      <c r="Q158" s="61">
        <f t="shared" si="9"/>
        <v>4.5999999999999996</v>
      </c>
      <c r="R158" s="13">
        <f t="shared" si="17"/>
        <v>3</v>
      </c>
      <c r="S158" s="61">
        <f t="shared" si="18"/>
        <v>1.5333333333333332</v>
      </c>
      <c r="T158" s="13">
        <f t="shared" si="19"/>
        <v>4.5999999999999996</v>
      </c>
      <c r="U158" s="61">
        <f t="shared" si="20"/>
        <v>0</v>
      </c>
    </row>
    <row r="159" spans="1:21">
      <c r="A159" s="17"/>
      <c r="B159" s="21" t="s">
        <v>72</v>
      </c>
      <c r="C159" s="26">
        <v>1.6</v>
      </c>
      <c r="D159" s="13">
        <v>4</v>
      </c>
      <c r="E159" s="26">
        <f t="shared" si="8"/>
        <v>6.4</v>
      </c>
      <c r="F159" s="13">
        <f t="shared" si="10"/>
        <v>3</v>
      </c>
      <c r="G159" s="61">
        <f t="shared" si="11"/>
        <v>2.1333333333333333</v>
      </c>
      <c r="H159" s="13">
        <f t="shared" si="12"/>
        <v>6.4</v>
      </c>
      <c r="I159" s="61">
        <f t="shared" si="13"/>
        <v>0</v>
      </c>
      <c r="N159" s="21" t="str">
        <f t="shared" si="14"/>
        <v>Recipientes de plástico medianos</v>
      </c>
      <c r="O159" s="13">
        <f t="shared" si="15"/>
        <v>1.6</v>
      </c>
      <c r="P159" s="13">
        <f t="shared" si="16"/>
        <v>4</v>
      </c>
      <c r="Q159" s="61">
        <f t="shared" si="9"/>
        <v>6.4</v>
      </c>
      <c r="R159" s="13">
        <f t="shared" si="17"/>
        <v>3</v>
      </c>
      <c r="S159" s="61">
        <f t="shared" si="18"/>
        <v>2.1333333333333333</v>
      </c>
      <c r="T159" s="13">
        <f t="shared" si="19"/>
        <v>6.4</v>
      </c>
      <c r="U159" s="61">
        <f t="shared" si="20"/>
        <v>0</v>
      </c>
    </row>
    <row r="160" spans="1:21">
      <c r="A160" s="17"/>
      <c r="B160" s="21" t="s">
        <v>73</v>
      </c>
      <c r="C160" s="26">
        <v>2</v>
      </c>
      <c r="D160" s="13">
        <v>3</v>
      </c>
      <c r="E160" s="26">
        <f t="shared" si="8"/>
        <v>6</v>
      </c>
      <c r="F160" s="13">
        <f t="shared" si="10"/>
        <v>3</v>
      </c>
      <c r="G160" s="61">
        <f t="shared" si="11"/>
        <v>2</v>
      </c>
      <c r="H160" s="13">
        <f t="shared" si="12"/>
        <v>6</v>
      </c>
      <c r="I160" s="61">
        <f t="shared" si="13"/>
        <v>0</v>
      </c>
      <c r="N160" s="21" t="str">
        <f t="shared" si="14"/>
        <v>Recipientes de plástico grandes</v>
      </c>
      <c r="O160" s="13">
        <f t="shared" si="15"/>
        <v>2</v>
      </c>
      <c r="P160" s="13">
        <f t="shared" si="16"/>
        <v>3</v>
      </c>
      <c r="Q160" s="61">
        <f t="shared" si="9"/>
        <v>6</v>
      </c>
      <c r="R160" s="13">
        <f t="shared" si="17"/>
        <v>3</v>
      </c>
      <c r="S160" s="61">
        <f t="shared" si="18"/>
        <v>2</v>
      </c>
      <c r="T160" s="13">
        <f t="shared" si="19"/>
        <v>6</v>
      </c>
      <c r="U160" s="61">
        <f t="shared" si="20"/>
        <v>0</v>
      </c>
    </row>
    <row r="161" spans="1:21">
      <c r="A161" s="17"/>
      <c r="B161" s="21" t="s">
        <v>74</v>
      </c>
      <c r="C161" s="26">
        <v>1.3</v>
      </c>
      <c r="D161" s="13">
        <v>2</v>
      </c>
      <c r="E161" s="26">
        <f t="shared" si="8"/>
        <v>2.6</v>
      </c>
      <c r="F161" s="13">
        <f t="shared" si="10"/>
        <v>3</v>
      </c>
      <c r="G161" s="61">
        <f t="shared" si="11"/>
        <v>0.8666666666666667</v>
      </c>
      <c r="H161" s="13">
        <f t="shared" si="12"/>
        <v>2.6</v>
      </c>
      <c r="I161" s="61">
        <f t="shared" si="13"/>
        <v>0</v>
      </c>
      <c r="N161" s="21" t="str">
        <f t="shared" si="14"/>
        <v xml:space="preserve">Recipientes para especias </v>
      </c>
      <c r="O161" s="13">
        <f t="shared" si="15"/>
        <v>1.3</v>
      </c>
      <c r="P161" s="13">
        <f t="shared" si="16"/>
        <v>2</v>
      </c>
      <c r="Q161" s="61">
        <f t="shared" si="9"/>
        <v>2.6</v>
      </c>
      <c r="R161" s="13">
        <f t="shared" si="17"/>
        <v>3</v>
      </c>
      <c r="S161" s="61">
        <f t="shared" si="18"/>
        <v>0.8666666666666667</v>
      </c>
      <c r="T161" s="13">
        <f t="shared" si="19"/>
        <v>2.6</v>
      </c>
      <c r="U161" s="61">
        <f t="shared" si="20"/>
        <v>0</v>
      </c>
    </row>
    <row r="162" spans="1:21">
      <c r="A162" s="17"/>
      <c r="B162" s="21" t="s">
        <v>75</v>
      </c>
      <c r="C162" s="26">
        <v>15</v>
      </c>
      <c r="D162" s="13">
        <v>3</v>
      </c>
      <c r="E162" s="26">
        <f t="shared" si="8"/>
        <v>45</v>
      </c>
      <c r="F162" s="13">
        <f t="shared" si="10"/>
        <v>3</v>
      </c>
      <c r="G162" s="61">
        <f t="shared" si="11"/>
        <v>15</v>
      </c>
      <c r="H162" s="13">
        <f t="shared" si="12"/>
        <v>45</v>
      </c>
      <c r="I162" s="61">
        <f t="shared" si="13"/>
        <v>0</v>
      </c>
      <c r="N162" s="21" t="str">
        <f t="shared" si="14"/>
        <v xml:space="preserve">Recipientes para harinas y granos </v>
      </c>
      <c r="O162" s="13">
        <f t="shared" si="15"/>
        <v>15</v>
      </c>
      <c r="P162" s="13">
        <f t="shared" si="16"/>
        <v>3</v>
      </c>
      <c r="Q162" s="61">
        <f t="shared" si="9"/>
        <v>45</v>
      </c>
      <c r="R162" s="13">
        <f t="shared" si="17"/>
        <v>3</v>
      </c>
      <c r="S162" s="61">
        <f t="shared" si="18"/>
        <v>15</v>
      </c>
      <c r="T162" s="13">
        <f t="shared" si="19"/>
        <v>45</v>
      </c>
      <c r="U162" s="61">
        <f t="shared" si="20"/>
        <v>0</v>
      </c>
    </row>
    <row r="163" spans="1:21">
      <c r="A163" s="17"/>
      <c r="B163" s="21" t="s">
        <v>76</v>
      </c>
      <c r="C163" s="26">
        <v>8</v>
      </c>
      <c r="D163" s="13">
        <v>3</v>
      </c>
      <c r="E163" s="26">
        <f t="shared" si="8"/>
        <v>24</v>
      </c>
      <c r="F163" s="13">
        <f t="shared" si="10"/>
        <v>3</v>
      </c>
      <c r="G163" s="61">
        <f t="shared" si="11"/>
        <v>8</v>
      </c>
      <c r="H163" s="13">
        <f t="shared" si="12"/>
        <v>24</v>
      </c>
      <c r="I163" s="61">
        <f t="shared" si="13"/>
        <v>0</v>
      </c>
      <c r="N163" s="21" t="str">
        <f t="shared" si="14"/>
        <v>Basureros</v>
      </c>
      <c r="O163" s="13">
        <f t="shared" si="15"/>
        <v>8</v>
      </c>
      <c r="P163" s="13">
        <f t="shared" si="16"/>
        <v>3</v>
      </c>
      <c r="Q163" s="61">
        <f t="shared" si="9"/>
        <v>24</v>
      </c>
      <c r="R163" s="13">
        <f t="shared" si="17"/>
        <v>3</v>
      </c>
      <c r="S163" s="61">
        <f t="shared" si="18"/>
        <v>8</v>
      </c>
      <c r="T163" s="13">
        <f t="shared" si="19"/>
        <v>24</v>
      </c>
      <c r="U163" s="61">
        <f t="shared" si="20"/>
        <v>0</v>
      </c>
    </row>
    <row r="164" spans="1:21">
      <c r="A164" s="17"/>
      <c r="B164" s="21" t="s">
        <v>77</v>
      </c>
      <c r="C164" s="26">
        <v>2.5</v>
      </c>
      <c r="D164" s="13">
        <v>5</v>
      </c>
      <c r="E164" s="26">
        <f t="shared" si="8"/>
        <v>12.5</v>
      </c>
      <c r="F164" s="13">
        <f t="shared" si="10"/>
        <v>3</v>
      </c>
      <c r="G164" s="61">
        <f t="shared" si="11"/>
        <v>4.166666666666667</v>
      </c>
      <c r="H164" s="13">
        <f t="shared" si="12"/>
        <v>12.5</v>
      </c>
      <c r="I164" s="61">
        <f t="shared" si="13"/>
        <v>0</v>
      </c>
      <c r="N164" s="21" t="str">
        <f t="shared" si="14"/>
        <v xml:space="preserve">Recipientes para polvos </v>
      </c>
      <c r="O164" s="13">
        <f t="shared" si="15"/>
        <v>2.5</v>
      </c>
      <c r="P164" s="13">
        <f t="shared" si="16"/>
        <v>5</v>
      </c>
      <c r="Q164" s="61">
        <f t="shared" si="9"/>
        <v>12.5</v>
      </c>
      <c r="R164" s="13">
        <f t="shared" si="17"/>
        <v>3</v>
      </c>
      <c r="S164" s="61">
        <f t="shared" si="18"/>
        <v>4.166666666666667</v>
      </c>
      <c r="T164" s="13">
        <f t="shared" si="19"/>
        <v>12.5</v>
      </c>
      <c r="U164" s="61">
        <f t="shared" si="20"/>
        <v>0</v>
      </c>
    </row>
    <row r="165" spans="1:21">
      <c r="A165" s="17"/>
      <c r="B165" s="21" t="s">
        <v>44</v>
      </c>
      <c r="C165" s="26">
        <v>60</v>
      </c>
      <c r="D165" s="13">
        <v>1</v>
      </c>
      <c r="E165" s="26">
        <f t="shared" si="8"/>
        <v>60</v>
      </c>
      <c r="F165" s="13">
        <f t="shared" si="10"/>
        <v>3</v>
      </c>
      <c r="G165" s="61">
        <f t="shared" si="11"/>
        <v>20</v>
      </c>
      <c r="H165" s="13">
        <f t="shared" si="12"/>
        <v>60</v>
      </c>
      <c r="I165" s="61">
        <f t="shared" si="13"/>
        <v>0</v>
      </c>
      <c r="N165" s="21" t="str">
        <f t="shared" si="14"/>
        <v>Batidora Kitchen Aid</v>
      </c>
      <c r="O165" s="13">
        <f t="shared" si="15"/>
        <v>60</v>
      </c>
      <c r="P165" s="13">
        <f t="shared" si="16"/>
        <v>1</v>
      </c>
      <c r="Q165" s="61">
        <f t="shared" si="9"/>
        <v>60</v>
      </c>
      <c r="R165" s="13">
        <f t="shared" si="17"/>
        <v>3</v>
      </c>
      <c r="S165" s="61">
        <f t="shared" si="18"/>
        <v>20</v>
      </c>
      <c r="T165" s="13">
        <f t="shared" si="19"/>
        <v>60</v>
      </c>
      <c r="U165" s="61">
        <f t="shared" si="20"/>
        <v>0</v>
      </c>
    </row>
    <row r="166" spans="1:21">
      <c r="A166" s="17"/>
      <c r="B166" s="21" t="s">
        <v>47</v>
      </c>
      <c r="C166" s="26">
        <v>30</v>
      </c>
      <c r="D166" s="13">
        <v>1</v>
      </c>
      <c r="E166" s="26">
        <f t="shared" si="8"/>
        <v>30</v>
      </c>
      <c r="F166" s="13">
        <f t="shared" si="10"/>
        <v>3</v>
      </c>
      <c r="G166" s="61">
        <f t="shared" si="11"/>
        <v>10</v>
      </c>
      <c r="H166" s="13">
        <f t="shared" si="12"/>
        <v>30</v>
      </c>
      <c r="I166" s="61">
        <f t="shared" si="13"/>
        <v>0</v>
      </c>
      <c r="N166" s="21" t="str">
        <f t="shared" si="14"/>
        <v>Colgador de papel para secar las manos</v>
      </c>
      <c r="O166" s="13">
        <f t="shared" si="15"/>
        <v>30</v>
      </c>
      <c r="P166" s="13">
        <f t="shared" si="16"/>
        <v>1</v>
      </c>
      <c r="Q166" s="61">
        <f t="shared" si="9"/>
        <v>30</v>
      </c>
      <c r="R166" s="13">
        <f t="shared" si="17"/>
        <v>3</v>
      </c>
      <c r="S166" s="61">
        <f t="shared" si="18"/>
        <v>10</v>
      </c>
      <c r="T166" s="13">
        <f t="shared" si="19"/>
        <v>30</v>
      </c>
      <c r="U166" s="61">
        <f t="shared" si="20"/>
        <v>0</v>
      </c>
    </row>
    <row r="167" spans="1:21">
      <c r="A167" s="17"/>
      <c r="B167" s="21" t="s">
        <v>165</v>
      </c>
      <c r="C167" s="26">
        <v>200</v>
      </c>
      <c r="D167" s="13">
        <v>2</v>
      </c>
      <c r="E167" s="26">
        <f t="shared" si="8"/>
        <v>400</v>
      </c>
      <c r="F167" s="13">
        <f t="shared" si="10"/>
        <v>3</v>
      </c>
      <c r="G167" s="61">
        <f t="shared" si="11"/>
        <v>133.33333333333334</v>
      </c>
      <c r="H167" s="13">
        <f t="shared" si="12"/>
        <v>400</v>
      </c>
      <c r="I167" s="61">
        <f t="shared" si="13"/>
        <v>0</v>
      </c>
      <c r="N167" s="21" t="str">
        <f t="shared" si="14"/>
        <v xml:space="preserve">Juego de 4 ollas  grandes </v>
      </c>
      <c r="O167" s="13">
        <f t="shared" si="15"/>
        <v>200</v>
      </c>
      <c r="P167" s="13">
        <f t="shared" si="16"/>
        <v>2</v>
      </c>
      <c r="Q167" s="61">
        <f t="shared" si="9"/>
        <v>400</v>
      </c>
      <c r="R167" s="13">
        <f t="shared" si="17"/>
        <v>3</v>
      </c>
      <c r="S167" s="61">
        <f t="shared" si="18"/>
        <v>133.33333333333334</v>
      </c>
      <c r="T167" s="13">
        <f t="shared" si="19"/>
        <v>400</v>
      </c>
      <c r="U167" s="61">
        <f t="shared" si="20"/>
        <v>0</v>
      </c>
    </row>
    <row r="168" spans="1:21">
      <c r="A168" s="17"/>
      <c r="B168" s="21" t="s">
        <v>166</v>
      </c>
      <c r="C168" s="26">
        <v>120</v>
      </c>
      <c r="D168" s="13">
        <v>1</v>
      </c>
      <c r="E168" s="26">
        <f t="shared" si="8"/>
        <v>120</v>
      </c>
      <c r="F168" s="13">
        <f t="shared" si="10"/>
        <v>3</v>
      </c>
      <c r="G168" s="61">
        <f t="shared" si="11"/>
        <v>40</v>
      </c>
      <c r="H168" s="13">
        <f t="shared" si="12"/>
        <v>120</v>
      </c>
      <c r="I168" s="61">
        <f t="shared" si="13"/>
        <v>0</v>
      </c>
      <c r="N168" s="21" t="str">
        <f t="shared" si="14"/>
        <v>Juego de 4 Sartenes</v>
      </c>
      <c r="O168" s="13">
        <f t="shared" si="15"/>
        <v>120</v>
      </c>
      <c r="P168" s="13">
        <f t="shared" si="16"/>
        <v>1</v>
      </c>
      <c r="Q168" s="61">
        <f t="shared" si="9"/>
        <v>120</v>
      </c>
      <c r="R168" s="13">
        <f t="shared" si="17"/>
        <v>3</v>
      </c>
      <c r="S168" s="61">
        <f t="shared" si="18"/>
        <v>40</v>
      </c>
      <c r="T168" s="13">
        <f t="shared" si="19"/>
        <v>120</v>
      </c>
      <c r="U168" s="61">
        <f t="shared" si="20"/>
        <v>0</v>
      </c>
    </row>
    <row r="169" spans="1:21">
      <c r="A169" s="17"/>
      <c r="B169" s="21" t="s">
        <v>78</v>
      </c>
      <c r="C169" s="26">
        <v>11</v>
      </c>
      <c r="D169" s="13">
        <v>2</v>
      </c>
      <c r="E169" s="26">
        <f t="shared" si="8"/>
        <v>22</v>
      </c>
      <c r="F169" s="13">
        <f t="shared" si="10"/>
        <v>3</v>
      </c>
      <c r="G169" s="61">
        <f t="shared" si="11"/>
        <v>7.333333333333333</v>
      </c>
      <c r="H169" s="13">
        <f t="shared" si="12"/>
        <v>22</v>
      </c>
      <c r="I169" s="61">
        <f t="shared" si="13"/>
        <v>0</v>
      </c>
      <c r="N169" s="21" t="str">
        <f t="shared" si="14"/>
        <v>Charoles</v>
      </c>
      <c r="O169" s="13">
        <f t="shared" si="15"/>
        <v>11</v>
      </c>
      <c r="P169" s="13">
        <f t="shared" si="16"/>
        <v>2</v>
      </c>
      <c r="Q169" s="61">
        <f t="shared" si="9"/>
        <v>22</v>
      </c>
      <c r="R169" s="13">
        <f t="shared" si="17"/>
        <v>3</v>
      </c>
      <c r="S169" s="61">
        <f t="shared" si="18"/>
        <v>7.333333333333333</v>
      </c>
      <c r="T169" s="13">
        <f t="shared" si="19"/>
        <v>22</v>
      </c>
      <c r="U169" s="61">
        <f t="shared" si="20"/>
        <v>0</v>
      </c>
    </row>
    <row r="170" spans="1:21" ht="16.5" customHeight="1">
      <c r="A170" s="17"/>
      <c r="B170" s="21" t="s">
        <v>93</v>
      </c>
      <c r="C170" s="21">
        <v>100</v>
      </c>
      <c r="D170" s="13">
        <v>1</v>
      </c>
      <c r="E170" s="26">
        <f>+C170*D170</f>
        <v>100</v>
      </c>
      <c r="F170" s="13">
        <f t="shared" si="10"/>
        <v>3</v>
      </c>
      <c r="G170" s="61">
        <f t="shared" si="11"/>
        <v>33.333333333333336</v>
      </c>
      <c r="H170" s="13">
        <f t="shared" si="12"/>
        <v>100</v>
      </c>
      <c r="I170" s="61">
        <f t="shared" si="13"/>
        <v>0</v>
      </c>
      <c r="N170" s="21" t="str">
        <f t="shared" si="14"/>
        <v xml:space="preserve">Carro transporte reparto comida </v>
      </c>
      <c r="O170" s="13">
        <f t="shared" si="15"/>
        <v>100</v>
      </c>
      <c r="P170" s="13">
        <f t="shared" si="16"/>
        <v>1</v>
      </c>
      <c r="Q170" s="61">
        <f t="shared" si="9"/>
        <v>100</v>
      </c>
      <c r="R170" s="13">
        <f t="shared" si="17"/>
        <v>3</v>
      </c>
      <c r="S170" s="61">
        <f t="shared" si="18"/>
        <v>33.333333333333336</v>
      </c>
      <c r="T170" s="13">
        <f t="shared" si="19"/>
        <v>100</v>
      </c>
      <c r="U170" s="61">
        <f t="shared" si="20"/>
        <v>0</v>
      </c>
    </row>
    <row r="171" spans="1:21">
      <c r="A171" s="17"/>
      <c r="B171" s="21" t="s">
        <v>127</v>
      </c>
      <c r="C171" s="21">
        <v>20</v>
      </c>
      <c r="D171" s="13">
        <v>2</v>
      </c>
      <c r="E171" s="26">
        <f t="shared" si="8"/>
        <v>40</v>
      </c>
      <c r="F171" s="13">
        <f t="shared" si="10"/>
        <v>3</v>
      </c>
      <c r="G171" s="61">
        <f t="shared" si="11"/>
        <v>13.333333333333334</v>
      </c>
      <c r="H171" s="13">
        <f t="shared" si="12"/>
        <v>40</v>
      </c>
      <c r="I171" s="61">
        <f t="shared" si="13"/>
        <v>0</v>
      </c>
      <c r="N171" s="21" t="str">
        <f t="shared" si="14"/>
        <v>Ventilador</v>
      </c>
      <c r="O171" s="13">
        <f t="shared" si="15"/>
        <v>20</v>
      </c>
      <c r="P171" s="13">
        <f t="shared" si="16"/>
        <v>2</v>
      </c>
      <c r="Q171" s="61">
        <f t="shared" si="9"/>
        <v>40</v>
      </c>
      <c r="R171" s="13">
        <f t="shared" si="17"/>
        <v>3</v>
      </c>
      <c r="S171" s="61">
        <f t="shared" si="18"/>
        <v>13.333333333333334</v>
      </c>
      <c r="T171" s="13">
        <f t="shared" si="19"/>
        <v>40</v>
      </c>
      <c r="U171" s="61">
        <f t="shared" si="20"/>
        <v>0</v>
      </c>
    </row>
    <row r="172" spans="1:21">
      <c r="A172" s="17"/>
      <c r="B172" s="21"/>
      <c r="C172" s="21"/>
      <c r="D172" s="21"/>
      <c r="E172" s="26">
        <f t="shared" si="8"/>
        <v>0</v>
      </c>
      <c r="F172" s="13">
        <f t="shared" si="10"/>
        <v>3</v>
      </c>
      <c r="G172" s="61">
        <f t="shared" si="11"/>
        <v>0</v>
      </c>
      <c r="H172" s="13">
        <f t="shared" si="12"/>
        <v>0</v>
      </c>
      <c r="I172" s="61">
        <f t="shared" si="13"/>
        <v>0</v>
      </c>
      <c r="N172" s="21"/>
      <c r="O172" s="13">
        <f t="shared" si="15"/>
        <v>0</v>
      </c>
      <c r="P172" s="13">
        <f t="shared" si="16"/>
        <v>0</v>
      </c>
      <c r="Q172" s="61">
        <f t="shared" si="9"/>
        <v>0</v>
      </c>
      <c r="R172" s="13">
        <f t="shared" si="17"/>
        <v>3</v>
      </c>
      <c r="S172" s="61">
        <f t="shared" si="18"/>
        <v>0</v>
      </c>
      <c r="T172" s="13">
        <f t="shared" si="19"/>
        <v>0</v>
      </c>
      <c r="U172" s="61">
        <f t="shared" si="20"/>
        <v>0</v>
      </c>
    </row>
    <row r="173" spans="1:21">
      <c r="A173" s="17"/>
      <c r="B173" s="21"/>
      <c r="C173" s="21"/>
      <c r="D173" s="21"/>
      <c r="E173" s="21"/>
      <c r="F173" s="21"/>
      <c r="G173" s="61"/>
      <c r="H173" s="13">
        <f t="shared" si="12"/>
        <v>0</v>
      </c>
      <c r="I173" s="61">
        <f t="shared" si="13"/>
        <v>0</v>
      </c>
      <c r="N173" s="21"/>
      <c r="O173" s="13">
        <f t="shared" si="15"/>
        <v>0</v>
      </c>
      <c r="P173" s="13">
        <f t="shared" si="16"/>
        <v>0</v>
      </c>
      <c r="Q173" s="61">
        <f t="shared" si="9"/>
        <v>0</v>
      </c>
      <c r="R173" s="13">
        <f t="shared" si="17"/>
        <v>3</v>
      </c>
      <c r="S173" s="61"/>
      <c r="T173" s="13">
        <f t="shared" si="19"/>
        <v>0</v>
      </c>
      <c r="U173" s="61">
        <f t="shared" si="20"/>
        <v>0</v>
      </c>
    </row>
    <row r="174" spans="1:21">
      <c r="A174" s="17"/>
      <c r="G174" s="58"/>
      <c r="I174" s="58">
        <f>SUM(I134:I173)</f>
        <v>0</v>
      </c>
      <c r="S174" s="58"/>
      <c r="U174" s="58">
        <f>SUM(U134:U173)</f>
        <v>0</v>
      </c>
    </row>
    <row r="175" spans="1:21">
      <c r="A175" s="17"/>
      <c r="F175" s="62" t="s">
        <v>161</v>
      </c>
      <c r="G175" s="58">
        <f>SUM(G134:G173)</f>
        <v>742.23333333333346</v>
      </c>
      <c r="R175" s="62" t="s">
        <v>161</v>
      </c>
      <c r="S175" s="58">
        <f>SUM(S134:S173)</f>
        <v>742.23333333333346</v>
      </c>
    </row>
    <row r="177" spans="1:19">
      <c r="D177" s="84" t="s">
        <v>94</v>
      </c>
      <c r="E177" s="84">
        <f>SUM(E134:E173)</f>
        <v>2226.6999999999998</v>
      </c>
      <c r="F177" s="56" t="s">
        <v>152</v>
      </c>
      <c r="G177" s="57">
        <f>+G175+G130</f>
        <v>1407.7073333333335</v>
      </c>
      <c r="P177" s="84" t="s">
        <v>94</v>
      </c>
      <c r="Q177" s="84">
        <f>SUM(Q134:Q173)</f>
        <v>2226.6999999999998</v>
      </c>
      <c r="R177" s="56" t="s">
        <v>152</v>
      </c>
      <c r="S177" s="57">
        <f>+S175+S130</f>
        <v>742.23333333333346</v>
      </c>
    </row>
    <row r="178" spans="1:19" ht="15.75">
      <c r="E178" s="65"/>
      <c r="P178" s="92"/>
      <c r="Q178" s="93"/>
    </row>
    <row r="180" spans="1:19" ht="15.75" thickBot="1"/>
    <row r="181" spans="1:19">
      <c r="H181" s="236" t="s">
        <v>134</v>
      </c>
      <c r="I181" s="237"/>
      <c r="J181" s="237"/>
      <c r="K181" s="238"/>
    </row>
    <row r="182" spans="1:19">
      <c r="B182" s="16"/>
      <c r="C182" s="16"/>
      <c r="D182" s="16"/>
      <c r="E182" s="16"/>
      <c r="F182" s="16"/>
      <c r="H182" s="46"/>
      <c r="I182" s="16"/>
      <c r="J182" s="47">
        <v>0.15</v>
      </c>
      <c r="K182" s="48"/>
    </row>
    <row r="183" spans="1:19">
      <c r="B183" s="16"/>
      <c r="C183" s="16"/>
      <c r="D183" s="16"/>
      <c r="E183" s="16"/>
      <c r="F183" s="16"/>
      <c r="H183" s="46"/>
      <c r="I183" s="16"/>
      <c r="J183" s="16">
        <v>100</v>
      </c>
      <c r="K183" s="48"/>
    </row>
    <row r="184" spans="1:19">
      <c r="B184" s="16"/>
      <c r="C184" s="18"/>
      <c r="D184" s="28"/>
      <c r="E184" s="18"/>
      <c r="F184" s="18"/>
      <c r="H184" s="46"/>
      <c r="I184" s="16"/>
      <c r="J184" s="16">
        <v>25</v>
      </c>
      <c r="K184" s="48"/>
    </row>
    <row r="185" spans="1:19">
      <c r="A185" s="16"/>
      <c r="B185" s="16"/>
      <c r="C185" s="16"/>
      <c r="D185" s="16"/>
      <c r="E185" s="16"/>
      <c r="F185" s="16"/>
      <c r="H185" s="46"/>
      <c r="I185" s="28"/>
      <c r="J185" s="16" t="s">
        <v>132</v>
      </c>
      <c r="K185" s="49" t="s">
        <v>103</v>
      </c>
    </row>
    <row r="186" spans="1:19">
      <c r="A186" s="16"/>
      <c r="B186" s="68"/>
      <c r="C186" s="68"/>
      <c r="D186" s="16"/>
      <c r="E186" s="16"/>
      <c r="F186" s="16"/>
      <c r="H186" s="50" t="s">
        <v>129</v>
      </c>
      <c r="I186" s="21">
        <v>2.25</v>
      </c>
      <c r="J186" s="8">
        <f>+I186*(1-$J$182)</f>
        <v>1.9124999999999999</v>
      </c>
      <c r="K186" s="51">
        <f>+J186/J184</f>
        <v>7.6499999999999999E-2</v>
      </c>
    </row>
    <row r="187" spans="1:19">
      <c r="A187" s="16"/>
      <c r="B187" s="68"/>
      <c r="C187" s="68"/>
      <c r="D187" s="16"/>
      <c r="E187" s="16"/>
      <c r="F187" s="16"/>
      <c r="H187" s="50" t="s">
        <v>128</v>
      </c>
      <c r="I187" s="21">
        <v>2.6</v>
      </c>
      <c r="J187" s="8">
        <f>+I187*(1-$J$182)</f>
        <v>2.21</v>
      </c>
      <c r="K187" s="51">
        <f>+J187/J184</f>
        <v>8.8399999999999992E-2</v>
      </c>
    </row>
    <row r="188" spans="1:19">
      <c r="A188" s="16"/>
      <c r="B188" s="68"/>
      <c r="C188" s="68"/>
      <c r="D188" s="16"/>
      <c r="H188" s="50" t="s">
        <v>130</v>
      </c>
      <c r="I188" s="21">
        <v>5</v>
      </c>
      <c r="J188" s="8">
        <f>+I188*(1-$J$182)</f>
        <v>4.25</v>
      </c>
      <c r="K188" s="51">
        <f>+J188/J183</f>
        <v>4.2500000000000003E-2</v>
      </c>
    </row>
    <row r="189" spans="1:19" ht="15.75" thickBot="1">
      <c r="A189" s="71"/>
      <c r="B189" s="150"/>
      <c r="C189" s="150"/>
      <c r="D189" s="71"/>
      <c r="E189" s="17"/>
      <c r="F189" s="17"/>
      <c r="G189" s="17"/>
      <c r="H189" s="52" t="s">
        <v>131</v>
      </c>
      <c r="I189" s="53">
        <v>2.2000000000000002</v>
      </c>
      <c r="J189" s="54">
        <f>+I189*(1-$J$182)</f>
        <v>1.87</v>
      </c>
      <c r="K189" s="55">
        <f>+J189/J184</f>
        <v>7.4800000000000005E-2</v>
      </c>
    </row>
    <row r="190" spans="1:19">
      <c r="A190" s="71"/>
      <c r="B190" s="150"/>
      <c r="C190" s="150"/>
      <c r="D190" s="71"/>
      <c r="E190" s="17"/>
      <c r="F190" s="17"/>
      <c r="G190" s="17"/>
      <c r="H190" s="17"/>
      <c r="K190" s="6"/>
    </row>
    <row r="191" spans="1:19">
      <c r="A191" s="71"/>
      <c r="B191" s="150"/>
      <c r="C191" s="150"/>
      <c r="D191" s="71"/>
      <c r="E191" s="17"/>
      <c r="F191" s="17"/>
      <c r="G191" s="17"/>
      <c r="H191" s="17"/>
    </row>
    <row r="192" spans="1:19" ht="15.75" thickBot="1">
      <c r="A192" s="17"/>
      <c r="B192" s="17"/>
      <c r="C192" s="17"/>
      <c r="D192" s="151" t="s">
        <v>197</v>
      </c>
      <c r="E192" s="151" t="s">
        <v>197</v>
      </c>
      <c r="F192" s="151" t="s">
        <v>197</v>
      </c>
      <c r="G192" s="17"/>
      <c r="H192" s="17">
        <v>20</v>
      </c>
    </row>
    <row r="193" spans="1:10" ht="15.75" thickBot="1">
      <c r="A193" s="17"/>
      <c r="B193" s="233" t="s">
        <v>95</v>
      </c>
      <c r="C193" s="234"/>
      <c r="D193" s="149" t="s">
        <v>104</v>
      </c>
      <c r="E193" s="149" t="s">
        <v>105</v>
      </c>
      <c r="F193" s="154" t="s">
        <v>96</v>
      </c>
      <c r="G193" s="37" t="s">
        <v>133</v>
      </c>
      <c r="H193" s="33" t="s">
        <v>97</v>
      </c>
    </row>
    <row r="194" spans="1:10" ht="15.75" thickBot="1">
      <c r="A194" s="17"/>
      <c r="B194" s="152" t="s">
        <v>98</v>
      </c>
      <c r="C194" s="35" t="s">
        <v>99</v>
      </c>
      <c r="D194" s="153">
        <v>1.58</v>
      </c>
      <c r="E194" s="61">
        <f>+K186+K187+K188+K189</f>
        <v>0.28220000000000001</v>
      </c>
      <c r="F194" s="155">
        <f>+D194+E194</f>
        <v>1.8622000000000001</v>
      </c>
      <c r="G194" s="8">
        <f>+F194*I207</f>
        <v>147.10635120000003</v>
      </c>
      <c r="H194" s="34">
        <f>+G194*$H$192</f>
        <v>2942.1270240000008</v>
      </c>
    </row>
    <row r="195" spans="1:10" ht="15.75" thickBot="1">
      <c r="A195" s="17"/>
      <c r="B195" s="152" t="s">
        <v>100</v>
      </c>
      <c r="C195" s="35" t="s">
        <v>101</v>
      </c>
      <c r="D195" s="153">
        <v>1.49</v>
      </c>
      <c r="E195" s="61">
        <f>+K187+K188+K189</f>
        <v>0.20569999999999999</v>
      </c>
      <c r="F195" s="155">
        <f>+D195+E195</f>
        <v>1.6957</v>
      </c>
      <c r="G195" s="38">
        <f>+F195*I206</f>
        <v>62.747682799999993</v>
      </c>
      <c r="H195" s="34">
        <f>+G195*$H$192</f>
        <v>1254.9536559999999</v>
      </c>
    </row>
    <row r="196" spans="1:10" ht="15.75" thickBot="1">
      <c r="A196" s="17"/>
      <c r="B196" s="17"/>
      <c r="C196" s="17"/>
      <c r="D196" s="17"/>
      <c r="E196" s="17"/>
      <c r="F196" s="17"/>
      <c r="G196" s="36" t="s">
        <v>102</v>
      </c>
      <c r="H196" s="44">
        <f>SUM(H194:H195)</f>
        <v>4197.0806800000009</v>
      </c>
    </row>
    <row r="197" spans="1:10">
      <c r="A197" s="17"/>
      <c r="B197" s="17"/>
      <c r="C197" s="17"/>
      <c r="D197" s="17"/>
      <c r="E197" s="17"/>
      <c r="F197" s="17"/>
      <c r="G197" s="17"/>
      <c r="H197" s="17"/>
      <c r="I197" s="17"/>
    </row>
    <row r="198" spans="1:10">
      <c r="A198" s="17"/>
      <c r="B198" s="17"/>
      <c r="C198" s="17"/>
      <c r="D198" s="17"/>
      <c r="E198" s="17"/>
      <c r="F198" s="17"/>
      <c r="G198" s="17"/>
      <c r="H198" s="17"/>
      <c r="I198" s="17"/>
    </row>
    <row r="199" spans="1:10">
      <c r="A199" s="17"/>
      <c r="B199" s="17"/>
      <c r="C199" s="17"/>
      <c r="D199" s="17"/>
      <c r="E199" s="17"/>
      <c r="F199" s="17"/>
      <c r="G199" s="17"/>
      <c r="H199" s="17"/>
      <c r="I199" s="17"/>
    </row>
    <row r="200" spans="1:10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10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 spans="1:10">
      <c r="A202" s="17"/>
      <c r="B202" s="17"/>
      <c r="C202" s="17"/>
      <c r="D202" s="17"/>
      <c r="E202" s="17"/>
      <c r="F202" s="17"/>
      <c r="G202" s="17"/>
      <c r="H202" s="17"/>
      <c r="I202" s="17"/>
      <c r="J202" s="17"/>
    </row>
    <row r="203" spans="1:10">
      <c r="B203" s="17"/>
      <c r="C203" s="17"/>
      <c r="D203" s="17"/>
      <c r="E203" s="17"/>
      <c r="F203" s="17"/>
      <c r="G203" s="17"/>
      <c r="H203" s="17"/>
      <c r="I203" s="17"/>
      <c r="J203" s="17"/>
    </row>
    <row r="204" spans="1:10">
      <c r="B204" s="71"/>
      <c r="C204" s="71"/>
      <c r="D204" s="71"/>
      <c r="E204" s="17"/>
      <c r="F204" s="17"/>
      <c r="G204" s="17"/>
      <c r="H204" s="17"/>
      <c r="I204" s="157" t="s">
        <v>209</v>
      </c>
      <c r="J204" s="17"/>
    </row>
    <row r="205" spans="1:10">
      <c r="A205" s="17"/>
      <c r="B205" s="71"/>
      <c r="C205" s="71"/>
      <c r="D205" s="71"/>
      <c r="E205" s="17"/>
      <c r="F205" s="17"/>
      <c r="G205" s="17"/>
      <c r="H205" s="157" t="s">
        <v>208</v>
      </c>
      <c r="I205" s="41">
        <v>116</v>
      </c>
      <c r="J205" s="17"/>
    </row>
    <row r="206" spans="1:10">
      <c r="A206" s="17"/>
      <c r="B206" s="159"/>
      <c r="C206" s="160"/>
      <c r="D206" s="71"/>
      <c r="E206" s="17"/>
      <c r="F206" s="17"/>
      <c r="G206" s="156" t="s">
        <v>206</v>
      </c>
      <c r="H206" s="86">
        <v>0.31900000000000001</v>
      </c>
      <c r="I206" s="14">
        <f>+H206*$I$205</f>
        <v>37.003999999999998</v>
      </c>
      <c r="J206" s="17"/>
    </row>
    <row r="207" spans="1:10">
      <c r="A207" s="17"/>
      <c r="B207" s="159"/>
      <c r="C207" s="160"/>
      <c r="D207" s="71"/>
      <c r="E207" s="17"/>
      <c r="F207" s="17"/>
      <c r="G207" s="156" t="s">
        <v>207</v>
      </c>
      <c r="H207" s="86">
        <v>0.68100000000000005</v>
      </c>
      <c r="I207" s="14">
        <f>+H207*$I$205</f>
        <v>78.996000000000009</v>
      </c>
      <c r="J207" s="17"/>
    </row>
    <row r="208" spans="1:10">
      <c r="A208" s="17"/>
      <c r="B208" s="159"/>
      <c r="C208" s="160"/>
      <c r="D208" s="71"/>
      <c r="E208" s="17"/>
      <c r="F208" s="17"/>
      <c r="G208" s="17"/>
      <c r="H208" s="158">
        <f>SUM(H206:H207)</f>
        <v>1</v>
      </c>
      <c r="I208" s="157">
        <f>+H208*$I$205</f>
        <v>116</v>
      </c>
      <c r="J208" s="17"/>
    </row>
    <row r="209" spans="1:12">
      <c r="A209" s="17"/>
      <c r="B209" s="159"/>
      <c r="C209" s="160"/>
      <c r="D209" s="71"/>
      <c r="E209" s="17"/>
      <c r="F209" s="17"/>
      <c r="G209" s="17"/>
      <c r="H209" s="17"/>
      <c r="I209" s="17"/>
      <c r="J209" s="17"/>
    </row>
    <row r="210" spans="1:12">
      <c r="A210" s="17"/>
      <c r="B210" s="71"/>
      <c r="C210" s="71"/>
      <c r="D210" s="71"/>
      <c r="E210" s="17"/>
      <c r="F210" s="17"/>
      <c r="G210" s="17"/>
      <c r="H210" s="17"/>
      <c r="I210" s="17"/>
      <c r="J210" s="17"/>
    </row>
    <row r="211" spans="1:12">
      <c r="A211" s="17"/>
      <c r="B211" s="71"/>
      <c r="C211" s="71"/>
      <c r="D211" s="71"/>
      <c r="E211" s="17"/>
      <c r="F211" s="17"/>
      <c r="G211" s="17"/>
      <c r="H211" s="17"/>
      <c r="I211" s="17"/>
      <c r="J211" s="17"/>
    </row>
    <row r="212" spans="1:12" ht="15.75" thickBot="1">
      <c r="A212" s="17"/>
      <c r="B212" s="17"/>
      <c r="C212" s="17"/>
      <c r="D212" s="17"/>
      <c r="E212" s="17"/>
      <c r="F212" s="17"/>
      <c r="G212" s="17"/>
      <c r="J212" s="17"/>
    </row>
    <row r="213" spans="1:12" ht="15.75" thickBot="1">
      <c r="A213" s="17"/>
      <c r="B213" s="194"/>
      <c r="C213" s="175" t="s">
        <v>197</v>
      </c>
      <c r="D213" s="17"/>
      <c r="E213" s="17"/>
      <c r="F213" s="17"/>
      <c r="G213" s="17"/>
      <c r="J213" s="45" t="s">
        <v>108</v>
      </c>
      <c r="K213" s="21" t="s">
        <v>124</v>
      </c>
      <c r="L213" s="21" t="s">
        <v>125</v>
      </c>
    </row>
    <row r="214" spans="1:12">
      <c r="A214" s="17"/>
      <c r="B214" s="121" t="s">
        <v>164</v>
      </c>
      <c r="C214" s="197" t="s">
        <v>126</v>
      </c>
      <c r="D214" s="17"/>
      <c r="E214" s="194"/>
      <c r="F214" s="194"/>
      <c r="G214" s="17"/>
      <c r="J214" s="21" t="s">
        <v>121</v>
      </c>
      <c r="K214" s="21">
        <v>20</v>
      </c>
      <c r="L214" s="21">
        <f>K214*12</f>
        <v>240</v>
      </c>
    </row>
    <row r="215" spans="1:12" ht="15.75">
      <c r="A215" s="17"/>
      <c r="B215" s="161" t="s">
        <v>108</v>
      </c>
      <c r="C215" s="162">
        <f>+L217</f>
        <v>600</v>
      </c>
      <c r="D215" s="17"/>
      <c r="E215" s="196" t="s">
        <v>196</v>
      </c>
      <c r="F215" s="192" t="s">
        <v>197</v>
      </c>
      <c r="G215" s="17"/>
      <c r="J215" s="21" t="s">
        <v>122</v>
      </c>
      <c r="K215" s="21">
        <v>15</v>
      </c>
      <c r="L215" s="21">
        <f>K215*12</f>
        <v>180</v>
      </c>
    </row>
    <row r="216" spans="1:12">
      <c r="A216" s="17"/>
      <c r="B216" s="161" t="s">
        <v>109</v>
      </c>
      <c r="C216" s="167">
        <f>+O11</f>
        <v>19347</v>
      </c>
      <c r="D216" s="17"/>
      <c r="E216" s="214" t="s">
        <v>193</v>
      </c>
      <c r="F216" s="215">
        <f>+E130</f>
        <v>6654.74</v>
      </c>
      <c r="G216" s="17"/>
      <c r="J216" s="21" t="s">
        <v>123</v>
      </c>
      <c r="K216" s="21">
        <v>15</v>
      </c>
      <c r="L216" s="21">
        <f>K216*12</f>
        <v>180</v>
      </c>
    </row>
    <row r="217" spans="1:12">
      <c r="A217" s="17"/>
      <c r="B217" s="161" t="s">
        <v>110</v>
      </c>
      <c r="C217" s="162">
        <f>(5*2)*12</f>
        <v>120</v>
      </c>
      <c r="D217" s="17"/>
      <c r="E217" s="214" t="s">
        <v>194</v>
      </c>
      <c r="F217" s="215">
        <f>+E177</f>
        <v>2226.6999999999998</v>
      </c>
      <c r="G217" s="17"/>
      <c r="L217" s="4">
        <f>L214+L215+L216</f>
        <v>600</v>
      </c>
    </row>
    <row r="218" spans="1:12" ht="15.75" thickBot="1">
      <c r="A218" s="17"/>
      <c r="B218" s="161" t="s">
        <v>111</v>
      </c>
      <c r="C218" s="162">
        <f>20*12</f>
        <v>240</v>
      </c>
      <c r="D218" s="17"/>
      <c r="E218" s="214" t="s">
        <v>158</v>
      </c>
      <c r="F218" s="215">
        <f>+C242</f>
        <v>9792.939489729195</v>
      </c>
      <c r="G218" s="17"/>
    </row>
    <row r="219" spans="1:12">
      <c r="A219" s="17"/>
      <c r="B219" s="161" t="s">
        <v>223</v>
      </c>
      <c r="C219" s="162">
        <f>12*L233</f>
        <v>265.31999999999994</v>
      </c>
      <c r="D219" s="17"/>
      <c r="E219" s="214" t="s">
        <v>163</v>
      </c>
      <c r="F219" s="216">
        <f>+C252</f>
        <v>820</v>
      </c>
      <c r="G219" s="17"/>
      <c r="J219" s="243" t="s">
        <v>137</v>
      </c>
      <c r="K219" s="244"/>
      <c r="L219" s="245"/>
    </row>
    <row r="220" spans="1:12">
      <c r="A220" s="17"/>
      <c r="B220" s="161" t="s">
        <v>119</v>
      </c>
      <c r="C220" s="162">
        <f>((5*3)*20)*12</f>
        <v>3600</v>
      </c>
      <c r="D220" s="17"/>
      <c r="E220" s="17"/>
      <c r="F220" s="17"/>
      <c r="G220" s="17"/>
      <c r="J220" s="88" t="s">
        <v>181</v>
      </c>
      <c r="K220" s="88" t="s">
        <v>150</v>
      </c>
      <c r="L220" s="88" t="s">
        <v>151</v>
      </c>
    </row>
    <row r="221" spans="1:12">
      <c r="A221" s="17"/>
      <c r="B221" s="161" t="s">
        <v>135</v>
      </c>
      <c r="C221" s="162">
        <f>2*52*6</f>
        <v>624</v>
      </c>
      <c r="D221" s="17"/>
      <c r="E221" s="17"/>
      <c r="F221" s="17"/>
      <c r="G221" s="17"/>
      <c r="J221" s="21" t="s">
        <v>138</v>
      </c>
      <c r="K221" s="21">
        <v>2</v>
      </c>
      <c r="L221" s="21">
        <f>K221</f>
        <v>2</v>
      </c>
    </row>
    <row r="222" spans="1:12" ht="16.5" thickBot="1">
      <c r="A222" s="17"/>
      <c r="B222" s="161" t="s">
        <v>136</v>
      </c>
      <c r="C222" s="162">
        <f>52*2</f>
        <v>104</v>
      </c>
      <c r="D222" s="17"/>
      <c r="E222" s="88" t="s">
        <v>4</v>
      </c>
      <c r="F222" s="193">
        <f>SUM(F216:F221)</f>
        <v>19494.379489729195</v>
      </c>
      <c r="G222" s="17"/>
      <c r="J222" s="21" t="s">
        <v>139</v>
      </c>
      <c r="K222" s="21">
        <v>2</v>
      </c>
      <c r="L222" s="21">
        <f>K222</f>
        <v>2</v>
      </c>
    </row>
    <row r="223" spans="1:12">
      <c r="A223" s="17"/>
      <c r="B223" s="161" t="s">
        <v>120</v>
      </c>
      <c r="C223" s="162">
        <f>150*12</f>
        <v>1800</v>
      </c>
      <c r="D223" s="17"/>
      <c r="E223" s="17"/>
      <c r="F223" s="17"/>
      <c r="G223" s="17"/>
      <c r="J223" s="21" t="s">
        <v>140</v>
      </c>
      <c r="K223" s="21">
        <v>0.5</v>
      </c>
      <c r="L223" s="21">
        <f>K223*2</f>
        <v>1</v>
      </c>
    </row>
    <row r="224" spans="1:12">
      <c r="A224" s="17"/>
      <c r="B224" s="161" t="s">
        <v>86</v>
      </c>
      <c r="C224" s="163">
        <f>+M240</f>
        <v>92.800000000000011</v>
      </c>
      <c r="D224" s="17"/>
      <c r="E224" s="17"/>
      <c r="F224" s="17"/>
      <c r="G224" s="17"/>
      <c r="J224" s="21" t="s">
        <v>144</v>
      </c>
      <c r="K224" s="21">
        <v>0.75</v>
      </c>
      <c r="L224" s="21">
        <f>K224</f>
        <v>0.75</v>
      </c>
    </row>
    <row r="225" spans="1:13">
      <c r="A225" s="17"/>
      <c r="B225" s="161" t="s">
        <v>87</v>
      </c>
      <c r="C225" s="163">
        <f>+M241</f>
        <v>58</v>
      </c>
      <c r="D225" s="17"/>
      <c r="E225" s="17"/>
      <c r="F225" s="17"/>
      <c r="G225" s="17"/>
      <c r="J225" s="21" t="s">
        <v>145</v>
      </c>
      <c r="K225" s="21">
        <v>0.6</v>
      </c>
      <c r="L225" s="21">
        <f>K225*2</f>
        <v>1.2</v>
      </c>
    </row>
    <row r="226" spans="1:13">
      <c r="A226" s="17"/>
      <c r="B226" s="161" t="s">
        <v>88</v>
      </c>
      <c r="C226" s="163">
        <f>+M242</f>
        <v>69.599999999999994</v>
      </c>
      <c r="D226" s="17"/>
      <c r="E226" s="17"/>
      <c r="F226" s="17"/>
      <c r="G226" s="17"/>
      <c r="J226" s="21" t="s">
        <v>141</v>
      </c>
      <c r="K226" s="21">
        <v>3</v>
      </c>
      <c r="L226" s="21">
        <f>K226</f>
        <v>3</v>
      </c>
    </row>
    <row r="227" spans="1:13">
      <c r="A227" s="17"/>
      <c r="B227" s="161" t="s">
        <v>89</v>
      </c>
      <c r="C227" s="163">
        <f>+M243</f>
        <v>81.199999999999989</v>
      </c>
      <c r="D227" s="17"/>
      <c r="E227" s="17"/>
      <c r="F227" s="17"/>
      <c r="G227" s="17"/>
      <c r="J227" s="21" t="s">
        <v>142</v>
      </c>
      <c r="K227" s="21">
        <v>1.5</v>
      </c>
      <c r="L227" s="21">
        <f>K227</f>
        <v>1.5</v>
      </c>
    </row>
    <row r="228" spans="1:13">
      <c r="A228" s="17"/>
      <c r="B228" s="164" t="s">
        <v>188</v>
      </c>
      <c r="C228" s="165">
        <f>+K256</f>
        <v>25</v>
      </c>
      <c r="D228" s="109"/>
      <c r="E228" s="17"/>
      <c r="F228" s="17"/>
      <c r="G228" s="17"/>
      <c r="J228" s="21" t="s">
        <v>143</v>
      </c>
      <c r="K228" s="21">
        <v>1.5</v>
      </c>
      <c r="L228" s="21">
        <f>K228</f>
        <v>1.5</v>
      </c>
    </row>
    <row r="229" spans="1:13">
      <c r="A229" s="17"/>
      <c r="B229" s="166" t="s">
        <v>189</v>
      </c>
      <c r="C229" s="165">
        <v>12</v>
      </c>
      <c r="D229" s="17"/>
      <c r="E229" s="109"/>
      <c r="F229" s="17"/>
      <c r="G229" s="17"/>
      <c r="J229" s="21" t="s">
        <v>146</v>
      </c>
      <c r="K229" s="21">
        <v>0.6</v>
      </c>
      <c r="L229" s="21">
        <f>K229*2</f>
        <v>1.2</v>
      </c>
    </row>
    <row r="230" spans="1:13">
      <c r="A230" s="17"/>
      <c r="B230" s="198"/>
      <c r="C230" s="199"/>
      <c r="D230" s="17"/>
      <c r="E230" s="17"/>
      <c r="F230" s="17"/>
      <c r="G230" s="17"/>
      <c r="J230" s="21" t="s">
        <v>147</v>
      </c>
      <c r="K230" s="21">
        <v>0.3</v>
      </c>
      <c r="L230" s="21">
        <f>K230*8</f>
        <v>2.4</v>
      </c>
    </row>
    <row r="231" spans="1:13" ht="15.75" thickBot="1">
      <c r="A231" s="17"/>
      <c r="B231" s="200" t="s">
        <v>210</v>
      </c>
      <c r="C231" s="201">
        <f>SUM(C215:C230)</f>
        <v>27038.92</v>
      </c>
      <c r="D231" s="17"/>
      <c r="E231" s="17"/>
      <c r="F231" s="17"/>
      <c r="G231" s="17"/>
      <c r="J231" s="21" t="s">
        <v>148</v>
      </c>
      <c r="K231" s="21">
        <v>1.5</v>
      </c>
      <c r="L231" s="21">
        <f>K231*2</f>
        <v>3</v>
      </c>
    </row>
    <row r="232" spans="1:13">
      <c r="A232" s="17"/>
      <c r="B232" s="17"/>
      <c r="C232" s="17"/>
      <c r="D232" s="17"/>
      <c r="E232" s="17"/>
      <c r="F232" s="17"/>
      <c r="G232" s="17"/>
      <c r="J232" s="21" t="s">
        <v>149</v>
      </c>
      <c r="K232" s="21">
        <v>2.56</v>
      </c>
      <c r="L232" s="21">
        <f>K232</f>
        <v>2.56</v>
      </c>
    </row>
    <row r="233" spans="1:13">
      <c r="A233" s="17"/>
      <c r="B233" s="194"/>
      <c r="C233" s="202" t="s">
        <v>212</v>
      </c>
      <c r="D233" s="17"/>
      <c r="E233" s="17"/>
      <c r="F233" s="17"/>
      <c r="G233" s="17"/>
      <c r="L233" s="4">
        <f>SUM(L221:L232)</f>
        <v>22.109999999999996</v>
      </c>
    </row>
    <row r="234" spans="1:13">
      <c r="A234" s="17"/>
      <c r="B234" s="194"/>
      <c r="C234" s="202">
        <v>1.5</v>
      </c>
      <c r="D234" s="17"/>
      <c r="E234" s="17"/>
      <c r="F234" s="17"/>
      <c r="G234" s="17"/>
    </row>
    <row r="235" spans="1:13">
      <c r="A235" s="17"/>
      <c r="B235" s="203" t="s">
        <v>158</v>
      </c>
      <c r="C235" s="203" t="s">
        <v>160</v>
      </c>
      <c r="D235" s="17"/>
      <c r="E235" s="17"/>
      <c r="F235" s="17"/>
      <c r="G235" s="17"/>
    </row>
    <row r="236" spans="1:13">
      <c r="A236" s="17"/>
      <c r="B236" s="147" t="s">
        <v>95</v>
      </c>
      <c r="C236" s="172">
        <f>+C234*H196</f>
        <v>6295.6210200000014</v>
      </c>
      <c r="D236" s="17"/>
      <c r="E236" s="17"/>
      <c r="F236" s="17"/>
      <c r="G236" s="17"/>
    </row>
    <row r="237" spans="1:13">
      <c r="A237" s="17"/>
      <c r="B237" s="147" t="s">
        <v>164</v>
      </c>
      <c r="C237" s="148">
        <f>+(C231/12)*C234</f>
        <v>3379.8649999999998</v>
      </c>
      <c r="D237" s="17"/>
      <c r="E237" s="17"/>
      <c r="F237" s="17"/>
      <c r="G237" s="17"/>
    </row>
    <row r="238" spans="1:13" ht="15.75" thickBot="1">
      <c r="A238" s="17"/>
      <c r="B238" s="168" t="s">
        <v>162</v>
      </c>
      <c r="C238" s="148">
        <f ca="1">+(tesis!P13/12)*C234</f>
        <v>117.45346972919513</v>
      </c>
      <c r="D238" s="17"/>
      <c r="E238" s="17"/>
    </row>
    <row r="239" spans="1:13" ht="15.75" thickBot="1">
      <c r="A239" s="17"/>
      <c r="B239" s="168"/>
      <c r="C239" s="148"/>
      <c r="D239" s="17"/>
      <c r="E239" s="17"/>
      <c r="J239" s="240" t="s">
        <v>167</v>
      </c>
      <c r="K239" s="241"/>
      <c r="L239" s="241"/>
      <c r="M239" s="241"/>
    </row>
    <row r="240" spans="1:13">
      <c r="A240" s="17"/>
      <c r="B240" s="168"/>
      <c r="C240" s="169"/>
      <c r="D240" s="17"/>
      <c r="E240" s="17"/>
      <c r="J240" s="21" t="s">
        <v>86</v>
      </c>
      <c r="K240" s="32">
        <v>0.8</v>
      </c>
      <c r="L240" s="13">
        <v>116</v>
      </c>
      <c r="M240" s="26">
        <f>+K240*L240</f>
        <v>92.800000000000011</v>
      </c>
    </row>
    <row r="241" spans="1:13">
      <c r="A241" s="17"/>
      <c r="B241" s="170"/>
      <c r="C241" s="171"/>
      <c r="D241" s="17"/>
      <c r="E241" s="17"/>
      <c r="J241" s="21" t="s">
        <v>87</v>
      </c>
      <c r="K241" s="32">
        <v>0.5</v>
      </c>
      <c r="L241" s="13">
        <v>116</v>
      </c>
      <c r="M241" s="26">
        <f>+K241*L241</f>
        <v>58</v>
      </c>
    </row>
    <row r="242" spans="1:13">
      <c r="A242" s="17"/>
      <c r="B242" s="203" t="s">
        <v>159</v>
      </c>
      <c r="C242" s="204">
        <f>SUM(C236:C241)</f>
        <v>9792.939489729195</v>
      </c>
      <c r="D242" s="17"/>
      <c r="E242" s="17"/>
      <c r="J242" s="21" t="s">
        <v>88</v>
      </c>
      <c r="K242" s="22">
        <v>0.6</v>
      </c>
      <c r="L242" s="13">
        <v>116</v>
      </c>
      <c r="M242" s="26">
        <f>+K242*L242</f>
        <v>69.599999999999994</v>
      </c>
    </row>
    <row r="243" spans="1:13">
      <c r="A243" s="17"/>
      <c r="B243" s="17"/>
      <c r="C243" s="17"/>
      <c r="D243" s="17"/>
      <c r="E243" s="17"/>
      <c r="J243" s="21" t="s">
        <v>89</v>
      </c>
      <c r="K243" s="22">
        <v>0.7</v>
      </c>
      <c r="L243" s="13">
        <v>116</v>
      </c>
      <c r="M243" s="26">
        <f>+K243*L243</f>
        <v>81.199999999999989</v>
      </c>
    </row>
    <row r="244" spans="1:13">
      <c r="A244" s="17"/>
      <c r="B244" s="17"/>
      <c r="C244" s="17"/>
      <c r="D244" s="17"/>
      <c r="E244" s="17"/>
    </row>
    <row r="245" spans="1:13">
      <c r="A245" s="17"/>
      <c r="B245" s="77" t="s">
        <v>163</v>
      </c>
      <c r="C245" s="77" t="s">
        <v>178</v>
      </c>
      <c r="D245" s="17"/>
      <c r="E245" s="17"/>
    </row>
    <row r="246" spans="1:13">
      <c r="A246" s="17"/>
      <c r="B246" s="91" t="s">
        <v>186</v>
      </c>
      <c r="C246" s="21">
        <v>20</v>
      </c>
      <c r="D246" s="17"/>
      <c r="E246" s="17"/>
    </row>
    <row r="247" spans="1:13">
      <c r="A247" s="17"/>
      <c r="B247" s="91" t="s">
        <v>190</v>
      </c>
      <c r="C247" s="21">
        <v>800</v>
      </c>
      <c r="D247" s="17"/>
      <c r="E247" s="17"/>
    </row>
    <row r="248" spans="1:13">
      <c r="A248" s="17"/>
      <c r="B248" s="13"/>
      <c r="C248" s="21"/>
      <c r="D248" s="17"/>
      <c r="E248" s="109"/>
    </row>
    <row r="249" spans="1:13">
      <c r="A249" s="17"/>
      <c r="B249" s="21"/>
      <c r="C249" s="21"/>
      <c r="D249" s="17"/>
      <c r="E249" s="17"/>
    </row>
    <row r="250" spans="1:13" hidden="1">
      <c r="A250" s="17"/>
      <c r="B250" s="21"/>
      <c r="C250" s="21"/>
      <c r="D250" s="17"/>
      <c r="E250" s="17"/>
      <c r="J250" s="242" t="s">
        <v>169</v>
      </c>
      <c r="K250" s="242"/>
      <c r="L250" s="85"/>
      <c r="M250" s="85"/>
    </row>
    <row r="251" spans="1:13" ht="18" hidden="1" customHeight="1" thickBot="1">
      <c r="A251" s="17"/>
      <c r="B251" s="21"/>
      <c r="C251" s="78"/>
      <c r="D251" s="17"/>
      <c r="E251" s="17"/>
      <c r="J251" s="69" t="s">
        <v>172</v>
      </c>
      <c r="K251" s="21">
        <v>5</v>
      </c>
    </row>
    <row r="252" spans="1:13" ht="15.75">
      <c r="A252" s="17"/>
      <c r="B252" s="90" t="s">
        <v>187</v>
      </c>
      <c r="C252" s="79">
        <f>SUM(C246:C251)</f>
        <v>820</v>
      </c>
      <c r="D252" s="17"/>
      <c r="E252" s="17"/>
      <c r="J252" s="69" t="s">
        <v>171</v>
      </c>
      <c r="K252" s="21">
        <v>15</v>
      </c>
    </row>
    <row r="253" spans="1:13" ht="15.75">
      <c r="A253" s="17"/>
      <c r="B253" s="17"/>
      <c r="C253" s="17"/>
      <c r="D253" s="17"/>
      <c r="E253" s="17"/>
      <c r="J253" s="70" t="s">
        <v>170</v>
      </c>
      <c r="K253" s="21">
        <v>5</v>
      </c>
    </row>
    <row r="254" spans="1:13">
      <c r="A254" s="17"/>
      <c r="B254" s="17"/>
      <c r="C254" s="17"/>
      <c r="D254" s="17"/>
      <c r="E254" s="17"/>
    </row>
    <row r="255" spans="1:13">
      <c r="B255" s="17"/>
      <c r="C255" s="17"/>
      <c r="D255" s="17"/>
      <c r="E255" s="17"/>
    </row>
    <row r="256" spans="1:13">
      <c r="B256" s="17"/>
      <c r="C256" s="17"/>
      <c r="D256" s="17"/>
      <c r="E256" s="17"/>
      <c r="J256" s="87" t="s">
        <v>4</v>
      </c>
      <c r="K256" s="87">
        <f>SUM(K251:K255)</f>
        <v>25</v>
      </c>
    </row>
    <row r="257" spans="2:8">
      <c r="D257" s="17"/>
      <c r="E257" s="17"/>
    </row>
    <row r="258" spans="2:8">
      <c r="B258" s="94" t="str">
        <f ca="1">+tesis!B16</f>
        <v>PERIODO</v>
      </c>
      <c r="C258" s="95">
        <f ca="1">+tesis!C16</f>
        <v>0</v>
      </c>
      <c r="D258" s="95">
        <f ca="1">+tesis!D16</f>
        <v>1</v>
      </c>
      <c r="E258" s="95">
        <f ca="1">+tesis!E16</f>
        <v>2</v>
      </c>
      <c r="F258" s="95">
        <f ca="1">+tesis!F16</f>
        <v>3</v>
      </c>
      <c r="G258" s="95">
        <f ca="1">+tesis!G16</f>
        <v>4</v>
      </c>
      <c r="H258" s="95">
        <f ca="1">+tesis!H16</f>
        <v>5</v>
      </c>
    </row>
    <row r="259" spans="2:8">
      <c r="B259" s="6" t="str">
        <f ca="1">+tesis!B17</f>
        <v>INGRESOS</v>
      </c>
      <c r="C259" s="6"/>
      <c r="D259" s="58">
        <f ca="1">+tesis!D17</f>
        <v>85260</v>
      </c>
      <c r="E259" s="58">
        <f ca="1">+tesis!E17</f>
        <v>100327.5</v>
      </c>
      <c r="F259" s="58">
        <f ca="1">+tesis!F17</f>
        <v>116620</v>
      </c>
      <c r="G259" s="58">
        <f ca="1">+tesis!G17</f>
        <v>134137.5</v>
      </c>
      <c r="H259" s="58">
        <f ca="1">+tesis!H17</f>
        <v>152880</v>
      </c>
    </row>
    <row r="260" spans="2:8">
      <c r="B260" s="6"/>
      <c r="C260" s="6"/>
      <c r="D260" s="58">
        <f ca="1">+tesis!D18</f>
        <v>0</v>
      </c>
      <c r="E260" s="58">
        <f ca="1">+tesis!E18</f>
        <v>0</v>
      </c>
      <c r="F260" s="58">
        <f ca="1">+tesis!F18</f>
        <v>0</v>
      </c>
      <c r="G260" s="58">
        <f ca="1">+tesis!G18</f>
        <v>0</v>
      </c>
      <c r="H260" s="58">
        <f ca="1">+tesis!H18</f>
        <v>0</v>
      </c>
    </row>
    <row r="261" spans="2:8">
      <c r="B261" s="6" t="str">
        <f ca="1">+tesis!B19</f>
        <v>COSTOS DE VENTA</v>
      </c>
      <c r="C261" s="6"/>
      <c r="D261" s="58">
        <f ca="1">+tesis!D19</f>
        <v>-51414.238330000007</v>
      </c>
      <c r="E261" s="58">
        <f ca="1">+tesis!E19</f>
        <v>-60777.746227516502</v>
      </c>
      <c r="F261" s="58">
        <f ca="1">+tesis!F19</f>
        <v>-71393.978459041624</v>
      </c>
      <c r="G261" s="58">
        <f ca="1">+tesis!G19</f>
        <v>-83411.159900870218</v>
      </c>
      <c r="H261" s="58">
        <f ca="1">+tesis!H19</f>
        <v>-96993.924588618233</v>
      </c>
    </row>
    <row r="262" spans="2:8">
      <c r="B262" s="6">
        <f ca="1">+tesis!B20</f>
        <v>0</v>
      </c>
      <c r="C262" s="6"/>
      <c r="D262" s="58">
        <f ca="1">+tesis!D20</f>
        <v>0</v>
      </c>
      <c r="E262" s="58">
        <f ca="1">+tesis!E20</f>
        <v>0</v>
      </c>
      <c r="F262" s="58">
        <f ca="1">+tesis!F20</f>
        <v>0</v>
      </c>
      <c r="G262" s="58">
        <f ca="1">+tesis!G20</f>
        <v>0</v>
      </c>
      <c r="H262" s="58">
        <f ca="1">+tesis!H20</f>
        <v>0</v>
      </c>
    </row>
    <row r="263" spans="2:8">
      <c r="B263" s="6" t="str">
        <f ca="1">+tesis!B21</f>
        <v>GASTOS DE OPERACION  Y ADMINISTRATIVOS</v>
      </c>
      <c r="C263" s="7"/>
      <c r="D263" s="96">
        <f ca="1">+tesis!D21</f>
        <v>-27038.92</v>
      </c>
      <c r="E263" s="96">
        <f ca="1">+tesis!E21</f>
        <v>-29426.456635999999</v>
      </c>
      <c r="F263" s="96">
        <f ca="1">+tesis!F21</f>
        <v>-32024.8127569588</v>
      </c>
      <c r="G263" s="96">
        <f ca="1">+tesis!G21</f>
        <v>-34852.603723398264</v>
      </c>
      <c r="H263" s="96">
        <f ca="1">+tesis!H21</f>
        <v>-37893.088632174331</v>
      </c>
    </row>
    <row r="264" spans="2:8">
      <c r="B264" s="6" t="s">
        <v>4</v>
      </c>
      <c r="C264" s="97">
        <f t="shared" ref="C264:H264" si="21">SUM(C259:C263)</f>
        <v>0</v>
      </c>
      <c r="D264" s="97">
        <f t="shared" si="21"/>
        <v>6806.8416699999943</v>
      </c>
      <c r="E264" s="97">
        <f t="shared" si="21"/>
        <v>10123.297136483499</v>
      </c>
      <c r="F264" s="97">
        <f t="shared" si="21"/>
        <v>13201.208783999577</v>
      </c>
      <c r="G264" s="97">
        <f t="shared" si="21"/>
        <v>15873.736375731518</v>
      </c>
      <c r="H264" s="97">
        <f t="shared" si="21"/>
        <v>17992.986779207436</v>
      </c>
    </row>
    <row r="265" spans="2:8">
      <c r="B265" s="99" t="s">
        <v>192</v>
      </c>
      <c r="C265" s="98">
        <f t="shared" ref="C265:H265" si="22">+C264*(1.5/1000)</f>
        <v>0</v>
      </c>
      <c r="D265" s="98">
        <f t="shared" si="22"/>
        <v>10.210262504999992</v>
      </c>
      <c r="E265" s="98">
        <f t="shared" si="22"/>
        <v>15.18494570472525</v>
      </c>
      <c r="F265" s="98">
        <f t="shared" si="22"/>
        <v>19.801813175999364</v>
      </c>
      <c r="G265" s="98">
        <f t="shared" si="22"/>
        <v>23.810604563597277</v>
      </c>
      <c r="H265" s="98">
        <f t="shared" si="22"/>
        <v>26.989480168811156</v>
      </c>
    </row>
    <row r="268" spans="2:8">
      <c r="C268" s="217">
        <f>1.5/1000</f>
        <v>1.5E-3</v>
      </c>
    </row>
  </sheetData>
  <customSheetViews>
    <customSheetView guid="{1C124D82-5E8E-4656-88B0-04FEF3393FAE}" scale="120" topLeftCell="A54">
      <selection activeCell="G61" sqref="G61"/>
      <pageMargins left="0.7" right="0.7" top="0.75" bottom="0.75" header="0.3" footer="0.3"/>
      <pageSetup orientation="portrait" r:id="rId1"/>
    </customSheetView>
  </customSheetViews>
  <mergeCells count="11">
    <mergeCell ref="J239:M239"/>
    <mergeCell ref="J250:K250"/>
    <mergeCell ref="J219:L219"/>
    <mergeCell ref="B3:C3"/>
    <mergeCell ref="B115:H115"/>
    <mergeCell ref="B193:C193"/>
    <mergeCell ref="H4:K4"/>
    <mergeCell ref="H181:K181"/>
    <mergeCell ref="B4:E4"/>
    <mergeCell ref="B23:E23"/>
    <mergeCell ref="G23:J23"/>
  </mergeCells>
  <phoneticPr fontId="14" type="noConversion"/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ejemplo</vt:lpstr>
      <vt:lpstr>tesis</vt:lpstr>
      <vt:lpstr>maquinaria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Administrador</cp:lastModifiedBy>
  <dcterms:created xsi:type="dcterms:W3CDTF">2009-08-18T18:54:24Z</dcterms:created>
  <dcterms:modified xsi:type="dcterms:W3CDTF">2009-09-25T17:32:59Z</dcterms:modified>
</cp:coreProperties>
</file>